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erworth\Desktop\"/>
    </mc:Choice>
  </mc:AlternateContent>
  <xr:revisionPtr revIDLastSave="0" documentId="13_ncr:1_{7FA0F2C6-A4A2-43E4-B505-926EDA12C982}" xr6:coauthVersionLast="47" xr6:coauthVersionMax="47" xr10:uidLastSave="{00000000-0000-0000-0000-000000000000}"/>
  <bookViews>
    <workbookView xWindow="-120" yWindow="-120" windowWidth="29040" windowHeight="15720" tabRatio="567" xr2:uid="{717056C9-66A4-4DAB-B6B8-C66A133C9EFD}"/>
  </bookViews>
  <sheets>
    <sheet name="Base" sheetId="1" r:id="rId1"/>
    <sheet name="Paid" sheetId="2" r:id="rId2"/>
    <sheet name="2024 Auctions" sheetId="14" r:id="rId3"/>
    <sheet name="2023 Auctions" sheetId="13" r:id="rId4"/>
    <sheet name="2022 Auctions" sheetId="11" r:id="rId5"/>
    <sheet name="2021 Auctions" sheetId="9" r:id="rId6"/>
    <sheet name="2020 Auctions" sheetId="6" r:id="rId7"/>
    <sheet name="Excess Funds" sheetId="12" r:id="rId8"/>
  </sheets>
  <definedNames>
    <definedName name="_xlnm._FilterDatabase" localSheetId="0" hidden="1">Paid!$A$949:$A$949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47" i="1" l="1"/>
  <c r="BL47" i="1"/>
  <c r="BM46" i="1"/>
  <c r="BL46" i="1"/>
  <c r="BM45" i="1"/>
  <c r="BL45" i="1"/>
  <c r="BM44" i="1"/>
  <c r="BL44" i="1"/>
  <c r="BM43" i="1"/>
  <c r="BL43" i="1"/>
  <c r="BM42" i="1"/>
  <c r="BL42" i="1"/>
  <c r="BM41" i="1"/>
  <c r="BL41" i="1"/>
  <c r="BM40" i="1"/>
  <c r="BL40" i="1"/>
  <c r="BM39" i="1"/>
  <c r="BL39" i="1"/>
  <c r="BM38" i="1"/>
  <c r="BL38" i="1"/>
  <c r="BM37" i="1"/>
  <c r="BL37" i="1"/>
  <c r="BM36" i="1"/>
  <c r="BL36" i="1"/>
  <c r="BM35" i="1"/>
  <c r="BL35" i="1"/>
  <c r="BM34" i="1"/>
  <c r="BL34" i="1"/>
  <c r="BM33" i="1"/>
  <c r="BL33" i="1"/>
  <c r="BM32" i="1"/>
  <c r="BL32" i="1"/>
  <c r="BM31" i="1"/>
  <c r="BL31" i="1"/>
  <c r="BM30" i="1"/>
  <c r="BL30" i="1"/>
  <c r="BM29" i="1"/>
  <c r="BL29" i="1"/>
  <c r="BM28" i="1"/>
  <c r="BL28" i="1"/>
  <c r="BM27" i="1"/>
  <c r="BL27" i="1"/>
  <c r="BM26" i="1"/>
  <c r="BL26" i="1"/>
  <c r="BM25" i="1"/>
  <c r="BL25" i="1"/>
  <c r="BM24" i="1"/>
  <c r="BL24" i="1"/>
  <c r="BM23" i="1"/>
  <c r="BL23" i="1"/>
  <c r="BM22" i="1"/>
  <c r="BL22" i="1"/>
  <c r="BM21" i="1"/>
  <c r="BL21" i="1"/>
  <c r="BM20" i="1"/>
  <c r="BL20" i="1"/>
  <c r="BM19" i="1"/>
  <c r="BL19" i="1"/>
  <c r="BM18" i="1"/>
  <c r="BL18" i="1"/>
  <c r="BM17" i="1"/>
  <c r="BL17" i="1"/>
  <c r="BM16" i="1"/>
  <c r="BL16" i="1"/>
  <c r="BM15" i="1"/>
  <c r="BL15" i="1"/>
  <c r="BM14" i="1"/>
  <c r="BL14" i="1"/>
  <c r="BM13" i="1"/>
  <c r="BL13" i="1"/>
  <c r="BM12" i="1"/>
  <c r="BL12" i="1"/>
  <c r="BM11" i="1"/>
  <c r="BL11" i="1"/>
  <c r="BM10" i="1"/>
  <c r="BL10" i="1"/>
  <c r="BM9" i="1"/>
  <c r="BL9" i="1"/>
  <c r="BM8" i="1"/>
  <c r="BL8" i="1"/>
  <c r="BM7" i="1"/>
  <c r="BL7" i="1"/>
  <c r="BM6" i="1"/>
  <c r="BL6" i="1"/>
  <c r="BM5" i="1"/>
  <c r="BL5" i="1"/>
  <c r="BM4" i="1"/>
  <c r="BL4" i="1"/>
  <c r="BM3" i="1"/>
  <c r="BL3" i="1"/>
  <c r="BR1051" i="2" l="1"/>
  <c r="BT1051" i="2"/>
  <c r="BU1051" i="2"/>
  <c r="BX1051" i="2"/>
  <c r="BZ1051" i="2"/>
  <c r="CA1051" i="2"/>
  <c r="CD1051" i="2"/>
  <c r="CF1051" i="2" s="1"/>
  <c r="CG1051" i="2"/>
  <c r="CM1051" i="2"/>
  <c r="CS1051" i="2"/>
  <c r="CY1051" i="2"/>
  <c r="DE1051" i="2"/>
  <c r="DK1051" i="2"/>
  <c r="DS1051" i="2"/>
  <c r="DT1051" i="2" s="1"/>
  <c r="EA1051" i="2"/>
  <c r="EG1051" i="2"/>
  <c r="CI1051" i="2" s="1"/>
  <c r="EJ1051" i="2"/>
  <c r="CU1051" i="2" s="1"/>
  <c r="BU42" i="1"/>
  <c r="BW42" i="1" s="1"/>
  <c r="BF42" i="1" s="1"/>
  <c r="BG42" i="1" s="1"/>
  <c r="BR42" i="1"/>
  <c r="BT42" i="1" s="1"/>
  <c r="AH42" i="1" s="1"/>
  <c r="BQ42" i="1"/>
  <c r="BR44" i="1"/>
  <c r="BT44" i="1" s="1"/>
  <c r="AB44" i="1" s="1"/>
  <c r="BU44" i="1"/>
  <c r="BW44" i="1" s="1"/>
  <c r="AT44" i="1" s="1"/>
  <c r="AU44" i="1" s="1"/>
  <c r="AW44" i="1" s="1"/>
  <c r="BU39" i="1"/>
  <c r="BW39" i="1" s="1"/>
  <c r="AN39" i="1" s="1"/>
  <c r="BR39" i="1"/>
  <c r="BT39" i="1" s="1"/>
  <c r="AH39" i="1" s="1"/>
  <c r="BQ39" i="1"/>
  <c r="BT36" i="1"/>
  <c r="BU27" i="1"/>
  <c r="BR27" i="1"/>
  <c r="BQ27" i="1"/>
  <c r="BU25" i="1"/>
  <c r="BR25" i="1"/>
  <c r="BT25" i="1" s="1"/>
  <c r="BQ25" i="1"/>
  <c r="BQ26" i="1"/>
  <c r="BU26" i="1"/>
  <c r="BR26" i="1"/>
  <c r="BT26" i="1" s="1"/>
  <c r="AH26" i="1" s="1"/>
  <c r="BW19" i="1"/>
  <c r="AZ19" i="1" s="1"/>
  <c r="BA19" i="1" s="1"/>
  <c r="BC19" i="1" s="1"/>
  <c r="BT19" i="1"/>
  <c r="BU17" i="1"/>
  <c r="BU18" i="1"/>
  <c r="BW18" i="1" s="1"/>
  <c r="BR18" i="1"/>
  <c r="BQ18" i="1"/>
  <c r="BR17" i="1"/>
  <c r="BQ17" i="1"/>
  <c r="BW180" i="1"/>
  <c r="AT180" i="1" s="1"/>
  <c r="AU180" i="1" s="1"/>
  <c r="BT180" i="1"/>
  <c r="AH180" i="1" s="1"/>
  <c r="BW179" i="1"/>
  <c r="BT179" i="1"/>
  <c r="AH179" i="1" s="1"/>
  <c r="BW178" i="1"/>
  <c r="BF178" i="1" s="1"/>
  <c r="BT178" i="1"/>
  <c r="AH178" i="1" s="1"/>
  <c r="AI178" i="1" s="1"/>
  <c r="AK178" i="1" s="1"/>
  <c r="BW177" i="1"/>
  <c r="BT177" i="1"/>
  <c r="AB177" i="1" s="1"/>
  <c r="AC177" i="1" s="1"/>
  <c r="AE177" i="1" s="1"/>
  <c r="BW176" i="1"/>
  <c r="BF176" i="1" s="1"/>
  <c r="BG176" i="1" s="1"/>
  <c r="BT176" i="1"/>
  <c r="AB176" i="1" s="1"/>
  <c r="BW175" i="1"/>
  <c r="AN175" i="1" s="1"/>
  <c r="AO175" i="1" s="1"/>
  <c r="AQ175" i="1" s="1"/>
  <c r="BT175" i="1"/>
  <c r="AB175" i="1" s="1"/>
  <c r="BW174" i="1"/>
  <c r="BF174" i="1" s="1"/>
  <c r="BT174" i="1"/>
  <c r="AB174" i="1" s="1"/>
  <c r="AC174" i="1" s="1"/>
  <c r="AE174" i="1" s="1"/>
  <c r="BW173" i="1"/>
  <c r="AN173" i="1" s="1"/>
  <c r="AO173" i="1" s="1"/>
  <c r="AQ173" i="1" s="1"/>
  <c r="BT173" i="1"/>
  <c r="AH173" i="1" s="1"/>
  <c r="AI173" i="1" s="1"/>
  <c r="AK173" i="1" s="1"/>
  <c r="BW172" i="1"/>
  <c r="AN172" i="1" s="1"/>
  <c r="AO172" i="1" s="1"/>
  <c r="AQ172" i="1" s="1"/>
  <c r="BT172" i="1"/>
  <c r="AB172" i="1" s="1"/>
  <c r="BW171" i="1"/>
  <c r="AZ171" i="1" s="1"/>
  <c r="BA171" i="1" s="1"/>
  <c r="BT171" i="1"/>
  <c r="AH171" i="1" s="1"/>
  <c r="BW170" i="1"/>
  <c r="BF170" i="1" s="1"/>
  <c r="BG170" i="1" s="1"/>
  <c r="BT170" i="1"/>
  <c r="AB170" i="1" s="1"/>
  <c r="AC170" i="1" s="1"/>
  <c r="AE170" i="1" s="1"/>
  <c r="BW169" i="1"/>
  <c r="AN169" i="1" s="1"/>
  <c r="BT169" i="1"/>
  <c r="AB169" i="1" s="1"/>
  <c r="BW168" i="1"/>
  <c r="BF168" i="1" s="1"/>
  <c r="BG168" i="1" s="1"/>
  <c r="BI168" i="1" s="1"/>
  <c r="BT168" i="1"/>
  <c r="AB168" i="1" s="1"/>
  <c r="BW167" i="1"/>
  <c r="AN167" i="1" s="1"/>
  <c r="BT167" i="1"/>
  <c r="AB167" i="1" s="1"/>
  <c r="AC167" i="1" s="1"/>
  <c r="AE167" i="1" s="1"/>
  <c r="BW166" i="1"/>
  <c r="BF166" i="1" s="1"/>
  <c r="BG166" i="1" s="1"/>
  <c r="BI166" i="1" s="1"/>
  <c r="BT166" i="1"/>
  <c r="AB166" i="1" s="1"/>
  <c r="AC166" i="1" s="1"/>
  <c r="AE166" i="1" s="1"/>
  <c r="BW165" i="1"/>
  <c r="AT165" i="1" s="1"/>
  <c r="BT165" i="1"/>
  <c r="AB165" i="1" s="1"/>
  <c r="BW164" i="1"/>
  <c r="AN164" i="1" s="1"/>
  <c r="AO164" i="1" s="1"/>
  <c r="AQ164" i="1" s="1"/>
  <c r="BT164" i="1"/>
  <c r="AB164" i="1" s="1"/>
  <c r="AC164" i="1" s="1"/>
  <c r="BW163" i="1"/>
  <c r="BF163" i="1" s="1"/>
  <c r="BG163" i="1" s="1"/>
  <c r="BT163" i="1"/>
  <c r="AH163" i="1" s="1"/>
  <c r="AI163" i="1" s="1"/>
  <c r="AK163" i="1" s="1"/>
  <c r="BW162" i="1"/>
  <c r="BT162" i="1"/>
  <c r="AH162" i="1" s="1"/>
  <c r="AI162" i="1" s="1"/>
  <c r="AK162" i="1" s="1"/>
  <c r="BW161" i="1"/>
  <c r="AZ161" i="1" s="1"/>
  <c r="BA161" i="1" s="1"/>
  <c r="BC161" i="1" s="1"/>
  <c r="BT161" i="1"/>
  <c r="AH161" i="1" s="1"/>
  <c r="AI161" i="1" s="1"/>
  <c r="BW160" i="1"/>
  <c r="BF160" i="1" s="1"/>
  <c r="BG160" i="1" s="1"/>
  <c r="BI160" i="1" s="1"/>
  <c r="BT160" i="1"/>
  <c r="AB160" i="1" s="1"/>
  <c r="BW47" i="1"/>
  <c r="BF47" i="1" s="1"/>
  <c r="BG47" i="1" s="1"/>
  <c r="BT47" i="1"/>
  <c r="AB47" i="1" s="1"/>
  <c r="BW46" i="1"/>
  <c r="AT46" i="1" s="1"/>
  <c r="AU46" i="1" s="1"/>
  <c r="AW46" i="1" s="1"/>
  <c r="BT46" i="1"/>
  <c r="AB46" i="1" s="1"/>
  <c r="BW45" i="1"/>
  <c r="AT45" i="1" s="1"/>
  <c r="BT45" i="1"/>
  <c r="AH45" i="1" s="1"/>
  <c r="BW43" i="1"/>
  <c r="AZ43" i="1" s="1"/>
  <c r="BT43" i="1"/>
  <c r="AH43" i="1" s="1"/>
  <c r="AI43" i="1" s="1"/>
  <c r="AK43" i="1" s="1"/>
  <c r="BW41" i="1"/>
  <c r="AT41" i="1" s="1"/>
  <c r="AU41" i="1" s="1"/>
  <c r="AW41" i="1" s="1"/>
  <c r="BT41" i="1"/>
  <c r="AH41" i="1" s="1"/>
  <c r="BW40" i="1"/>
  <c r="AN40" i="1" s="1"/>
  <c r="BT40" i="1"/>
  <c r="AB40" i="1" s="1"/>
  <c r="BW38" i="1"/>
  <c r="BF38" i="1" s="1"/>
  <c r="BG38" i="1" s="1"/>
  <c r="BI38" i="1" s="1"/>
  <c r="BT38" i="1"/>
  <c r="AH38" i="1" s="1"/>
  <c r="AI38" i="1" s="1"/>
  <c r="BW37" i="1"/>
  <c r="BF37" i="1" s="1"/>
  <c r="BG37" i="1" s="1"/>
  <c r="BK37" i="1" s="1"/>
  <c r="BT37" i="1"/>
  <c r="AH37" i="1" s="1"/>
  <c r="AI37" i="1" s="1"/>
  <c r="BW36" i="1"/>
  <c r="BF36" i="1" s="1"/>
  <c r="BG36" i="1" s="1"/>
  <c r="BI36" i="1" s="1"/>
  <c r="BW35" i="1"/>
  <c r="AN35" i="1" s="1"/>
  <c r="BT35" i="1"/>
  <c r="AB35" i="1" s="1"/>
  <c r="AC35" i="1" s="1"/>
  <c r="AE35" i="1" s="1"/>
  <c r="BW34" i="1"/>
  <c r="AN34" i="1" s="1"/>
  <c r="BT34" i="1"/>
  <c r="AB34" i="1" s="1"/>
  <c r="AC34" i="1" s="1"/>
  <c r="AE34" i="1" s="1"/>
  <c r="BW33" i="1"/>
  <c r="AT33" i="1" s="1"/>
  <c r="AU33" i="1" s="1"/>
  <c r="BT33" i="1"/>
  <c r="AH33" i="1" s="1"/>
  <c r="AI33" i="1" s="1"/>
  <c r="BW32" i="1"/>
  <c r="AZ32" i="1" s="1"/>
  <c r="BA32" i="1" s="1"/>
  <c r="BT32" i="1"/>
  <c r="AC32" i="1" s="1"/>
  <c r="BW31" i="1"/>
  <c r="AN31" i="1" s="1"/>
  <c r="BT31" i="1"/>
  <c r="AH31" i="1" s="1"/>
  <c r="BW30" i="1"/>
  <c r="AT30" i="1" s="1"/>
  <c r="AU30" i="1" s="1"/>
  <c r="AW30" i="1" s="1"/>
  <c r="BT30" i="1"/>
  <c r="AB30" i="1" s="1"/>
  <c r="BW29" i="1"/>
  <c r="BF29" i="1" s="1"/>
  <c r="BG29" i="1" s="1"/>
  <c r="BT29" i="1"/>
  <c r="AC29" i="1" s="1"/>
  <c r="AE29" i="1" s="1"/>
  <c r="BW28" i="1"/>
  <c r="BF28" i="1" s="1"/>
  <c r="BG28" i="1" s="1"/>
  <c r="BI28" i="1" s="1"/>
  <c r="BT28" i="1"/>
  <c r="AB28" i="1" s="1"/>
  <c r="BW27" i="1"/>
  <c r="AT27" i="1" s="1"/>
  <c r="AU27" i="1" s="1"/>
  <c r="AW27" i="1" s="1"/>
  <c r="BT27" i="1"/>
  <c r="AB27" i="1" s="1"/>
  <c r="AC27" i="1" s="1"/>
  <c r="AE27" i="1" s="1"/>
  <c r="BW26" i="1"/>
  <c r="AZ26" i="1" s="1"/>
  <c r="BA26" i="1" s="1"/>
  <c r="BC26" i="1" s="1"/>
  <c r="BW25" i="1"/>
  <c r="AZ25" i="1" s="1"/>
  <c r="BA25" i="1" s="1"/>
  <c r="BC25" i="1" s="1"/>
  <c r="BW24" i="1"/>
  <c r="AT24" i="1" s="1"/>
  <c r="AU24" i="1" s="1"/>
  <c r="AW24" i="1" s="1"/>
  <c r="BT24" i="1"/>
  <c r="AC24" i="1" s="1"/>
  <c r="AE24" i="1" s="1"/>
  <c r="BW23" i="1"/>
  <c r="AZ23" i="1" s="1"/>
  <c r="BA23" i="1" s="1"/>
  <c r="BC23" i="1" s="1"/>
  <c r="BT23" i="1"/>
  <c r="AC23" i="1" s="1"/>
  <c r="AE23" i="1" s="1"/>
  <c r="BW22" i="1"/>
  <c r="AZ22" i="1" s="1"/>
  <c r="BT22" i="1"/>
  <c r="AH22" i="1" s="1"/>
  <c r="AI22" i="1" s="1"/>
  <c r="AK22" i="1" s="1"/>
  <c r="BW21" i="1"/>
  <c r="AZ21" i="1" s="1"/>
  <c r="BA21" i="1" s="1"/>
  <c r="BT21" i="1"/>
  <c r="AB21" i="1" s="1"/>
  <c r="BW20" i="1"/>
  <c r="AT20" i="1" s="1"/>
  <c r="BT20" i="1"/>
  <c r="AH20" i="1" s="1"/>
  <c r="AC19" i="1"/>
  <c r="AE19" i="1" s="1"/>
  <c r="BT18" i="1"/>
  <c r="AH18" i="1" s="1"/>
  <c r="AI18" i="1" s="1"/>
  <c r="BW17" i="1"/>
  <c r="AZ17" i="1" s="1"/>
  <c r="BA17" i="1" s="1"/>
  <c r="BC17" i="1" s="1"/>
  <c r="BT17" i="1"/>
  <c r="AH17" i="1" s="1"/>
  <c r="AI17" i="1" s="1"/>
  <c r="BW16" i="1"/>
  <c r="AZ16" i="1" s="1"/>
  <c r="BA16" i="1" s="1"/>
  <c r="BC16" i="1" s="1"/>
  <c r="BT16" i="1"/>
  <c r="AB16" i="1" s="1"/>
  <c r="BW15" i="1"/>
  <c r="AZ15" i="1" s="1"/>
  <c r="BT15" i="1"/>
  <c r="AB15" i="1" s="1"/>
  <c r="AC15" i="1" s="1"/>
  <c r="BW14" i="1"/>
  <c r="AZ14" i="1" s="1"/>
  <c r="BA14" i="1" s="1"/>
  <c r="BT14" i="1"/>
  <c r="AH14" i="1" s="1"/>
  <c r="AI14" i="1" s="1"/>
  <c r="BW13" i="1"/>
  <c r="AZ13" i="1" s="1"/>
  <c r="BA13" i="1" s="1"/>
  <c r="BC13" i="1" s="1"/>
  <c r="BT13" i="1"/>
  <c r="AB13" i="1" s="1"/>
  <c r="BW12" i="1"/>
  <c r="BF12" i="1" s="1"/>
  <c r="BG12" i="1" s="1"/>
  <c r="BT12" i="1"/>
  <c r="AH12" i="1" s="1"/>
  <c r="AI12" i="1" s="1"/>
  <c r="BW9" i="1"/>
  <c r="AZ9" i="1" s="1"/>
  <c r="BT9" i="1"/>
  <c r="AB9" i="1" s="1"/>
  <c r="AC9" i="1" s="1"/>
  <c r="AE9" i="1" s="1"/>
  <c r="BW8" i="1"/>
  <c r="AZ8" i="1" s="1"/>
  <c r="BA8" i="1" s="1"/>
  <c r="BT8" i="1"/>
  <c r="AH8" i="1" s="1"/>
  <c r="AI8" i="1" s="1"/>
  <c r="AK8" i="1" s="1"/>
  <c r="BW4" i="1"/>
  <c r="AZ4" i="1" s="1"/>
  <c r="BA4" i="1" s="1"/>
  <c r="BT4" i="1"/>
  <c r="AH4" i="1" s="1"/>
  <c r="BW11" i="1"/>
  <c r="AZ11" i="1" s="1"/>
  <c r="BA11" i="1" s="1"/>
  <c r="BT11" i="1"/>
  <c r="AC11" i="1" s="1"/>
  <c r="BW5" i="1"/>
  <c r="BF5" i="1" s="1"/>
  <c r="BT5" i="1"/>
  <c r="AB5" i="1" s="1"/>
  <c r="BW10" i="1"/>
  <c r="BT10" i="1"/>
  <c r="V10" i="1" s="1"/>
  <c r="W10" i="1" s="1"/>
  <c r="Y10" i="1" s="1"/>
  <c r="BW7" i="1"/>
  <c r="AT7" i="1" s="1"/>
  <c r="BT7" i="1"/>
  <c r="AB7" i="1" s="1"/>
  <c r="AC7" i="1" s="1"/>
  <c r="AE7" i="1" s="1"/>
  <c r="BW3" i="1"/>
  <c r="AN3" i="1" s="1"/>
  <c r="AO3" i="1" s="1"/>
  <c r="AQ3" i="1" s="1"/>
  <c r="BT3" i="1"/>
  <c r="AB3" i="1" s="1"/>
  <c r="AC3" i="1" s="1"/>
  <c r="AE3" i="1" s="1"/>
  <c r="BW2" i="1"/>
  <c r="AT2" i="1" s="1"/>
  <c r="AU2" i="1" s="1"/>
  <c r="AW2" i="1" s="1"/>
  <c r="BT2" i="1"/>
  <c r="AH2" i="1" s="1"/>
  <c r="BW6" i="1"/>
  <c r="BF6" i="1" s="1"/>
  <c r="BT6" i="1"/>
  <c r="AH6" i="1" s="1"/>
  <c r="BJ180" i="1"/>
  <c r="BD180" i="1"/>
  <c r="AX180" i="1"/>
  <c r="AR180" i="1"/>
  <c r="AL180" i="1"/>
  <c r="AF180" i="1"/>
  <c r="Z180" i="1"/>
  <c r="W180" i="1"/>
  <c r="Y180" i="1" s="1"/>
  <c r="BJ179" i="1"/>
  <c r="BD179" i="1"/>
  <c r="AX179" i="1"/>
  <c r="AR179" i="1"/>
  <c r="AL179" i="1"/>
  <c r="AF179" i="1"/>
  <c r="Z179" i="1"/>
  <c r="W179" i="1"/>
  <c r="BJ178" i="1"/>
  <c r="BD178" i="1"/>
  <c r="AX178" i="1"/>
  <c r="AR178" i="1"/>
  <c r="AL178" i="1"/>
  <c r="AF178" i="1"/>
  <c r="Z178" i="1"/>
  <c r="W178" i="1"/>
  <c r="Y178" i="1" s="1"/>
  <c r="BJ177" i="1"/>
  <c r="BD177" i="1"/>
  <c r="AX177" i="1"/>
  <c r="AR177" i="1"/>
  <c r="AL177" i="1"/>
  <c r="AF177" i="1"/>
  <c r="Z177" i="1"/>
  <c r="W177" i="1"/>
  <c r="Y177" i="1" s="1"/>
  <c r="BJ176" i="1"/>
  <c r="BD176" i="1"/>
  <c r="AX176" i="1"/>
  <c r="AR176" i="1"/>
  <c r="AL176" i="1"/>
  <c r="AF176" i="1"/>
  <c r="Z176" i="1"/>
  <c r="W176" i="1"/>
  <c r="Y176" i="1" s="1"/>
  <c r="BJ175" i="1"/>
  <c r="BD175" i="1"/>
  <c r="AX175" i="1"/>
  <c r="AR175" i="1"/>
  <c r="AL175" i="1"/>
  <c r="AF175" i="1"/>
  <c r="Z175" i="1"/>
  <c r="W175" i="1"/>
  <c r="Y175" i="1" s="1"/>
  <c r="BJ174" i="1"/>
  <c r="BD174" i="1"/>
  <c r="AX174" i="1"/>
  <c r="AR174" i="1"/>
  <c r="AL174" i="1"/>
  <c r="AF174" i="1"/>
  <c r="Z174" i="1"/>
  <c r="W174" i="1"/>
  <c r="BJ173" i="1"/>
  <c r="BD173" i="1"/>
  <c r="AX173" i="1"/>
  <c r="AR173" i="1"/>
  <c r="AL173" i="1"/>
  <c r="AF173" i="1"/>
  <c r="Z173" i="1"/>
  <c r="W173" i="1"/>
  <c r="Y173" i="1" s="1"/>
  <c r="BJ172" i="1"/>
  <c r="BD172" i="1"/>
  <c r="AX172" i="1"/>
  <c r="AR172" i="1"/>
  <c r="AL172" i="1"/>
  <c r="AF172" i="1"/>
  <c r="Z172" i="1"/>
  <c r="W172" i="1"/>
  <c r="BJ171" i="1"/>
  <c r="BD171" i="1"/>
  <c r="AX171" i="1"/>
  <c r="AR171" i="1"/>
  <c r="AL171" i="1"/>
  <c r="AF171" i="1"/>
  <c r="Z171" i="1"/>
  <c r="W171" i="1"/>
  <c r="Y171" i="1" s="1"/>
  <c r="BJ170" i="1"/>
  <c r="BD170" i="1"/>
  <c r="AX170" i="1"/>
  <c r="AR170" i="1"/>
  <c r="AL170" i="1"/>
  <c r="AF170" i="1"/>
  <c r="Z170" i="1"/>
  <c r="W170" i="1"/>
  <c r="Y170" i="1" s="1"/>
  <c r="BJ169" i="1"/>
  <c r="BD169" i="1"/>
  <c r="AX169" i="1"/>
  <c r="AR169" i="1"/>
  <c r="AL169" i="1"/>
  <c r="AF169" i="1"/>
  <c r="Z169" i="1"/>
  <c r="W169" i="1"/>
  <c r="BJ168" i="1"/>
  <c r="BD168" i="1"/>
  <c r="AX168" i="1"/>
  <c r="AR168" i="1"/>
  <c r="AL168" i="1"/>
  <c r="AF168" i="1"/>
  <c r="Z168" i="1"/>
  <c r="W168" i="1"/>
  <c r="Y168" i="1" s="1"/>
  <c r="BJ167" i="1"/>
  <c r="BD167" i="1"/>
  <c r="AX167" i="1"/>
  <c r="AR167" i="1"/>
  <c r="AL167" i="1"/>
  <c r="AF167" i="1"/>
  <c r="Z167" i="1"/>
  <c r="W167" i="1"/>
  <c r="Y167" i="1" s="1"/>
  <c r="BJ166" i="1"/>
  <c r="BD166" i="1"/>
  <c r="AX166" i="1"/>
  <c r="AR166" i="1"/>
  <c r="AL166" i="1"/>
  <c r="AF166" i="1"/>
  <c r="Z166" i="1"/>
  <c r="W166" i="1"/>
  <c r="BJ165" i="1"/>
  <c r="BD165" i="1"/>
  <c r="AX165" i="1"/>
  <c r="AR165" i="1"/>
  <c r="AO165" i="1"/>
  <c r="AQ165" i="1" s="1"/>
  <c r="AL165" i="1"/>
  <c r="AF165" i="1"/>
  <c r="Z165" i="1"/>
  <c r="W165" i="1"/>
  <c r="Y165" i="1" s="1"/>
  <c r="BJ164" i="1"/>
  <c r="BD164" i="1"/>
  <c r="AX164" i="1"/>
  <c r="AR164" i="1"/>
  <c r="AL164" i="1"/>
  <c r="AF164" i="1"/>
  <c r="Z164" i="1"/>
  <c r="W164" i="1"/>
  <c r="BJ163" i="1"/>
  <c r="BD163" i="1"/>
  <c r="AX163" i="1"/>
  <c r="AR163" i="1"/>
  <c r="AL163" i="1"/>
  <c r="AF163" i="1"/>
  <c r="Z163" i="1"/>
  <c r="W163" i="1"/>
  <c r="Y163" i="1" s="1"/>
  <c r="BJ162" i="1"/>
  <c r="BD162" i="1"/>
  <c r="AX162" i="1"/>
  <c r="AR162" i="1"/>
  <c r="AL162" i="1"/>
  <c r="AF162" i="1"/>
  <c r="Z162" i="1"/>
  <c r="W162" i="1"/>
  <c r="BJ161" i="1"/>
  <c r="BD161" i="1"/>
  <c r="AX161" i="1"/>
  <c r="AR161" i="1"/>
  <c r="AL161" i="1"/>
  <c r="AF161" i="1"/>
  <c r="Z161" i="1"/>
  <c r="W161" i="1"/>
  <c r="Y161" i="1" s="1"/>
  <c r="BJ160" i="1"/>
  <c r="BD160" i="1"/>
  <c r="AX160" i="1"/>
  <c r="AR160" i="1"/>
  <c r="AL160" i="1"/>
  <c r="AF160" i="1"/>
  <c r="Z160" i="1"/>
  <c r="BJ47" i="1"/>
  <c r="BD47" i="1"/>
  <c r="AX47" i="1"/>
  <c r="AR47" i="1"/>
  <c r="AL47" i="1"/>
  <c r="AF47" i="1"/>
  <c r="Z47" i="1"/>
  <c r="W47" i="1"/>
  <c r="Y47" i="1" s="1"/>
  <c r="BJ46" i="1"/>
  <c r="BD46" i="1"/>
  <c r="AX46" i="1"/>
  <c r="AR46" i="1"/>
  <c r="AL46" i="1"/>
  <c r="AF46" i="1"/>
  <c r="Z46" i="1"/>
  <c r="W46" i="1"/>
  <c r="Y46" i="1" s="1"/>
  <c r="BJ45" i="1"/>
  <c r="BD45" i="1"/>
  <c r="AX45" i="1"/>
  <c r="AR45" i="1"/>
  <c r="AL45" i="1"/>
  <c r="AF45" i="1"/>
  <c r="Z45" i="1"/>
  <c r="W45" i="1"/>
  <c r="Y45" i="1" s="1"/>
  <c r="BJ44" i="1"/>
  <c r="BD44" i="1"/>
  <c r="AX44" i="1"/>
  <c r="AR44" i="1"/>
  <c r="AL44" i="1"/>
  <c r="AF44" i="1"/>
  <c r="Z44" i="1"/>
  <c r="W44" i="1"/>
  <c r="Y44" i="1" s="1"/>
  <c r="BJ43" i="1"/>
  <c r="BD43" i="1"/>
  <c r="AX43" i="1"/>
  <c r="AR43" i="1"/>
  <c r="AL43" i="1"/>
  <c r="AF43" i="1"/>
  <c r="Z43" i="1"/>
  <c r="W43" i="1"/>
  <c r="Y43" i="1" s="1"/>
  <c r="BJ42" i="1"/>
  <c r="BD42" i="1"/>
  <c r="AX42" i="1"/>
  <c r="AR42" i="1"/>
  <c r="AL42" i="1"/>
  <c r="AF42" i="1"/>
  <c r="Z42" i="1"/>
  <c r="W42" i="1"/>
  <c r="Y42" i="1" s="1"/>
  <c r="BJ41" i="1"/>
  <c r="BD41" i="1"/>
  <c r="AX41" i="1"/>
  <c r="AR41" i="1"/>
  <c r="AL41" i="1"/>
  <c r="AF41" i="1"/>
  <c r="Z41" i="1"/>
  <c r="W41" i="1"/>
  <c r="Y41" i="1" s="1"/>
  <c r="BJ40" i="1"/>
  <c r="BD40" i="1"/>
  <c r="AX40" i="1"/>
  <c r="AR40" i="1"/>
  <c r="AL40" i="1"/>
  <c r="AF40" i="1"/>
  <c r="Z40" i="1"/>
  <c r="W40" i="1"/>
  <c r="BJ39" i="1"/>
  <c r="BD39" i="1"/>
  <c r="AX39" i="1"/>
  <c r="AR39" i="1"/>
  <c r="AL39" i="1"/>
  <c r="AF39" i="1"/>
  <c r="Z39" i="1"/>
  <c r="W39" i="1"/>
  <c r="BJ38" i="1"/>
  <c r="BD38" i="1"/>
  <c r="AX38" i="1"/>
  <c r="AR38" i="1"/>
  <c r="AL38" i="1"/>
  <c r="AF38" i="1"/>
  <c r="Z38" i="1"/>
  <c r="BJ37" i="1"/>
  <c r="BD37" i="1"/>
  <c r="AX37" i="1"/>
  <c r="AR37" i="1"/>
  <c r="AL37" i="1"/>
  <c r="AF37" i="1"/>
  <c r="AC37" i="1"/>
  <c r="AE37" i="1" s="1"/>
  <c r="Z37" i="1"/>
  <c r="W37" i="1"/>
  <c r="Y37" i="1" s="1"/>
  <c r="BJ36" i="1"/>
  <c r="BD36" i="1"/>
  <c r="AX36" i="1"/>
  <c r="AU36" i="1"/>
  <c r="AR36" i="1"/>
  <c r="AO36" i="1"/>
  <c r="AQ36" i="1" s="1"/>
  <c r="AL36" i="1"/>
  <c r="AF36" i="1"/>
  <c r="Z36" i="1"/>
  <c r="W36" i="1"/>
  <c r="BJ35" i="1"/>
  <c r="BD35" i="1"/>
  <c r="AX35" i="1"/>
  <c r="AR35" i="1"/>
  <c r="AL35" i="1"/>
  <c r="AF35" i="1"/>
  <c r="Z35" i="1"/>
  <c r="W35" i="1"/>
  <c r="Y35" i="1" s="1"/>
  <c r="BJ34" i="1"/>
  <c r="BD34" i="1"/>
  <c r="AX34" i="1"/>
  <c r="AR34" i="1"/>
  <c r="AL34" i="1"/>
  <c r="AF34" i="1"/>
  <c r="Z34" i="1"/>
  <c r="W34" i="1"/>
  <c r="Y34" i="1" s="1"/>
  <c r="BJ33" i="1"/>
  <c r="BD33" i="1"/>
  <c r="AX33" i="1"/>
  <c r="AR33" i="1"/>
  <c r="AL33" i="1"/>
  <c r="AF33" i="1"/>
  <c r="Z33" i="1"/>
  <c r="W33" i="1"/>
  <c r="BJ32" i="1"/>
  <c r="BD32" i="1"/>
  <c r="AX32" i="1"/>
  <c r="AR32" i="1"/>
  <c r="AL32" i="1"/>
  <c r="AF32" i="1"/>
  <c r="Z32" i="1"/>
  <c r="W32" i="1"/>
  <c r="Y32" i="1" s="1"/>
  <c r="BJ31" i="1"/>
  <c r="BD31" i="1"/>
  <c r="AX31" i="1"/>
  <c r="AR31" i="1"/>
  <c r="AL31" i="1"/>
  <c r="AF31" i="1"/>
  <c r="Z31" i="1"/>
  <c r="W31" i="1"/>
  <c r="Y31" i="1" s="1"/>
  <c r="BJ30" i="1"/>
  <c r="BD30" i="1"/>
  <c r="AX30" i="1"/>
  <c r="AR30" i="1"/>
  <c r="AL30" i="1"/>
  <c r="AF30" i="1"/>
  <c r="Z30" i="1"/>
  <c r="W30" i="1"/>
  <c r="Y30" i="1" s="1"/>
  <c r="BJ29" i="1"/>
  <c r="BD29" i="1"/>
  <c r="AX29" i="1"/>
  <c r="AR29" i="1"/>
  <c r="AL29" i="1"/>
  <c r="AF29" i="1"/>
  <c r="Z29" i="1"/>
  <c r="BJ28" i="1"/>
  <c r="BD28" i="1"/>
  <c r="AX28" i="1"/>
  <c r="AR28" i="1"/>
  <c r="AL28" i="1"/>
  <c r="AF28" i="1"/>
  <c r="Z28" i="1"/>
  <c r="W28" i="1"/>
  <c r="Y28" i="1" s="1"/>
  <c r="BJ27" i="1"/>
  <c r="BD27" i="1"/>
  <c r="AX27" i="1"/>
  <c r="AR27" i="1"/>
  <c r="AL27" i="1"/>
  <c r="AF27" i="1"/>
  <c r="Z27" i="1"/>
  <c r="W27" i="1"/>
  <c r="BJ26" i="1"/>
  <c r="BD26" i="1"/>
  <c r="AX26" i="1"/>
  <c r="AR26" i="1"/>
  <c r="AL26" i="1"/>
  <c r="AF26" i="1"/>
  <c r="Z26" i="1"/>
  <c r="W26" i="1"/>
  <c r="BJ25" i="1"/>
  <c r="BD25" i="1"/>
  <c r="AX25" i="1"/>
  <c r="AR25" i="1"/>
  <c r="AN25" i="1"/>
  <c r="AL25" i="1"/>
  <c r="AF25" i="1"/>
  <c r="Z25" i="1"/>
  <c r="W25" i="1"/>
  <c r="BJ24" i="1"/>
  <c r="BD24" i="1"/>
  <c r="AX24" i="1"/>
  <c r="AR24" i="1"/>
  <c r="AL24" i="1"/>
  <c r="AF24" i="1"/>
  <c r="Z24" i="1"/>
  <c r="W24" i="1"/>
  <c r="Y24" i="1" s="1"/>
  <c r="BJ23" i="1"/>
  <c r="BD23" i="1"/>
  <c r="AX23" i="1"/>
  <c r="AR23" i="1"/>
  <c r="AL23" i="1"/>
  <c r="AF23" i="1"/>
  <c r="Z23" i="1"/>
  <c r="W23" i="1"/>
  <c r="BJ22" i="1"/>
  <c r="BF22" i="1"/>
  <c r="BG22" i="1" s="1"/>
  <c r="BI22" i="1" s="1"/>
  <c r="BD22" i="1"/>
  <c r="AX22" i="1"/>
  <c r="AR22" i="1"/>
  <c r="AN22" i="1"/>
  <c r="AO22" i="1" s="1"/>
  <c r="AQ22" i="1" s="1"/>
  <c r="AL22" i="1"/>
  <c r="AF22" i="1"/>
  <c r="Z22" i="1"/>
  <c r="W22" i="1"/>
  <c r="Y22" i="1" s="1"/>
  <c r="BJ21" i="1"/>
  <c r="BD21" i="1"/>
  <c r="AX21" i="1"/>
  <c r="AR21" i="1"/>
  <c r="AN21" i="1"/>
  <c r="AL21" i="1"/>
  <c r="AH21" i="1"/>
  <c r="AF21" i="1"/>
  <c r="Z21" i="1"/>
  <c r="W21" i="1"/>
  <c r="Y21" i="1" s="1"/>
  <c r="BJ20" i="1"/>
  <c r="BD20" i="1"/>
  <c r="AX20" i="1"/>
  <c r="AR20" i="1"/>
  <c r="AL20" i="1"/>
  <c r="AF20" i="1"/>
  <c r="Z20" i="1"/>
  <c r="BJ19" i="1"/>
  <c r="BD19" i="1"/>
  <c r="AX19" i="1"/>
  <c r="AT19" i="1"/>
  <c r="AU19" i="1" s="1"/>
  <c r="AR19" i="1"/>
  <c r="AN19" i="1"/>
  <c r="AO19" i="1" s="1"/>
  <c r="AQ19" i="1" s="1"/>
  <c r="AL19" i="1"/>
  <c r="AI19" i="1"/>
  <c r="AK19" i="1" s="1"/>
  <c r="AF19" i="1"/>
  <c r="Z19" i="1"/>
  <c r="W19" i="1"/>
  <c r="BJ18" i="1"/>
  <c r="BD18" i="1"/>
  <c r="AX18" i="1"/>
  <c r="AR18" i="1"/>
  <c r="AL18" i="1"/>
  <c r="AF18" i="1"/>
  <c r="Z18" i="1"/>
  <c r="W18" i="1"/>
  <c r="BJ17" i="1"/>
  <c r="BF17" i="1"/>
  <c r="BG17" i="1" s="1"/>
  <c r="BD17" i="1"/>
  <c r="AX17" i="1"/>
  <c r="AR17" i="1"/>
  <c r="AL17" i="1"/>
  <c r="AF17" i="1"/>
  <c r="Z17" i="1"/>
  <c r="W17" i="1"/>
  <c r="BJ16" i="1"/>
  <c r="BD16" i="1"/>
  <c r="AX16" i="1"/>
  <c r="AR16" i="1"/>
  <c r="AL16" i="1"/>
  <c r="AF16" i="1"/>
  <c r="Z16" i="1"/>
  <c r="W16" i="1"/>
  <c r="BJ15" i="1"/>
  <c r="BD15" i="1"/>
  <c r="AX15" i="1"/>
  <c r="AT15" i="1"/>
  <c r="AR15" i="1"/>
  <c r="AL15" i="1"/>
  <c r="AH15" i="1"/>
  <c r="AI15" i="1" s="1"/>
  <c r="AF15" i="1"/>
  <c r="Z15" i="1"/>
  <c r="W15" i="1"/>
  <c r="BJ14" i="1"/>
  <c r="BD14" i="1"/>
  <c r="AX14" i="1"/>
  <c r="AR14" i="1"/>
  <c r="AN14" i="1"/>
  <c r="AL14" i="1"/>
  <c r="AF14" i="1"/>
  <c r="Z14" i="1"/>
  <c r="BJ13" i="1"/>
  <c r="BD13" i="1"/>
  <c r="AX13" i="1"/>
  <c r="AR13" i="1"/>
  <c r="AL13" i="1"/>
  <c r="AH13" i="1"/>
  <c r="AI13" i="1" s="1"/>
  <c r="AF13" i="1"/>
  <c r="Z13" i="1"/>
  <c r="W13" i="1"/>
  <c r="BJ12" i="1"/>
  <c r="BD12" i="1"/>
  <c r="AZ12" i="1"/>
  <c r="BA12" i="1" s="1"/>
  <c r="BC12" i="1" s="1"/>
  <c r="AX12" i="1"/>
  <c r="AT12" i="1"/>
  <c r="AU12" i="1" s="1"/>
  <c r="AR12" i="1"/>
  <c r="AN12" i="1"/>
  <c r="AL12" i="1"/>
  <c r="AF12" i="1"/>
  <c r="Z12" i="1"/>
  <c r="W12" i="1"/>
  <c r="BJ9" i="1"/>
  <c r="BF9" i="1"/>
  <c r="BG9" i="1" s="1"/>
  <c r="BD9" i="1"/>
  <c r="AX9" i="1"/>
  <c r="AR9" i="1"/>
  <c r="AO9" i="1"/>
  <c r="AQ9" i="1" s="1"/>
  <c r="AL9" i="1"/>
  <c r="AF9" i="1"/>
  <c r="Z9" i="1"/>
  <c r="W9" i="1"/>
  <c r="Y9" i="1" s="1"/>
  <c r="BJ8" i="1"/>
  <c r="BD8" i="1"/>
  <c r="AX8" i="1"/>
  <c r="AT8" i="1"/>
  <c r="AU8" i="1" s="1"/>
  <c r="AR8" i="1"/>
  <c r="AL8" i="1"/>
  <c r="AF8" i="1"/>
  <c r="Z8" i="1"/>
  <c r="W8" i="1"/>
  <c r="BJ4" i="1"/>
  <c r="BD4" i="1"/>
  <c r="AX4" i="1"/>
  <c r="AR4" i="1"/>
  <c r="AL4" i="1"/>
  <c r="AF4" i="1"/>
  <c r="Z4" i="1"/>
  <c r="BJ11" i="1"/>
  <c r="BD11" i="1"/>
  <c r="AX11" i="1"/>
  <c r="AR11" i="1"/>
  <c r="AL11" i="1"/>
  <c r="AF11" i="1"/>
  <c r="Z11" i="1"/>
  <c r="W11" i="1"/>
  <c r="BJ5" i="1"/>
  <c r="BD5" i="1"/>
  <c r="AX5" i="1"/>
  <c r="AR5" i="1"/>
  <c r="AL5" i="1"/>
  <c r="AF5" i="1"/>
  <c r="Z5" i="1"/>
  <c r="W5" i="1"/>
  <c r="Y5" i="1" s="1"/>
  <c r="BJ10" i="1"/>
  <c r="BF10" i="1"/>
  <c r="BD10" i="1"/>
  <c r="AZ10" i="1"/>
  <c r="AX10" i="1"/>
  <c r="AT10" i="1"/>
  <c r="AU10" i="1" s="1"/>
  <c r="AW10" i="1" s="1"/>
  <c r="AR10" i="1"/>
  <c r="AN10" i="1"/>
  <c r="AO10" i="1" s="1"/>
  <c r="AL10" i="1"/>
  <c r="AH10" i="1"/>
  <c r="AF10" i="1"/>
  <c r="Z10" i="1"/>
  <c r="BJ7" i="1"/>
  <c r="BD7" i="1"/>
  <c r="AX7" i="1"/>
  <c r="AR7" i="1"/>
  <c r="AL7" i="1"/>
  <c r="AF7" i="1"/>
  <c r="Z7" i="1"/>
  <c r="W7" i="1"/>
  <c r="BJ3" i="1"/>
  <c r="BD3" i="1"/>
  <c r="AX3" i="1"/>
  <c r="AR3" i="1"/>
  <c r="AL3" i="1"/>
  <c r="AF3" i="1"/>
  <c r="Z3" i="1"/>
  <c r="W3" i="1"/>
  <c r="Y3" i="1" s="1"/>
  <c r="BJ2" i="1"/>
  <c r="BF2" i="1"/>
  <c r="BD2" i="1"/>
  <c r="AX2" i="1"/>
  <c r="AR2" i="1"/>
  <c r="AN2" i="1"/>
  <c r="AO2" i="1" s="1"/>
  <c r="AL2" i="1"/>
  <c r="AF2" i="1"/>
  <c r="Z2" i="1"/>
  <c r="W2" i="1"/>
  <c r="BJ6" i="1"/>
  <c r="BD6" i="1"/>
  <c r="AX6" i="1"/>
  <c r="AR6" i="1"/>
  <c r="AL6" i="1"/>
  <c r="AF6" i="1"/>
  <c r="Z6" i="1"/>
  <c r="W6" i="1"/>
  <c r="BR268" i="2"/>
  <c r="BU268" i="2"/>
  <c r="BX268" i="2"/>
  <c r="BZ268" i="2" s="1"/>
  <c r="CA268" i="2"/>
  <c r="CD268" i="2"/>
  <c r="CF268" i="2" s="1"/>
  <c r="CG268" i="2"/>
  <c r="CJ268" i="2"/>
  <c r="CL268" i="2" s="1"/>
  <c r="CM268" i="2"/>
  <c r="CP268" i="2"/>
  <c r="CR268" i="2" s="1"/>
  <c r="CS268" i="2"/>
  <c r="CU268" i="2"/>
  <c r="DM268" i="2" s="1"/>
  <c r="CY268" i="2"/>
  <c r="DB268" i="2"/>
  <c r="DD268" i="2" s="1"/>
  <c r="DE268" i="2"/>
  <c r="DH268" i="2"/>
  <c r="DJ268" i="2" s="1"/>
  <c r="DK268" i="2"/>
  <c r="DR268" i="2"/>
  <c r="DS268" i="2"/>
  <c r="EA268" i="2"/>
  <c r="EG268" i="2"/>
  <c r="EJ268" i="2"/>
  <c r="BO268" i="2" s="1"/>
  <c r="BR459" i="2"/>
  <c r="BT459" i="2" s="1"/>
  <c r="BU459" i="2"/>
  <c r="BX459" i="2"/>
  <c r="BZ459" i="2" s="1"/>
  <c r="CA459" i="2"/>
  <c r="CD459" i="2"/>
  <c r="CF459" i="2" s="1"/>
  <c r="CG459" i="2"/>
  <c r="CJ459" i="2"/>
  <c r="CL459" i="2" s="1"/>
  <c r="CM459" i="2"/>
  <c r="CP459" i="2"/>
  <c r="CR459" i="2" s="1"/>
  <c r="CS459" i="2"/>
  <c r="CV459" i="2"/>
  <c r="CX459" i="2" s="1"/>
  <c r="CY459" i="2"/>
  <c r="DB459" i="2"/>
  <c r="DD459" i="2" s="1"/>
  <c r="DE459" i="2"/>
  <c r="DK459" i="2"/>
  <c r="DR459" i="2"/>
  <c r="DS459" i="2"/>
  <c r="DT459" i="2" s="1"/>
  <c r="DU459" i="2"/>
  <c r="DW459" i="2"/>
  <c r="EJ459" i="2"/>
  <c r="DG459" i="2" s="1"/>
  <c r="BR55" i="2"/>
  <c r="BT55" i="2" s="1"/>
  <c r="BU55" i="2"/>
  <c r="BX55" i="2"/>
  <c r="BZ55" i="2" s="1"/>
  <c r="CA55" i="2"/>
  <c r="CD55" i="2"/>
  <c r="CF55" i="2" s="1"/>
  <c r="CG55" i="2"/>
  <c r="CJ55" i="2"/>
  <c r="CL55" i="2" s="1"/>
  <c r="CM55" i="2"/>
  <c r="CP55" i="2"/>
  <c r="CR55" i="2" s="1"/>
  <c r="CS55" i="2"/>
  <c r="CY55" i="2"/>
  <c r="DE55" i="2"/>
  <c r="DK55" i="2"/>
  <c r="DR55" i="2"/>
  <c r="DS55" i="2"/>
  <c r="DT55" i="2" s="1"/>
  <c r="EA55" i="2"/>
  <c r="ED55" i="2"/>
  <c r="EE55" i="2"/>
  <c r="EG55" i="2" s="1"/>
  <c r="EH55" i="2"/>
  <c r="EJ55" i="2" s="1"/>
  <c r="DG55" i="2" s="1"/>
  <c r="BR104" i="2"/>
  <c r="BT104" i="2" s="1"/>
  <c r="BU104" i="2"/>
  <c r="BX104" i="2"/>
  <c r="BZ104" i="2" s="1"/>
  <c r="CA104" i="2"/>
  <c r="CD104" i="2"/>
  <c r="CF104" i="2" s="1"/>
  <c r="CG104" i="2"/>
  <c r="CM104" i="2"/>
  <c r="CS104" i="2"/>
  <c r="CY104" i="2"/>
  <c r="DE104" i="2"/>
  <c r="DK104" i="2"/>
  <c r="DR104" i="2"/>
  <c r="DS104" i="2"/>
  <c r="DT104" i="2" s="1"/>
  <c r="EA104" i="2"/>
  <c r="EG104" i="2"/>
  <c r="CI104" i="2" s="1"/>
  <c r="EJ104" i="2"/>
  <c r="CU104" i="2" s="1"/>
  <c r="BR66" i="2"/>
  <c r="BT66" i="2" s="1"/>
  <c r="BU66" i="2"/>
  <c r="CA66" i="2"/>
  <c r="CG66" i="2"/>
  <c r="CM66" i="2"/>
  <c r="CS66" i="2"/>
  <c r="CY66" i="2"/>
  <c r="DE66" i="2"/>
  <c r="DK66" i="2"/>
  <c r="DR66" i="2"/>
  <c r="DS66" i="2"/>
  <c r="DT66" i="2" s="1"/>
  <c r="EA66" i="2"/>
  <c r="ED66" i="2"/>
  <c r="EE66" i="2"/>
  <c r="EG66" i="2" s="1"/>
  <c r="EH66" i="2"/>
  <c r="EJ66" i="2" s="1"/>
  <c r="DA66" i="2" s="1"/>
  <c r="BR209" i="2"/>
  <c r="BT209" i="2" s="1"/>
  <c r="BU209" i="2"/>
  <c r="BX209" i="2"/>
  <c r="BZ209" i="2" s="1"/>
  <c r="CA209" i="2"/>
  <c r="CG209" i="2"/>
  <c r="CM209" i="2"/>
  <c r="CS209" i="2"/>
  <c r="CY209" i="2"/>
  <c r="DE209" i="2"/>
  <c r="DK209" i="2"/>
  <c r="DS209" i="2"/>
  <c r="DT209" i="2" s="1"/>
  <c r="EA209" i="2"/>
  <c r="ED209" i="2"/>
  <c r="EE209" i="2"/>
  <c r="EG209" i="2" s="1"/>
  <c r="CI209" i="2" s="1"/>
  <c r="EH209" i="2"/>
  <c r="EJ209" i="2" s="1"/>
  <c r="BU654" i="2"/>
  <c r="CA654" i="2"/>
  <c r="CG654" i="2"/>
  <c r="CM654" i="2"/>
  <c r="CS654" i="2"/>
  <c r="CY654" i="2"/>
  <c r="DE654" i="2"/>
  <c r="DK654" i="2"/>
  <c r="DS654" i="2"/>
  <c r="DT654" i="2" s="1"/>
  <c r="EA654" i="2"/>
  <c r="EG654" i="2"/>
  <c r="CC654" i="2" s="1"/>
  <c r="EJ654" i="2"/>
  <c r="DG654" i="2" s="1"/>
  <c r="BR50" i="2"/>
  <c r="BT50" i="2" s="1"/>
  <c r="BU50" i="2"/>
  <c r="BX50" i="2"/>
  <c r="BZ50" i="2" s="1"/>
  <c r="CA50" i="2"/>
  <c r="CG50" i="2"/>
  <c r="CM50" i="2"/>
  <c r="CS50" i="2"/>
  <c r="CY50" i="2"/>
  <c r="DE50" i="2"/>
  <c r="DK50" i="2"/>
  <c r="DR50" i="2"/>
  <c r="DS50" i="2"/>
  <c r="DT50" i="2" s="1"/>
  <c r="DU50" i="2"/>
  <c r="DW50" i="2"/>
  <c r="DY50" i="2"/>
  <c r="EG50" i="2"/>
  <c r="CI50" i="2" s="1"/>
  <c r="EJ50" i="2"/>
  <c r="CU50" i="2" s="1"/>
  <c r="BR775" i="2"/>
  <c r="BT775" i="2" s="1"/>
  <c r="BU775" i="2"/>
  <c r="BX775" i="2"/>
  <c r="BZ775" i="2" s="1"/>
  <c r="CA775" i="2"/>
  <c r="CG775" i="2"/>
  <c r="CM775" i="2"/>
  <c r="CS775" i="2"/>
  <c r="CY775" i="2"/>
  <c r="DE775" i="2"/>
  <c r="DK775" i="2"/>
  <c r="DR775" i="2"/>
  <c r="DS775" i="2"/>
  <c r="DT775" i="2" s="1"/>
  <c r="DU775" i="2"/>
  <c r="DW775" i="2"/>
  <c r="DY775" i="2"/>
  <c r="EG775" i="2"/>
  <c r="CC775" i="2" s="1"/>
  <c r="CD775" i="2" s="1"/>
  <c r="EJ775" i="2"/>
  <c r="CU775" i="2" s="1"/>
  <c r="BR951" i="2"/>
  <c r="BT951" i="2" s="1"/>
  <c r="BU951" i="2"/>
  <c r="BX951" i="2"/>
  <c r="BZ951" i="2" s="1"/>
  <c r="CA951" i="2"/>
  <c r="CD951" i="2"/>
  <c r="CG951" i="2"/>
  <c r="CJ951" i="2"/>
  <c r="CL951" i="2" s="1"/>
  <c r="CM951" i="2"/>
  <c r="CP951" i="2"/>
  <c r="CR951" i="2" s="1"/>
  <c r="CS951" i="2"/>
  <c r="CV951" i="2"/>
  <c r="CX951" i="2" s="1"/>
  <c r="CY951" i="2"/>
  <c r="DE951" i="2"/>
  <c r="DK951" i="2"/>
  <c r="DR951" i="2"/>
  <c r="DS951" i="2"/>
  <c r="DT951" i="2" s="1"/>
  <c r="EA951" i="2"/>
  <c r="EG951" i="2"/>
  <c r="EJ951" i="2"/>
  <c r="BO951" i="2" s="1"/>
  <c r="BR52" i="2"/>
  <c r="BT52" i="2" s="1"/>
  <c r="BU52" i="2"/>
  <c r="CA52" i="2"/>
  <c r="CG52" i="2"/>
  <c r="CM52" i="2"/>
  <c r="CS52" i="2"/>
  <c r="CY52" i="2"/>
  <c r="DE52" i="2"/>
  <c r="DK52" i="2"/>
  <c r="DR52" i="2"/>
  <c r="DS52" i="2"/>
  <c r="DT52" i="2" s="1"/>
  <c r="ED52" i="2"/>
  <c r="EE52" i="2"/>
  <c r="EG52" i="2" s="1"/>
  <c r="EH52" i="2"/>
  <c r="EJ52" i="2" s="1"/>
  <c r="BR35" i="2"/>
  <c r="BT35" i="2" s="1"/>
  <c r="BU35" i="2"/>
  <c r="BX35" i="2"/>
  <c r="BZ35" i="2" s="1"/>
  <c r="CA35" i="2"/>
  <c r="CG35" i="2"/>
  <c r="CM35" i="2"/>
  <c r="CS35" i="2"/>
  <c r="CY35" i="2"/>
  <c r="DE35" i="2"/>
  <c r="DK35" i="2"/>
  <c r="DR35" i="2"/>
  <c r="DS35" i="2"/>
  <c r="DT35" i="2" s="1"/>
  <c r="EA35" i="2"/>
  <c r="ED35" i="2"/>
  <c r="EE35" i="2"/>
  <c r="EG35" i="2" s="1"/>
  <c r="CC35" i="2" s="1"/>
  <c r="EH35" i="2"/>
  <c r="EJ35" i="2" s="1"/>
  <c r="CU35" i="2" s="1"/>
  <c r="Y2" i="1" l="1"/>
  <c r="AZ18" i="1"/>
  <c r="BA18" i="1" s="1"/>
  <c r="BC18" i="1" s="1"/>
  <c r="BB18" i="1" s="1"/>
  <c r="BE18" i="1" s="1"/>
  <c r="AN18" i="1"/>
  <c r="AO18" i="1" s="1"/>
  <c r="AQ18" i="1" s="1"/>
  <c r="AH25" i="1"/>
  <c r="AI25" i="1" s="1"/>
  <c r="AB25" i="1"/>
  <c r="AC25" i="1" s="1"/>
  <c r="AE25" i="1" s="1"/>
  <c r="AD25" i="1" s="1"/>
  <c r="AG25" i="1" s="1"/>
  <c r="AT4" i="1"/>
  <c r="AT13" i="1"/>
  <c r="AU13" i="1" s="1"/>
  <c r="AT17" i="1"/>
  <c r="AU17" i="1" s="1"/>
  <c r="BF4" i="1"/>
  <c r="BG4" i="1" s="1"/>
  <c r="AZ179" i="1"/>
  <c r="BA179" i="1" s="1"/>
  <c r="BC179" i="1" s="1"/>
  <c r="BB179" i="1" s="1"/>
  <c r="BE179" i="1" s="1"/>
  <c r="BS1051" i="2"/>
  <c r="BV1051" i="2" s="1"/>
  <c r="CJ1051" i="2"/>
  <c r="CL1051" i="2"/>
  <c r="CK1051" i="2" s="1"/>
  <c r="CN1051" i="2" s="1"/>
  <c r="DA1051" i="2"/>
  <c r="CE1051" i="2"/>
  <c r="CH1051" i="2" s="1"/>
  <c r="BY1051" i="2"/>
  <c r="CB1051" i="2" s="1"/>
  <c r="CV1051" i="2"/>
  <c r="CX1051" i="2"/>
  <c r="CW1051" i="2" s="1"/>
  <c r="AB2" i="1"/>
  <c r="AN13" i="1"/>
  <c r="AO13" i="1" s="1"/>
  <c r="AQ13" i="1" s="1"/>
  <c r="AP13" i="1" s="1"/>
  <c r="DG1051" i="2"/>
  <c r="BO1051" i="2"/>
  <c r="CO1051" i="2"/>
  <c r="BF21" i="1"/>
  <c r="BG21" i="1" s="1"/>
  <c r="BI21" i="1" s="1"/>
  <c r="BH21" i="1" s="1"/>
  <c r="AB26" i="1"/>
  <c r="AC26" i="1" s="1"/>
  <c r="AE26" i="1" s="1"/>
  <c r="AD26" i="1" s="1"/>
  <c r="AG26" i="1" s="1"/>
  <c r="AN17" i="1"/>
  <c r="BF14" i="1"/>
  <c r="BG14" i="1" s="1"/>
  <c r="AH174" i="1"/>
  <c r="AI174" i="1" s="1"/>
  <c r="AK174" i="1" s="1"/>
  <c r="AJ174" i="1" s="1"/>
  <c r="AM174" i="1" s="1"/>
  <c r="AN4" i="1"/>
  <c r="AO4" i="1" s="1"/>
  <c r="AQ4" i="1" s="1"/>
  <c r="AP4" i="1" s="1"/>
  <c r="AT14" i="1"/>
  <c r="AU14" i="1" s="1"/>
  <c r="BF32" i="1"/>
  <c r="BG32" i="1" s="1"/>
  <c r="BI32" i="1" s="1"/>
  <c r="BH32" i="1" s="1"/>
  <c r="BK32" i="1" s="1"/>
  <c r="AH27" i="1"/>
  <c r="AI27" i="1" s="1"/>
  <c r="BF16" i="1"/>
  <c r="BG16" i="1" s="1"/>
  <c r="AZ34" i="1"/>
  <c r="BA34" i="1" s="1"/>
  <c r="BC34" i="1" s="1"/>
  <c r="BB34" i="1" s="1"/>
  <c r="BE34" i="1" s="1"/>
  <c r="AT179" i="1"/>
  <c r="AU179" i="1" s="1"/>
  <c r="AW179" i="1" s="1"/>
  <c r="AV179" i="1" s="1"/>
  <c r="AY179" i="1" s="1"/>
  <c r="AB171" i="1"/>
  <c r="AC171" i="1" s="1"/>
  <c r="AE171" i="1" s="1"/>
  <c r="AD171" i="1" s="1"/>
  <c r="AG171" i="1" s="1"/>
  <c r="BF179" i="1"/>
  <c r="BG179" i="1" s="1"/>
  <c r="BI179" i="1" s="1"/>
  <c r="BH179" i="1" s="1"/>
  <c r="AZ164" i="1"/>
  <c r="BA164" i="1" s="1"/>
  <c r="AH166" i="1"/>
  <c r="AI166" i="1" s="1"/>
  <c r="AK166" i="1" s="1"/>
  <c r="AJ166" i="1" s="1"/>
  <c r="AM166" i="1" s="1"/>
  <c r="AZ168" i="1"/>
  <c r="BA168" i="1" s="1"/>
  <c r="AH169" i="1"/>
  <c r="AI169" i="1" s="1"/>
  <c r="BF13" i="1"/>
  <c r="BG13" i="1" s="1"/>
  <c r="BI13" i="1" s="1"/>
  <c r="BH13" i="1" s="1"/>
  <c r="BK13" i="1" s="1"/>
  <c r="AH16" i="1"/>
  <c r="AI16" i="1" s="1"/>
  <c r="X47" i="1"/>
  <c r="AN177" i="1"/>
  <c r="AO177" i="1" s="1"/>
  <c r="AQ177" i="1" s="1"/>
  <c r="AP177" i="1" s="1"/>
  <c r="AS177" i="1" s="1"/>
  <c r="AN11" i="1"/>
  <c r="AO11" i="1" s="1"/>
  <c r="AQ11" i="1" s="1"/>
  <c r="AP11" i="1" s="1"/>
  <c r="AN15" i="1"/>
  <c r="AO15" i="1" s="1"/>
  <c r="AQ15" i="1" s="1"/>
  <c r="AP15" i="1" s="1"/>
  <c r="AT34" i="1"/>
  <c r="AU34" i="1" s="1"/>
  <c r="AW34" i="1" s="1"/>
  <c r="AV34" i="1" s="1"/>
  <c r="AY34" i="1" s="1"/>
  <c r="BF34" i="1"/>
  <c r="BG34" i="1" s="1"/>
  <c r="AN160" i="1"/>
  <c r="AO160" i="1" s="1"/>
  <c r="AB163" i="1"/>
  <c r="AC163" i="1" s="1"/>
  <c r="AE163" i="1" s="1"/>
  <c r="AD163" i="1" s="1"/>
  <c r="AG163" i="1" s="1"/>
  <c r="AH29" i="1"/>
  <c r="AI29" i="1" s="1"/>
  <c r="AN176" i="1"/>
  <c r="AO176" i="1" s="1"/>
  <c r="AQ176" i="1" s="1"/>
  <c r="AP176" i="1" s="1"/>
  <c r="AS176" i="1" s="1"/>
  <c r="AB22" i="1"/>
  <c r="AT42" i="1"/>
  <c r="AU42" i="1" s="1"/>
  <c r="AW42" i="1" s="1"/>
  <c r="AV42" i="1" s="1"/>
  <c r="AY42" i="1" s="1"/>
  <c r="AZ176" i="1"/>
  <c r="BA176" i="1" s="1"/>
  <c r="BC176" i="1" s="1"/>
  <c r="BB176" i="1" s="1"/>
  <c r="BE176" i="1" s="1"/>
  <c r="BF167" i="1"/>
  <c r="BG167" i="1" s="1"/>
  <c r="AB178" i="1"/>
  <c r="AC178" i="1" s="1"/>
  <c r="AE178" i="1" s="1"/>
  <c r="AD178" i="1" s="1"/>
  <c r="AG178" i="1" s="1"/>
  <c r="V4" i="1"/>
  <c r="AH5" i="1"/>
  <c r="AI5" i="1" s="1"/>
  <c r="AZ177" i="1"/>
  <c r="BA177" i="1" s="1"/>
  <c r="BC177" i="1" s="1"/>
  <c r="BB177" i="1" s="1"/>
  <c r="BE177" i="1" s="1"/>
  <c r="BF171" i="1"/>
  <c r="BG171" i="1" s="1"/>
  <c r="BI171" i="1" s="1"/>
  <c r="BH171" i="1" s="1"/>
  <c r="BK171" i="1" s="1"/>
  <c r="AH32" i="1"/>
  <c r="AI32" i="1" s="1"/>
  <c r="AK32" i="1" s="1"/>
  <c r="AJ32" i="1" s="1"/>
  <c r="AM32" i="1" s="1"/>
  <c r="AH11" i="1"/>
  <c r="BF3" i="1"/>
  <c r="BG3" i="1" s="1"/>
  <c r="BI3" i="1" s="1"/>
  <c r="BH3" i="1" s="1"/>
  <c r="BK3" i="1" s="1"/>
  <c r="AZ40" i="1"/>
  <c r="BA40" i="1" s="1"/>
  <c r="BC40" i="1" s="1"/>
  <c r="BB40" i="1" s="1"/>
  <c r="BE40" i="1" s="1"/>
  <c r="AT176" i="1"/>
  <c r="AU176" i="1" s="1"/>
  <c r="AW176" i="1" s="1"/>
  <c r="AV176" i="1" s="1"/>
  <c r="AY176" i="1" s="1"/>
  <c r="AB162" i="1"/>
  <c r="AC162" i="1" s="1"/>
  <c r="AH24" i="1"/>
  <c r="AI24" i="1" s="1"/>
  <c r="AK24" i="1" s="1"/>
  <c r="AJ24" i="1" s="1"/>
  <c r="AM24" i="1" s="1"/>
  <c r="AZ163" i="1"/>
  <c r="BA163" i="1" s="1"/>
  <c r="AT163" i="1"/>
  <c r="AU163" i="1" s="1"/>
  <c r="AN8" i="1"/>
  <c r="AO8" i="1" s="1"/>
  <c r="AN161" i="1"/>
  <c r="AO161" i="1" s="1"/>
  <c r="BF15" i="1"/>
  <c r="BG15" i="1" s="1"/>
  <c r="BF20" i="1"/>
  <c r="BG20" i="1" s="1"/>
  <c r="BI20" i="1" s="1"/>
  <c r="BH20" i="1" s="1"/>
  <c r="AZ24" i="1"/>
  <c r="BA24" i="1" s="1"/>
  <c r="AT166" i="1"/>
  <c r="AU166" i="1" s="1"/>
  <c r="AN24" i="1"/>
  <c r="AO24" i="1" s="1"/>
  <c r="AN163" i="1"/>
  <c r="AO163" i="1" s="1"/>
  <c r="AQ163" i="1" s="1"/>
  <c r="AP163" i="1" s="1"/>
  <c r="AS163" i="1" s="1"/>
  <c r="AH34" i="1"/>
  <c r="AI34" i="1" s="1"/>
  <c r="AB180" i="1"/>
  <c r="AC180" i="1" s="1"/>
  <c r="AE180" i="1" s="1"/>
  <c r="AD180" i="1" s="1"/>
  <c r="AG180" i="1" s="1"/>
  <c r="AT171" i="1"/>
  <c r="AU171" i="1" s="1"/>
  <c r="AN38" i="1"/>
  <c r="AO38" i="1" s="1"/>
  <c r="AQ38" i="1" s="1"/>
  <c r="AP38" i="1" s="1"/>
  <c r="AN166" i="1"/>
  <c r="AO166" i="1" s="1"/>
  <c r="AH47" i="1"/>
  <c r="AI47" i="1" s="1"/>
  <c r="AK47" i="1" s="1"/>
  <c r="AJ47" i="1" s="1"/>
  <c r="AM47" i="1" s="1"/>
  <c r="AB161" i="1"/>
  <c r="AC161" i="1" s="1"/>
  <c r="AZ169" i="1"/>
  <c r="BA169" i="1" s="1"/>
  <c r="AT174" i="1"/>
  <c r="AU174" i="1" s="1"/>
  <c r="AW174" i="1" s="1"/>
  <c r="AV174" i="1" s="1"/>
  <c r="AY174" i="1" s="1"/>
  <c r="AN42" i="1"/>
  <c r="AO42" i="1" s="1"/>
  <c r="AQ42" i="1" s="1"/>
  <c r="AP42" i="1" s="1"/>
  <c r="AS42" i="1" s="1"/>
  <c r="AN171" i="1"/>
  <c r="AO171" i="1" s="1"/>
  <c r="AQ171" i="1" s="1"/>
  <c r="AP171" i="1" s="1"/>
  <c r="AS171" i="1" s="1"/>
  <c r="AZ42" i="1"/>
  <c r="BA42" i="1" s="1"/>
  <c r="AN47" i="1"/>
  <c r="AO47" i="1" s="1"/>
  <c r="AQ47" i="1" s="1"/>
  <c r="AP47" i="1" s="1"/>
  <c r="AS47" i="1" s="1"/>
  <c r="AN174" i="1"/>
  <c r="AO174" i="1" s="1"/>
  <c r="AQ174" i="1" s="1"/>
  <c r="AP174" i="1" s="1"/>
  <c r="AS174" i="1" s="1"/>
  <c r="AT177" i="1"/>
  <c r="AU177" i="1" s="1"/>
  <c r="AH44" i="1"/>
  <c r="AI44" i="1" s="1"/>
  <c r="AK44" i="1" s="1"/>
  <c r="AJ44" i="1" s="1"/>
  <c r="AM44" i="1" s="1"/>
  <c r="AN44" i="1"/>
  <c r="AO44" i="1" s="1"/>
  <c r="BF44" i="1"/>
  <c r="BG44" i="1" s="1"/>
  <c r="BI44" i="1" s="1"/>
  <c r="BH44" i="1" s="1"/>
  <c r="BK44" i="1" s="1"/>
  <c r="AZ44" i="1"/>
  <c r="BA44" i="1" s="1"/>
  <c r="BC44" i="1" s="1"/>
  <c r="BB44" i="1" s="1"/>
  <c r="BE44" i="1" s="1"/>
  <c r="AB43" i="1"/>
  <c r="AC43" i="1" s="1"/>
  <c r="AN41" i="1"/>
  <c r="AO41" i="1" s="1"/>
  <c r="AQ41" i="1" s="1"/>
  <c r="AP41" i="1" s="1"/>
  <c r="AS41" i="1" s="1"/>
  <c r="AT40" i="1"/>
  <c r="AU40" i="1" s="1"/>
  <c r="AZ39" i="1"/>
  <c r="BA39" i="1" s="1"/>
  <c r="BC39" i="1" s="1"/>
  <c r="BB39" i="1" s="1"/>
  <c r="BE39" i="1" s="1"/>
  <c r="BF33" i="1"/>
  <c r="BG33" i="1" s="1"/>
  <c r="BI33" i="1" s="1"/>
  <c r="BH33" i="1" s="1"/>
  <c r="AT32" i="1"/>
  <c r="AU32" i="1" s="1"/>
  <c r="AW32" i="1" s="1"/>
  <c r="AV32" i="1" s="1"/>
  <c r="AY32" i="1" s="1"/>
  <c r="AT31" i="1"/>
  <c r="AU31" i="1" s="1"/>
  <c r="AW31" i="1" s="1"/>
  <c r="AV31" i="1" s="1"/>
  <c r="AY31" i="1" s="1"/>
  <c r="AZ30" i="1"/>
  <c r="BA30" i="1" s="1"/>
  <c r="AZ28" i="1"/>
  <c r="BA28" i="1" s="1"/>
  <c r="BC28" i="1" s="1"/>
  <c r="BB28" i="1" s="1"/>
  <c r="BE28" i="1" s="1"/>
  <c r="AN28" i="1"/>
  <c r="AO28" i="1" s="1"/>
  <c r="AI23" i="1"/>
  <c r="AK23" i="1" s="1"/>
  <c r="AJ23" i="1" s="1"/>
  <c r="AM23" i="1" s="1"/>
  <c r="AT22" i="1"/>
  <c r="AU22" i="1" s="1"/>
  <c r="AW22" i="1" s="1"/>
  <c r="AV22" i="1" s="1"/>
  <c r="AZ20" i="1"/>
  <c r="BA20" i="1" s="1"/>
  <c r="AN20" i="1"/>
  <c r="AO20" i="1" s="1"/>
  <c r="BF19" i="1"/>
  <c r="BG19" i="1" s="1"/>
  <c r="BI19" i="1" s="1"/>
  <c r="BH19" i="1" s="1"/>
  <c r="BK19" i="1" s="1"/>
  <c r="BF18" i="1"/>
  <c r="BG18" i="1" s="1"/>
  <c r="AT18" i="1"/>
  <c r="AU18" i="1" s="1"/>
  <c r="AN16" i="1"/>
  <c r="AT16" i="1"/>
  <c r="AU16" i="1" s="1"/>
  <c r="AT11" i="1"/>
  <c r="AU11" i="1" s="1"/>
  <c r="BF11" i="1"/>
  <c r="BG11" i="1" s="1"/>
  <c r="BI11" i="1" s="1"/>
  <c r="BH11" i="1" s="1"/>
  <c r="BK11" i="1" s="1"/>
  <c r="AN5" i="1"/>
  <c r="AO5" i="1" s="1"/>
  <c r="AT5" i="1"/>
  <c r="AU5" i="1" s="1"/>
  <c r="AZ3" i="1"/>
  <c r="BA3" i="1" s="1"/>
  <c r="AT3" i="1"/>
  <c r="AU3" i="1" s="1"/>
  <c r="AZ2" i="1"/>
  <c r="BA2" i="1" s="1"/>
  <c r="AN6" i="1"/>
  <c r="AO6" i="1" s="1"/>
  <c r="AZ6" i="1"/>
  <c r="BA6" i="1" s="1"/>
  <c r="BC6" i="1" s="1"/>
  <c r="BB6" i="1" s="1"/>
  <c r="BE6" i="1" s="1"/>
  <c r="AC45" i="1"/>
  <c r="AE45" i="1" s="1"/>
  <c r="AD45" i="1" s="1"/>
  <c r="AG45" i="1" s="1"/>
  <c r="X9" i="1"/>
  <c r="AT9" i="1"/>
  <c r="AU9" i="1" s="1"/>
  <c r="AW9" i="1" s="1"/>
  <c r="AV9" i="1" s="1"/>
  <c r="AY9" i="1" s="1"/>
  <c r="AT161" i="1"/>
  <c r="AU161" i="1" s="1"/>
  <c r="AW161" i="1" s="1"/>
  <c r="AV161" i="1" s="1"/>
  <c r="AY161" i="1" s="1"/>
  <c r="AZ29" i="1"/>
  <c r="BA29" i="1" s="1"/>
  <c r="BC29" i="1" s="1"/>
  <c r="BB29" i="1" s="1"/>
  <c r="BE29" i="1" s="1"/>
  <c r="AZ165" i="1"/>
  <c r="BA165" i="1" s="1"/>
  <c r="BC165" i="1" s="1"/>
  <c r="BB165" i="1" s="1"/>
  <c r="BF45" i="1"/>
  <c r="BG45" i="1" s="1"/>
  <c r="BI45" i="1" s="1"/>
  <c r="BH45" i="1" s="1"/>
  <c r="BK45" i="1" s="1"/>
  <c r="BF169" i="1"/>
  <c r="BG169" i="1" s="1"/>
  <c r="BI169" i="1" s="1"/>
  <c r="BH169" i="1" s="1"/>
  <c r="BK169" i="1" s="1"/>
  <c r="AI45" i="1"/>
  <c r="AK45" i="1" s="1"/>
  <c r="AJ45" i="1" s="1"/>
  <c r="AM45" i="1" s="1"/>
  <c r="AT21" i="1"/>
  <c r="AU21" i="1" s="1"/>
  <c r="AW21" i="1" s="1"/>
  <c r="AV21" i="1" s="1"/>
  <c r="AY21" i="1" s="1"/>
  <c r="AZ45" i="1"/>
  <c r="BA45" i="1" s="1"/>
  <c r="BC45" i="1" s="1"/>
  <c r="BB45" i="1" s="1"/>
  <c r="BE45" i="1" s="1"/>
  <c r="AZ180" i="1"/>
  <c r="BA180" i="1" s="1"/>
  <c r="AH175" i="1"/>
  <c r="AI175" i="1" s="1"/>
  <c r="AK175" i="1" s="1"/>
  <c r="AJ175" i="1" s="1"/>
  <c r="AM175" i="1" s="1"/>
  <c r="BF172" i="1"/>
  <c r="BG172" i="1" s="1"/>
  <c r="AC6" i="1"/>
  <c r="AE6" i="1" s="1"/>
  <c r="AD6" i="1" s="1"/>
  <c r="AG6" i="1" s="1"/>
  <c r="AT26" i="1"/>
  <c r="AU26" i="1" s="1"/>
  <c r="AT178" i="1"/>
  <c r="AU178" i="1" s="1"/>
  <c r="AW178" i="1" s="1"/>
  <c r="AV178" i="1" s="1"/>
  <c r="AY178" i="1" s="1"/>
  <c r="BF175" i="1"/>
  <c r="BG175" i="1" s="1"/>
  <c r="AN45" i="1"/>
  <c r="AO45" i="1" s="1"/>
  <c r="AN178" i="1"/>
  <c r="AO178" i="1" s="1"/>
  <c r="AB4" i="1"/>
  <c r="AC4" i="1" s="1"/>
  <c r="AT29" i="1"/>
  <c r="AU29" i="1" s="1"/>
  <c r="AW29" i="1" s="1"/>
  <c r="AV29" i="1" s="1"/>
  <c r="AY29" i="1" s="1"/>
  <c r="BA37" i="1"/>
  <c r="BC37" i="1" s="1"/>
  <c r="BB37" i="1" s="1"/>
  <c r="BE37" i="1" s="1"/>
  <c r="AZ172" i="1"/>
  <c r="BA172" i="1" s="1"/>
  <c r="BC172" i="1" s="1"/>
  <c r="BB172" i="1" s="1"/>
  <c r="BE172" i="1" s="1"/>
  <c r="AT168" i="1"/>
  <c r="AU168" i="1" s="1"/>
  <c r="BF40" i="1"/>
  <c r="BG40" i="1" s="1"/>
  <c r="BF161" i="1"/>
  <c r="BG161" i="1" s="1"/>
  <c r="BF177" i="1"/>
  <c r="BG177" i="1" s="1"/>
  <c r="AN30" i="1"/>
  <c r="AO30" i="1" s="1"/>
  <c r="AN168" i="1"/>
  <c r="AO168" i="1" s="1"/>
  <c r="AQ168" i="1" s="1"/>
  <c r="AP168" i="1" s="1"/>
  <c r="AN180" i="1"/>
  <c r="AO180" i="1" s="1"/>
  <c r="AQ180" i="1" s="1"/>
  <c r="AP180" i="1" s="1"/>
  <c r="AS180" i="1" s="1"/>
  <c r="AH35" i="1"/>
  <c r="AI35" i="1" s="1"/>
  <c r="AC8" i="1"/>
  <c r="AE8" i="1" s="1"/>
  <c r="AD8" i="1" s="1"/>
  <c r="AG8" i="1" s="1"/>
  <c r="AB173" i="1"/>
  <c r="AC173" i="1" s="1"/>
  <c r="AE173" i="1" s="1"/>
  <c r="AD173" i="1" s="1"/>
  <c r="AG173" i="1" s="1"/>
  <c r="AT6" i="1"/>
  <c r="AU6" i="1" s="1"/>
  <c r="AW6" i="1" s="1"/>
  <c r="AV6" i="1" s="1"/>
  <c r="AY6" i="1" s="1"/>
  <c r="AZ173" i="1"/>
  <c r="BA173" i="1" s="1"/>
  <c r="BC173" i="1" s="1"/>
  <c r="BB173" i="1" s="1"/>
  <c r="BE173" i="1" s="1"/>
  <c r="AT169" i="1"/>
  <c r="AU169" i="1" s="1"/>
  <c r="AW169" i="1" s="1"/>
  <c r="AV169" i="1" s="1"/>
  <c r="AY169" i="1" s="1"/>
  <c r="BF8" i="1"/>
  <c r="BF41" i="1"/>
  <c r="BG41" i="1" s="1"/>
  <c r="AH7" i="1"/>
  <c r="AI7" i="1" s="1"/>
  <c r="AK7" i="1" s="1"/>
  <c r="AJ7" i="1" s="1"/>
  <c r="AM7" i="1" s="1"/>
  <c r="AH36" i="1"/>
  <c r="X171" i="1"/>
  <c r="AA171" i="1" s="1"/>
  <c r="AT170" i="1"/>
  <c r="AU170" i="1" s="1"/>
  <c r="BF164" i="1"/>
  <c r="BG164" i="1" s="1"/>
  <c r="BF180" i="1"/>
  <c r="BG180" i="1" s="1"/>
  <c r="AN170" i="1"/>
  <c r="AO170" i="1" s="1"/>
  <c r="AH40" i="1"/>
  <c r="AI40" i="1" s="1"/>
  <c r="AC40" i="1"/>
  <c r="AE40" i="1" s="1"/>
  <c r="AD40" i="1" s="1"/>
  <c r="AG40" i="1" s="1"/>
  <c r="AC175" i="1"/>
  <c r="AE175" i="1" s="1"/>
  <c r="AD175" i="1" s="1"/>
  <c r="AG175" i="1" s="1"/>
  <c r="AO167" i="1"/>
  <c r="AQ167" i="1" s="1"/>
  <c r="AP167" i="1" s="1"/>
  <c r="AS167" i="1" s="1"/>
  <c r="AU7" i="1"/>
  <c r="AW7" i="1" s="1"/>
  <c r="AV7" i="1" s="1"/>
  <c r="AY7" i="1" s="1"/>
  <c r="BG178" i="1"/>
  <c r="BI178" i="1" s="1"/>
  <c r="BH178" i="1" s="1"/>
  <c r="BK178" i="1" s="1"/>
  <c r="AI6" i="1"/>
  <c r="AK6" i="1" s="1"/>
  <c r="AJ6" i="1" s="1"/>
  <c r="AM6" i="1" s="1"/>
  <c r="AC169" i="1"/>
  <c r="AE169" i="1" s="1"/>
  <c r="AD169" i="1" s="1"/>
  <c r="AG169" i="1" s="1"/>
  <c r="AC44" i="1"/>
  <c r="AE44" i="1" s="1"/>
  <c r="AD44" i="1" s="1"/>
  <c r="AG44" i="1" s="1"/>
  <c r="AI171" i="1"/>
  <c r="AK171" i="1" s="1"/>
  <c r="AJ171" i="1" s="1"/>
  <c r="AM171" i="1" s="1"/>
  <c r="AT38" i="1"/>
  <c r="AU38" i="1" s="1"/>
  <c r="AW38" i="1" s="1"/>
  <c r="AV38" i="1" s="1"/>
  <c r="AZ27" i="1"/>
  <c r="BA27" i="1" s="1"/>
  <c r="BC27" i="1" s="1"/>
  <c r="BB27" i="1" s="1"/>
  <c r="BE27" i="1" s="1"/>
  <c r="AZ47" i="1"/>
  <c r="BA47" i="1" s="1"/>
  <c r="AZ162" i="1"/>
  <c r="BA162" i="1" s="1"/>
  <c r="AZ170" i="1"/>
  <c r="BA170" i="1" s="1"/>
  <c r="BC170" i="1" s="1"/>
  <c r="BB170" i="1" s="1"/>
  <c r="BE170" i="1" s="1"/>
  <c r="AZ178" i="1"/>
  <c r="BA178" i="1" s="1"/>
  <c r="BF30" i="1"/>
  <c r="BG30" i="1" s="1"/>
  <c r="BI30" i="1" s="1"/>
  <c r="BH30" i="1" s="1"/>
  <c r="BK30" i="1" s="1"/>
  <c r="BF39" i="1"/>
  <c r="BG39" i="1" s="1"/>
  <c r="BI39" i="1" s="1"/>
  <c r="BH39" i="1" s="1"/>
  <c r="BK39" i="1" s="1"/>
  <c r="AN32" i="1"/>
  <c r="AO32" i="1" s="1"/>
  <c r="AQ32" i="1" s="1"/>
  <c r="AP32" i="1" s="1"/>
  <c r="AS32" i="1" s="1"/>
  <c r="AH30" i="1"/>
  <c r="AI30" i="1" s="1"/>
  <c r="AH160" i="1"/>
  <c r="AI160" i="1" s="1"/>
  <c r="AK160" i="1" s="1"/>
  <c r="AJ160" i="1" s="1"/>
  <c r="AM160" i="1" s="1"/>
  <c r="AT39" i="1"/>
  <c r="AU39" i="1" s="1"/>
  <c r="AT162" i="1"/>
  <c r="AZ38" i="1"/>
  <c r="BA38" i="1" s="1"/>
  <c r="BC38" i="1" s="1"/>
  <c r="BB38" i="1" s="1"/>
  <c r="BE38" i="1" s="1"/>
  <c r="BF31" i="1"/>
  <c r="BG31" i="1" s="1"/>
  <c r="BI31" i="1" s="1"/>
  <c r="BH31" i="1" s="1"/>
  <c r="BF162" i="1"/>
  <c r="BG162" i="1" s="1"/>
  <c r="AN23" i="1"/>
  <c r="AH9" i="1"/>
  <c r="AI9" i="1" s="1"/>
  <c r="X30" i="1"/>
  <c r="X170" i="1"/>
  <c r="AA170" i="1" s="1"/>
  <c r="AZ7" i="1"/>
  <c r="BA7" i="1" s="1"/>
  <c r="BC7" i="1" s="1"/>
  <c r="BB7" i="1" s="1"/>
  <c r="BE7" i="1" s="1"/>
  <c r="BF23" i="1"/>
  <c r="BG23" i="1" s="1"/>
  <c r="AN27" i="1"/>
  <c r="AO27" i="1" s="1"/>
  <c r="AN162" i="1"/>
  <c r="AO162" i="1" s="1"/>
  <c r="AQ162" i="1" s="1"/>
  <c r="AP162" i="1" s="1"/>
  <c r="AS162" i="1" s="1"/>
  <c r="AH165" i="1"/>
  <c r="AI165" i="1" s="1"/>
  <c r="AH177" i="1"/>
  <c r="AI177" i="1" s="1"/>
  <c r="AK177" i="1" s="1"/>
  <c r="AJ177" i="1" s="1"/>
  <c r="AM177" i="1" s="1"/>
  <c r="AB38" i="1"/>
  <c r="AC38" i="1" s="1"/>
  <c r="AE38" i="1" s="1"/>
  <c r="AD38" i="1" s="1"/>
  <c r="AG38" i="1" s="1"/>
  <c r="BB25" i="1"/>
  <c r="BE25" i="1" s="1"/>
  <c r="AT23" i="1"/>
  <c r="AU23" i="1" s="1"/>
  <c r="AW23" i="1" s="1"/>
  <c r="AV23" i="1" s="1"/>
  <c r="AY23" i="1" s="1"/>
  <c r="AT43" i="1"/>
  <c r="AU43" i="1" s="1"/>
  <c r="AW43" i="1" s="1"/>
  <c r="AV43" i="1" s="1"/>
  <c r="AY43" i="1" s="1"/>
  <c r="AZ5" i="1"/>
  <c r="BA5" i="1" s="1"/>
  <c r="AZ31" i="1"/>
  <c r="AZ166" i="1"/>
  <c r="BA166" i="1" s="1"/>
  <c r="BC166" i="1" s="1"/>
  <c r="BB166" i="1" s="1"/>
  <c r="BE166" i="1" s="1"/>
  <c r="AZ174" i="1"/>
  <c r="AT164" i="1"/>
  <c r="AU164" i="1" s="1"/>
  <c r="AT172" i="1"/>
  <c r="AU172" i="1" s="1"/>
  <c r="BF24" i="1"/>
  <c r="BG24" i="1" s="1"/>
  <c r="BF43" i="1"/>
  <c r="BG43" i="1" s="1"/>
  <c r="BI43" i="1" s="1"/>
  <c r="BH43" i="1" s="1"/>
  <c r="BK43" i="1" s="1"/>
  <c r="BF165" i="1"/>
  <c r="BG165" i="1" s="1"/>
  <c r="BI165" i="1" s="1"/>
  <c r="BH165" i="1" s="1"/>
  <c r="BK165" i="1" s="1"/>
  <c r="BF173" i="1"/>
  <c r="BG173" i="1" s="1"/>
  <c r="BB23" i="1"/>
  <c r="BE23" i="1" s="1"/>
  <c r="X43" i="1"/>
  <c r="AT25" i="1"/>
  <c r="AU25" i="1" s="1"/>
  <c r="AW25" i="1" s="1"/>
  <c r="AV25" i="1" s="1"/>
  <c r="AY25" i="1" s="1"/>
  <c r="AT35" i="1"/>
  <c r="AU35" i="1" s="1"/>
  <c r="AW35" i="1" s="1"/>
  <c r="AV35" i="1" s="1"/>
  <c r="AY35" i="1" s="1"/>
  <c r="AZ167" i="1"/>
  <c r="BA167" i="1" s="1"/>
  <c r="AZ175" i="1"/>
  <c r="BA175" i="1" s="1"/>
  <c r="BC175" i="1" s="1"/>
  <c r="BB175" i="1" s="1"/>
  <c r="BE175" i="1" s="1"/>
  <c r="AT173" i="1"/>
  <c r="AU173" i="1" s="1"/>
  <c r="BF25" i="1"/>
  <c r="BG25" i="1" s="1"/>
  <c r="BI25" i="1" s="1"/>
  <c r="BH25" i="1" s="1"/>
  <c r="BK25" i="1" s="1"/>
  <c r="BF35" i="1"/>
  <c r="AN29" i="1"/>
  <c r="AH3" i="1"/>
  <c r="AI3" i="1" s="1"/>
  <c r="AH167" i="1"/>
  <c r="AI167" i="1" s="1"/>
  <c r="AB42" i="1"/>
  <c r="AC42" i="1" s="1"/>
  <c r="BF7" i="1"/>
  <c r="BG7" i="1" s="1"/>
  <c r="BF27" i="1"/>
  <c r="BG27" i="1" s="1"/>
  <c r="AN7" i="1"/>
  <c r="AO7" i="1" s="1"/>
  <c r="X46" i="1"/>
  <c r="AT47" i="1"/>
  <c r="AU47" i="1" s="1"/>
  <c r="AW47" i="1" s="1"/>
  <c r="AV47" i="1" s="1"/>
  <c r="AT160" i="1"/>
  <c r="AU160" i="1" s="1"/>
  <c r="AZ46" i="1"/>
  <c r="BA46" i="1" s="1"/>
  <c r="AZ160" i="1"/>
  <c r="BA160" i="1" s="1"/>
  <c r="AT167" i="1"/>
  <c r="AU167" i="1" s="1"/>
  <c r="AW167" i="1" s="1"/>
  <c r="AV167" i="1" s="1"/>
  <c r="AY167" i="1" s="1"/>
  <c r="AT175" i="1"/>
  <c r="AB179" i="1"/>
  <c r="AN179" i="1"/>
  <c r="AO179" i="1" s="1"/>
  <c r="AQ179" i="1" s="1"/>
  <c r="AP179" i="1" s="1"/>
  <c r="AI180" i="1"/>
  <c r="AC176" i="1"/>
  <c r="AE176" i="1" s="1"/>
  <c r="AD176" i="1" s="1"/>
  <c r="AG176" i="1" s="1"/>
  <c r="AC168" i="1"/>
  <c r="AE168" i="1" s="1"/>
  <c r="AD168" i="1" s="1"/>
  <c r="AG168" i="1" s="1"/>
  <c r="AC172" i="1"/>
  <c r="AE172" i="1" s="1"/>
  <c r="AD172" i="1" s="1"/>
  <c r="AG172" i="1" s="1"/>
  <c r="AH164" i="1"/>
  <c r="AI164" i="1" s="1"/>
  <c r="AH172" i="1"/>
  <c r="AI172" i="1" s="1"/>
  <c r="BI176" i="1"/>
  <c r="BH176" i="1" s="1"/>
  <c r="AH168" i="1"/>
  <c r="AI168" i="1" s="1"/>
  <c r="AK168" i="1" s="1"/>
  <c r="AJ168" i="1" s="1"/>
  <c r="AM168" i="1" s="1"/>
  <c r="AH176" i="1"/>
  <c r="AI176" i="1" s="1"/>
  <c r="AK176" i="1" s="1"/>
  <c r="AJ176" i="1" s="1"/>
  <c r="AM176" i="1" s="1"/>
  <c r="AH170" i="1"/>
  <c r="AI170" i="1" s="1"/>
  <c r="AC46" i="1"/>
  <c r="AE46" i="1" s="1"/>
  <c r="AD46" i="1" s="1"/>
  <c r="AG46" i="1" s="1"/>
  <c r="AH46" i="1"/>
  <c r="AI46" i="1" s="1"/>
  <c r="AK46" i="1" s="1"/>
  <c r="AJ46" i="1" s="1"/>
  <c r="AM46" i="1" s="1"/>
  <c r="AN46" i="1"/>
  <c r="AO46" i="1" s="1"/>
  <c r="BF46" i="1"/>
  <c r="AO35" i="1"/>
  <c r="AQ35" i="1" s="1"/>
  <c r="AP35" i="1" s="1"/>
  <c r="AS35" i="1" s="1"/>
  <c r="BA43" i="1"/>
  <c r="BC43" i="1" s="1"/>
  <c r="BB43" i="1" s="1"/>
  <c r="BE43" i="1" s="1"/>
  <c r="AI31" i="1"/>
  <c r="AK31" i="1" s="1"/>
  <c r="AJ31" i="1" s="1"/>
  <c r="AM31" i="1" s="1"/>
  <c r="AI39" i="1"/>
  <c r="AK39" i="1" s="1"/>
  <c r="AJ39" i="1" s="1"/>
  <c r="AM39" i="1" s="1"/>
  <c r="AC31" i="1"/>
  <c r="AE31" i="1" s="1"/>
  <c r="AD31" i="1" s="1"/>
  <c r="AG31" i="1" s="1"/>
  <c r="AB39" i="1"/>
  <c r="AC39" i="1" s="1"/>
  <c r="AE39" i="1" s="1"/>
  <c r="AD39" i="1" s="1"/>
  <c r="AZ33" i="1"/>
  <c r="BA33" i="1" s="1"/>
  <c r="BC33" i="1" s="1"/>
  <c r="BB33" i="1" s="1"/>
  <c r="BE33" i="1" s="1"/>
  <c r="AZ41" i="1"/>
  <c r="BA41" i="1" s="1"/>
  <c r="AN33" i="1"/>
  <c r="AO33" i="1" s="1"/>
  <c r="AQ33" i="1" s="1"/>
  <c r="AP33" i="1" s="1"/>
  <c r="AN43" i="1"/>
  <c r="AB33" i="1"/>
  <c r="AC33" i="1" s="1"/>
  <c r="AE33" i="1" s="1"/>
  <c r="AD33" i="1" s="1"/>
  <c r="AG33" i="1" s="1"/>
  <c r="AB41" i="1"/>
  <c r="AC41" i="1" s="1"/>
  <c r="AZ35" i="1"/>
  <c r="BA35" i="1" s="1"/>
  <c r="BC35" i="1" s="1"/>
  <c r="BB35" i="1" s="1"/>
  <c r="BE35" i="1" s="1"/>
  <c r="AC28" i="1"/>
  <c r="BH22" i="1"/>
  <c r="BK22" i="1" s="1"/>
  <c r="AN26" i="1"/>
  <c r="AO26" i="1" s="1"/>
  <c r="AQ26" i="1" s="1"/>
  <c r="AP26" i="1" s="1"/>
  <c r="AK18" i="1"/>
  <c r="AJ18" i="1" s="1"/>
  <c r="AM18" i="1" s="1"/>
  <c r="AO21" i="1"/>
  <c r="AQ21" i="1" s="1"/>
  <c r="AP21" i="1" s="1"/>
  <c r="AS21" i="1" s="1"/>
  <c r="BF26" i="1"/>
  <c r="AT28" i="1"/>
  <c r="AU28" i="1" s="1"/>
  <c r="AH28" i="1"/>
  <c r="AI28" i="1" s="1"/>
  <c r="AK28" i="1" s="1"/>
  <c r="AJ28" i="1" s="1"/>
  <c r="AM28" i="1" s="1"/>
  <c r="AC13" i="1"/>
  <c r="AE13" i="1" s="1"/>
  <c r="AD13" i="1" s="1"/>
  <c r="AG13" i="1" s="1"/>
  <c r="AK13" i="1"/>
  <c r="AJ13" i="1" s="1"/>
  <c r="AM13" i="1" s="1"/>
  <c r="BI9" i="1"/>
  <c r="BH9" i="1" s="1"/>
  <c r="BK9" i="1" s="1"/>
  <c r="AD7" i="1"/>
  <c r="AG7" i="1" s="1"/>
  <c r="AD177" i="1"/>
  <c r="AG177" i="1" s="1"/>
  <c r="AJ162" i="1"/>
  <c r="AM162" i="1" s="1"/>
  <c r="BH160" i="1"/>
  <c r="BK160" i="1" s="1"/>
  <c r="BB12" i="1"/>
  <c r="BE12" i="1" s="1"/>
  <c r="X180" i="1"/>
  <c r="AA180" i="1" s="1"/>
  <c r="AC12" i="1"/>
  <c r="AE12" i="1" s="1"/>
  <c r="AD12" i="1" s="1"/>
  <c r="AG12" i="1" s="1"/>
  <c r="AC17" i="1"/>
  <c r="AE17" i="1" s="1"/>
  <c r="AD17" i="1" s="1"/>
  <c r="BB19" i="1"/>
  <c r="BE19" i="1" s="1"/>
  <c r="X35" i="1"/>
  <c r="X161" i="1"/>
  <c r="AA161" i="1" s="1"/>
  <c r="BA10" i="1"/>
  <c r="BC10" i="1" s="1"/>
  <c r="BB10" i="1" s="1"/>
  <c r="BE10" i="1" s="1"/>
  <c r="AP18" i="1"/>
  <c r="AS18" i="1" s="1"/>
  <c r="AD19" i="1"/>
  <c r="AG19" i="1" s="1"/>
  <c r="AK15" i="1"/>
  <c r="AJ15" i="1" s="1"/>
  <c r="AM15" i="1" s="1"/>
  <c r="AC5" i="1"/>
  <c r="AE5" i="1" s="1"/>
  <c r="AD5" i="1" s="1"/>
  <c r="AG5" i="1" s="1"/>
  <c r="AI4" i="1"/>
  <c r="X37" i="1"/>
  <c r="AD37" i="1"/>
  <c r="AG37" i="1" s="1"/>
  <c r="X42" i="1"/>
  <c r="X45" i="1"/>
  <c r="AV2" i="1"/>
  <c r="AY2" i="1" s="1"/>
  <c r="AJ163" i="1"/>
  <c r="AM163" i="1" s="1"/>
  <c r="AP172" i="1"/>
  <c r="AS172" i="1" s="1"/>
  <c r="X165" i="1"/>
  <c r="AD166" i="1"/>
  <c r="AG166" i="1" s="1"/>
  <c r="AJ8" i="1"/>
  <c r="AM8" i="1" s="1"/>
  <c r="BB161" i="1"/>
  <c r="BE161" i="1" s="1"/>
  <c r="AP165" i="1"/>
  <c r="AS165" i="1" s="1"/>
  <c r="AD27" i="1"/>
  <c r="AG27" i="1" s="1"/>
  <c r="BH28" i="1"/>
  <c r="BK28" i="1" s="1"/>
  <c r="AJ43" i="1"/>
  <c r="AM43" i="1" s="1"/>
  <c r="AD34" i="1"/>
  <c r="AG34" i="1" s="1"/>
  <c r="X41" i="1"/>
  <c r="AV44" i="1"/>
  <c r="AY44" i="1" s="1"/>
  <c r="X10" i="1"/>
  <c r="AP9" i="1"/>
  <c r="AS9" i="1" s="1"/>
  <c r="AV27" i="1"/>
  <c r="AY27" i="1" s="1"/>
  <c r="BH36" i="1"/>
  <c r="BK36" i="1" s="1"/>
  <c r="X178" i="1"/>
  <c r="AA178" i="1" s="1"/>
  <c r="AP3" i="1"/>
  <c r="AS3" i="1" s="1"/>
  <c r="AD9" i="1"/>
  <c r="AG9" i="1" s="1"/>
  <c r="BB16" i="1"/>
  <c r="BE16" i="1" s="1"/>
  <c r="AP19" i="1"/>
  <c r="AS19" i="1" s="1"/>
  <c r="X168" i="1"/>
  <c r="AA168" i="1" s="1"/>
  <c r="BH168" i="1"/>
  <c r="BK168" i="1" s="1"/>
  <c r="AJ22" i="1"/>
  <c r="AM22" i="1" s="1"/>
  <c r="BB26" i="1"/>
  <c r="BE26" i="1" s="1"/>
  <c r="X34" i="1"/>
  <c r="X2" i="1"/>
  <c r="AD3" i="1"/>
  <c r="AG3" i="1" s="1"/>
  <c r="X22" i="1"/>
  <c r="AD24" i="1"/>
  <c r="AG24" i="1" s="1"/>
  <c r="X28" i="1"/>
  <c r="X32" i="1"/>
  <c r="X5" i="1"/>
  <c r="AV41" i="1"/>
  <c r="AY41" i="1" s="1"/>
  <c r="X44" i="1"/>
  <c r="AV30" i="1"/>
  <c r="AY30" i="1" s="1"/>
  <c r="X31" i="1"/>
  <c r="AP36" i="1"/>
  <c r="AS36" i="1" s="1"/>
  <c r="X163" i="1"/>
  <c r="AA163" i="1" s="1"/>
  <c r="AD170" i="1"/>
  <c r="AG170" i="1" s="1"/>
  <c r="AJ173" i="1"/>
  <c r="AM173" i="1" s="1"/>
  <c r="BB17" i="1"/>
  <c r="BE17" i="1" s="1"/>
  <c r="AJ19" i="1"/>
  <c r="AM19" i="1" s="1"/>
  <c r="X21" i="1"/>
  <c r="X175" i="1"/>
  <c r="AA175" i="1" s="1"/>
  <c r="AP175" i="1"/>
  <c r="AS175" i="1" s="1"/>
  <c r="X176" i="1"/>
  <c r="AA176" i="1" s="1"/>
  <c r="X177" i="1"/>
  <c r="AA177" i="1" s="1"/>
  <c r="AP164" i="1"/>
  <c r="AS164" i="1" s="1"/>
  <c r="X173" i="1"/>
  <c r="AA173" i="1" s="1"/>
  <c r="AP173" i="1"/>
  <c r="AS173" i="1" s="1"/>
  <c r="X3" i="1"/>
  <c r="AV10" i="1"/>
  <c r="AY10" i="1" s="1"/>
  <c r="X24" i="1"/>
  <c r="AD29" i="1"/>
  <c r="AG29" i="1" s="1"/>
  <c r="BH38" i="1"/>
  <c r="BK38" i="1" s="1"/>
  <c r="AD174" i="1"/>
  <c r="AG174" i="1" s="1"/>
  <c r="AJ178" i="1"/>
  <c r="AM178" i="1" s="1"/>
  <c r="AU4" i="1"/>
  <c r="AW4" i="1" s="1"/>
  <c r="AV4" i="1" s="1"/>
  <c r="AY4" i="1" s="1"/>
  <c r="BA9" i="1"/>
  <c r="Y11" i="1"/>
  <c r="X11" i="1" s="1"/>
  <c r="BB13" i="1"/>
  <c r="BE13" i="1" s="1"/>
  <c r="BC4" i="1"/>
  <c r="BB4" i="1" s="1"/>
  <c r="BE4" i="1" s="1"/>
  <c r="AQ2" i="1"/>
  <c r="AP2" i="1" s="1"/>
  <c r="AS2" i="1" s="1"/>
  <c r="BG6" i="1"/>
  <c r="BI6" i="1" s="1"/>
  <c r="BH6" i="1" s="1"/>
  <c r="AW8" i="1"/>
  <c r="AV8" i="1" s="1"/>
  <c r="AY8" i="1" s="1"/>
  <c r="AQ10" i="1"/>
  <c r="AP10" i="1" s="1"/>
  <c r="AS10" i="1" s="1"/>
  <c r="AC14" i="1"/>
  <c r="AE14" i="1" s="1"/>
  <c r="AD14" i="1" s="1"/>
  <c r="AU15" i="1"/>
  <c r="AW15" i="1" s="1"/>
  <c r="AV15" i="1" s="1"/>
  <c r="AY15" i="1" s="1"/>
  <c r="AE11" i="1"/>
  <c r="AD11" i="1" s="1"/>
  <c r="AG11" i="1" s="1"/>
  <c r="BC11" i="1"/>
  <c r="BB11" i="1" s="1"/>
  <c r="BE11" i="1" s="1"/>
  <c r="BC8" i="1"/>
  <c r="BB8" i="1" s="1"/>
  <c r="BE8" i="1" s="1"/>
  <c r="AO12" i="1"/>
  <c r="AQ12" i="1" s="1"/>
  <c r="AP12" i="1" s="1"/>
  <c r="AK14" i="1"/>
  <c r="AJ14" i="1" s="1"/>
  <c r="AM14" i="1" s="1"/>
  <c r="Y15" i="1"/>
  <c r="X15" i="1" s="1"/>
  <c r="Y19" i="1"/>
  <c r="X19" i="1" s="1"/>
  <c r="AO25" i="1"/>
  <c r="AQ25" i="1" s="1"/>
  <c r="AP25" i="1" s="1"/>
  <c r="AS25" i="1" s="1"/>
  <c r="Y179" i="1"/>
  <c r="X179" i="1" s="1"/>
  <c r="AA179" i="1" s="1"/>
  <c r="Y16" i="1"/>
  <c r="X16" i="1" s="1"/>
  <c r="Y12" i="1"/>
  <c r="X12" i="1" s="1"/>
  <c r="AO14" i="1"/>
  <c r="AQ14" i="1" s="1"/>
  <c r="AP14" i="1" s="1"/>
  <c r="AS14" i="1" s="1"/>
  <c r="W20" i="1"/>
  <c r="Y20" i="1" s="1"/>
  <c r="X20" i="1" s="1"/>
  <c r="BC21" i="1"/>
  <c r="BB21" i="1" s="1"/>
  <c r="BE21" i="1" s="1"/>
  <c r="AO31" i="1"/>
  <c r="AQ31" i="1" s="1"/>
  <c r="AP31" i="1" s="1"/>
  <c r="AC36" i="1"/>
  <c r="AI2" i="1"/>
  <c r="AK2" i="1" s="1"/>
  <c r="AJ2" i="1" s="1"/>
  <c r="BG2" i="1"/>
  <c r="BI2" i="1" s="1"/>
  <c r="BH2" i="1" s="1"/>
  <c r="AI10" i="1"/>
  <c r="AK10" i="1" s="1"/>
  <c r="AJ10" i="1" s="1"/>
  <c r="BG10" i="1"/>
  <c r="BG5" i="1"/>
  <c r="Y6" i="1"/>
  <c r="X6" i="1" s="1"/>
  <c r="Y8" i="1"/>
  <c r="X8" i="1" s="1"/>
  <c r="AW12" i="1"/>
  <c r="AV12" i="1" s="1"/>
  <c r="AY12" i="1" s="1"/>
  <c r="Y17" i="1"/>
  <c r="X17" i="1" s="1"/>
  <c r="Y18" i="1"/>
  <c r="X18" i="1" s="1"/>
  <c r="Y23" i="1"/>
  <c r="X23" i="1" s="1"/>
  <c r="Y7" i="1"/>
  <c r="X7" i="1" s="1"/>
  <c r="AC10" i="1"/>
  <c r="AK12" i="1"/>
  <c r="AJ12" i="1" s="1"/>
  <c r="AM12" i="1" s="1"/>
  <c r="Y13" i="1"/>
  <c r="X13" i="1" s="1"/>
  <c r="BI18" i="1"/>
  <c r="BH18" i="1" s="1"/>
  <c r="BK18" i="1" s="1"/>
  <c r="BA22" i="1"/>
  <c r="BC22" i="1" s="1"/>
  <c r="BB22" i="1" s="1"/>
  <c r="BE22" i="1" s="1"/>
  <c r="AU20" i="1"/>
  <c r="AW20" i="1" s="1"/>
  <c r="AV20" i="1" s="1"/>
  <c r="AY20" i="1" s="1"/>
  <c r="W14" i="1"/>
  <c r="BC14" i="1"/>
  <c r="BB14" i="1" s="1"/>
  <c r="BE14" i="1" s="1"/>
  <c r="AE15" i="1"/>
  <c r="AD15" i="1" s="1"/>
  <c r="AG15" i="1" s="1"/>
  <c r="BA15" i="1"/>
  <c r="BC15" i="1" s="1"/>
  <c r="BB15" i="1" s="1"/>
  <c r="AC16" i="1"/>
  <c r="AE16" i="1" s="1"/>
  <c r="AD16" i="1" s="1"/>
  <c r="AG16" i="1" s="1"/>
  <c r="AK17" i="1"/>
  <c r="AJ17" i="1" s="1"/>
  <c r="AM17" i="1" s="1"/>
  <c r="AC20" i="1"/>
  <c r="AE20" i="1" s="1"/>
  <c r="AD20" i="1" s="1"/>
  <c r="AC21" i="1"/>
  <c r="AE21" i="1" s="1"/>
  <c r="AD21" i="1" s="1"/>
  <c r="AG21" i="1" s="1"/>
  <c r="AD23" i="1"/>
  <c r="AG23" i="1" s="1"/>
  <c r="AK25" i="1"/>
  <c r="AJ25" i="1" s="1"/>
  <c r="AM25" i="1" s="1"/>
  <c r="BI12" i="1"/>
  <c r="BH12" i="1" s="1"/>
  <c r="BK12" i="1" s="1"/>
  <c r="BI17" i="1"/>
  <c r="BH17" i="1" s="1"/>
  <c r="BK17" i="1" s="1"/>
  <c r="AC18" i="1"/>
  <c r="AE18" i="1" s="1"/>
  <c r="AD18" i="1" s="1"/>
  <c r="AG18" i="1" s="1"/>
  <c r="AW19" i="1"/>
  <c r="AV19" i="1" s="1"/>
  <c r="AY19" i="1" s="1"/>
  <c r="AP22" i="1"/>
  <c r="AS22" i="1" s="1"/>
  <c r="AE32" i="1"/>
  <c r="AD32" i="1" s="1"/>
  <c r="AG32" i="1" s="1"/>
  <c r="Y40" i="1"/>
  <c r="X40" i="1" s="1"/>
  <c r="AI20" i="1"/>
  <c r="AK20" i="1" s="1"/>
  <c r="AJ20" i="1" s="1"/>
  <c r="AI21" i="1"/>
  <c r="AK21" i="1" s="1"/>
  <c r="AJ21" i="1" s="1"/>
  <c r="AM21" i="1" s="1"/>
  <c r="AV24" i="1"/>
  <c r="AY24" i="1" s="1"/>
  <c r="Y25" i="1"/>
  <c r="X25" i="1" s="1"/>
  <c r="AO34" i="1"/>
  <c r="AQ34" i="1" s="1"/>
  <c r="AP34" i="1" s="1"/>
  <c r="W38" i="1"/>
  <c r="BC32" i="1"/>
  <c r="BB32" i="1" s="1"/>
  <c r="BE32" i="1" s="1"/>
  <c r="AI26" i="1"/>
  <c r="AK26" i="1" s="1"/>
  <c r="AJ26" i="1" s="1"/>
  <c r="AM26" i="1" s="1"/>
  <c r="Y27" i="1"/>
  <c r="X27" i="1" s="1"/>
  <c r="AC30" i="1"/>
  <c r="AW36" i="1"/>
  <c r="AV36" i="1" s="1"/>
  <c r="AY36" i="1" s="1"/>
  <c r="BI29" i="1"/>
  <c r="BH29" i="1" s="1"/>
  <c r="BK29" i="1" s="1"/>
  <c r="Y33" i="1"/>
  <c r="X33" i="1" s="1"/>
  <c r="AD35" i="1"/>
  <c r="AG35" i="1" s="1"/>
  <c r="AO37" i="1"/>
  <c r="AO39" i="1"/>
  <c r="BI42" i="1"/>
  <c r="BH42" i="1" s="1"/>
  <c r="BK42" i="1" s="1"/>
  <c r="Y26" i="1"/>
  <c r="X26" i="1" s="1"/>
  <c r="AW33" i="1"/>
  <c r="AV33" i="1" s="1"/>
  <c r="AY33" i="1" s="1"/>
  <c r="Y39" i="1"/>
  <c r="X39" i="1" s="1"/>
  <c r="AV46" i="1"/>
  <c r="AY46" i="1" s="1"/>
  <c r="AU37" i="1"/>
  <c r="Y36" i="1"/>
  <c r="X36" i="1" s="1"/>
  <c r="AK37" i="1"/>
  <c r="AJ37" i="1" s="1"/>
  <c r="BI37" i="1"/>
  <c r="AK38" i="1"/>
  <c r="AJ38" i="1" s="1"/>
  <c r="AM38" i="1" s="1"/>
  <c r="AO40" i="1"/>
  <c r="AQ40" i="1" s="1"/>
  <c r="AP40" i="1" s="1"/>
  <c r="AU45" i="1"/>
  <c r="AW45" i="1" s="1"/>
  <c r="AV45" i="1" s="1"/>
  <c r="AY45" i="1" s="1"/>
  <c r="W29" i="1"/>
  <c r="Y29" i="1" s="1"/>
  <c r="X29" i="1" s="1"/>
  <c r="AK33" i="1"/>
  <c r="AJ33" i="1" s="1"/>
  <c r="AM33" i="1" s="1"/>
  <c r="BA36" i="1"/>
  <c r="BC36" i="1" s="1"/>
  <c r="BB36" i="1" s="1"/>
  <c r="AI41" i="1"/>
  <c r="AI42" i="1"/>
  <c r="BI47" i="1"/>
  <c r="BH47" i="1" s="1"/>
  <c r="BK47" i="1" s="1"/>
  <c r="AC160" i="1"/>
  <c r="AE160" i="1" s="1"/>
  <c r="AD160" i="1" s="1"/>
  <c r="AC47" i="1"/>
  <c r="AC165" i="1"/>
  <c r="AE165" i="1" s="1"/>
  <c r="AD165" i="1" s="1"/>
  <c r="AG165" i="1" s="1"/>
  <c r="AK161" i="1"/>
  <c r="AJ161" i="1" s="1"/>
  <c r="AM161" i="1" s="1"/>
  <c r="Y162" i="1"/>
  <c r="X162" i="1" s="1"/>
  <c r="AA162" i="1" s="1"/>
  <c r="Y166" i="1"/>
  <c r="X166" i="1" s="1"/>
  <c r="AA166" i="1" s="1"/>
  <c r="X167" i="1"/>
  <c r="AA167" i="1" s="1"/>
  <c r="AD167" i="1"/>
  <c r="AG167" i="1" s="1"/>
  <c r="W160" i="1"/>
  <c r="Y160" i="1" s="1"/>
  <c r="X160" i="1" s="1"/>
  <c r="AA160" i="1" s="1"/>
  <c r="BH166" i="1"/>
  <c r="BK166" i="1" s="1"/>
  <c r="AU165" i="1"/>
  <c r="AW165" i="1" s="1"/>
  <c r="AV165" i="1" s="1"/>
  <c r="AO169" i="1"/>
  <c r="AQ169" i="1" s="1"/>
  <c r="AP169" i="1" s="1"/>
  <c r="AS169" i="1" s="1"/>
  <c r="BI163" i="1"/>
  <c r="BH163" i="1" s="1"/>
  <c r="BK163" i="1" s="1"/>
  <c r="AE164" i="1"/>
  <c r="AD164" i="1" s="1"/>
  <c r="AG164" i="1" s="1"/>
  <c r="Y169" i="1"/>
  <c r="X169" i="1" s="1"/>
  <c r="BC171" i="1"/>
  <c r="BB171" i="1" s="1"/>
  <c r="BE171" i="1" s="1"/>
  <c r="Y172" i="1"/>
  <c r="X172" i="1" s="1"/>
  <c r="AA172" i="1" s="1"/>
  <c r="BG174" i="1"/>
  <c r="BI174" i="1" s="1"/>
  <c r="BH174" i="1" s="1"/>
  <c r="AI179" i="1"/>
  <c r="Y174" i="1"/>
  <c r="X174" i="1" s="1"/>
  <c r="AA174" i="1" s="1"/>
  <c r="BI170" i="1"/>
  <c r="BH170" i="1" s="1"/>
  <c r="BK170" i="1" s="1"/>
  <c r="AW180" i="1"/>
  <c r="AV180" i="1" s="1"/>
  <c r="AY180" i="1" s="1"/>
  <c r="Y164" i="1"/>
  <c r="X164" i="1" s="1"/>
  <c r="AA164" i="1" s="1"/>
  <c r="DI268" i="2"/>
  <c r="DL268" i="2" s="1"/>
  <c r="CK268" i="2"/>
  <c r="CN268" i="2" s="1"/>
  <c r="DC268" i="2"/>
  <c r="CE268" i="2"/>
  <c r="CH268" i="2" s="1"/>
  <c r="BY268" i="2"/>
  <c r="CB268" i="2" s="1"/>
  <c r="CQ268" i="2"/>
  <c r="CT268" i="2" s="1"/>
  <c r="CV268" i="2"/>
  <c r="DN268" i="2" s="1"/>
  <c r="BT268" i="2"/>
  <c r="BS268" i="2" s="1"/>
  <c r="EA459" i="2"/>
  <c r="CQ459" i="2"/>
  <c r="CT459" i="2" s="1"/>
  <c r="BY459" i="2"/>
  <c r="CB459" i="2" s="1"/>
  <c r="CW459" i="2"/>
  <c r="CZ459" i="2" s="1"/>
  <c r="CE459" i="2"/>
  <c r="CH459" i="2" s="1"/>
  <c r="DC459" i="2"/>
  <c r="DF459" i="2" s="1"/>
  <c r="CK459" i="2"/>
  <c r="CN459" i="2" s="1"/>
  <c r="BS459" i="2"/>
  <c r="BV459" i="2" s="1"/>
  <c r="DH459" i="2"/>
  <c r="DN459" i="2" s="1"/>
  <c r="DM459" i="2"/>
  <c r="BO459" i="2"/>
  <c r="CE55" i="2"/>
  <c r="CQ55" i="2"/>
  <c r="CT55" i="2" s="1"/>
  <c r="BY55" i="2"/>
  <c r="CB55" i="2" s="1"/>
  <c r="CK55" i="2"/>
  <c r="CN55" i="2" s="1"/>
  <c r="BS55" i="2"/>
  <c r="BV55" i="2" s="1"/>
  <c r="DH55" i="2"/>
  <c r="DJ55" i="2" s="1"/>
  <c r="DI55" i="2" s="1"/>
  <c r="DL55" i="2" s="1"/>
  <c r="CU55" i="2"/>
  <c r="DA55" i="2"/>
  <c r="BO55" i="2"/>
  <c r="CE104" i="2"/>
  <c r="CH104" i="2" s="1"/>
  <c r="BY104" i="2"/>
  <c r="CB104" i="2" s="1"/>
  <c r="BS104" i="2"/>
  <c r="BV104" i="2" s="1"/>
  <c r="CV104" i="2"/>
  <c r="CX104" i="2" s="1"/>
  <c r="CW104" i="2" s="1"/>
  <c r="CZ104" i="2" s="1"/>
  <c r="CJ104" i="2"/>
  <c r="DA104" i="2"/>
  <c r="DG104" i="2"/>
  <c r="BO104" i="2"/>
  <c r="CO104" i="2"/>
  <c r="BS66" i="2"/>
  <c r="BV66" i="2" s="1"/>
  <c r="CC66" i="2"/>
  <c r="BW66" i="2"/>
  <c r="CI66" i="2"/>
  <c r="DB66" i="2"/>
  <c r="DD66" i="2" s="1"/>
  <c r="DC66" i="2" s="1"/>
  <c r="DG66" i="2"/>
  <c r="CC50" i="2"/>
  <c r="CD50" i="2" s="1"/>
  <c r="CO66" i="2"/>
  <c r="BO66" i="2"/>
  <c r="CU66" i="2"/>
  <c r="BS209" i="2"/>
  <c r="BV209" i="2" s="1"/>
  <c r="BY209" i="2"/>
  <c r="CB209" i="2" s="1"/>
  <c r="CU209" i="2"/>
  <c r="BO209" i="2"/>
  <c r="CO209" i="2"/>
  <c r="DG209" i="2"/>
  <c r="DA209" i="2"/>
  <c r="CJ209" i="2"/>
  <c r="CL209" i="2" s="1"/>
  <c r="CK209" i="2" s="1"/>
  <c r="CN209" i="2" s="1"/>
  <c r="CI654" i="2"/>
  <c r="CJ654" i="2" s="1"/>
  <c r="CC209" i="2"/>
  <c r="EA775" i="2"/>
  <c r="CD654" i="2"/>
  <c r="CF654" i="2" s="1"/>
  <c r="CE654" i="2" s="1"/>
  <c r="CH654" i="2" s="1"/>
  <c r="DH654" i="2"/>
  <c r="DJ654" i="2" s="1"/>
  <c r="DI654" i="2" s="1"/>
  <c r="DL654" i="2" s="1"/>
  <c r="EA50" i="2"/>
  <c r="DA50" i="2"/>
  <c r="DB50" i="2" s="1"/>
  <c r="CO654" i="2"/>
  <c r="BQ654" i="2"/>
  <c r="CU654" i="2"/>
  <c r="BW654" i="2"/>
  <c r="BO654" i="2"/>
  <c r="DA654" i="2"/>
  <c r="DG50" i="2"/>
  <c r="BY50" i="2"/>
  <c r="CB50" i="2" s="1"/>
  <c r="BS50" i="2"/>
  <c r="BV50" i="2" s="1"/>
  <c r="CV50" i="2"/>
  <c r="CX50" i="2" s="1"/>
  <c r="CW50" i="2" s="1"/>
  <c r="CZ50" i="2" s="1"/>
  <c r="CJ50" i="2"/>
  <c r="CL50" i="2" s="1"/>
  <c r="CK50" i="2" s="1"/>
  <c r="CN50" i="2" s="1"/>
  <c r="DG775" i="2"/>
  <c r="CO50" i="2"/>
  <c r="BO50" i="2"/>
  <c r="CI775" i="2"/>
  <c r="CJ775" i="2" s="1"/>
  <c r="BY775" i="2"/>
  <c r="CB775" i="2" s="1"/>
  <c r="BS775" i="2"/>
  <c r="BV775" i="2" s="1"/>
  <c r="CV775" i="2"/>
  <c r="CX775" i="2" s="1"/>
  <c r="CW775" i="2" s="1"/>
  <c r="DA775" i="2"/>
  <c r="CW951" i="2"/>
  <c r="CZ951" i="2" s="1"/>
  <c r="CO775" i="2"/>
  <c r="BO775" i="2"/>
  <c r="CF775" i="2"/>
  <c r="CE775" i="2" s="1"/>
  <c r="CH775" i="2" s="1"/>
  <c r="DG951" i="2"/>
  <c r="DH951" i="2" s="1"/>
  <c r="DJ951" i="2" s="1"/>
  <c r="DI951" i="2" s="1"/>
  <c r="CK951" i="2"/>
  <c r="CN951" i="2" s="1"/>
  <c r="BY951" i="2"/>
  <c r="CB951" i="2" s="1"/>
  <c r="CQ951" i="2"/>
  <c r="CT951" i="2" s="1"/>
  <c r="BS951" i="2"/>
  <c r="BV951" i="2" s="1"/>
  <c r="DA951" i="2"/>
  <c r="DY52" i="2"/>
  <c r="EA52" i="2" s="1"/>
  <c r="CF951" i="2"/>
  <c r="CE951" i="2" s="1"/>
  <c r="CH951" i="2" s="1"/>
  <c r="BS52" i="2"/>
  <c r="BV52" i="2" s="1"/>
  <c r="DA52" i="2"/>
  <c r="CU52" i="2"/>
  <c r="BO52" i="2"/>
  <c r="CO52" i="2"/>
  <c r="DG52" i="2"/>
  <c r="CC52" i="2"/>
  <c r="BW52" i="2"/>
  <c r="CI52" i="2"/>
  <c r="CO35" i="2"/>
  <c r="DG35" i="2"/>
  <c r="BO35" i="2"/>
  <c r="DA35" i="2"/>
  <c r="DB35" i="2" s="1"/>
  <c r="BY35" i="2"/>
  <c r="CB35" i="2" s="1"/>
  <c r="BS35" i="2"/>
  <c r="BV35" i="2" s="1"/>
  <c r="CV35" i="2"/>
  <c r="CX35" i="2" s="1"/>
  <c r="CW35" i="2" s="1"/>
  <c r="CD35" i="2"/>
  <c r="CI35" i="2"/>
  <c r="AA47" i="1" l="1"/>
  <c r="BN33" i="1"/>
  <c r="BO33" i="1" s="1"/>
  <c r="AA39" i="1"/>
  <c r="AA44" i="1"/>
  <c r="AA41" i="1"/>
  <c r="AA37" i="1"/>
  <c r="AA46" i="1"/>
  <c r="AA34" i="1"/>
  <c r="AA36" i="1"/>
  <c r="AA35" i="1"/>
  <c r="AA32" i="1"/>
  <c r="BN32" i="1"/>
  <c r="BO32" i="1" s="1"/>
  <c r="AA45" i="1"/>
  <c r="AA33" i="1"/>
  <c r="AA42" i="1"/>
  <c r="AA19" i="1"/>
  <c r="BN19" i="1"/>
  <c r="BO19" i="1" s="1"/>
  <c r="AA21" i="1"/>
  <c r="BN21" i="1"/>
  <c r="BO21" i="1" s="1"/>
  <c r="AA25" i="1"/>
  <c r="BN25" i="1"/>
  <c r="BO25" i="1" s="1"/>
  <c r="AA27" i="1"/>
  <c r="AA18" i="1"/>
  <c r="AA28" i="1"/>
  <c r="AA20" i="1"/>
  <c r="AA29" i="1"/>
  <c r="AA17" i="1"/>
  <c r="AA24" i="1"/>
  <c r="AA31" i="1"/>
  <c r="AA22" i="1"/>
  <c r="AA30" i="1"/>
  <c r="AA15" i="1"/>
  <c r="AA16" i="1"/>
  <c r="AA13" i="1"/>
  <c r="BN12" i="1"/>
  <c r="BO12" i="1" s="1"/>
  <c r="AA9" i="1"/>
  <c r="AA7" i="1"/>
  <c r="AA11" i="1"/>
  <c r="AA10" i="1"/>
  <c r="AA5" i="1"/>
  <c r="AA3" i="1"/>
  <c r="AW13" i="1"/>
  <c r="AV13" i="1" s="1"/>
  <c r="AY13" i="1" s="1"/>
  <c r="AC2" i="1"/>
  <c r="BM2" i="1" s="1"/>
  <c r="BL2" i="1"/>
  <c r="AA2" i="1"/>
  <c r="BI4" i="1"/>
  <c r="BH4" i="1" s="1"/>
  <c r="BK4" i="1" s="1"/>
  <c r="BC163" i="1"/>
  <c r="BB163" i="1" s="1"/>
  <c r="BE163" i="1" s="1"/>
  <c r="BC164" i="1"/>
  <c r="BB164" i="1" s="1"/>
  <c r="BE164" i="1" s="1"/>
  <c r="CZ1051" i="2"/>
  <c r="AO17" i="1"/>
  <c r="DB1051" i="2"/>
  <c r="DM1051" i="2"/>
  <c r="CP1051" i="2"/>
  <c r="CR1051" i="2" s="1"/>
  <c r="CQ1051" i="2" s="1"/>
  <c r="CT1051" i="2" s="1"/>
  <c r="DH1051" i="2"/>
  <c r="DJ1051" i="2" s="1"/>
  <c r="DI1051" i="2" s="1"/>
  <c r="BI175" i="1"/>
  <c r="BH175" i="1" s="1"/>
  <c r="BK175" i="1" s="1"/>
  <c r="BI167" i="1"/>
  <c r="BH167" i="1" s="1"/>
  <c r="BK167" i="1" s="1"/>
  <c r="BI14" i="1"/>
  <c r="BH14" i="1" s="1"/>
  <c r="BK14" i="1" s="1"/>
  <c r="AQ160" i="1"/>
  <c r="AP160" i="1" s="1"/>
  <c r="AS160" i="1" s="1"/>
  <c r="BC168" i="1"/>
  <c r="BB168" i="1" s="1"/>
  <c r="BE168" i="1" s="1"/>
  <c r="AW14" i="1"/>
  <c r="AV14" i="1" s="1"/>
  <c r="AY14" i="1" s="1"/>
  <c r="BI16" i="1"/>
  <c r="BH16" i="1" s="1"/>
  <c r="BK16" i="1" s="1"/>
  <c r="BC20" i="1"/>
  <c r="BB20" i="1" s="1"/>
  <c r="BE20" i="1" s="1"/>
  <c r="AW11" i="1"/>
  <c r="AV11" i="1" s="1"/>
  <c r="AY11" i="1" s="1"/>
  <c r="BC3" i="1"/>
  <c r="BB3" i="1" s="1"/>
  <c r="BE3" i="1" s="1"/>
  <c r="AK16" i="1"/>
  <c r="AJ16" i="1" s="1"/>
  <c r="AM16" i="1" s="1"/>
  <c r="AC22" i="1"/>
  <c r="AE22" i="1" s="1"/>
  <c r="AD22" i="1" s="1"/>
  <c r="AG22" i="1" s="1"/>
  <c r="AW16" i="1"/>
  <c r="AV16" i="1" s="1"/>
  <c r="AY16" i="1" s="1"/>
  <c r="AK170" i="1"/>
  <c r="AJ170" i="1" s="1"/>
  <c r="AM170" i="1" s="1"/>
  <c r="AO16" i="1"/>
  <c r="AW5" i="1"/>
  <c r="AV5" i="1" s="1"/>
  <c r="AY5" i="1" s="1"/>
  <c r="AW173" i="1"/>
  <c r="AV173" i="1" s="1"/>
  <c r="AY173" i="1" s="1"/>
  <c r="BI172" i="1"/>
  <c r="BH172" i="1" s="1"/>
  <c r="BK172" i="1" s="1"/>
  <c r="AK167" i="1"/>
  <c r="AJ167" i="1" s="1"/>
  <c r="AM167" i="1" s="1"/>
  <c r="BI162" i="1"/>
  <c r="BH162" i="1" s="1"/>
  <c r="BK162" i="1" s="1"/>
  <c r="AI11" i="1"/>
  <c r="AK11" i="1" s="1"/>
  <c r="AJ11" i="1" s="1"/>
  <c r="AM11" i="1" s="1"/>
  <c r="AW163" i="1"/>
  <c r="AV163" i="1" s="1"/>
  <c r="AY163" i="1" s="1"/>
  <c r="AE162" i="1"/>
  <c r="AD162" i="1" s="1"/>
  <c r="AG162" i="1" s="1"/>
  <c r="BC30" i="1"/>
  <c r="BB30" i="1" s="1"/>
  <c r="BE30" i="1" s="1"/>
  <c r="BL179" i="1"/>
  <c r="AW171" i="1"/>
  <c r="AV171" i="1" s="1"/>
  <c r="AY171" i="1" s="1"/>
  <c r="AW170" i="1"/>
  <c r="AV170" i="1" s="1"/>
  <c r="AY170" i="1" s="1"/>
  <c r="AW3" i="1"/>
  <c r="AV3" i="1" s="1"/>
  <c r="AY3" i="1" s="1"/>
  <c r="BL169" i="1"/>
  <c r="AW177" i="1"/>
  <c r="AV177" i="1" s="1"/>
  <c r="AY177" i="1" s="1"/>
  <c r="AC179" i="1"/>
  <c r="AE179" i="1" s="1"/>
  <c r="AD179" i="1" s="1"/>
  <c r="AG179" i="1" s="1"/>
  <c r="AE43" i="1"/>
  <c r="AD43" i="1" s="1"/>
  <c r="AG43" i="1" s="1"/>
  <c r="AQ7" i="1"/>
  <c r="AP7" i="1" s="1"/>
  <c r="AS7" i="1" s="1"/>
  <c r="AQ6" i="1"/>
  <c r="AP6" i="1" s="1"/>
  <c r="AS6" i="1" s="1"/>
  <c r="AQ178" i="1"/>
  <c r="AP178" i="1" s="1"/>
  <c r="AS178" i="1" s="1"/>
  <c r="BM178" i="1"/>
  <c r="AQ161" i="1"/>
  <c r="AP161" i="1" s="1"/>
  <c r="AS161" i="1" s="1"/>
  <c r="AQ44" i="1"/>
  <c r="AP44" i="1" s="1"/>
  <c r="AS44" i="1" s="1"/>
  <c r="BM166" i="1"/>
  <c r="BM163" i="1"/>
  <c r="AK40" i="1"/>
  <c r="AJ40" i="1" s="1"/>
  <c r="AM40" i="1" s="1"/>
  <c r="AQ5" i="1"/>
  <c r="AP5" i="1" s="1"/>
  <c r="AS5" i="1" s="1"/>
  <c r="BL171" i="1"/>
  <c r="BI161" i="1"/>
  <c r="BH161" i="1" s="1"/>
  <c r="BK161" i="1" s="1"/>
  <c r="BL165" i="1"/>
  <c r="AK34" i="1"/>
  <c r="AJ34" i="1" s="1"/>
  <c r="AM34" i="1" s="1"/>
  <c r="AK172" i="1"/>
  <c r="AJ172" i="1" s="1"/>
  <c r="AM172" i="1" s="1"/>
  <c r="BI40" i="1"/>
  <c r="BH40" i="1" s="1"/>
  <c r="BK40" i="1" s="1"/>
  <c r="BC42" i="1"/>
  <c r="BB42" i="1" s="1"/>
  <c r="BE42" i="1" s="1"/>
  <c r="AK29" i="1"/>
  <c r="AJ29" i="1" s="1"/>
  <c r="AM29" i="1" s="1"/>
  <c r="BI15" i="1"/>
  <c r="BH15" i="1" s="1"/>
  <c r="BK15" i="1" s="1"/>
  <c r="BM173" i="1"/>
  <c r="AQ166" i="1"/>
  <c r="AP166" i="1" s="1"/>
  <c r="AS166" i="1" s="1"/>
  <c r="BC169" i="1"/>
  <c r="BB169" i="1" s="1"/>
  <c r="BE169" i="1" s="1"/>
  <c r="BL161" i="1"/>
  <c r="AE161" i="1"/>
  <c r="AD161" i="1" s="1"/>
  <c r="AG161" i="1" s="1"/>
  <c r="AQ28" i="1"/>
  <c r="AP28" i="1" s="1"/>
  <c r="AS28" i="1" s="1"/>
  <c r="AQ20" i="1"/>
  <c r="AP20" i="1" s="1"/>
  <c r="AS20" i="1" s="1"/>
  <c r="AW168" i="1"/>
  <c r="AV168" i="1" s="1"/>
  <c r="AY168" i="1" s="1"/>
  <c r="BI173" i="1"/>
  <c r="BH173" i="1" s="1"/>
  <c r="BK173" i="1" s="1"/>
  <c r="AW40" i="1"/>
  <c r="AV40" i="1" s="1"/>
  <c r="AY40" i="1" s="1"/>
  <c r="AK30" i="1"/>
  <c r="AJ30" i="1" s="1"/>
  <c r="AM30" i="1" s="1"/>
  <c r="AQ24" i="1"/>
  <c r="AP24" i="1" s="1"/>
  <c r="AS24" i="1" s="1"/>
  <c r="AK3" i="1"/>
  <c r="AJ3" i="1" s="1"/>
  <c r="AM3" i="1" s="1"/>
  <c r="BC167" i="1"/>
  <c r="BB167" i="1" s="1"/>
  <c r="BE167" i="1" s="1"/>
  <c r="BC46" i="1"/>
  <c r="BB46" i="1" s="1"/>
  <c r="BE46" i="1" s="1"/>
  <c r="BL175" i="1"/>
  <c r="BL163" i="1"/>
  <c r="BL166" i="1"/>
  <c r="AQ170" i="1"/>
  <c r="AP170" i="1" s="1"/>
  <c r="AS170" i="1" s="1"/>
  <c r="AW28" i="1"/>
  <c r="AV28" i="1" s="1"/>
  <c r="AY28" i="1" s="1"/>
  <c r="BC47" i="1"/>
  <c r="BB47" i="1" s="1"/>
  <c r="BE47" i="1" s="1"/>
  <c r="AW26" i="1"/>
  <c r="AV26" i="1" s="1"/>
  <c r="AY26" i="1" s="1"/>
  <c r="AK9" i="1"/>
  <c r="AJ9" i="1" s="1"/>
  <c r="AM9" i="1" s="1"/>
  <c r="BG8" i="1"/>
  <c r="BI8" i="1" s="1"/>
  <c r="BH8" i="1" s="1"/>
  <c r="BK8" i="1" s="1"/>
  <c r="AQ30" i="1"/>
  <c r="AP30" i="1" s="1"/>
  <c r="AS30" i="1" s="1"/>
  <c r="BM161" i="1"/>
  <c r="BM167" i="1"/>
  <c r="BL180" i="1"/>
  <c r="AK35" i="1"/>
  <c r="AJ35" i="1" s="1"/>
  <c r="AM35" i="1" s="1"/>
  <c r="AK165" i="1"/>
  <c r="AJ165" i="1" s="1"/>
  <c r="AM165" i="1" s="1"/>
  <c r="BI177" i="1"/>
  <c r="BH177" i="1" s="1"/>
  <c r="BK177" i="1" s="1"/>
  <c r="AW39" i="1"/>
  <c r="AV39" i="1" s="1"/>
  <c r="AY39" i="1" s="1"/>
  <c r="BC5" i="1"/>
  <c r="BB5" i="1" s="1"/>
  <c r="BE5" i="1" s="1"/>
  <c r="BM180" i="1"/>
  <c r="BL167" i="1"/>
  <c r="BM171" i="1"/>
  <c r="BC162" i="1"/>
  <c r="BB162" i="1" s="1"/>
  <c r="BE162" i="1" s="1"/>
  <c r="BI180" i="1"/>
  <c r="BH180" i="1" s="1"/>
  <c r="BK180" i="1" s="1"/>
  <c r="AI36" i="1"/>
  <c r="BL173" i="1"/>
  <c r="BC180" i="1"/>
  <c r="BB180" i="1" s="1"/>
  <c r="BE180" i="1" s="1"/>
  <c r="BI164" i="1"/>
  <c r="BH164" i="1" s="1"/>
  <c r="BK164" i="1" s="1"/>
  <c r="BI41" i="1"/>
  <c r="BH41" i="1" s="1"/>
  <c r="BK41" i="1" s="1"/>
  <c r="AE28" i="1"/>
  <c r="AD28" i="1" s="1"/>
  <c r="AE42" i="1"/>
  <c r="AD42" i="1" s="1"/>
  <c r="AG42" i="1" s="1"/>
  <c r="BL172" i="1"/>
  <c r="AU175" i="1"/>
  <c r="BM175" i="1" s="1"/>
  <c r="BA31" i="1"/>
  <c r="AU162" i="1"/>
  <c r="BM162" i="1" s="1"/>
  <c r="BL160" i="1"/>
  <c r="AO29" i="1"/>
  <c r="AQ29" i="1" s="1"/>
  <c r="AP29" i="1" s="1"/>
  <c r="AS29" i="1" s="1"/>
  <c r="BL178" i="1"/>
  <c r="BG35" i="1"/>
  <c r="BI35" i="1" s="1"/>
  <c r="BH35" i="1" s="1"/>
  <c r="AO23" i="1"/>
  <c r="AQ23" i="1" s="1"/>
  <c r="AP23" i="1" s="1"/>
  <c r="AS23" i="1" s="1"/>
  <c r="BC178" i="1"/>
  <c r="BB178" i="1" s="1"/>
  <c r="BE178" i="1" s="1"/>
  <c r="BL177" i="1"/>
  <c r="BL162" i="1"/>
  <c r="BA174" i="1"/>
  <c r="BC174" i="1" s="1"/>
  <c r="BB174" i="1" s="1"/>
  <c r="BE174" i="1" s="1"/>
  <c r="BL174" i="1"/>
  <c r="AW172" i="1"/>
  <c r="AV172" i="1" s="1"/>
  <c r="AY172" i="1" s="1"/>
  <c r="AW166" i="1"/>
  <c r="AV166" i="1" s="1"/>
  <c r="BM177" i="1"/>
  <c r="AQ46" i="1"/>
  <c r="AP46" i="1" s="1"/>
  <c r="AS46" i="1" s="1"/>
  <c r="BI27" i="1"/>
  <c r="BH27" i="1" s="1"/>
  <c r="BK27" i="1" s="1"/>
  <c r="AE41" i="1"/>
  <c r="AD41" i="1" s="1"/>
  <c r="AG41" i="1" s="1"/>
  <c r="BM170" i="1"/>
  <c r="AK180" i="1"/>
  <c r="AJ180" i="1" s="1"/>
  <c r="AM180" i="1" s="1"/>
  <c r="BL168" i="1"/>
  <c r="BL164" i="1"/>
  <c r="AK164" i="1"/>
  <c r="AJ164" i="1" s="1"/>
  <c r="AM164" i="1" s="1"/>
  <c r="BM168" i="1"/>
  <c r="BM172" i="1"/>
  <c r="BM176" i="1"/>
  <c r="BL170" i="1"/>
  <c r="BL176" i="1"/>
  <c r="BG46" i="1"/>
  <c r="BC41" i="1"/>
  <c r="BB41" i="1" s="1"/>
  <c r="BE41" i="1" s="1"/>
  <c r="AO43" i="1"/>
  <c r="AQ43" i="1" s="1"/>
  <c r="AP43" i="1" s="1"/>
  <c r="AS43" i="1" s="1"/>
  <c r="BG26" i="1"/>
  <c r="BI26" i="1" s="1"/>
  <c r="BH26" i="1" s="1"/>
  <c r="BM169" i="1"/>
  <c r="BI23" i="1"/>
  <c r="BH23" i="1" s="1"/>
  <c r="BK23" i="1" s="1"/>
  <c r="BM165" i="1"/>
  <c r="BC24" i="1"/>
  <c r="BB24" i="1" s="1"/>
  <c r="BE24" i="1" s="1"/>
  <c r="AG17" i="1"/>
  <c r="Y14" i="1"/>
  <c r="X14" i="1" s="1"/>
  <c r="BI7" i="1"/>
  <c r="BH7" i="1" s="1"/>
  <c r="BK7" i="1" s="1"/>
  <c r="AE4" i="1"/>
  <c r="AD4" i="1" s="1"/>
  <c r="AG4" i="1" s="1"/>
  <c r="AW17" i="1"/>
  <c r="AV17" i="1" s="1"/>
  <c r="AY17" i="1" s="1"/>
  <c r="AK4" i="1"/>
  <c r="AJ4" i="1" s="1"/>
  <c r="AM4" i="1" s="1"/>
  <c r="BK31" i="1"/>
  <c r="AY47" i="1"/>
  <c r="BN176" i="1"/>
  <c r="AY22" i="1"/>
  <c r="BK176" i="1"/>
  <c r="BE15" i="1"/>
  <c r="AS179" i="1"/>
  <c r="BK179" i="1"/>
  <c r="AS40" i="1"/>
  <c r="AS26" i="1"/>
  <c r="AS4" i="1"/>
  <c r="AG14" i="1"/>
  <c r="BK2" i="1"/>
  <c r="BK174" i="1"/>
  <c r="AM2" i="1"/>
  <c r="BK6" i="1"/>
  <c r="AS34" i="1"/>
  <c r="AW164" i="1"/>
  <c r="AV164" i="1" s="1"/>
  <c r="AY164" i="1" s="1"/>
  <c r="BE36" i="1"/>
  <c r="AK27" i="1"/>
  <c r="AJ27" i="1" s="1"/>
  <c r="AM27" i="1" s="1"/>
  <c r="Y38" i="1"/>
  <c r="X38" i="1" s="1"/>
  <c r="BN38" i="1" s="1"/>
  <c r="BO38" i="1" s="1"/>
  <c r="AE2" i="1"/>
  <c r="AD2" i="1" s="1"/>
  <c r="AG2" i="1" s="1"/>
  <c r="AY165" i="1"/>
  <c r="BM164" i="1"/>
  <c r="AW160" i="1"/>
  <c r="AV160" i="1" s="1"/>
  <c r="AY160" i="1" s="1"/>
  <c r="AG39" i="1"/>
  <c r="AY38" i="1"/>
  <c r="AM37" i="1"/>
  <c r="AA6" i="1"/>
  <c r="AS15" i="1"/>
  <c r="AW37" i="1"/>
  <c r="AV37" i="1" s="1"/>
  <c r="AY37" i="1" s="1"/>
  <c r="AQ16" i="1"/>
  <c r="AP16" i="1" s="1"/>
  <c r="AQ37" i="1"/>
  <c r="AP37" i="1" s="1"/>
  <c r="AK179" i="1"/>
  <c r="AJ179" i="1" s="1"/>
  <c r="AM179" i="1" s="1"/>
  <c r="AG160" i="1"/>
  <c r="AA12" i="1"/>
  <c r="AA169" i="1"/>
  <c r="BC160" i="1"/>
  <c r="BB160" i="1" s="1"/>
  <c r="BE160" i="1" s="1"/>
  <c r="AQ39" i="1"/>
  <c r="AP39" i="1" s="1"/>
  <c r="BN39" i="1" s="1"/>
  <c r="BO39" i="1" s="1"/>
  <c r="BK20" i="1"/>
  <c r="AM20" i="1"/>
  <c r="AG20" i="1"/>
  <c r="BI10" i="1"/>
  <c r="BH10" i="1" s="1"/>
  <c r="BK10" i="1" s="1"/>
  <c r="AW18" i="1"/>
  <c r="AV18" i="1" s="1"/>
  <c r="BN18" i="1" s="1"/>
  <c r="BO18" i="1" s="1"/>
  <c r="AQ17" i="1"/>
  <c r="AP17" i="1" s="1"/>
  <c r="AS17" i="1" s="1"/>
  <c r="BC2" i="1"/>
  <c r="BB2" i="1" s="1"/>
  <c r="BE2" i="1" s="1"/>
  <c r="AM10" i="1"/>
  <c r="AS11" i="1"/>
  <c r="BK33" i="1"/>
  <c r="BK21" i="1"/>
  <c r="BI5" i="1"/>
  <c r="BH5" i="1" s="1"/>
  <c r="BK5" i="1" s="1"/>
  <c r="BI34" i="1"/>
  <c r="BH34" i="1" s="1"/>
  <c r="BK34" i="1" s="1"/>
  <c r="AS12" i="1"/>
  <c r="AS13" i="1"/>
  <c r="AA8" i="1"/>
  <c r="BC9" i="1"/>
  <c r="BB9" i="1" s="1"/>
  <c r="BE9" i="1" s="1"/>
  <c r="BE165" i="1"/>
  <c r="AS168" i="1"/>
  <c r="AE47" i="1"/>
  <c r="AD47" i="1" s="1"/>
  <c r="AG47" i="1" s="1"/>
  <c r="BM160" i="1"/>
  <c r="AK42" i="1"/>
  <c r="AJ42" i="1" s="1"/>
  <c r="AQ27" i="1"/>
  <c r="AP27" i="1" s="1"/>
  <c r="AS27" i="1" s="1"/>
  <c r="AE30" i="1"/>
  <c r="AD30" i="1" s="1"/>
  <c r="AA26" i="1"/>
  <c r="Y4" i="1"/>
  <c r="X4" i="1" s="1"/>
  <c r="AQ8" i="1"/>
  <c r="AP8" i="1" s="1"/>
  <c r="AS8" i="1" s="1"/>
  <c r="AA23" i="1"/>
  <c r="AK169" i="1"/>
  <c r="AJ169" i="1" s="1"/>
  <c r="BI24" i="1"/>
  <c r="BH24" i="1" s="1"/>
  <c r="BK24" i="1" s="1"/>
  <c r="AE36" i="1"/>
  <c r="AD36" i="1" s="1"/>
  <c r="AG36" i="1" s="1"/>
  <c r="AK5" i="1"/>
  <c r="AJ5" i="1" s="1"/>
  <c r="AM5" i="1" s="1"/>
  <c r="AK41" i="1"/>
  <c r="AJ41" i="1" s="1"/>
  <c r="AS33" i="1"/>
  <c r="AS38" i="1"/>
  <c r="AS31" i="1"/>
  <c r="AQ45" i="1"/>
  <c r="AP45" i="1" s="1"/>
  <c r="BN45" i="1" s="1"/>
  <c r="BO45" i="1" s="1"/>
  <c r="AE10" i="1"/>
  <c r="AD10" i="1" s="1"/>
  <c r="AG10" i="1" s="1"/>
  <c r="DJ459" i="2"/>
  <c r="DI459" i="2" s="1"/>
  <c r="DL459" i="2" s="1"/>
  <c r="DM104" i="2"/>
  <c r="BV268" i="2"/>
  <c r="CX268" i="2"/>
  <c r="CW268" i="2" s="1"/>
  <c r="CZ268" i="2" s="1"/>
  <c r="DB55" i="2"/>
  <c r="DD55" i="2" s="1"/>
  <c r="DC55" i="2" s="1"/>
  <c r="CV55" i="2"/>
  <c r="DM55" i="2"/>
  <c r="DH104" i="2"/>
  <c r="DJ104" i="2" s="1"/>
  <c r="DI104" i="2" s="1"/>
  <c r="CP104" i="2"/>
  <c r="CR104" i="2" s="1"/>
  <c r="CQ104" i="2" s="1"/>
  <c r="CL104" i="2"/>
  <c r="CK104" i="2" s="1"/>
  <c r="CN104" i="2" s="1"/>
  <c r="DB104" i="2"/>
  <c r="DD104" i="2" s="1"/>
  <c r="DC104" i="2" s="1"/>
  <c r="CF50" i="2"/>
  <c r="CE50" i="2" s="1"/>
  <c r="CH50" i="2" s="1"/>
  <c r="CL654" i="2"/>
  <c r="CK654" i="2" s="1"/>
  <c r="CN654" i="2" s="1"/>
  <c r="DF66" i="2"/>
  <c r="CV66" i="2"/>
  <c r="CX66" i="2" s="1"/>
  <c r="CW66" i="2" s="1"/>
  <c r="CZ66" i="2" s="1"/>
  <c r="CJ66" i="2"/>
  <c r="CP66" i="2"/>
  <c r="CR66" i="2" s="1"/>
  <c r="CQ66" i="2" s="1"/>
  <c r="BX66" i="2"/>
  <c r="BZ66" i="2" s="1"/>
  <c r="BY66" i="2" s="1"/>
  <c r="DM66" i="2"/>
  <c r="DH66" i="2"/>
  <c r="DJ66" i="2" s="1"/>
  <c r="DI66" i="2" s="1"/>
  <c r="CD66" i="2"/>
  <c r="CF66" i="2" s="1"/>
  <c r="CE66" i="2" s="1"/>
  <c r="DH209" i="2"/>
  <c r="DJ209" i="2" s="1"/>
  <c r="DI209" i="2" s="1"/>
  <c r="CP209" i="2"/>
  <c r="CR209" i="2" s="1"/>
  <c r="CQ209" i="2" s="1"/>
  <c r="CD209" i="2"/>
  <c r="DM209" i="2"/>
  <c r="DB209" i="2"/>
  <c r="DD209" i="2" s="1"/>
  <c r="DC209" i="2" s="1"/>
  <c r="DF209" i="2" s="1"/>
  <c r="DH50" i="2"/>
  <c r="DJ50" i="2" s="1"/>
  <c r="DI50" i="2" s="1"/>
  <c r="DD50" i="2"/>
  <c r="DC50" i="2" s="1"/>
  <c r="DF50" i="2" s="1"/>
  <c r="CV209" i="2"/>
  <c r="CX209" i="2" s="1"/>
  <c r="CW209" i="2" s="1"/>
  <c r="CZ209" i="2" s="1"/>
  <c r="CL775" i="2"/>
  <c r="CK775" i="2" s="1"/>
  <c r="CN775" i="2" s="1"/>
  <c r="DB654" i="2"/>
  <c r="DD654" i="2" s="1"/>
  <c r="DC654" i="2" s="1"/>
  <c r="DF654" i="2" s="1"/>
  <c r="BX654" i="2"/>
  <c r="BZ654" i="2" s="1"/>
  <c r="BY654" i="2" s="1"/>
  <c r="CV654" i="2"/>
  <c r="CX654" i="2" s="1"/>
  <c r="CW654" i="2" s="1"/>
  <c r="DM654" i="2"/>
  <c r="BR654" i="2"/>
  <c r="CP654" i="2"/>
  <c r="DH775" i="2"/>
  <c r="DJ775" i="2" s="1"/>
  <c r="DI775" i="2" s="1"/>
  <c r="DL775" i="2" s="1"/>
  <c r="CP50" i="2"/>
  <c r="CR50" i="2" s="1"/>
  <c r="CQ50" i="2" s="1"/>
  <c r="DM50" i="2"/>
  <c r="DM775" i="2"/>
  <c r="CZ775" i="2"/>
  <c r="DB775" i="2"/>
  <c r="DD775" i="2" s="1"/>
  <c r="DC775" i="2" s="1"/>
  <c r="CP775" i="2"/>
  <c r="DL951" i="2"/>
  <c r="DM35" i="2"/>
  <c r="DM951" i="2"/>
  <c r="DB951" i="2"/>
  <c r="DN951" i="2" s="1"/>
  <c r="BX52" i="2"/>
  <c r="DM52" i="2"/>
  <c r="CD52" i="2"/>
  <c r="CF52" i="2" s="1"/>
  <c r="CE52" i="2" s="1"/>
  <c r="CH52" i="2" s="1"/>
  <c r="DH52" i="2"/>
  <c r="DJ52" i="2" s="1"/>
  <c r="DI52" i="2" s="1"/>
  <c r="CP52" i="2"/>
  <c r="CR52" i="2" s="1"/>
  <c r="CQ52" i="2" s="1"/>
  <c r="CV52" i="2"/>
  <c r="CX52" i="2" s="1"/>
  <c r="CW52" i="2" s="1"/>
  <c r="CJ52" i="2"/>
  <c r="CL52" i="2" s="1"/>
  <c r="CK52" i="2" s="1"/>
  <c r="DB52" i="2"/>
  <c r="DD52" i="2" s="1"/>
  <c r="DC52" i="2" s="1"/>
  <c r="DF52" i="2" s="1"/>
  <c r="DH35" i="2"/>
  <c r="DJ35" i="2" s="1"/>
  <c r="DI35" i="2" s="1"/>
  <c r="DL35" i="2" s="1"/>
  <c r="CP35" i="2"/>
  <c r="CR35" i="2" s="1"/>
  <c r="CQ35" i="2" s="1"/>
  <c r="DD35" i="2"/>
  <c r="DC35" i="2" s="1"/>
  <c r="DF35" i="2" s="1"/>
  <c r="CF35" i="2"/>
  <c r="CE35" i="2" s="1"/>
  <c r="CJ35" i="2"/>
  <c r="CZ35" i="2"/>
  <c r="BN37" i="1" l="1"/>
  <c r="BO37" i="1" s="1"/>
  <c r="BN42" i="1"/>
  <c r="BO42" i="1" s="1"/>
  <c r="BN35" i="1"/>
  <c r="BO35" i="1" s="1"/>
  <c r="BN26" i="1"/>
  <c r="BO26" i="1" s="1"/>
  <c r="BN47" i="1"/>
  <c r="BO47" i="1" s="1"/>
  <c r="BN41" i="1"/>
  <c r="BO41" i="1" s="1"/>
  <c r="BN40" i="1"/>
  <c r="BO40" i="1" s="1"/>
  <c r="BN30" i="1"/>
  <c r="BO30" i="1" s="1"/>
  <c r="BN43" i="1"/>
  <c r="BO43" i="1" s="1"/>
  <c r="BN34" i="1"/>
  <c r="BO34" i="1" s="1"/>
  <c r="BN44" i="1"/>
  <c r="BO44" i="1" s="1"/>
  <c r="BN16" i="1"/>
  <c r="BO16" i="1" s="1"/>
  <c r="AA38" i="1"/>
  <c r="BN28" i="1"/>
  <c r="BO28" i="1" s="1"/>
  <c r="BN27" i="1"/>
  <c r="BO27" i="1" s="1"/>
  <c r="BN23" i="1"/>
  <c r="BO23" i="1" s="1"/>
  <c r="BN20" i="1"/>
  <c r="BO20" i="1" s="1"/>
  <c r="BN24" i="1"/>
  <c r="BO24" i="1" s="1"/>
  <c r="BN17" i="1"/>
  <c r="BO17" i="1" s="1"/>
  <c r="BN22" i="1"/>
  <c r="BO22" i="1" s="1"/>
  <c r="BN29" i="1"/>
  <c r="BO29" i="1" s="1"/>
  <c r="AA14" i="1"/>
  <c r="BN14" i="1"/>
  <c r="BO14" i="1" s="1"/>
  <c r="BN13" i="1"/>
  <c r="BO13" i="1" s="1"/>
  <c r="BN15" i="1"/>
  <c r="BO15" i="1" s="1"/>
  <c r="BN9" i="1"/>
  <c r="BO9" i="1" s="1"/>
  <c r="BN10" i="1"/>
  <c r="BO10" i="1" s="1"/>
  <c r="BN11" i="1"/>
  <c r="BO11" i="1" s="1"/>
  <c r="BN7" i="1"/>
  <c r="BO7" i="1" s="1"/>
  <c r="BN8" i="1"/>
  <c r="BO8" i="1" s="1"/>
  <c r="BN6" i="1"/>
  <c r="BO6" i="1" s="1"/>
  <c r="BN5" i="1"/>
  <c r="BO5" i="1" s="1"/>
  <c r="AA4" i="1"/>
  <c r="BN4" i="1"/>
  <c r="BO4" i="1" s="1"/>
  <c r="BN3" i="1"/>
  <c r="BO3" i="1" s="1"/>
  <c r="BN2" i="1"/>
  <c r="BO2" i="1" s="1"/>
  <c r="DL1051" i="2"/>
  <c r="DD1051" i="2"/>
  <c r="DC1051" i="2" s="1"/>
  <c r="DF1051" i="2" s="1"/>
  <c r="DN1051" i="2"/>
  <c r="BN163" i="1"/>
  <c r="BO163" i="1" s="1"/>
  <c r="BN171" i="1"/>
  <c r="BO171" i="1" s="1"/>
  <c r="BM179" i="1"/>
  <c r="BN166" i="1"/>
  <c r="BO166" i="1" s="1"/>
  <c r="BM174" i="1"/>
  <c r="BN169" i="1"/>
  <c r="BO169" i="1" s="1"/>
  <c r="BN173" i="1"/>
  <c r="BO173" i="1" s="1"/>
  <c r="BN167" i="1"/>
  <c r="BO167" i="1" s="1"/>
  <c r="BN168" i="1"/>
  <c r="BO168" i="1" s="1"/>
  <c r="BN161" i="1"/>
  <c r="BO161" i="1" s="1"/>
  <c r="AW175" i="1"/>
  <c r="AV175" i="1" s="1"/>
  <c r="AY175" i="1" s="1"/>
  <c r="BN170" i="1"/>
  <c r="BO170" i="1" s="1"/>
  <c r="AW162" i="1"/>
  <c r="AV162" i="1" s="1"/>
  <c r="AY162" i="1" s="1"/>
  <c r="AK36" i="1"/>
  <c r="AJ36" i="1" s="1"/>
  <c r="AM36" i="1" s="1"/>
  <c r="BN174" i="1"/>
  <c r="BN178" i="1"/>
  <c r="BO178" i="1" s="1"/>
  <c r="AG28" i="1"/>
  <c r="AY166" i="1"/>
  <c r="BN180" i="1"/>
  <c r="BO180" i="1" s="1"/>
  <c r="BN172" i="1"/>
  <c r="BO172" i="1" s="1"/>
  <c r="BN177" i="1"/>
  <c r="BO177" i="1" s="1"/>
  <c r="BN165" i="1"/>
  <c r="BO165" i="1" s="1"/>
  <c r="BK35" i="1"/>
  <c r="BC31" i="1"/>
  <c r="BB31" i="1" s="1"/>
  <c r="BN31" i="1" s="1"/>
  <c r="BO31" i="1" s="1"/>
  <c r="BO176" i="1"/>
  <c r="BI46" i="1"/>
  <c r="BH46" i="1" s="1"/>
  <c r="BN46" i="1" s="1"/>
  <c r="BO46" i="1" s="1"/>
  <c r="BK26" i="1"/>
  <c r="BN164" i="1"/>
  <c r="BO164" i="1" s="1"/>
  <c r="AS37" i="1"/>
  <c r="AM169" i="1"/>
  <c r="AS16" i="1"/>
  <c r="AM41" i="1"/>
  <c r="BN179" i="1"/>
  <c r="BO179" i="1" s="1"/>
  <c r="AS39" i="1"/>
  <c r="AY18" i="1"/>
  <c r="AM42" i="1"/>
  <c r="AS45" i="1"/>
  <c r="BN160" i="1"/>
  <c r="BO160" i="1" s="1"/>
  <c r="AG30" i="1"/>
  <c r="DO459" i="2"/>
  <c r="DP459" i="2" s="1"/>
  <c r="DQ459" i="2" s="1"/>
  <c r="DN55" i="2"/>
  <c r="DO268" i="2"/>
  <c r="DP268" i="2" s="1"/>
  <c r="DF55" i="2"/>
  <c r="CX55" i="2"/>
  <c r="CW55" i="2" s="1"/>
  <c r="DO55" i="2" s="1"/>
  <c r="DN104" i="2"/>
  <c r="CH66" i="2"/>
  <c r="DL104" i="2"/>
  <c r="CT104" i="2"/>
  <c r="CB66" i="2"/>
  <c r="DF104" i="2"/>
  <c r="DO104" i="2"/>
  <c r="CT66" i="2"/>
  <c r="DD951" i="2"/>
  <c r="DC951" i="2" s="1"/>
  <c r="DO951" i="2" s="1"/>
  <c r="DP951" i="2" s="1"/>
  <c r="DN66" i="2"/>
  <c r="CL66" i="2"/>
  <c r="CK66" i="2" s="1"/>
  <c r="CN66" i="2" s="1"/>
  <c r="DL66" i="2"/>
  <c r="DN209" i="2"/>
  <c r="CT209" i="2"/>
  <c r="DL50" i="2"/>
  <c r="DL209" i="2"/>
  <c r="DO50" i="2"/>
  <c r="DN50" i="2"/>
  <c r="CF209" i="2"/>
  <c r="CE209" i="2" s="1"/>
  <c r="DO209" i="2" s="1"/>
  <c r="CB654" i="2"/>
  <c r="CZ654" i="2"/>
  <c r="CR654" i="2"/>
  <c r="CQ654" i="2" s="1"/>
  <c r="CT654" i="2" s="1"/>
  <c r="DN654" i="2"/>
  <c r="BT654" i="2"/>
  <c r="BS654" i="2" s="1"/>
  <c r="DF775" i="2"/>
  <c r="CT50" i="2"/>
  <c r="DN775" i="2"/>
  <c r="CR775" i="2"/>
  <c r="CQ775" i="2" s="1"/>
  <c r="DO775" i="2" s="1"/>
  <c r="BZ52" i="2"/>
  <c r="BY52" i="2" s="1"/>
  <c r="CB52" i="2" s="1"/>
  <c r="CZ52" i="2"/>
  <c r="CT52" i="2"/>
  <c r="DL52" i="2"/>
  <c r="CN52" i="2"/>
  <c r="DN52" i="2"/>
  <c r="CT35" i="2"/>
  <c r="DN35" i="2"/>
  <c r="CL35" i="2"/>
  <c r="CK35" i="2" s="1"/>
  <c r="CN35" i="2" s="1"/>
  <c r="CH35" i="2"/>
  <c r="BN36" i="1" l="1"/>
  <c r="BO36" i="1" s="1"/>
  <c r="DO1051" i="2"/>
  <c r="DP1051" i="2" s="1"/>
  <c r="EB1051" i="2" s="1"/>
  <c r="BL1051" i="2" s="1"/>
  <c r="BM1051" i="2" s="1"/>
  <c r="BN1051" i="2" s="1"/>
  <c r="BP1051" i="2" s="1"/>
  <c r="BO174" i="1"/>
  <c r="BN162" i="1"/>
  <c r="BO162" i="1" s="1"/>
  <c r="BN175" i="1"/>
  <c r="BO175" i="1" s="1"/>
  <c r="BE31" i="1"/>
  <c r="BK46" i="1"/>
  <c r="EB459" i="2"/>
  <c r="BL459" i="2" s="1"/>
  <c r="BM459" i="2" s="1"/>
  <c r="BN459" i="2" s="1"/>
  <c r="BP459" i="2" s="1"/>
  <c r="DP55" i="2"/>
  <c r="DQ55" i="2" s="1"/>
  <c r="DQ268" i="2"/>
  <c r="EB268" i="2"/>
  <c r="DP104" i="2"/>
  <c r="DQ104" i="2" s="1"/>
  <c r="CZ55" i="2"/>
  <c r="DF951" i="2"/>
  <c r="DO66" i="2"/>
  <c r="DP66" i="2" s="1"/>
  <c r="DP775" i="2"/>
  <c r="DQ775" i="2" s="1"/>
  <c r="DP209" i="2"/>
  <c r="DQ209" i="2" s="1"/>
  <c r="DP50" i="2"/>
  <c r="DQ50" i="2" s="1"/>
  <c r="DO654" i="2"/>
  <c r="DP654" i="2" s="1"/>
  <c r="DQ654" i="2" s="1"/>
  <c r="CH209" i="2"/>
  <c r="BV654" i="2"/>
  <c r="CT775" i="2"/>
  <c r="DO52" i="2"/>
  <c r="DP52" i="2" s="1"/>
  <c r="EB951" i="2"/>
  <c r="DQ951" i="2"/>
  <c r="DO35" i="2"/>
  <c r="DP35" i="2" s="1"/>
  <c r="DQ35" i="2" s="1"/>
  <c r="DQ1051" i="2" l="1"/>
  <c r="IH459" i="2"/>
  <c r="EB55" i="2"/>
  <c r="IH55" i="2" s="1"/>
  <c r="EB104" i="2"/>
  <c r="BL104" i="2" s="1"/>
  <c r="BM104" i="2" s="1"/>
  <c r="BN104" i="2" s="1"/>
  <c r="BP104" i="2" s="1"/>
  <c r="BL268" i="2"/>
  <c r="BM268" i="2" s="1"/>
  <c r="BN268" i="2" s="1"/>
  <c r="BP268" i="2" s="1"/>
  <c r="IH268" i="2"/>
  <c r="EB775" i="2"/>
  <c r="BL775" i="2" s="1"/>
  <c r="BM775" i="2" s="1"/>
  <c r="BN775" i="2" s="1"/>
  <c r="BP775" i="2" s="1"/>
  <c r="DQ66" i="2"/>
  <c r="EB66" i="2"/>
  <c r="BL66" i="2" s="1"/>
  <c r="BM66" i="2" s="1"/>
  <c r="BN66" i="2" s="1"/>
  <c r="BP66" i="2" s="1"/>
  <c r="EB209" i="2"/>
  <c r="BL209" i="2" s="1"/>
  <c r="BM209" i="2" s="1"/>
  <c r="BN209" i="2" s="1"/>
  <c r="BP209" i="2" s="1"/>
  <c r="EB50" i="2"/>
  <c r="BL50" i="2" s="1"/>
  <c r="BM50" i="2" s="1"/>
  <c r="BN50" i="2" s="1"/>
  <c r="BP50" i="2" s="1"/>
  <c r="EB654" i="2"/>
  <c r="BL654" i="2" s="1"/>
  <c r="BM654" i="2" s="1"/>
  <c r="BN654" i="2" s="1"/>
  <c r="BP654" i="2" s="1"/>
  <c r="EB35" i="2"/>
  <c r="BL35" i="2" s="1"/>
  <c r="BM35" i="2" s="1"/>
  <c r="BN35" i="2" s="1"/>
  <c r="BP35" i="2" s="1"/>
  <c r="EB52" i="2"/>
  <c r="BL52" i="2" s="1"/>
  <c r="BM52" i="2" s="1"/>
  <c r="BN52" i="2" s="1"/>
  <c r="BP52" i="2" s="1"/>
  <c r="DQ52" i="2"/>
  <c r="BL951" i="2"/>
  <c r="BM951" i="2" s="1"/>
  <c r="BN951" i="2" s="1"/>
  <c r="BP951" i="2" s="1"/>
  <c r="IH951" i="2"/>
  <c r="BL55" i="2" l="1"/>
  <c r="BM55" i="2" s="1"/>
  <c r="BN55" i="2" s="1"/>
  <c r="BP55" i="2" s="1"/>
  <c r="IH654" i="2"/>
  <c r="BR556" i="2"/>
  <c r="BT556" i="2" s="1"/>
  <c r="BU556" i="2"/>
  <c r="CA556" i="2"/>
  <c r="CG556" i="2"/>
  <c r="CM556" i="2"/>
  <c r="CS556" i="2"/>
  <c r="CY556" i="2"/>
  <c r="DE556" i="2"/>
  <c r="DK556" i="2"/>
  <c r="DS556" i="2"/>
  <c r="DT556" i="2" s="1"/>
  <c r="EA556" i="2"/>
  <c r="EG556" i="2"/>
  <c r="EJ556" i="2"/>
  <c r="DA556" i="2" s="1"/>
  <c r="BR718" i="2"/>
  <c r="BT718" i="2" s="1"/>
  <c r="BU718" i="2"/>
  <c r="CA718" i="2"/>
  <c r="CG718" i="2"/>
  <c r="CM718" i="2"/>
  <c r="CS718" i="2"/>
  <c r="CY718" i="2"/>
  <c r="DE718" i="2"/>
  <c r="DK718" i="2"/>
  <c r="DS718" i="2"/>
  <c r="DT718" i="2" s="1"/>
  <c r="EA718" i="2"/>
  <c r="EG718" i="2"/>
  <c r="CC718" i="2" s="1"/>
  <c r="EJ718" i="2"/>
  <c r="DA718" i="2" s="1"/>
  <c r="BR842" i="2"/>
  <c r="BT842" i="2" s="1"/>
  <c r="BU842" i="2"/>
  <c r="CA842" i="2"/>
  <c r="CG842" i="2"/>
  <c r="CM842" i="2"/>
  <c r="CS842" i="2"/>
  <c r="CY842" i="2"/>
  <c r="DE842" i="2"/>
  <c r="DK842" i="2"/>
  <c r="DS842" i="2"/>
  <c r="DT842" i="2" s="1"/>
  <c r="EA842" i="2"/>
  <c r="EG842" i="2"/>
  <c r="CC842" i="2" s="1"/>
  <c r="EJ842" i="2"/>
  <c r="DA842" i="2" s="1"/>
  <c r="BR260" i="2"/>
  <c r="BT260" i="2" s="1"/>
  <c r="BU260" i="2"/>
  <c r="CA260" i="2"/>
  <c r="CG260" i="2"/>
  <c r="CM260" i="2"/>
  <c r="CS260" i="2"/>
  <c r="CY260" i="2"/>
  <c r="DE260" i="2"/>
  <c r="DK260" i="2"/>
  <c r="DS260" i="2"/>
  <c r="DT260" i="2" s="1"/>
  <c r="EA260" i="2"/>
  <c r="EG260" i="2"/>
  <c r="BW260" i="2" s="1"/>
  <c r="EJ260" i="2"/>
  <c r="DA260" i="2" s="1"/>
  <c r="BR241" i="2"/>
  <c r="BT241" i="2" s="1"/>
  <c r="BU241" i="2"/>
  <c r="CA241" i="2"/>
  <c r="CG241" i="2"/>
  <c r="CM241" i="2"/>
  <c r="CS241" i="2"/>
  <c r="CY241" i="2"/>
  <c r="DE241" i="2"/>
  <c r="DK241" i="2"/>
  <c r="DS241" i="2"/>
  <c r="DT241" i="2" s="1"/>
  <c r="EA241" i="2"/>
  <c r="ED241" i="2"/>
  <c r="EE241" i="2"/>
  <c r="EG241" i="2" s="1"/>
  <c r="CC241" i="2" s="1"/>
  <c r="EH241" i="2"/>
  <c r="EJ241" i="2" s="1"/>
  <c r="DA241" i="2" s="1"/>
  <c r="BR435" i="2"/>
  <c r="BT435" i="2" s="1"/>
  <c r="BU435" i="2"/>
  <c r="CA435" i="2"/>
  <c r="CG435" i="2"/>
  <c r="CM435" i="2"/>
  <c r="CS435" i="2"/>
  <c r="CY435" i="2"/>
  <c r="DE435" i="2"/>
  <c r="DK435" i="2"/>
  <c r="DS435" i="2"/>
  <c r="DT435" i="2" s="1"/>
  <c r="EA435" i="2"/>
  <c r="EG435" i="2"/>
  <c r="CC435" i="2" s="1"/>
  <c r="EJ435" i="2"/>
  <c r="DA435" i="2" s="1"/>
  <c r="BU70" i="2"/>
  <c r="CA70" i="2"/>
  <c r="CG70" i="2"/>
  <c r="CM70" i="2"/>
  <c r="CS70" i="2"/>
  <c r="CY70" i="2"/>
  <c r="DE70" i="2"/>
  <c r="DK70" i="2"/>
  <c r="DR70" i="2"/>
  <c r="DS70" i="2"/>
  <c r="DT70" i="2" s="1"/>
  <c r="EA70" i="2"/>
  <c r="EG70" i="2"/>
  <c r="CC70" i="2" s="1"/>
  <c r="EJ70" i="2"/>
  <c r="BO70" i="2" s="1"/>
  <c r="BR471" i="2"/>
  <c r="BT471" i="2" s="1"/>
  <c r="BU471" i="2"/>
  <c r="BW471" i="2"/>
  <c r="BX471" i="2" s="1"/>
  <c r="CA471" i="2"/>
  <c r="CC471" i="2"/>
  <c r="CD471" i="2" s="1"/>
  <c r="CG471" i="2"/>
  <c r="CI471" i="2"/>
  <c r="CJ471" i="2" s="1"/>
  <c r="CM471" i="2"/>
  <c r="CS471" i="2"/>
  <c r="CY471" i="2"/>
  <c r="DE471" i="2"/>
  <c r="DK471" i="2"/>
  <c r="DR471" i="2"/>
  <c r="DS471" i="2"/>
  <c r="DT471" i="2" s="1"/>
  <c r="DU471" i="2"/>
  <c r="DW471" i="2"/>
  <c r="DY471" i="2"/>
  <c r="EJ471" i="2"/>
  <c r="CO471" i="2" s="1"/>
  <c r="CP471" i="2" s="1"/>
  <c r="BR430" i="2"/>
  <c r="BT430" i="2" s="1"/>
  <c r="BU430" i="2"/>
  <c r="BX430" i="2"/>
  <c r="BZ430" i="2" s="1"/>
  <c r="CA430" i="2"/>
  <c r="CD430" i="2"/>
  <c r="CF430" i="2" s="1"/>
  <c r="CG430" i="2"/>
  <c r="CM430" i="2"/>
  <c r="CS430" i="2"/>
  <c r="CY430" i="2"/>
  <c r="DE430" i="2"/>
  <c r="DK430" i="2"/>
  <c r="DR430" i="2"/>
  <c r="DS430" i="2"/>
  <c r="DT430" i="2" s="1"/>
  <c r="DU430" i="2"/>
  <c r="DY430" i="2"/>
  <c r="EG430" i="2"/>
  <c r="CI430" i="2" s="1"/>
  <c r="EJ430" i="2"/>
  <c r="CU430" i="2" s="1"/>
  <c r="BR169" i="2"/>
  <c r="BT169" i="2" s="1"/>
  <c r="BU169" i="2"/>
  <c r="BX169" i="2"/>
  <c r="BZ169" i="2" s="1"/>
  <c r="CA169" i="2"/>
  <c r="CG169" i="2"/>
  <c r="CM169" i="2"/>
  <c r="CS169" i="2"/>
  <c r="CY169" i="2"/>
  <c r="DE169" i="2"/>
  <c r="DK169" i="2"/>
  <c r="DR169" i="2"/>
  <c r="DS169" i="2"/>
  <c r="DT169" i="2" s="1"/>
  <c r="DU169" i="2"/>
  <c r="DY169" i="2"/>
  <c r="EG169" i="2"/>
  <c r="CC169" i="2" s="1"/>
  <c r="EJ169" i="2"/>
  <c r="CU169" i="2" s="1"/>
  <c r="BR1007" i="2"/>
  <c r="BT1007" i="2" s="1"/>
  <c r="BU1007" i="2"/>
  <c r="BX1007" i="2"/>
  <c r="BZ1007" i="2" s="1"/>
  <c r="CA1007" i="2"/>
  <c r="CD1007" i="2"/>
  <c r="CF1007" i="2" s="1"/>
  <c r="CG1007" i="2"/>
  <c r="CM1007" i="2"/>
  <c r="CS1007" i="2"/>
  <c r="CY1007" i="2"/>
  <c r="DE1007" i="2"/>
  <c r="DK1007" i="2"/>
  <c r="DR1007" i="2"/>
  <c r="DS1007" i="2"/>
  <c r="DT1007" i="2" s="1"/>
  <c r="DU1007" i="2"/>
  <c r="DW1007" i="2"/>
  <c r="DY1007" i="2"/>
  <c r="EG1007" i="2"/>
  <c r="CI1007" i="2" s="1"/>
  <c r="EJ1007" i="2"/>
  <c r="CO1007" i="2" s="1"/>
  <c r="DG718" i="2" l="1"/>
  <c r="DH718" i="2" s="1"/>
  <c r="CC556" i="2"/>
  <c r="CD556" i="2" s="1"/>
  <c r="CF556" i="2" s="1"/>
  <c r="CE556" i="2" s="1"/>
  <c r="CI556" i="2"/>
  <c r="CJ556" i="2" s="1"/>
  <c r="CI718" i="2"/>
  <c r="CJ718" i="2" s="1"/>
  <c r="BS556" i="2"/>
  <c r="BV556" i="2" s="1"/>
  <c r="DB556" i="2"/>
  <c r="DD556" i="2" s="1"/>
  <c r="DC556" i="2" s="1"/>
  <c r="DF556" i="2" s="1"/>
  <c r="CI842" i="2"/>
  <c r="CJ842" i="2" s="1"/>
  <c r="DG556" i="2"/>
  <c r="CO556" i="2"/>
  <c r="BO556" i="2"/>
  <c r="DJ718" i="2"/>
  <c r="DI718" i="2" s="1"/>
  <c r="DL718" i="2" s="1"/>
  <c r="CU556" i="2"/>
  <c r="BW556" i="2"/>
  <c r="BS718" i="2"/>
  <c r="BV718" i="2" s="1"/>
  <c r="DB718" i="2"/>
  <c r="DD718" i="2" s="1"/>
  <c r="DC718" i="2" s="1"/>
  <c r="DF718" i="2" s="1"/>
  <c r="CD718" i="2"/>
  <c r="CF718" i="2" s="1"/>
  <c r="CE718" i="2" s="1"/>
  <c r="CO718" i="2"/>
  <c r="BO718" i="2"/>
  <c r="CU718" i="2"/>
  <c r="BW718" i="2"/>
  <c r="BS842" i="2"/>
  <c r="BV842" i="2" s="1"/>
  <c r="DB842" i="2"/>
  <c r="DD842" i="2" s="1"/>
  <c r="DC842" i="2" s="1"/>
  <c r="DF842" i="2" s="1"/>
  <c r="CD842" i="2"/>
  <c r="CF842" i="2" s="1"/>
  <c r="CE842" i="2" s="1"/>
  <c r="DG842" i="2"/>
  <c r="CI260" i="2"/>
  <c r="CO842" i="2"/>
  <c r="CC260" i="2"/>
  <c r="CD260" i="2" s="1"/>
  <c r="BO842" i="2"/>
  <c r="CU842" i="2"/>
  <c r="BW842" i="2"/>
  <c r="CO260" i="2"/>
  <c r="CP260" i="2" s="1"/>
  <c r="CR260" i="2" s="1"/>
  <c r="CQ260" i="2" s="1"/>
  <c r="BS260" i="2"/>
  <c r="BV260" i="2" s="1"/>
  <c r="DB260" i="2"/>
  <c r="DD260" i="2" s="1"/>
  <c r="DC260" i="2" s="1"/>
  <c r="DF260" i="2" s="1"/>
  <c r="BX260" i="2"/>
  <c r="CO241" i="2"/>
  <c r="CP241" i="2" s="1"/>
  <c r="CR241" i="2" s="1"/>
  <c r="CQ241" i="2" s="1"/>
  <c r="DG260" i="2"/>
  <c r="DG241" i="2"/>
  <c r="BO260" i="2"/>
  <c r="CU260" i="2"/>
  <c r="CI435" i="2"/>
  <c r="CJ435" i="2" s="1"/>
  <c r="EA471" i="2"/>
  <c r="CU241" i="2"/>
  <c r="CV241" i="2" s="1"/>
  <c r="BS241" i="2"/>
  <c r="BV241" i="2" s="1"/>
  <c r="DB241" i="2"/>
  <c r="DD241" i="2" s="1"/>
  <c r="DC241" i="2" s="1"/>
  <c r="DF241" i="2" s="1"/>
  <c r="CD241" i="2"/>
  <c r="CF241" i="2" s="1"/>
  <c r="CE241" i="2" s="1"/>
  <c r="CH241" i="2" s="1"/>
  <c r="CI241" i="2"/>
  <c r="EA1007" i="2"/>
  <c r="BO241" i="2"/>
  <c r="BW241" i="2"/>
  <c r="DG70" i="2"/>
  <c r="DH70" i="2" s="1"/>
  <c r="BS435" i="2"/>
  <c r="BV435" i="2" s="1"/>
  <c r="DB435" i="2"/>
  <c r="DD435" i="2" s="1"/>
  <c r="DC435" i="2" s="1"/>
  <c r="DF435" i="2" s="1"/>
  <c r="CD435" i="2"/>
  <c r="CF435" i="2" s="1"/>
  <c r="CE435" i="2" s="1"/>
  <c r="CH435" i="2" s="1"/>
  <c r="BO471" i="2"/>
  <c r="CO70" i="2"/>
  <c r="CO435" i="2"/>
  <c r="DG471" i="2"/>
  <c r="DH471" i="2" s="1"/>
  <c r="DG435" i="2"/>
  <c r="DA471" i="2"/>
  <c r="DB471" i="2" s="1"/>
  <c r="BO435" i="2"/>
  <c r="DA70" i="2"/>
  <c r="DB70" i="2" s="1"/>
  <c r="CU471" i="2"/>
  <c r="CV471" i="2" s="1"/>
  <c r="CU435" i="2"/>
  <c r="BW435" i="2"/>
  <c r="BZ471" i="2"/>
  <c r="BY471" i="2" s="1"/>
  <c r="CB471" i="2" s="1"/>
  <c r="CU70" i="2"/>
  <c r="CD70" i="2"/>
  <c r="CF70" i="2" s="1"/>
  <c r="CE70" i="2" s="1"/>
  <c r="CH70" i="2" s="1"/>
  <c r="BQ70" i="2"/>
  <c r="BO169" i="2"/>
  <c r="BW70" i="2"/>
  <c r="CI70" i="2"/>
  <c r="CR471" i="2"/>
  <c r="CQ471" i="2" s="1"/>
  <c r="CT471" i="2" s="1"/>
  <c r="EA169" i="2"/>
  <c r="BS471" i="2"/>
  <c r="BV471" i="2" s="1"/>
  <c r="CF471" i="2"/>
  <c r="CE471" i="2" s="1"/>
  <c r="DG169" i="2"/>
  <c r="DH169" i="2" s="1"/>
  <c r="EA430" i="2"/>
  <c r="DA169" i="2"/>
  <c r="DB169" i="2" s="1"/>
  <c r="CL471" i="2"/>
  <c r="CK471" i="2" s="1"/>
  <c r="CN471" i="2" s="1"/>
  <c r="BY430" i="2"/>
  <c r="CB430" i="2" s="1"/>
  <c r="CE430" i="2"/>
  <c r="CH430" i="2" s="1"/>
  <c r="BS430" i="2"/>
  <c r="BV430" i="2" s="1"/>
  <c r="CV430" i="2"/>
  <c r="CX430" i="2" s="1"/>
  <c r="CW430" i="2" s="1"/>
  <c r="CZ430" i="2" s="1"/>
  <c r="CJ430" i="2"/>
  <c r="CL430" i="2" s="1"/>
  <c r="CK430" i="2" s="1"/>
  <c r="DA430" i="2"/>
  <c r="DG430" i="2"/>
  <c r="BO430" i="2"/>
  <c r="CO430" i="2"/>
  <c r="CO169" i="2"/>
  <c r="BY169" i="2"/>
  <c r="CB169" i="2" s="1"/>
  <c r="BS169" i="2"/>
  <c r="BV169" i="2" s="1"/>
  <c r="CV169" i="2"/>
  <c r="CX169" i="2" s="1"/>
  <c r="CW169" i="2" s="1"/>
  <c r="CZ169" i="2" s="1"/>
  <c r="CD169" i="2"/>
  <c r="CI169" i="2"/>
  <c r="CE1007" i="2"/>
  <c r="CH1007" i="2" s="1"/>
  <c r="BY1007" i="2"/>
  <c r="CB1007" i="2" s="1"/>
  <c r="BS1007" i="2"/>
  <c r="BV1007" i="2" s="1"/>
  <c r="CP1007" i="2"/>
  <c r="CR1007" i="2" s="1"/>
  <c r="CQ1007" i="2" s="1"/>
  <c r="CJ1007" i="2"/>
  <c r="CL1007" i="2" s="1"/>
  <c r="CK1007" i="2" s="1"/>
  <c r="BO1007" i="2"/>
  <c r="CU1007" i="2"/>
  <c r="DA1007" i="2"/>
  <c r="DG1007" i="2"/>
  <c r="BR739" i="2"/>
  <c r="BT739" i="2" s="1"/>
  <c r="BU739" i="2"/>
  <c r="BX739" i="2"/>
  <c r="BZ739" i="2" s="1"/>
  <c r="CA739" i="2"/>
  <c r="CG739" i="2"/>
  <c r="CM739" i="2"/>
  <c r="CS739" i="2"/>
  <c r="CY739" i="2"/>
  <c r="DE739" i="2"/>
  <c r="DK739" i="2"/>
  <c r="DR739" i="2"/>
  <c r="DS739" i="2"/>
  <c r="DT739" i="2" s="1"/>
  <c r="DY739" i="2"/>
  <c r="EA739" i="2" s="1"/>
  <c r="EG739" i="2"/>
  <c r="CI739" i="2" s="1"/>
  <c r="EJ739" i="2"/>
  <c r="CU739" i="2" s="1"/>
  <c r="BR434" i="2"/>
  <c r="BT434" i="2" s="1"/>
  <c r="BU434" i="2"/>
  <c r="BX434" i="2"/>
  <c r="BZ434" i="2" s="1"/>
  <c r="CA434" i="2"/>
  <c r="CG434" i="2"/>
  <c r="CM434" i="2"/>
  <c r="CS434" i="2"/>
  <c r="CY434" i="2"/>
  <c r="DE434" i="2"/>
  <c r="DK434" i="2"/>
  <c r="DR434" i="2"/>
  <c r="DS434" i="2"/>
  <c r="DT434" i="2" s="1"/>
  <c r="DU434" i="2"/>
  <c r="DW434" i="2"/>
  <c r="DY434" i="2"/>
  <c r="EG434" i="2"/>
  <c r="CI434" i="2" s="1"/>
  <c r="EJ434" i="2"/>
  <c r="CU434" i="2" s="1"/>
  <c r="BR879" i="2"/>
  <c r="BT879" i="2" s="1"/>
  <c r="BU879" i="2"/>
  <c r="BX879" i="2"/>
  <c r="BZ879" i="2" s="1"/>
  <c r="CA879" i="2"/>
  <c r="CD879" i="2"/>
  <c r="CF879" i="2" s="1"/>
  <c r="CG879" i="2"/>
  <c r="CM879" i="2"/>
  <c r="CS879" i="2"/>
  <c r="CY879" i="2"/>
  <c r="DE879" i="2"/>
  <c r="DK879" i="2"/>
  <c r="DR879" i="2"/>
  <c r="DS879" i="2"/>
  <c r="DT879" i="2" s="1"/>
  <c r="DU879" i="2"/>
  <c r="DW879" i="2"/>
  <c r="DY879" i="2"/>
  <c r="EG879" i="2"/>
  <c r="CI879" i="2" s="1"/>
  <c r="EJ879" i="2"/>
  <c r="CU879" i="2" s="1"/>
  <c r="BR1009" i="2"/>
  <c r="BT1009" i="2" s="1"/>
  <c r="BU1009" i="2"/>
  <c r="BX1009" i="2"/>
  <c r="BZ1009" i="2" s="1"/>
  <c r="CA1009" i="2"/>
  <c r="CG1009" i="2"/>
  <c r="CM1009" i="2"/>
  <c r="CS1009" i="2"/>
  <c r="CY1009" i="2"/>
  <c r="DE1009" i="2"/>
  <c r="DK1009" i="2"/>
  <c r="DR1009" i="2"/>
  <c r="DS1009" i="2"/>
  <c r="DT1009" i="2" s="1"/>
  <c r="DY1009" i="2"/>
  <c r="EA1009" i="2" s="1"/>
  <c r="EG1009" i="2"/>
  <c r="CI1009" i="2" s="1"/>
  <c r="EJ1009" i="2"/>
  <c r="CU1009" i="2" s="1"/>
  <c r="BR58" i="2"/>
  <c r="BT58" i="2" s="1"/>
  <c r="BU58" i="2"/>
  <c r="BX58" i="2"/>
  <c r="BZ58" i="2" s="1"/>
  <c r="CA58" i="2"/>
  <c r="CD58" i="2"/>
  <c r="CF58" i="2" s="1"/>
  <c r="CG58" i="2"/>
  <c r="CM58" i="2"/>
  <c r="CS58" i="2"/>
  <c r="CY58" i="2"/>
  <c r="DE58" i="2"/>
  <c r="DK58" i="2"/>
  <c r="DS58" i="2"/>
  <c r="DT58" i="2" s="1"/>
  <c r="DY58" i="2"/>
  <c r="EA58" i="2" s="1"/>
  <c r="EG58" i="2"/>
  <c r="CI58" i="2" s="1"/>
  <c r="EJ58" i="2"/>
  <c r="CU58" i="2" s="1"/>
  <c r="BR783" i="2"/>
  <c r="BT783" i="2" s="1"/>
  <c r="BU783" i="2"/>
  <c r="BX783" i="2"/>
  <c r="BZ783" i="2" s="1"/>
  <c r="CA783" i="2"/>
  <c r="CG783" i="2"/>
  <c r="CM783" i="2"/>
  <c r="CS783" i="2"/>
  <c r="CY783" i="2"/>
  <c r="DE783" i="2"/>
  <c r="DK783" i="2"/>
  <c r="DR783" i="2"/>
  <c r="DS783" i="2"/>
  <c r="DT783" i="2" s="1"/>
  <c r="DU783" i="2"/>
  <c r="DW783" i="2"/>
  <c r="ED783" i="2"/>
  <c r="EE783" i="2"/>
  <c r="EG783" i="2" s="1"/>
  <c r="EH783" i="2"/>
  <c r="EJ783" i="2" s="1"/>
  <c r="BR603" i="2"/>
  <c r="BT603" i="2" s="1"/>
  <c r="BU603" i="2"/>
  <c r="BX603" i="2"/>
  <c r="BZ603" i="2" s="1"/>
  <c r="CA603" i="2"/>
  <c r="CD603" i="2"/>
  <c r="CF603" i="2" s="1"/>
  <c r="CG603" i="2"/>
  <c r="CM603" i="2"/>
  <c r="CS603" i="2"/>
  <c r="CY603" i="2"/>
  <c r="DE603" i="2"/>
  <c r="DK603" i="2"/>
  <c r="DR603" i="2"/>
  <c r="DS603" i="2"/>
  <c r="DT603" i="2" s="1"/>
  <c r="DY603" i="2"/>
  <c r="EA603" i="2" s="1"/>
  <c r="EG603" i="2"/>
  <c r="CI603" i="2" s="1"/>
  <c r="EJ603" i="2"/>
  <c r="BO603" i="2" s="1"/>
  <c r="BU64" i="2"/>
  <c r="CA64" i="2"/>
  <c r="CG64" i="2"/>
  <c r="CM64" i="2"/>
  <c r="CS64" i="2"/>
  <c r="CY64" i="2"/>
  <c r="DE64" i="2"/>
  <c r="DK64" i="2"/>
  <c r="DR64" i="2"/>
  <c r="DS64" i="2"/>
  <c r="DT64" i="2" s="1"/>
  <c r="EA64" i="2"/>
  <c r="ED64" i="2"/>
  <c r="EE64" i="2"/>
  <c r="EG64" i="2" s="1"/>
  <c r="CC64" i="2" s="1"/>
  <c r="EH64" i="2"/>
  <c r="EI64" i="2"/>
  <c r="BU97" i="2"/>
  <c r="CA97" i="2"/>
  <c r="CG97" i="2"/>
  <c r="CM97" i="2"/>
  <c r="CS97" i="2"/>
  <c r="CY97" i="2"/>
  <c r="DE97" i="2"/>
  <c r="DK97" i="2"/>
  <c r="DR97" i="2"/>
  <c r="DS97" i="2"/>
  <c r="DT97" i="2" s="1"/>
  <c r="EA97" i="2"/>
  <c r="EE97" i="2"/>
  <c r="EG97" i="2" s="1"/>
  <c r="EJ97" i="2"/>
  <c r="BO97" i="2" s="1"/>
  <c r="BR537" i="2"/>
  <c r="BT537" i="2" s="1"/>
  <c r="BU537" i="2"/>
  <c r="CA537" i="2"/>
  <c r="CD537" i="2"/>
  <c r="CF537" i="2" s="1"/>
  <c r="CG537" i="2"/>
  <c r="CJ537" i="2"/>
  <c r="CL537" i="2" s="1"/>
  <c r="CM537" i="2"/>
  <c r="CS537" i="2"/>
  <c r="CY537" i="2"/>
  <c r="DE537" i="2"/>
  <c r="DK537" i="2"/>
  <c r="DR537" i="2"/>
  <c r="DS537" i="2"/>
  <c r="DT537" i="2" s="1"/>
  <c r="EA537" i="2"/>
  <c r="EG537" i="2"/>
  <c r="BW537" i="2" s="1"/>
  <c r="EJ537" i="2"/>
  <c r="CU537" i="2" s="1"/>
  <c r="BR623" i="2"/>
  <c r="BT623" i="2" s="1"/>
  <c r="BU623" i="2"/>
  <c r="CA623" i="2"/>
  <c r="CD623" i="2"/>
  <c r="CF623" i="2" s="1"/>
  <c r="CG623" i="2"/>
  <c r="CJ623" i="2"/>
  <c r="CL623" i="2" s="1"/>
  <c r="CM623" i="2"/>
  <c r="CS623" i="2"/>
  <c r="CY623" i="2"/>
  <c r="DE623" i="2"/>
  <c r="DK623" i="2"/>
  <c r="DR623" i="2"/>
  <c r="DS623" i="2"/>
  <c r="DT623" i="2" s="1"/>
  <c r="EA623" i="2"/>
  <c r="EG623" i="2"/>
  <c r="BW623" i="2" s="1"/>
  <c r="EJ623" i="2"/>
  <c r="CO623" i="2" s="1"/>
  <c r="BU338" i="2"/>
  <c r="CA338" i="2"/>
  <c r="CG338" i="2"/>
  <c r="CM338" i="2"/>
  <c r="CS338" i="2"/>
  <c r="CY338" i="2"/>
  <c r="DE338" i="2"/>
  <c r="DK338" i="2"/>
  <c r="DS338" i="2"/>
  <c r="DT338" i="2" s="1"/>
  <c r="EA338" i="2"/>
  <c r="EG338" i="2"/>
  <c r="CC338" i="2" s="1"/>
  <c r="EJ338" i="2"/>
  <c r="DA338" i="2" s="1"/>
  <c r="BR443" i="2"/>
  <c r="BT443" i="2" s="1"/>
  <c r="BU443" i="2"/>
  <c r="CA443" i="2"/>
  <c r="CG443" i="2"/>
  <c r="CM443" i="2"/>
  <c r="CS443" i="2"/>
  <c r="CY443" i="2"/>
  <c r="DE443" i="2"/>
  <c r="DK443" i="2"/>
  <c r="DS443" i="2"/>
  <c r="DT443" i="2" s="1"/>
  <c r="EA443" i="2"/>
  <c r="EG443" i="2"/>
  <c r="CC443" i="2" s="1"/>
  <c r="EJ443" i="2"/>
  <c r="DA443" i="2" s="1"/>
  <c r="BR930" i="2"/>
  <c r="BU930" i="2"/>
  <c r="BX930" i="2"/>
  <c r="BZ930" i="2" s="1"/>
  <c r="CA930" i="2"/>
  <c r="CG930" i="2"/>
  <c r="CM930" i="2"/>
  <c r="CS930" i="2"/>
  <c r="CY930" i="2"/>
  <c r="DE930" i="2"/>
  <c r="DK930" i="2"/>
  <c r="DR930" i="2"/>
  <c r="DS930" i="2"/>
  <c r="DT930" i="2" s="1"/>
  <c r="EA930" i="2"/>
  <c r="EG930" i="2"/>
  <c r="CI930" i="2" s="1"/>
  <c r="EJ930" i="2"/>
  <c r="CU930" i="2" s="1"/>
  <c r="BR682" i="2"/>
  <c r="BT682" i="2" s="1"/>
  <c r="BU682" i="2"/>
  <c r="BX682" i="2"/>
  <c r="BZ682" i="2" s="1"/>
  <c r="CA682" i="2"/>
  <c r="CD682" i="2"/>
  <c r="CF682" i="2" s="1"/>
  <c r="CG682" i="2"/>
  <c r="CJ682" i="2"/>
  <c r="CL682" i="2" s="1"/>
  <c r="CM682" i="2"/>
  <c r="CP682" i="2"/>
  <c r="CR682" i="2" s="1"/>
  <c r="CS682" i="2"/>
  <c r="CV682" i="2"/>
  <c r="CX682" i="2" s="1"/>
  <c r="CY682" i="2"/>
  <c r="DB682" i="2"/>
  <c r="DD682" i="2" s="1"/>
  <c r="DE682" i="2"/>
  <c r="DH682" i="2"/>
  <c r="DJ682" i="2" s="1"/>
  <c r="DK682" i="2"/>
  <c r="DM682" i="2"/>
  <c r="DR682" i="2"/>
  <c r="DS682" i="2"/>
  <c r="DT682" i="2" s="1"/>
  <c r="EA682" i="2"/>
  <c r="EG682" i="2"/>
  <c r="EJ682" i="2"/>
  <c r="BO682" i="2" s="1"/>
  <c r="BR657" i="2"/>
  <c r="BT657" i="2" s="1"/>
  <c r="BU657" i="2"/>
  <c r="CA657" i="2"/>
  <c r="CG657" i="2"/>
  <c r="CM657" i="2"/>
  <c r="CS657" i="2"/>
  <c r="CY657" i="2"/>
  <c r="DE657" i="2"/>
  <c r="DK657" i="2"/>
  <c r="DR657" i="2"/>
  <c r="DS657" i="2"/>
  <c r="DT657" i="2"/>
  <c r="EA657" i="2"/>
  <c r="EG657" i="2"/>
  <c r="CC657" i="2" s="1"/>
  <c r="EJ657" i="2"/>
  <c r="DA657" i="2" s="1"/>
  <c r="BR948" i="2"/>
  <c r="BT948" i="2" s="1"/>
  <c r="BU948" i="2"/>
  <c r="BX948" i="2"/>
  <c r="BZ948" i="2" s="1"/>
  <c r="CA948" i="2"/>
  <c r="CD948" i="2"/>
  <c r="CF948" i="2" s="1"/>
  <c r="CG948" i="2"/>
  <c r="CJ948" i="2"/>
  <c r="CL948" i="2" s="1"/>
  <c r="CM948" i="2"/>
  <c r="CP948" i="2"/>
  <c r="CR948" i="2" s="1"/>
  <c r="CS948" i="2"/>
  <c r="CY948" i="2"/>
  <c r="DE948" i="2"/>
  <c r="DK948" i="2"/>
  <c r="DR948" i="2"/>
  <c r="DS948" i="2"/>
  <c r="DT948" i="2" s="1"/>
  <c r="EA948" i="2"/>
  <c r="EG948" i="2"/>
  <c r="EJ948" i="2"/>
  <c r="BO948" i="2" s="1"/>
  <c r="BR936" i="2"/>
  <c r="BT936" i="2" s="1"/>
  <c r="BU936" i="2"/>
  <c r="BX936" i="2"/>
  <c r="BZ936" i="2" s="1"/>
  <c r="CA936" i="2"/>
  <c r="CD936" i="2"/>
  <c r="CF936" i="2" s="1"/>
  <c r="CG936" i="2"/>
  <c r="CJ936" i="2"/>
  <c r="CL936" i="2" s="1"/>
  <c r="CM936" i="2"/>
  <c r="CR936" i="2"/>
  <c r="CS936" i="2"/>
  <c r="CY936" i="2"/>
  <c r="DE936" i="2"/>
  <c r="DK936" i="2"/>
  <c r="DR936" i="2"/>
  <c r="DS936" i="2"/>
  <c r="DT936" i="2" s="1"/>
  <c r="EA936" i="2"/>
  <c r="EG936" i="2"/>
  <c r="EJ936" i="2"/>
  <c r="CU936" i="2" s="1"/>
  <c r="BR857" i="2"/>
  <c r="BT857" i="2" s="1"/>
  <c r="BU857" i="2"/>
  <c r="BX857" i="2"/>
  <c r="BZ857" i="2" s="1"/>
  <c r="CA857" i="2"/>
  <c r="CC857" i="2"/>
  <c r="CD857" i="2" s="1"/>
  <c r="CG857" i="2"/>
  <c r="CI857" i="2"/>
  <c r="CM857" i="2"/>
  <c r="CS857" i="2"/>
  <c r="CY857" i="2"/>
  <c r="DE857" i="2"/>
  <c r="DK857" i="2"/>
  <c r="DR857" i="2"/>
  <c r="DS857" i="2"/>
  <c r="DT857" i="2"/>
  <c r="DU857" i="2"/>
  <c r="DW857" i="2"/>
  <c r="DY857" i="2"/>
  <c r="EJ857" i="2"/>
  <c r="DA857" i="2" s="1"/>
  <c r="DB857" i="2" s="1"/>
  <c r="BR543" i="2"/>
  <c r="BT543" i="2" s="1"/>
  <c r="BU543" i="2"/>
  <c r="CA543" i="2"/>
  <c r="CG543" i="2"/>
  <c r="CM543" i="2"/>
  <c r="CS543" i="2"/>
  <c r="CY543" i="2"/>
  <c r="DE543" i="2"/>
  <c r="DK543" i="2"/>
  <c r="DR543" i="2"/>
  <c r="DS543" i="2"/>
  <c r="DT543" i="2" s="1"/>
  <c r="DU543" i="2"/>
  <c r="DW543" i="2"/>
  <c r="DY543" i="2"/>
  <c r="EG543" i="2"/>
  <c r="BW543" i="2" s="1"/>
  <c r="EJ543" i="2"/>
  <c r="DA543" i="2" s="1"/>
  <c r="BR689" i="2"/>
  <c r="BT689" i="2" s="1"/>
  <c r="BU689" i="2"/>
  <c r="BX689" i="2"/>
  <c r="BZ689" i="2" s="1"/>
  <c r="CA689" i="2"/>
  <c r="CD689" i="2"/>
  <c r="CF689" i="2" s="1"/>
  <c r="CG689" i="2"/>
  <c r="CJ689" i="2"/>
  <c r="CL689" i="2" s="1"/>
  <c r="CM689" i="2"/>
  <c r="CS689" i="2"/>
  <c r="CY689" i="2"/>
  <c r="DE689" i="2"/>
  <c r="DK689" i="2"/>
  <c r="DR689" i="2"/>
  <c r="DS689" i="2"/>
  <c r="DT689" i="2" s="1"/>
  <c r="EA689" i="2"/>
  <c r="EG689" i="2"/>
  <c r="EJ689" i="2"/>
  <c r="CO689" i="2" s="1"/>
  <c r="IP8" i="11"/>
  <c r="CL842" i="2" l="1"/>
  <c r="CK842" i="2" s="1"/>
  <c r="CN842" i="2" s="1"/>
  <c r="DD169" i="2"/>
  <c r="DC169" i="2" s="1"/>
  <c r="DF169" i="2" s="1"/>
  <c r="CL718" i="2"/>
  <c r="CK718" i="2" s="1"/>
  <c r="CN718" i="2" s="1"/>
  <c r="CL556" i="2"/>
  <c r="CK556" i="2" s="1"/>
  <c r="CN556" i="2" s="1"/>
  <c r="CH556" i="2"/>
  <c r="CF260" i="2"/>
  <c r="CE260" i="2" s="1"/>
  <c r="CH260" i="2" s="1"/>
  <c r="CV556" i="2"/>
  <c r="CX556" i="2" s="1"/>
  <c r="CW556" i="2" s="1"/>
  <c r="CP556" i="2"/>
  <c r="DH556" i="2"/>
  <c r="DJ556" i="2" s="1"/>
  <c r="DI556" i="2" s="1"/>
  <c r="BX556" i="2"/>
  <c r="BZ556" i="2" s="1"/>
  <c r="BY556" i="2" s="1"/>
  <c r="DM556" i="2"/>
  <c r="CH842" i="2"/>
  <c r="BX718" i="2"/>
  <c r="BZ718" i="2" s="1"/>
  <c r="BY718" i="2" s="1"/>
  <c r="DM718" i="2"/>
  <c r="CV718" i="2"/>
  <c r="CH718" i="2"/>
  <c r="CP718" i="2"/>
  <c r="BX842" i="2"/>
  <c r="BZ842" i="2" s="1"/>
  <c r="BY842" i="2" s="1"/>
  <c r="DM842" i="2"/>
  <c r="CV842" i="2"/>
  <c r="CP842" i="2"/>
  <c r="CR842" i="2" s="1"/>
  <c r="CQ842" i="2" s="1"/>
  <c r="CT842" i="2" s="1"/>
  <c r="CX471" i="2"/>
  <c r="CW471" i="2" s="1"/>
  <c r="CZ471" i="2" s="1"/>
  <c r="DD70" i="2"/>
  <c r="DC70" i="2" s="1"/>
  <c r="DF70" i="2" s="1"/>
  <c r="CJ260" i="2"/>
  <c r="CL260" i="2" s="1"/>
  <c r="CK260" i="2" s="1"/>
  <c r="DM260" i="2"/>
  <c r="DH842" i="2"/>
  <c r="DJ842" i="2" s="1"/>
  <c r="DI842" i="2" s="1"/>
  <c r="DL842" i="2" s="1"/>
  <c r="DJ70" i="2"/>
  <c r="DI70" i="2" s="1"/>
  <c r="DL70" i="2" s="1"/>
  <c r="CX241" i="2"/>
  <c r="CW241" i="2" s="1"/>
  <c r="CZ241" i="2" s="1"/>
  <c r="DH260" i="2"/>
  <c r="CT260" i="2"/>
  <c r="CV260" i="2"/>
  <c r="CX260" i="2" s="1"/>
  <c r="CW260" i="2" s="1"/>
  <c r="DH241" i="2"/>
  <c r="DJ241" i="2" s="1"/>
  <c r="DI241" i="2" s="1"/>
  <c r="BZ260" i="2"/>
  <c r="BY260" i="2" s="1"/>
  <c r="DJ169" i="2"/>
  <c r="DI169" i="2" s="1"/>
  <c r="DL169" i="2" s="1"/>
  <c r="DM430" i="2"/>
  <c r="CL435" i="2"/>
  <c r="CK435" i="2" s="1"/>
  <c r="CN435" i="2" s="1"/>
  <c r="CJ241" i="2"/>
  <c r="CL241" i="2" s="1"/>
  <c r="CK241" i="2" s="1"/>
  <c r="CN241" i="2" s="1"/>
  <c r="CT241" i="2"/>
  <c r="BX241" i="2"/>
  <c r="BZ241" i="2" s="1"/>
  <c r="BY241" i="2" s="1"/>
  <c r="DM241" i="2"/>
  <c r="DN471" i="2"/>
  <c r="DJ471" i="2"/>
  <c r="DI471" i="2" s="1"/>
  <c r="DL471" i="2" s="1"/>
  <c r="DH435" i="2"/>
  <c r="DJ435" i="2" s="1"/>
  <c r="DI435" i="2" s="1"/>
  <c r="DL435" i="2" s="1"/>
  <c r="DD471" i="2"/>
  <c r="DC471" i="2" s="1"/>
  <c r="DF471" i="2" s="1"/>
  <c r="BX435" i="2"/>
  <c r="DM435" i="2"/>
  <c r="CV70" i="2"/>
  <c r="CV435" i="2"/>
  <c r="CX435" i="2" s="1"/>
  <c r="CW435" i="2" s="1"/>
  <c r="CP435" i="2"/>
  <c r="CR435" i="2" s="1"/>
  <c r="CQ435" i="2" s="1"/>
  <c r="CP70" i="2"/>
  <c r="CR70" i="2" s="1"/>
  <c r="CQ70" i="2" s="1"/>
  <c r="DM471" i="2"/>
  <c r="DM70" i="2"/>
  <c r="BR70" i="2"/>
  <c r="BX70" i="2"/>
  <c r="CJ70" i="2"/>
  <c r="CL70" i="2" s="1"/>
  <c r="CK70" i="2" s="1"/>
  <c r="CH471" i="2"/>
  <c r="DM1007" i="2"/>
  <c r="CN430" i="2"/>
  <c r="CP169" i="2"/>
  <c r="DH430" i="2"/>
  <c r="DJ430" i="2" s="1"/>
  <c r="DI430" i="2" s="1"/>
  <c r="DL430" i="2" s="1"/>
  <c r="DB430" i="2"/>
  <c r="DD430" i="2" s="1"/>
  <c r="DC430" i="2" s="1"/>
  <c r="CP430" i="2"/>
  <c r="CF169" i="2"/>
  <c r="CE169" i="2" s="1"/>
  <c r="CJ169" i="2"/>
  <c r="CL169" i="2" s="1"/>
  <c r="CK169" i="2" s="1"/>
  <c r="CN169" i="2" s="1"/>
  <c r="CC739" i="2"/>
  <c r="CD739" i="2" s="1"/>
  <c r="DM169" i="2"/>
  <c r="CV1007" i="2"/>
  <c r="CX1007" i="2" s="1"/>
  <c r="CW1007" i="2" s="1"/>
  <c r="CN1007" i="2"/>
  <c r="CC1009" i="2"/>
  <c r="CD1009" i="2" s="1"/>
  <c r="CO879" i="2"/>
  <c r="CP879" i="2" s="1"/>
  <c r="CR879" i="2" s="1"/>
  <c r="CQ879" i="2" s="1"/>
  <c r="CT879" i="2" s="1"/>
  <c r="CT1007" i="2"/>
  <c r="DH1007" i="2"/>
  <c r="DJ1007" i="2" s="1"/>
  <c r="DI1007" i="2" s="1"/>
  <c r="DB1007" i="2"/>
  <c r="BY739" i="2"/>
  <c r="CB739" i="2" s="1"/>
  <c r="BS739" i="2"/>
  <c r="BV739" i="2" s="1"/>
  <c r="CV739" i="2"/>
  <c r="CX739" i="2" s="1"/>
  <c r="CW739" i="2" s="1"/>
  <c r="CJ739" i="2"/>
  <c r="DA739" i="2"/>
  <c r="DG434" i="2"/>
  <c r="DH434" i="2" s="1"/>
  <c r="DJ434" i="2" s="1"/>
  <c r="DI434" i="2" s="1"/>
  <c r="CC434" i="2"/>
  <c r="CD434" i="2" s="1"/>
  <c r="DG739" i="2"/>
  <c r="EA434" i="2"/>
  <c r="DA434" i="2"/>
  <c r="DB434" i="2" s="1"/>
  <c r="EJ64" i="2"/>
  <c r="CU64" i="2" s="1"/>
  <c r="DG879" i="2"/>
  <c r="DH879" i="2" s="1"/>
  <c r="DJ879" i="2" s="1"/>
  <c r="DI879" i="2" s="1"/>
  <c r="DL879" i="2" s="1"/>
  <c r="CO739" i="2"/>
  <c r="BO739" i="2"/>
  <c r="EA879" i="2"/>
  <c r="BY434" i="2"/>
  <c r="CB434" i="2" s="1"/>
  <c r="BS434" i="2"/>
  <c r="BV434" i="2" s="1"/>
  <c r="CV434" i="2"/>
  <c r="CX434" i="2" s="1"/>
  <c r="CW434" i="2" s="1"/>
  <c r="CZ434" i="2" s="1"/>
  <c r="CJ434" i="2"/>
  <c r="BO879" i="2"/>
  <c r="CO434" i="2"/>
  <c r="BO434" i="2"/>
  <c r="DA879" i="2"/>
  <c r="CE879" i="2"/>
  <c r="CH879" i="2" s="1"/>
  <c r="BY879" i="2"/>
  <c r="CB879" i="2" s="1"/>
  <c r="BS879" i="2"/>
  <c r="BV879" i="2" s="1"/>
  <c r="CV879" i="2"/>
  <c r="CX879" i="2" s="1"/>
  <c r="CW879" i="2" s="1"/>
  <c r="CZ879" i="2" s="1"/>
  <c r="CJ879" i="2"/>
  <c r="CL879" i="2" s="1"/>
  <c r="CK879" i="2" s="1"/>
  <c r="BY1009" i="2"/>
  <c r="CB1009" i="2" s="1"/>
  <c r="BS1009" i="2"/>
  <c r="BV1009" i="2" s="1"/>
  <c r="CV1009" i="2"/>
  <c r="CX1009" i="2" s="1"/>
  <c r="CW1009" i="2" s="1"/>
  <c r="CZ1009" i="2" s="1"/>
  <c r="DA1009" i="2"/>
  <c r="CJ1009" i="2"/>
  <c r="DG1009" i="2"/>
  <c r="DY783" i="2"/>
  <c r="EA783" i="2" s="1"/>
  <c r="DA58" i="2"/>
  <c r="CO1009" i="2"/>
  <c r="BO1009" i="2"/>
  <c r="CE58" i="2"/>
  <c r="CH58" i="2" s="1"/>
  <c r="BY58" i="2"/>
  <c r="CB58" i="2" s="1"/>
  <c r="BS58" i="2"/>
  <c r="BV58" i="2" s="1"/>
  <c r="CJ58" i="2"/>
  <c r="CL58" i="2" s="1"/>
  <c r="CK58" i="2" s="1"/>
  <c r="CV58" i="2"/>
  <c r="CX58" i="2" s="1"/>
  <c r="CW58" i="2" s="1"/>
  <c r="CU603" i="2"/>
  <c r="CV603" i="2" s="1"/>
  <c r="CX603" i="2" s="1"/>
  <c r="CW603" i="2" s="1"/>
  <c r="BY603" i="2"/>
  <c r="CB603" i="2" s="1"/>
  <c r="BS603" i="2"/>
  <c r="BV603" i="2" s="1"/>
  <c r="DG58" i="2"/>
  <c r="CO603" i="2"/>
  <c r="CP603" i="2" s="1"/>
  <c r="BO58" i="2"/>
  <c r="CO58" i="2"/>
  <c r="CE603" i="2"/>
  <c r="CH603" i="2" s="1"/>
  <c r="DG603" i="2"/>
  <c r="DH603" i="2" s="1"/>
  <c r="BY783" i="2"/>
  <c r="CB783" i="2" s="1"/>
  <c r="BS783" i="2"/>
  <c r="BV783" i="2" s="1"/>
  <c r="CJ603" i="2"/>
  <c r="CL603" i="2" s="1"/>
  <c r="CK603" i="2" s="1"/>
  <c r="CN603" i="2" s="1"/>
  <c r="CI783" i="2"/>
  <c r="CC783" i="2"/>
  <c r="CU783" i="2"/>
  <c r="BO783" i="2"/>
  <c r="CO783" i="2"/>
  <c r="DG783" i="2"/>
  <c r="DA783" i="2"/>
  <c r="BW64" i="2"/>
  <c r="CI64" i="2"/>
  <c r="CJ64" i="2" s="1"/>
  <c r="BQ64" i="2"/>
  <c r="DA603" i="2"/>
  <c r="DG537" i="2"/>
  <c r="DH537" i="2" s="1"/>
  <c r="DJ537" i="2" s="1"/>
  <c r="DI537" i="2" s="1"/>
  <c r="CK537" i="2"/>
  <c r="CN537" i="2" s="1"/>
  <c r="CD64" i="2"/>
  <c r="CF64" i="2" s="1"/>
  <c r="CE64" i="2" s="1"/>
  <c r="BW97" i="2"/>
  <c r="BQ97" i="2"/>
  <c r="CI97" i="2"/>
  <c r="CC97" i="2"/>
  <c r="DA97" i="2"/>
  <c r="CI338" i="2"/>
  <c r="CJ338" i="2" s="1"/>
  <c r="DG97" i="2"/>
  <c r="DA537" i="2"/>
  <c r="CO97" i="2"/>
  <c r="DA623" i="2"/>
  <c r="CU97" i="2"/>
  <c r="CU623" i="2"/>
  <c r="CV623" i="2" s="1"/>
  <c r="BS623" i="2"/>
  <c r="BV623" i="2" s="1"/>
  <c r="CK623" i="2"/>
  <c r="CN623" i="2" s="1"/>
  <c r="CE537" i="2"/>
  <c r="CH537" i="2" s="1"/>
  <c r="CE623" i="2"/>
  <c r="CH623" i="2" s="1"/>
  <c r="BS537" i="2"/>
  <c r="BV537" i="2" s="1"/>
  <c r="BX537" i="2"/>
  <c r="BZ537" i="2" s="1"/>
  <c r="BY537" i="2" s="1"/>
  <c r="CP623" i="2"/>
  <c r="CR623" i="2" s="1"/>
  <c r="CQ623" i="2" s="1"/>
  <c r="CV537" i="2"/>
  <c r="CX537" i="2" s="1"/>
  <c r="CW537" i="2" s="1"/>
  <c r="CZ537" i="2" s="1"/>
  <c r="BX623" i="2"/>
  <c r="BZ623" i="2" s="1"/>
  <c r="BY623" i="2" s="1"/>
  <c r="CB623" i="2" s="1"/>
  <c r="DG623" i="2"/>
  <c r="BO537" i="2"/>
  <c r="CI443" i="2"/>
  <c r="CJ443" i="2" s="1"/>
  <c r="CL443" i="2" s="1"/>
  <c r="CK443" i="2" s="1"/>
  <c r="CN443" i="2" s="1"/>
  <c r="BO623" i="2"/>
  <c r="CO537" i="2"/>
  <c r="DB338" i="2"/>
  <c r="DD338" i="2" s="1"/>
  <c r="DC338" i="2" s="1"/>
  <c r="CD338" i="2"/>
  <c r="DG338" i="2"/>
  <c r="CO338" i="2"/>
  <c r="BQ338" i="2"/>
  <c r="CU338" i="2"/>
  <c r="BW338" i="2"/>
  <c r="BO338" i="2"/>
  <c r="BS443" i="2"/>
  <c r="BV443" i="2" s="1"/>
  <c r="CD443" i="2"/>
  <c r="CF443" i="2" s="1"/>
  <c r="CE443" i="2" s="1"/>
  <c r="CH443" i="2" s="1"/>
  <c r="DB443" i="2"/>
  <c r="DD443" i="2" s="1"/>
  <c r="DC443" i="2" s="1"/>
  <c r="DG443" i="2"/>
  <c r="CO443" i="2"/>
  <c r="DG657" i="2"/>
  <c r="DH657" i="2" s="1"/>
  <c r="DJ657" i="2" s="1"/>
  <c r="DI657" i="2" s="1"/>
  <c r="BO443" i="2"/>
  <c r="CK682" i="2"/>
  <c r="CN682" i="2" s="1"/>
  <c r="CU443" i="2"/>
  <c r="BW443" i="2"/>
  <c r="DG930" i="2"/>
  <c r="DH930" i="2" s="1"/>
  <c r="DJ930" i="2" s="1"/>
  <c r="DI930" i="2" s="1"/>
  <c r="BY930" i="2"/>
  <c r="CB930" i="2" s="1"/>
  <c r="CJ930" i="2"/>
  <c r="CL930" i="2" s="1"/>
  <c r="CK930" i="2" s="1"/>
  <c r="CV930" i="2"/>
  <c r="CX930" i="2" s="1"/>
  <c r="CW930" i="2" s="1"/>
  <c r="CZ930" i="2" s="1"/>
  <c r="DA930" i="2"/>
  <c r="CC930" i="2"/>
  <c r="BT930" i="2"/>
  <c r="BS930" i="2" s="1"/>
  <c r="BV930" i="2" s="1"/>
  <c r="CW682" i="2"/>
  <c r="CZ682" i="2" s="1"/>
  <c r="CE682" i="2"/>
  <c r="CH682" i="2" s="1"/>
  <c r="CQ682" i="2"/>
  <c r="CT682" i="2" s="1"/>
  <c r="CO930" i="2"/>
  <c r="BO930" i="2"/>
  <c r="DI682" i="2"/>
  <c r="DL682" i="2" s="1"/>
  <c r="BY682" i="2"/>
  <c r="CB682" i="2" s="1"/>
  <c r="DC682" i="2"/>
  <c r="DF682" i="2" s="1"/>
  <c r="BS682" i="2"/>
  <c r="BV682" i="2" s="1"/>
  <c r="CU948" i="2"/>
  <c r="CV948" i="2" s="1"/>
  <c r="DN682" i="2"/>
  <c r="BO857" i="2"/>
  <c r="DA936" i="2"/>
  <c r="DB936" i="2" s="1"/>
  <c r="DD936" i="2" s="1"/>
  <c r="DC936" i="2" s="1"/>
  <c r="DF936" i="2" s="1"/>
  <c r="BY936" i="2"/>
  <c r="CB936" i="2" s="1"/>
  <c r="BS657" i="2"/>
  <c r="BV657" i="2" s="1"/>
  <c r="CD657" i="2"/>
  <c r="CF657" i="2" s="1"/>
  <c r="CE657" i="2" s="1"/>
  <c r="CH657" i="2" s="1"/>
  <c r="CV936" i="2"/>
  <c r="CX936" i="2" s="1"/>
  <c r="CW936" i="2" s="1"/>
  <c r="CZ936" i="2" s="1"/>
  <c r="DB657" i="2"/>
  <c r="DD657" i="2" s="1"/>
  <c r="DC657" i="2" s="1"/>
  <c r="DG936" i="2"/>
  <c r="DH936" i="2" s="1"/>
  <c r="CI657" i="2"/>
  <c r="EA857" i="2"/>
  <c r="CU857" i="2"/>
  <c r="CV857" i="2" s="1"/>
  <c r="BO936" i="2"/>
  <c r="DG948" i="2"/>
  <c r="DH948" i="2" s="1"/>
  <c r="CO657" i="2"/>
  <c r="CE936" i="2"/>
  <c r="CH936" i="2" s="1"/>
  <c r="CK948" i="2"/>
  <c r="CN948" i="2" s="1"/>
  <c r="BO657" i="2"/>
  <c r="CO857" i="2"/>
  <c r="CP857" i="2" s="1"/>
  <c r="CR857" i="2" s="1"/>
  <c r="CQ857" i="2" s="1"/>
  <c r="CU657" i="2"/>
  <c r="BW657" i="2"/>
  <c r="DA948" i="2"/>
  <c r="CK936" i="2"/>
  <c r="CN936" i="2" s="1"/>
  <c r="CE948" i="2"/>
  <c r="CH948" i="2" s="1"/>
  <c r="CQ948" i="2"/>
  <c r="CT948" i="2" s="1"/>
  <c r="BY948" i="2"/>
  <c r="CB948" i="2" s="1"/>
  <c r="BS948" i="2"/>
  <c r="BV948" i="2" s="1"/>
  <c r="DG857" i="2"/>
  <c r="DH857" i="2" s="1"/>
  <c r="DJ857" i="2" s="1"/>
  <c r="DI857" i="2" s="1"/>
  <c r="BV936" i="2"/>
  <c r="CC543" i="2"/>
  <c r="CD543" i="2" s="1"/>
  <c r="BY857" i="2"/>
  <c r="CB857" i="2" s="1"/>
  <c r="BS857" i="2"/>
  <c r="BV857" i="2" s="1"/>
  <c r="CJ857" i="2"/>
  <c r="CL857" i="2" s="1"/>
  <c r="CK857" i="2" s="1"/>
  <c r="CN857" i="2" s="1"/>
  <c r="DD857" i="2"/>
  <c r="DC857" i="2" s="1"/>
  <c r="DF857" i="2" s="1"/>
  <c r="CF857" i="2"/>
  <c r="CE857" i="2" s="1"/>
  <c r="CH857" i="2" s="1"/>
  <c r="CU689" i="2"/>
  <c r="CV689" i="2" s="1"/>
  <c r="EA543" i="2"/>
  <c r="CI543" i="2"/>
  <c r="BS543" i="2"/>
  <c r="BV543" i="2" s="1"/>
  <c r="DB543" i="2"/>
  <c r="DD543" i="2" s="1"/>
  <c r="DC543" i="2" s="1"/>
  <c r="BX543" i="2"/>
  <c r="DG543" i="2"/>
  <c r="CK689" i="2"/>
  <c r="CN689" i="2" s="1"/>
  <c r="CO543" i="2"/>
  <c r="BO543" i="2"/>
  <c r="CU543" i="2"/>
  <c r="DA689" i="2"/>
  <c r="DB689" i="2" s="1"/>
  <c r="CE689" i="2"/>
  <c r="CH689" i="2" s="1"/>
  <c r="BY689" i="2"/>
  <c r="CB689" i="2" s="1"/>
  <c r="BS689" i="2"/>
  <c r="BV689" i="2" s="1"/>
  <c r="CP689" i="2"/>
  <c r="CR689" i="2" s="1"/>
  <c r="CQ689" i="2" s="1"/>
  <c r="CT689" i="2" s="1"/>
  <c r="DG689" i="2"/>
  <c r="BO689" i="2"/>
  <c r="BR741" i="2"/>
  <c r="BT741" i="2" s="1"/>
  <c r="BU741" i="2"/>
  <c r="CA741" i="2"/>
  <c r="CG741" i="2"/>
  <c r="CM741" i="2"/>
  <c r="CS741" i="2"/>
  <c r="CY741" i="2"/>
  <c r="DE741" i="2"/>
  <c r="DK741" i="2"/>
  <c r="DN741" i="2"/>
  <c r="DX741" i="2"/>
  <c r="DY741" i="2"/>
  <c r="DZ741" i="2" s="1"/>
  <c r="EG741" i="2"/>
  <c r="EM741" i="2"/>
  <c r="CC741" i="2" s="1"/>
  <c r="EP741" i="2"/>
  <c r="DA741" i="2" s="1"/>
  <c r="DL556" i="2" l="1"/>
  <c r="CZ556" i="2"/>
  <c r="DN556" i="2"/>
  <c r="CB556" i="2"/>
  <c r="CR556" i="2"/>
  <c r="CQ556" i="2" s="1"/>
  <c r="CT556" i="2" s="1"/>
  <c r="CX718" i="2"/>
  <c r="CW718" i="2" s="1"/>
  <c r="CZ718" i="2" s="1"/>
  <c r="DN260" i="2"/>
  <c r="CR718" i="2"/>
  <c r="CQ718" i="2" s="1"/>
  <c r="CT718" i="2" s="1"/>
  <c r="DN718" i="2"/>
  <c r="CB718" i="2"/>
  <c r="CX842" i="2"/>
  <c r="CW842" i="2" s="1"/>
  <c r="CZ842" i="2" s="1"/>
  <c r="DN842" i="2"/>
  <c r="CN260" i="2"/>
  <c r="CB842" i="2"/>
  <c r="CZ260" i="2"/>
  <c r="DL241" i="2"/>
  <c r="DJ260" i="2"/>
  <c r="DI260" i="2" s="1"/>
  <c r="DL260" i="2" s="1"/>
  <c r="CB260" i="2"/>
  <c r="CB241" i="2"/>
  <c r="DO241" i="2"/>
  <c r="DN241" i="2"/>
  <c r="CT435" i="2"/>
  <c r="CZ435" i="2"/>
  <c r="DN169" i="2"/>
  <c r="DN435" i="2"/>
  <c r="CT70" i="2"/>
  <c r="CX70" i="2"/>
  <c r="CW70" i="2" s="1"/>
  <c r="CZ70" i="2" s="1"/>
  <c r="DO471" i="2"/>
  <c r="DP471" i="2" s="1"/>
  <c r="BZ435" i="2"/>
  <c r="BY435" i="2" s="1"/>
  <c r="DO435" i="2" s="1"/>
  <c r="BZ70" i="2"/>
  <c r="BY70" i="2" s="1"/>
  <c r="CB70" i="2" s="1"/>
  <c r="DN70" i="2"/>
  <c r="CN70" i="2"/>
  <c r="BT70" i="2"/>
  <c r="BS70" i="2" s="1"/>
  <c r="DN430" i="2"/>
  <c r="CR430" i="2"/>
  <c r="CQ430" i="2" s="1"/>
  <c r="CR169" i="2"/>
  <c r="CQ169" i="2" s="1"/>
  <c r="CT169" i="2" s="1"/>
  <c r="DF430" i="2"/>
  <c r="CF434" i="2"/>
  <c r="CE434" i="2" s="1"/>
  <c r="CH434" i="2" s="1"/>
  <c r="CZ739" i="2"/>
  <c r="DG64" i="2"/>
  <c r="DH64" i="2" s="1"/>
  <c r="DM739" i="2"/>
  <c r="CF739" i="2"/>
  <c r="CE739" i="2" s="1"/>
  <c r="CH739" i="2" s="1"/>
  <c r="DN1007" i="2"/>
  <c r="CH169" i="2"/>
  <c r="DD1007" i="2"/>
  <c r="DC1007" i="2" s="1"/>
  <c r="DF1007" i="2" s="1"/>
  <c r="CO64" i="2"/>
  <c r="CP64" i="2" s="1"/>
  <c r="CR64" i="2" s="1"/>
  <c r="CQ64" i="2" s="1"/>
  <c r="CZ1007" i="2"/>
  <c r="BO64" i="2"/>
  <c r="DL1007" i="2"/>
  <c r="DA64" i="2"/>
  <c r="DB64" i="2" s="1"/>
  <c r="DD64" i="2" s="1"/>
  <c r="DC64" i="2" s="1"/>
  <c r="DF64" i="2" s="1"/>
  <c r="CF1009" i="2"/>
  <c r="CE1009" i="2" s="1"/>
  <c r="CH1009" i="2" s="1"/>
  <c r="DM1009" i="2"/>
  <c r="DD434" i="2"/>
  <c r="DC434" i="2" s="1"/>
  <c r="DF434" i="2" s="1"/>
  <c r="CL739" i="2"/>
  <c r="CK739" i="2" s="1"/>
  <c r="CN739" i="2" s="1"/>
  <c r="CP739" i="2"/>
  <c r="CR739" i="2" s="1"/>
  <c r="CQ739" i="2" s="1"/>
  <c r="CT739" i="2" s="1"/>
  <c r="DH739" i="2"/>
  <c r="DJ739" i="2" s="1"/>
  <c r="DI739" i="2" s="1"/>
  <c r="DB739" i="2"/>
  <c r="DB879" i="2"/>
  <c r="DN879" i="2" s="1"/>
  <c r="CP434" i="2"/>
  <c r="DN434" i="2" s="1"/>
  <c r="DM434" i="2"/>
  <c r="DM879" i="2"/>
  <c r="DL434" i="2"/>
  <c r="CL434" i="2"/>
  <c r="CK434" i="2" s="1"/>
  <c r="CN434" i="2" s="1"/>
  <c r="CN879" i="2"/>
  <c r="CR603" i="2"/>
  <c r="CQ603" i="2" s="1"/>
  <c r="CT603" i="2" s="1"/>
  <c r="CP1009" i="2"/>
  <c r="DB1009" i="2"/>
  <c r="DD1009" i="2" s="1"/>
  <c r="DC1009" i="2" s="1"/>
  <c r="DF1009" i="2" s="1"/>
  <c r="DB58" i="2"/>
  <c r="DD58" i="2" s="1"/>
  <c r="DC58" i="2" s="1"/>
  <c r="DF58" i="2" s="1"/>
  <c r="CL1009" i="2"/>
  <c r="CK1009" i="2" s="1"/>
  <c r="DH1009" i="2"/>
  <c r="DJ1009" i="2" s="1"/>
  <c r="DI1009" i="2" s="1"/>
  <c r="DL1009" i="2" s="1"/>
  <c r="CN58" i="2"/>
  <c r="CZ58" i="2"/>
  <c r="DH58" i="2"/>
  <c r="DJ58" i="2" s="1"/>
  <c r="DI58" i="2" s="1"/>
  <c r="DJ603" i="2"/>
  <c r="DI603" i="2" s="1"/>
  <c r="DL603" i="2" s="1"/>
  <c r="DM603" i="2"/>
  <c r="CP58" i="2"/>
  <c r="DM58" i="2"/>
  <c r="CB537" i="2"/>
  <c r="CL338" i="2"/>
  <c r="CK338" i="2" s="1"/>
  <c r="CN338" i="2" s="1"/>
  <c r="CF338" i="2"/>
  <c r="CE338" i="2" s="1"/>
  <c r="CH338" i="2" s="1"/>
  <c r="DH783" i="2"/>
  <c r="DJ783" i="2" s="1"/>
  <c r="DI783" i="2" s="1"/>
  <c r="DL783" i="2" s="1"/>
  <c r="CD783" i="2"/>
  <c r="CF783" i="2" s="1"/>
  <c r="CE783" i="2" s="1"/>
  <c r="DM783" i="2"/>
  <c r="CJ783" i="2"/>
  <c r="CL783" i="2" s="1"/>
  <c r="CK783" i="2" s="1"/>
  <c r="CN783" i="2" s="1"/>
  <c r="CZ603" i="2"/>
  <c r="CV783" i="2"/>
  <c r="CX783" i="2" s="1"/>
  <c r="CW783" i="2" s="1"/>
  <c r="CZ783" i="2" s="1"/>
  <c r="CL64" i="2"/>
  <c r="CK64" i="2" s="1"/>
  <c r="CN64" i="2" s="1"/>
  <c r="CX623" i="2"/>
  <c r="CW623" i="2" s="1"/>
  <c r="CZ623" i="2" s="1"/>
  <c r="DB603" i="2"/>
  <c r="DN603" i="2" s="1"/>
  <c r="BX64" i="2"/>
  <c r="BZ64" i="2" s="1"/>
  <c r="BY64" i="2" s="1"/>
  <c r="CB64" i="2" s="1"/>
  <c r="CP783" i="2"/>
  <c r="DM537" i="2"/>
  <c r="BR64" i="2"/>
  <c r="BT64" i="2" s="1"/>
  <c r="BS64" i="2" s="1"/>
  <c r="DB783" i="2"/>
  <c r="DD783" i="2" s="1"/>
  <c r="DC783" i="2" s="1"/>
  <c r="DF783" i="2" s="1"/>
  <c r="DF338" i="2"/>
  <c r="DB97" i="2"/>
  <c r="DD97" i="2" s="1"/>
  <c r="DC97" i="2" s="1"/>
  <c r="CP97" i="2"/>
  <c r="CR97" i="2" s="1"/>
  <c r="CQ97" i="2" s="1"/>
  <c r="CT97" i="2" s="1"/>
  <c r="CJ97" i="2"/>
  <c r="CL97" i="2" s="1"/>
  <c r="CK97" i="2" s="1"/>
  <c r="DM623" i="2"/>
  <c r="DB623" i="2"/>
  <c r="DD623" i="2" s="1"/>
  <c r="DC623" i="2" s="1"/>
  <c r="DF623" i="2" s="1"/>
  <c r="DB537" i="2"/>
  <c r="DD537" i="2" s="1"/>
  <c r="DC537" i="2" s="1"/>
  <c r="DF537" i="2" s="1"/>
  <c r="BX97" i="2"/>
  <c r="BZ97" i="2" s="1"/>
  <c r="BY97" i="2" s="1"/>
  <c r="CB97" i="2" s="1"/>
  <c r="CV64" i="2"/>
  <c r="CX64" i="2" s="1"/>
  <c r="CW64" i="2" s="1"/>
  <c r="CZ64" i="2" s="1"/>
  <c r="DH97" i="2"/>
  <c r="DJ97" i="2" s="1"/>
  <c r="DI97" i="2" s="1"/>
  <c r="CD97" i="2"/>
  <c r="CF97" i="2" s="1"/>
  <c r="CE97" i="2" s="1"/>
  <c r="DM97" i="2"/>
  <c r="BR97" i="2"/>
  <c r="BT97" i="2" s="1"/>
  <c r="BS97" i="2" s="1"/>
  <c r="CV97" i="2"/>
  <c r="CX97" i="2" s="1"/>
  <c r="CW97" i="2" s="1"/>
  <c r="CZ97" i="2" s="1"/>
  <c r="CH64" i="2"/>
  <c r="CT623" i="2"/>
  <c r="DH623" i="2"/>
  <c r="CP537" i="2"/>
  <c r="CR537" i="2" s="1"/>
  <c r="CQ537" i="2" s="1"/>
  <c r="DL537" i="2"/>
  <c r="DH338" i="2"/>
  <c r="DJ338" i="2" s="1"/>
  <c r="DI338" i="2" s="1"/>
  <c r="BX338" i="2"/>
  <c r="DM338" i="2"/>
  <c r="BR338" i="2"/>
  <c r="BT338" i="2" s="1"/>
  <c r="BS338" i="2" s="1"/>
  <c r="CV338" i="2"/>
  <c r="CX338" i="2" s="1"/>
  <c r="CW338" i="2" s="1"/>
  <c r="CP338" i="2"/>
  <c r="CR338" i="2" s="1"/>
  <c r="CQ338" i="2" s="1"/>
  <c r="CT338" i="2" s="1"/>
  <c r="CV443" i="2"/>
  <c r="CX443" i="2" s="1"/>
  <c r="CW443" i="2" s="1"/>
  <c r="CZ443" i="2" s="1"/>
  <c r="DF443" i="2"/>
  <c r="BX443" i="2"/>
  <c r="BZ443" i="2" s="1"/>
  <c r="BY443" i="2" s="1"/>
  <c r="CB443" i="2" s="1"/>
  <c r="DM443" i="2"/>
  <c r="CP443" i="2"/>
  <c r="CR443" i="2" s="1"/>
  <c r="CQ443" i="2" s="1"/>
  <c r="DH443" i="2"/>
  <c r="DO682" i="2"/>
  <c r="DP682" i="2" s="1"/>
  <c r="DQ682" i="2" s="1"/>
  <c r="DL930" i="2"/>
  <c r="CN930" i="2"/>
  <c r="CX689" i="2"/>
  <c r="CW689" i="2" s="1"/>
  <c r="CZ689" i="2" s="1"/>
  <c r="DJ936" i="2"/>
  <c r="DI936" i="2" s="1"/>
  <c r="DL936" i="2" s="1"/>
  <c r="CD930" i="2"/>
  <c r="CF930" i="2" s="1"/>
  <c r="CE930" i="2" s="1"/>
  <c r="DM930" i="2"/>
  <c r="CP930" i="2"/>
  <c r="DB930" i="2"/>
  <c r="DD930" i="2" s="1"/>
  <c r="DC930" i="2" s="1"/>
  <c r="DM857" i="2"/>
  <c r="CX948" i="2"/>
  <c r="CW948" i="2" s="1"/>
  <c r="CZ948" i="2" s="1"/>
  <c r="CX857" i="2"/>
  <c r="CW857" i="2" s="1"/>
  <c r="CZ857" i="2" s="1"/>
  <c r="DL657" i="2"/>
  <c r="DN936" i="2"/>
  <c r="CJ657" i="2"/>
  <c r="CL657" i="2" s="1"/>
  <c r="CK657" i="2" s="1"/>
  <c r="BX657" i="2"/>
  <c r="BZ657" i="2" s="1"/>
  <c r="BY657" i="2" s="1"/>
  <c r="DM657" i="2"/>
  <c r="DB948" i="2"/>
  <c r="DM948" i="2"/>
  <c r="CP657" i="2"/>
  <c r="DM936" i="2"/>
  <c r="DJ948" i="2"/>
  <c r="DI948" i="2" s="1"/>
  <c r="DL948" i="2" s="1"/>
  <c r="CV657" i="2"/>
  <c r="CX657" i="2" s="1"/>
  <c r="CW657" i="2" s="1"/>
  <c r="CZ657" i="2" s="1"/>
  <c r="DF657" i="2"/>
  <c r="DM543" i="2"/>
  <c r="DD689" i="2"/>
  <c r="DC689" i="2" s="1"/>
  <c r="DF689" i="2" s="1"/>
  <c r="CF543" i="2"/>
  <c r="CE543" i="2" s="1"/>
  <c r="CH543" i="2" s="1"/>
  <c r="CJ543" i="2"/>
  <c r="CL543" i="2" s="1"/>
  <c r="CK543" i="2" s="1"/>
  <c r="CN543" i="2" s="1"/>
  <c r="DL857" i="2"/>
  <c r="CT857" i="2"/>
  <c r="DF543" i="2"/>
  <c r="DN857" i="2"/>
  <c r="DH543" i="2"/>
  <c r="DJ543" i="2" s="1"/>
  <c r="DI543" i="2" s="1"/>
  <c r="CP543" i="2"/>
  <c r="BZ543" i="2"/>
  <c r="BY543" i="2" s="1"/>
  <c r="CB543" i="2" s="1"/>
  <c r="CV543" i="2"/>
  <c r="CX543" i="2" s="1"/>
  <c r="CW543" i="2" s="1"/>
  <c r="CZ543" i="2" s="1"/>
  <c r="DH689" i="2"/>
  <c r="DN689" i="2" s="1"/>
  <c r="DM689" i="2"/>
  <c r="CI741" i="2"/>
  <c r="DG741" i="2"/>
  <c r="DH741" i="2" s="1"/>
  <c r="BS741" i="2"/>
  <c r="BV741" i="2" s="1"/>
  <c r="DB741" i="2"/>
  <c r="DD741" i="2" s="1"/>
  <c r="DC741" i="2" s="1"/>
  <c r="DF741" i="2" s="1"/>
  <c r="CD741" i="2"/>
  <c r="CF741" i="2" s="1"/>
  <c r="CE741" i="2" s="1"/>
  <c r="CH741" i="2" s="1"/>
  <c r="BO741" i="2"/>
  <c r="CU741" i="2"/>
  <c r="DM741" i="2"/>
  <c r="CO741" i="2"/>
  <c r="BW741" i="2"/>
  <c r="BR124" i="2"/>
  <c r="BT124" i="2" s="1"/>
  <c r="BU124" i="2"/>
  <c r="BX124" i="2"/>
  <c r="BZ124" i="2" s="1"/>
  <c r="CA124" i="2"/>
  <c r="CD124" i="2"/>
  <c r="CF124" i="2" s="1"/>
  <c r="CG124" i="2"/>
  <c r="CJ124" i="2"/>
  <c r="CL124" i="2" s="1"/>
  <c r="CM124" i="2"/>
  <c r="CP124" i="2"/>
  <c r="CR124" i="2" s="1"/>
  <c r="CS124" i="2"/>
  <c r="CY124" i="2"/>
  <c r="DB124" i="2"/>
  <c r="DD124" i="2" s="1"/>
  <c r="DE124" i="2"/>
  <c r="DH124" i="2"/>
  <c r="DJ124" i="2" s="1"/>
  <c r="DK124" i="2"/>
  <c r="DN124" i="2"/>
  <c r="DP124" i="2" s="1"/>
  <c r="DQ124" i="2"/>
  <c r="DX124" i="2"/>
  <c r="DY124" i="2"/>
  <c r="DZ124" i="2" s="1"/>
  <c r="EG124" i="2"/>
  <c r="EM124" i="2"/>
  <c r="EP124" i="2"/>
  <c r="BO124" i="2" s="1"/>
  <c r="BR634" i="2"/>
  <c r="BU634" i="2"/>
  <c r="CA634" i="2"/>
  <c r="CG634" i="2"/>
  <c r="CM634" i="2"/>
  <c r="CS634" i="2"/>
  <c r="CY634" i="2"/>
  <c r="DE634" i="2"/>
  <c r="DK634" i="2"/>
  <c r="DQ634" i="2"/>
  <c r="DX634" i="2"/>
  <c r="DY634" i="2"/>
  <c r="DZ634" i="2" s="1"/>
  <c r="EG634" i="2"/>
  <c r="EM634" i="2"/>
  <c r="CC634" i="2" s="1"/>
  <c r="EP634" i="2"/>
  <c r="BO634" i="2" s="1"/>
  <c r="BR954" i="2"/>
  <c r="BV954" i="2" s="1"/>
  <c r="BU954" i="2"/>
  <c r="BZ954" i="2"/>
  <c r="CA954" i="2"/>
  <c r="CD954" i="2"/>
  <c r="CF954" i="2" s="1"/>
  <c r="CG954" i="2"/>
  <c r="CJ954" i="2"/>
  <c r="CL954" i="2" s="1"/>
  <c r="CM954" i="2"/>
  <c r="CP954" i="2"/>
  <c r="CT954" i="2" s="1"/>
  <c r="CS954" i="2"/>
  <c r="CY954" i="2"/>
  <c r="DE954" i="2"/>
  <c r="DK954" i="2"/>
  <c r="DQ954" i="2"/>
  <c r="DX954" i="2"/>
  <c r="DY954" i="2"/>
  <c r="DZ954" i="2" s="1"/>
  <c r="EG954" i="2"/>
  <c r="EM954" i="2"/>
  <c r="EP954" i="2"/>
  <c r="CU954" i="2" s="1"/>
  <c r="BR786" i="2"/>
  <c r="BU786" i="2"/>
  <c r="CA786" i="2"/>
  <c r="CG786" i="2"/>
  <c r="CM786" i="2"/>
  <c r="CS786" i="2"/>
  <c r="CY786" i="2"/>
  <c r="DE786" i="2"/>
  <c r="DK786" i="2"/>
  <c r="DQ786" i="2"/>
  <c r="DY786" i="2"/>
  <c r="DZ786" i="2" s="1"/>
  <c r="EG786" i="2"/>
  <c r="EM786" i="2"/>
  <c r="BW786" i="2" s="1"/>
  <c r="EP786" i="2"/>
  <c r="DA786" i="2" s="1"/>
  <c r="BR920" i="2"/>
  <c r="BU920" i="2"/>
  <c r="CA920" i="2"/>
  <c r="CG920" i="2"/>
  <c r="CM920" i="2"/>
  <c r="CS920" i="2"/>
  <c r="CY920" i="2"/>
  <c r="DE920" i="2"/>
  <c r="DK920" i="2"/>
  <c r="DQ920" i="2"/>
  <c r="DX920" i="2"/>
  <c r="DY920" i="2"/>
  <c r="DZ920" i="2" s="1"/>
  <c r="EG920" i="2"/>
  <c r="EM920" i="2"/>
  <c r="BW920" i="2" s="1"/>
  <c r="EP920" i="2"/>
  <c r="BO920" i="2" s="1"/>
  <c r="BR742" i="2"/>
  <c r="BT742" i="2" s="1"/>
  <c r="BU742" i="2"/>
  <c r="CA742" i="2"/>
  <c r="CG742" i="2"/>
  <c r="CM742" i="2"/>
  <c r="CS742" i="2"/>
  <c r="CY742" i="2"/>
  <c r="DE742" i="2"/>
  <c r="DK742" i="2"/>
  <c r="DQ742" i="2"/>
  <c r="DX742" i="2"/>
  <c r="DY742" i="2"/>
  <c r="DZ742" i="2" s="1"/>
  <c r="EG742" i="2"/>
  <c r="EM742" i="2"/>
  <c r="BW742" i="2" s="1"/>
  <c r="EP742" i="2"/>
  <c r="CU742" i="2" s="1"/>
  <c r="BR754" i="2"/>
  <c r="BT754" i="2" s="1"/>
  <c r="BU754" i="2"/>
  <c r="CA754" i="2"/>
  <c r="CG754" i="2"/>
  <c r="CM754" i="2"/>
  <c r="CS754" i="2"/>
  <c r="CY754" i="2"/>
  <c r="DE754" i="2"/>
  <c r="DK754" i="2"/>
  <c r="DQ754" i="2"/>
  <c r="DX754" i="2"/>
  <c r="DY754" i="2"/>
  <c r="DZ754" i="2" s="1"/>
  <c r="EG754" i="2"/>
  <c r="EM754" i="2"/>
  <c r="BW754" i="2" s="1"/>
  <c r="EP754" i="2"/>
  <c r="CU754" i="2" s="1"/>
  <c r="CV754" i="2" s="1"/>
  <c r="BR44" i="2"/>
  <c r="BU44" i="2"/>
  <c r="BX44" i="2"/>
  <c r="BZ44" i="2" s="1"/>
  <c r="CA44" i="2"/>
  <c r="CD44" i="2"/>
  <c r="CF44" i="2" s="1"/>
  <c r="CG44" i="2"/>
  <c r="DK44" i="2"/>
  <c r="DQ44" i="2"/>
  <c r="DX44" i="2"/>
  <c r="DY44" i="2"/>
  <c r="DZ44" i="2" s="1"/>
  <c r="EG44" i="2"/>
  <c r="EM44" i="2"/>
  <c r="CO44" i="2" s="1"/>
  <c r="EP44" i="2"/>
  <c r="DG44" i="2" s="1"/>
  <c r="DH44" i="2" s="1"/>
  <c r="BR323" i="2"/>
  <c r="BU323" i="2"/>
  <c r="BX323" i="2"/>
  <c r="BZ323" i="2" s="1"/>
  <c r="CA323" i="2"/>
  <c r="CG323" i="2"/>
  <c r="CM323" i="2"/>
  <c r="CS323" i="2"/>
  <c r="CY323" i="2"/>
  <c r="DE323" i="2"/>
  <c r="DK323" i="2"/>
  <c r="DQ323" i="2"/>
  <c r="DY323" i="2"/>
  <c r="DZ323" i="2" s="1"/>
  <c r="EG323" i="2"/>
  <c r="EM323" i="2"/>
  <c r="CO323" i="2" s="1"/>
  <c r="CP323" i="2" s="1"/>
  <c r="EP323" i="2"/>
  <c r="CU323" i="2" s="1"/>
  <c r="BR337" i="2"/>
  <c r="BT337" i="2" s="1"/>
  <c r="BU337" i="2"/>
  <c r="BX337" i="2"/>
  <c r="BZ337" i="2" s="1"/>
  <c r="CA337" i="2"/>
  <c r="CD337" i="2"/>
  <c r="CF337" i="2" s="1"/>
  <c r="CG337" i="2"/>
  <c r="CL337" i="2"/>
  <c r="CM337" i="2"/>
  <c r="CN337" i="2"/>
  <c r="CP337" i="2"/>
  <c r="CR337" i="2" s="1"/>
  <c r="CS337" i="2"/>
  <c r="CV337" i="2"/>
  <c r="CX337" i="2" s="1"/>
  <c r="CY337" i="2"/>
  <c r="DE337" i="2"/>
  <c r="DK337" i="2"/>
  <c r="DQ337" i="2"/>
  <c r="DX337" i="2"/>
  <c r="DY337" i="2"/>
  <c r="DZ337" i="2"/>
  <c r="EG337" i="2"/>
  <c r="EM337" i="2"/>
  <c r="EP337" i="2"/>
  <c r="DG337" i="2" s="1"/>
  <c r="BR712" i="2"/>
  <c r="BT712" i="2" s="1"/>
  <c r="BU712" i="2"/>
  <c r="BX712" i="2"/>
  <c r="BZ712" i="2" s="1"/>
  <c r="CA712" i="2"/>
  <c r="CD712" i="2"/>
  <c r="CF712" i="2" s="1"/>
  <c r="CG712" i="2"/>
  <c r="CJ712" i="2"/>
  <c r="CL712" i="2" s="1"/>
  <c r="CM712" i="2"/>
  <c r="CS712" i="2"/>
  <c r="CY712" i="2"/>
  <c r="DE712" i="2"/>
  <c r="IS712" i="2" s="1"/>
  <c r="DK712" i="2"/>
  <c r="DQ712" i="2"/>
  <c r="DX712" i="2"/>
  <c r="DY712" i="2"/>
  <c r="DZ712" i="2" s="1"/>
  <c r="EG712" i="2"/>
  <c r="EM712" i="2"/>
  <c r="CO712" i="2" s="1"/>
  <c r="EP712" i="2"/>
  <c r="BO712" i="2" s="1"/>
  <c r="BR1018" i="2"/>
  <c r="BT1018" i="2" s="1"/>
  <c r="BU1018" i="2"/>
  <c r="BX1018" i="2"/>
  <c r="BZ1018" i="2" s="1"/>
  <c r="CA1018" i="2"/>
  <c r="CD1018" i="2"/>
  <c r="CF1018" i="2" s="1"/>
  <c r="CE1018" i="2" s="1"/>
  <c r="DE1018" i="2"/>
  <c r="DL1018" i="2"/>
  <c r="DM1018" i="2"/>
  <c r="DN1018" i="2"/>
  <c r="DQ1018" i="2"/>
  <c r="EL1018" i="2"/>
  <c r="DA1018" i="2" s="1"/>
  <c r="BR84" i="2"/>
  <c r="BT84" i="2" s="1"/>
  <c r="BU84" i="2"/>
  <c r="BX84" i="2"/>
  <c r="BZ84" i="2" s="1"/>
  <c r="CA84" i="2"/>
  <c r="CD84" i="2"/>
  <c r="CF84" i="2" s="1"/>
  <c r="CE84" i="2" s="1"/>
  <c r="DE84" i="2"/>
  <c r="DL84" i="2"/>
  <c r="DM84" i="2"/>
  <c r="DN84" i="2"/>
  <c r="DQ84" i="2"/>
  <c r="DR84" i="2"/>
  <c r="EJ84" i="2"/>
  <c r="EL84" i="2" s="1"/>
  <c r="DA84" i="2" s="1"/>
  <c r="EM84" i="2"/>
  <c r="BR830" i="2"/>
  <c r="BT830" i="2" s="1"/>
  <c r="BU830" i="2"/>
  <c r="BX830" i="2"/>
  <c r="BZ830" i="2" s="1"/>
  <c r="CA830" i="2"/>
  <c r="CD830" i="2"/>
  <c r="CF830" i="2" s="1"/>
  <c r="CE830" i="2" s="1"/>
  <c r="DE830" i="2"/>
  <c r="DL830" i="2"/>
  <c r="DM830" i="2"/>
  <c r="DN830" i="2"/>
  <c r="DQ830" i="2"/>
  <c r="DR830" i="2"/>
  <c r="EL830" i="2"/>
  <c r="DA830" i="2" s="1"/>
  <c r="BR693" i="2"/>
  <c r="BU693" i="2"/>
  <c r="BX693" i="2"/>
  <c r="BZ693" i="2" s="1"/>
  <c r="CA693" i="2"/>
  <c r="CG693" i="2"/>
  <c r="CM693" i="2"/>
  <c r="CS693" i="2"/>
  <c r="CY693" i="2"/>
  <c r="DE693" i="2"/>
  <c r="DK693" i="2"/>
  <c r="DN693" i="2"/>
  <c r="DX693" i="2"/>
  <c r="DY693" i="2"/>
  <c r="DZ693" i="2" s="1"/>
  <c r="EG693" i="2"/>
  <c r="EM693" i="2"/>
  <c r="CC693" i="2" s="1"/>
  <c r="EP693" i="2"/>
  <c r="BO693" i="2" s="1"/>
  <c r="BR1047" i="2"/>
  <c r="BV1047" i="2" s="1"/>
  <c r="BU1047" i="2"/>
  <c r="BZ1047" i="2"/>
  <c r="CA1047" i="2"/>
  <c r="CB1047" i="2"/>
  <c r="CD1047" i="2"/>
  <c r="CF1047" i="2" s="1"/>
  <c r="CG1047" i="2"/>
  <c r="CJ1047" i="2"/>
  <c r="CL1047" i="2" s="1"/>
  <c r="CM1047" i="2"/>
  <c r="CP1047" i="2"/>
  <c r="CT1047" i="2" s="1"/>
  <c r="CS1047" i="2"/>
  <c r="CY1047" i="2"/>
  <c r="DE1047" i="2"/>
  <c r="DK1047" i="2"/>
  <c r="DN1047" i="2"/>
  <c r="DX1047" i="2"/>
  <c r="DY1047" i="2"/>
  <c r="DZ1047" i="2" s="1"/>
  <c r="EG1047" i="2"/>
  <c r="EM1047" i="2"/>
  <c r="EP1047" i="2"/>
  <c r="CU1047" i="2" s="1"/>
  <c r="BU155" i="2"/>
  <c r="CA155" i="2"/>
  <c r="CG155" i="2"/>
  <c r="CM155" i="2"/>
  <c r="CS155" i="2"/>
  <c r="CY155" i="2"/>
  <c r="DE155" i="2"/>
  <c r="DK155" i="2"/>
  <c r="DN155" i="2"/>
  <c r="DX155" i="2"/>
  <c r="DY155" i="2"/>
  <c r="DZ155" i="2" s="1"/>
  <c r="EG155" i="2"/>
  <c r="EM155" i="2"/>
  <c r="BQ155" i="2" s="1"/>
  <c r="EP155" i="2"/>
  <c r="DA155" i="2" s="1"/>
  <c r="BU170" i="2"/>
  <c r="CA170" i="2"/>
  <c r="CG170" i="2"/>
  <c r="CM170" i="2"/>
  <c r="CS170" i="2"/>
  <c r="CY170" i="2"/>
  <c r="DE170" i="2"/>
  <c r="DK170" i="2"/>
  <c r="DN170" i="2"/>
  <c r="DY170" i="2"/>
  <c r="DZ170" i="2" s="1"/>
  <c r="EG170" i="2"/>
  <c r="EM170" i="2"/>
  <c r="CC170" i="2" s="1"/>
  <c r="EP170" i="2"/>
  <c r="BO170" i="2" s="1"/>
  <c r="BR335" i="2"/>
  <c r="BT335" i="2" s="1"/>
  <c r="BU335" i="2"/>
  <c r="BX335" i="2"/>
  <c r="CA335" i="2"/>
  <c r="CD335" i="2"/>
  <c r="CF335" i="2" s="1"/>
  <c r="CG335" i="2"/>
  <c r="CM335" i="2"/>
  <c r="CS335" i="2"/>
  <c r="CY335" i="2"/>
  <c r="DE335" i="2"/>
  <c r="DK335" i="2"/>
  <c r="DN335" i="2"/>
  <c r="DX335" i="2"/>
  <c r="DY335" i="2"/>
  <c r="EG335" i="2"/>
  <c r="EM335" i="2"/>
  <c r="CO335" i="2" s="1"/>
  <c r="CP335" i="2" s="1"/>
  <c r="EP335" i="2"/>
  <c r="CU335" i="2" s="1"/>
  <c r="CV335" i="2" s="1"/>
  <c r="CX335" i="2" s="1"/>
  <c r="BR862" i="2"/>
  <c r="BU862" i="2"/>
  <c r="CA862" i="2"/>
  <c r="CG862" i="2"/>
  <c r="CM862" i="2"/>
  <c r="CS862" i="2"/>
  <c r="CY862" i="2"/>
  <c r="DE862" i="2"/>
  <c r="DK862" i="2"/>
  <c r="DN862" i="2"/>
  <c r="DX862" i="2"/>
  <c r="DY862" i="2"/>
  <c r="EG862" i="2"/>
  <c r="EM862" i="2"/>
  <c r="CC862" i="2" s="1"/>
  <c r="EP862" i="2"/>
  <c r="DA862" i="2" s="1"/>
  <c r="BR607" i="2"/>
  <c r="BT607" i="2" s="1"/>
  <c r="BU607" i="2"/>
  <c r="BX607" i="2"/>
  <c r="BZ607" i="2" s="1"/>
  <c r="CA607" i="2"/>
  <c r="CD607" i="2"/>
  <c r="CF607" i="2" s="1"/>
  <c r="CG607" i="2"/>
  <c r="CJ607" i="2"/>
  <c r="CM607" i="2"/>
  <c r="CP607" i="2"/>
  <c r="CR607" i="2" s="1"/>
  <c r="CS607" i="2"/>
  <c r="CY607" i="2"/>
  <c r="DE607" i="2"/>
  <c r="DK607" i="2"/>
  <c r="DN607" i="2"/>
  <c r="DX607" i="2"/>
  <c r="DY607" i="2"/>
  <c r="DZ607" i="2"/>
  <c r="EG607" i="2"/>
  <c r="EM607" i="2"/>
  <c r="EP607" i="2"/>
  <c r="DM607" i="2" s="1"/>
  <c r="BR288" i="2"/>
  <c r="BU288" i="2"/>
  <c r="BX288" i="2"/>
  <c r="BZ288" i="2" s="1"/>
  <c r="CA288" i="2"/>
  <c r="CD288" i="2"/>
  <c r="CF288" i="2" s="1"/>
  <c r="CG288" i="2"/>
  <c r="CJ288" i="2"/>
  <c r="CM288" i="2"/>
  <c r="CS288" i="2"/>
  <c r="CY288" i="2"/>
  <c r="DE288" i="2"/>
  <c r="DK288" i="2"/>
  <c r="DN288" i="2"/>
  <c r="DX288" i="2"/>
  <c r="DY288" i="2"/>
  <c r="DZ288" i="2" s="1"/>
  <c r="EG288" i="2"/>
  <c r="EM288" i="2"/>
  <c r="CO288" i="2" s="1"/>
  <c r="EP288" i="2"/>
  <c r="DM288" i="2" s="1"/>
  <c r="BR676" i="2"/>
  <c r="BU676" i="2"/>
  <c r="BX676" i="2"/>
  <c r="BZ676" i="2" s="1"/>
  <c r="CA676" i="2"/>
  <c r="CD676" i="2"/>
  <c r="CF676" i="2" s="1"/>
  <c r="CE676" i="2" s="1"/>
  <c r="DX676" i="2"/>
  <c r="DZ676" i="2"/>
  <c r="EA676" i="2"/>
  <c r="EC676" i="2"/>
  <c r="EE676" i="2"/>
  <c r="EM676" i="2"/>
  <c r="CO676" i="2" s="1"/>
  <c r="EP676" i="2"/>
  <c r="DA676" i="2" s="1"/>
  <c r="DX10" i="14"/>
  <c r="II9" i="14"/>
  <c r="DX5" i="14"/>
  <c r="DX4" i="14"/>
  <c r="DX3" i="14"/>
  <c r="DX9" i="14"/>
  <c r="DX8" i="14"/>
  <c r="DX7" i="14"/>
  <c r="DX6" i="14"/>
  <c r="DX11" i="14"/>
  <c r="DX2" i="14"/>
  <c r="DX14" i="14"/>
  <c r="DX13" i="14"/>
  <c r="DX12" i="14"/>
  <c r="GC8" i="14"/>
  <c r="DZ14" i="14"/>
  <c r="DZ13" i="14"/>
  <c r="DZ12" i="14"/>
  <c r="DZ5" i="14"/>
  <c r="DZ4" i="14"/>
  <c r="DZ3" i="14"/>
  <c r="DZ10" i="14"/>
  <c r="DZ9" i="14"/>
  <c r="DZ8" i="14"/>
  <c r="DZ7" i="14"/>
  <c r="DZ6" i="14"/>
  <c r="DZ11" i="14"/>
  <c r="DZ2" i="14"/>
  <c r="BR653" i="2"/>
  <c r="BT653" i="2" s="1"/>
  <c r="BU653" i="2"/>
  <c r="DX653" i="2"/>
  <c r="DY653" i="2"/>
  <c r="EG653" i="2"/>
  <c r="EM653" i="2"/>
  <c r="CO653" i="2" s="1"/>
  <c r="EP653" i="2"/>
  <c r="DG653" i="2" s="1"/>
  <c r="CC2" i="14"/>
  <c r="BR37" i="2"/>
  <c r="BT37" i="2" s="1"/>
  <c r="BU37" i="2"/>
  <c r="BX37" i="2"/>
  <c r="BZ37" i="2" s="1"/>
  <c r="CA37" i="2"/>
  <c r="CD37" i="2"/>
  <c r="CF37" i="2" s="1"/>
  <c r="CG37" i="2"/>
  <c r="CM37" i="2"/>
  <c r="CS37" i="2"/>
  <c r="CY37" i="2"/>
  <c r="DE37" i="2"/>
  <c r="DK37" i="2"/>
  <c r="DN37" i="2"/>
  <c r="DX37" i="2"/>
  <c r="DY37" i="2"/>
  <c r="DZ37" i="2" s="1"/>
  <c r="EG37" i="2"/>
  <c r="EJ37" i="2"/>
  <c r="EM37" i="2"/>
  <c r="CO37" i="2" s="1"/>
  <c r="CP37" i="2" s="1"/>
  <c r="CR37" i="2" s="1"/>
  <c r="EP37" i="2"/>
  <c r="DG37" i="2" s="1"/>
  <c r="BR15" i="2"/>
  <c r="BT15" i="2" s="1"/>
  <c r="BU15" i="2"/>
  <c r="BX15" i="2"/>
  <c r="BZ15" i="2" s="1"/>
  <c r="CA15" i="2"/>
  <c r="CC15" i="2"/>
  <c r="CI15" i="2"/>
  <c r="CO15" i="2"/>
  <c r="CP15" i="2" s="1"/>
  <c r="DX15" i="2"/>
  <c r="DY15" i="2"/>
  <c r="DZ15" i="2" s="1"/>
  <c r="EA15" i="2"/>
  <c r="EC15" i="2"/>
  <c r="EE15" i="2"/>
  <c r="EP15" i="2"/>
  <c r="DM15" i="2" s="1"/>
  <c r="BR309" i="2"/>
  <c r="BT309" i="2" s="1"/>
  <c r="BU309" i="2"/>
  <c r="BX309" i="2"/>
  <c r="BZ309" i="2" s="1"/>
  <c r="CA309" i="2"/>
  <c r="CC309" i="2"/>
  <c r="CD309" i="2" s="1"/>
  <c r="CF309" i="2" s="1"/>
  <c r="CE309" i="2" s="1"/>
  <c r="CH309" i="2" s="1"/>
  <c r="CI309" i="2"/>
  <c r="CJ309" i="2" s="1"/>
  <c r="CL309" i="2" s="1"/>
  <c r="CK309" i="2" s="1"/>
  <c r="CO309" i="2"/>
  <c r="CP309" i="2" s="1"/>
  <c r="DX309" i="2"/>
  <c r="DY309" i="2"/>
  <c r="DZ309" i="2" s="1"/>
  <c r="EA309" i="2"/>
  <c r="EC309" i="2"/>
  <c r="EE309" i="2"/>
  <c r="EP309" i="2"/>
  <c r="DM309" i="2" s="1"/>
  <c r="BR925" i="2"/>
  <c r="BT925" i="2" s="1"/>
  <c r="BU925" i="2"/>
  <c r="BX925" i="2"/>
  <c r="BZ925" i="2" s="1"/>
  <c r="CA925" i="2"/>
  <c r="DX925" i="2"/>
  <c r="DY925" i="2"/>
  <c r="DZ925" i="2" s="1"/>
  <c r="EE925" i="2"/>
  <c r="EG925" i="2" s="1"/>
  <c r="EM925" i="2"/>
  <c r="CO925" i="2" s="1"/>
  <c r="CP925" i="2" s="1"/>
  <c r="EP925" i="2"/>
  <c r="DA925" i="2" s="1"/>
  <c r="DB925" i="2" s="1"/>
  <c r="BR834" i="2"/>
  <c r="BT834" i="2" s="1"/>
  <c r="BU834" i="2"/>
  <c r="BX834" i="2"/>
  <c r="BZ834" i="2" s="1"/>
  <c r="CA834" i="2"/>
  <c r="CD834" i="2"/>
  <c r="CF834" i="2" s="1"/>
  <c r="CE834" i="2" s="1"/>
  <c r="CH834" i="2" s="1"/>
  <c r="DX834" i="2"/>
  <c r="DY834" i="2"/>
  <c r="DZ834" i="2" s="1"/>
  <c r="EA834" i="2"/>
  <c r="EC834" i="2"/>
  <c r="EJ834" i="2"/>
  <c r="EK834" i="2"/>
  <c r="EM834" i="2" s="1"/>
  <c r="CO834" i="2" s="1"/>
  <c r="EN834" i="2"/>
  <c r="EP834" i="2" s="1"/>
  <c r="BR835" i="2"/>
  <c r="BT835" i="2" s="1"/>
  <c r="BU835" i="2"/>
  <c r="BX835" i="2"/>
  <c r="BZ835" i="2" s="1"/>
  <c r="CA835" i="2"/>
  <c r="CD835" i="2"/>
  <c r="CF835" i="2" s="1"/>
  <c r="CG835" i="2"/>
  <c r="CM835" i="2"/>
  <c r="CS835" i="2"/>
  <c r="CY835" i="2"/>
  <c r="DE835" i="2"/>
  <c r="DK835" i="2"/>
  <c r="DN835" i="2"/>
  <c r="DX835" i="2"/>
  <c r="DY835" i="2"/>
  <c r="DZ835" i="2" s="1"/>
  <c r="EG835" i="2"/>
  <c r="EM835" i="2"/>
  <c r="CI835" i="2" s="1"/>
  <c r="EP835" i="2"/>
  <c r="CU835" i="2" s="1"/>
  <c r="CV835" i="2" s="1"/>
  <c r="BR115" i="2"/>
  <c r="BT115" i="2" s="1"/>
  <c r="BU115" i="2"/>
  <c r="CA115" i="2"/>
  <c r="CG115" i="2"/>
  <c r="CM115" i="2"/>
  <c r="CS115" i="2"/>
  <c r="CY115" i="2"/>
  <c r="DE115" i="2"/>
  <c r="DK115" i="2"/>
  <c r="DN115" i="2"/>
  <c r="DX115" i="2"/>
  <c r="DY115" i="2"/>
  <c r="DZ115" i="2" s="1"/>
  <c r="EG115" i="2"/>
  <c r="EM115" i="2"/>
  <c r="CI115" i="2" s="1"/>
  <c r="CN115" i="2" s="1"/>
  <c r="EP115" i="2"/>
  <c r="DG115" i="2" s="1"/>
  <c r="EA4" i="14"/>
  <c r="EA5" i="14"/>
  <c r="EA3" i="14"/>
  <c r="EA10" i="14"/>
  <c r="EA9" i="14"/>
  <c r="EA7" i="14"/>
  <c r="EA8" i="14"/>
  <c r="EA2" i="14"/>
  <c r="EA14" i="14"/>
  <c r="EG14" i="14" s="1"/>
  <c r="EA13" i="14"/>
  <c r="EG13" i="14" s="1"/>
  <c r="EA12" i="14"/>
  <c r="EG12" i="14" s="1"/>
  <c r="EP14" i="14"/>
  <c r="DG14" i="14" s="1"/>
  <c r="EM14" i="14"/>
  <c r="CI14" i="14" s="1"/>
  <c r="DY14" i="14"/>
  <c r="EP13" i="14"/>
  <c r="DG13" i="14" s="1"/>
  <c r="EK13" i="14"/>
  <c r="EM13" i="14" s="1"/>
  <c r="DY13" i="14"/>
  <c r="EO12" i="14"/>
  <c r="EN12" i="14"/>
  <c r="EP12" i="14" s="1"/>
  <c r="EK12" i="14"/>
  <c r="EM12" i="14" s="1"/>
  <c r="EJ12" i="14"/>
  <c r="DY12" i="14"/>
  <c r="BU1034" i="2"/>
  <c r="CA1034" i="2"/>
  <c r="CG1034" i="2"/>
  <c r="CM1034" i="2"/>
  <c r="CS1034" i="2"/>
  <c r="CY1034" i="2"/>
  <c r="DE1034" i="2"/>
  <c r="DK1034" i="2"/>
  <c r="DN1034" i="2"/>
  <c r="DQ1034" i="2"/>
  <c r="DX1034" i="2"/>
  <c r="DY1034" i="2"/>
  <c r="DZ1034" i="2" s="1"/>
  <c r="EG1034" i="2"/>
  <c r="EJ1034" i="2"/>
  <c r="EK1034" i="2"/>
  <c r="EM1034" i="2" s="1"/>
  <c r="EN1034" i="2"/>
  <c r="EO1034" i="2"/>
  <c r="EP5" i="14"/>
  <c r="CU5" i="14" s="1"/>
  <c r="EM5" i="14"/>
  <c r="CP5" i="14"/>
  <c r="CR5" i="14" s="1"/>
  <c r="CQ5" i="14" s="1"/>
  <c r="CT5" i="14" s="1"/>
  <c r="DY5" i="14"/>
  <c r="CJ5" i="14"/>
  <c r="CL5" i="14" s="1"/>
  <c r="CK5" i="14" s="1"/>
  <c r="CD5" i="14"/>
  <c r="CF5" i="14" s="1"/>
  <c r="CE5" i="14" s="1"/>
  <c r="CH5" i="14" s="1"/>
  <c r="CA5" i="14"/>
  <c r="BX5" i="14"/>
  <c r="BZ5" i="14" s="1"/>
  <c r="BU5" i="14"/>
  <c r="BR5" i="14"/>
  <c r="BT5" i="14" s="1"/>
  <c r="EN4" i="14"/>
  <c r="EP4" i="14" s="1"/>
  <c r="EE4" i="14" s="1"/>
  <c r="EK4" i="14"/>
  <c r="EJ4" i="14"/>
  <c r="EC4" i="14"/>
  <c r="DY4" i="14"/>
  <c r="CD4" i="14"/>
  <c r="CF4" i="14" s="1"/>
  <c r="CE4" i="14" s="1"/>
  <c r="CH4" i="14" s="1"/>
  <c r="CA4" i="14"/>
  <c r="BX4" i="14"/>
  <c r="BZ4" i="14" s="1"/>
  <c r="BU4" i="14"/>
  <c r="BR4" i="14"/>
  <c r="BT4" i="14" s="1"/>
  <c r="EP3" i="14"/>
  <c r="DM3" i="14" s="1"/>
  <c r="EM3" i="14"/>
  <c r="CO3" i="14" s="1"/>
  <c r="DY3" i="14"/>
  <c r="CD3" i="14"/>
  <c r="CF3" i="14" s="1"/>
  <c r="CE3" i="14" s="1"/>
  <c r="CA3" i="14"/>
  <c r="BX3" i="14"/>
  <c r="BZ3" i="14" s="1"/>
  <c r="BU3" i="14"/>
  <c r="BR3" i="14"/>
  <c r="BT3" i="14" s="1"/>
  <c r="EP10" i="14"/>
  <c r="DG10" i="14" s="1"/>
  <c r="DH10" i="14" s="1"/>
  <c r="EM10" i="14"/>
  <c r="CO10" i="14" s="1"/>
  <c r="DY10" i="14"/>
  <c r="CD10" i="14"/>
  <c r="CF10" i="14" s="1"/>
  <c r="CE10" i="14" s="1"/>
  <c r="CH10" i="14" s="1"/>
  <c r="CA10" i="14"/>
  <c r="BX10" i="14"/>
  <c r="BZ10" i="14" s="1"/>
  <c r="BU10" i="14"/>
  <c r="BR10" i="14"/>
  <c r="EP9" i="14"/>
  <c r="DG9" i="14" s="1"/>
  <c r="EM9" i="14"/>
  <c r="CO9" i="14" s="1"/>
  <c r="CP9" i="14" s="1"/>
  <c r="CR9" i="14" s="1"/>
  <c r="CQ9" i="14" s="1"/>
  <c r="CT9" i="14" s="1"/>
  <c r="DY9" i="14"/>
  <c r="CD9" i="14"/>
  <c r="CF9" i="14" s="1"/>
  <c r="CE9" i="14" s="1"/>
  <c r="CH9" i="14" s="1"/>
  <c r="CA9" i="14"/>
  <c r="BX9" i="14"/>
  <c r="BZ9" i="14" s="1"/>
  <c r="BU9" i="14"/>
  <c r="BR9" i="14"/>
  <c r="BT9" i="14" s="1"/>
  <c r="EP8" i="14"/>
  <c r="DA8" i="14" s="1"/>
  <c r="DB8" i="14" s="1"/>
  <c r="EM8" i="14"/>
  <c r="CI8" i="14" s="1"/>
  <c r="EC8" i="14"/>
  <c r="DY8" i="14"/>
  <c r="CD8" i="14"/>
  <c r="CF8" i="14" s="1"/>
  <c r="CE8" i="14" s="1"/>
  <c r="CH8" i="14" s="1"/>
  <c r="CA8" i="14"/>
  <c r="BX8" i="14"/>
  <c r="BZ8" i="14" s="1"/>
  <c r="BU8" i="14"/>
  <c r="BR8" i="14"/>
  <c r="BT8" i="14" s="1"/>
  <c r="EP7" i="14"/>
  <c r="DM7" i="14" s="1"/>
  <c r="EM7" i="14"/>
  <c r="CO7" i="14" s="1"/>
  <c r="EC7" i="14"/>
  <c r="DY7" i="14"/>
  <c r="CJ7" i="14"/>
  <c r="CL7" i="14" s="1"/>
  <c r="CK7" i="14" s="1"/>
  <c r="CD7" i="14"/>
  <c r="CF7" i="14" s="1"/>
  <c r="CE7" i="14" s="1"/>
  <c r="CH7" i="14" s="1"/>
  <c r="CA7" i="14"/>
  <c r="BX7" i="14"/>
  <c r="BZ7" i="14" s="1"/>
  <c r="BU7" i="14"/>
  <c r="BR7" i="14"/>
  <c r="BT7" i="14" s="1"/>
  <c r="EP6" i="14"/>
  <c r="DM6" i="14" s="1"/>
  <c r="EM6" i="14"/>
  <c r="CO6" i="14" s="1"/>
  <c r="EC6" i="14"/>
  <c r="EA6" i="14"/>
  <c r="DY6" i="14"/>
  <c r="CD6" i="14"/>
  <c r="CF6" i="14" s="1"/>
  <c r="CE6" i="14" s="1"/>
  <c r="CH6" i="14" s="1"/>
  <c r="CA6" i="14"/>
  <c r="BX6" i="14"/>
  <c r="BZ6" i="14" s="1"/>
  <c r="BU6" i="14"/>
  <c r="BR6" i="14"/>
  <c r="BT6" i="14" s="1"/>
  <c r="EP11" i="14"/>
  <c r="DG11" i="14" s="1"/>
  <c r="EM11" i="14"/>
  <c r="CO11" i="14" s="1"/>
  <c r="EC11" i="14"/>
  <c r="EA11" i="14"/>
  <c r="DY11" i="14"/>
  <c r="CJ11" i="14"/>
  <c r="CL11" i="14" s="1"/>
  <c r="CK11" i="14" s="1"/>
  <c r="CN11" i="14" s="1"/>
  <c r="CD11" i="14"/>
  <c r="CF11" i="14" s="1"/>
  <c r="CE11" i="14" s="1"/>
  <c r="CH11" i="14" s="1"/>
  <c r="CA11" i="14"/>
  <c r="BX11" i="14"/>
  <c r="BZ11" i="14" s="1"/>
  <c r="BU11" i="14"/>
  <c r="BR11" i="14"/>
  <c r="BT11" i="14" s="1"/>
  <c r="EP2" i="14"/>
  <c r="DM2" i="14" s="1"/>
  <c r="EC2" i="14"/>
  <c r="DY2" i="14"/>
  <c r="CO2" i="14"/>
  <c r="CP2" i="14" s="1"/>
  <c r="CR2" i="14" s="1"/>
  <c r="CQ2" i="14" s="1"/>
  <c r="CI2" i="14"/>
  <c r="CD2" i="14"/>
  <c r="CF2" i="14" s="1"/>
  <c r="CE2" i="14" s="1"/>
  <c r="CH2" i="14" s="1"/>
  <c r="CA2" i="14"/>
  <c r="BX2" i="14"/>
  <c r="BZ2" i="14" s="1"/>
  <c r="BU2" i="14"/>
  <c r="BR2" i="14"/>
  <c r="BT2" i="14" s="1"/>
  <c r="BR787" i="2"/>
  <c r="BT787" i="2" s="1"/>
  <c r="BU787" i="2"/>
  <c r="BX787" i="2"/>
  <c r="BZ787" i="2" s="1"/>
  <c r="CA787" i="2"/>
  <c r="CG787" i="2"/>
  <c r="CM787" i="2"/>
  <c r="CS787" i="2"/>
  <c r="CY787" i="2"/>
  <c r="DE787" i="2"/>
  <c r="DK787" i="2"/>
  <c r="DN787" i="2"/>
  <c r="DQ787" i="2"/>
  <c r="DX787" i="2"/>
  <c r="DY787" i="2"/>
  <c r="DZ787" i="2" s="1"/>
  <c r="EG787" i="2"/>
  <c r="EM787" i="2"/>
  <c r="CC787" i="2" s="1"/>
  <c r="EP787" i="2"/>
  <c r="DA787" i="2" s="1"/>
  <c r="DB787" i="2" s="1"/>
  <c r="DA14" i="14"/>
  <c r="DB14" i="14" s="1"/>
  <c r="DG8" i="14"/>
  <c r="DH8" i="14" s="1"/>
  <c r="BT10" i="14"/>
  <c r="BR815" i="2"/>
  <c r="BT815" i="2" s="1"/>
  <c r="BU815" i="2"/>
  <c r="BX815" i="2"/>
  <c r="BZ815" i="2" s="1"/>
  <c r="CA815" i="2"/>
  <c r="CD815" i="2"/>
  <c r="CF815" i="2" s="1"/>
  <c r="CG815" i="2"/>
  <c r="CJ815" i="2"/>
  <c r="CL815" i="2" s="1"/>
  <c r="CM815" i="2"/>
  <c r="CS815" i="2"/>
  <c r="CY815" i="2"/>
  <c r="DE815" i="2"/>
  <c r="DK815" i="2"/>
  <c r="DM815" i="2"/>
  <c r="DN815" i="2"/>
  <c r="DQ815" i="2"/>
  <c r="DX815" i="2"/>
  <c r="DY815" i="2"/>
  <c r="DZ815" i="2"/>
  <c r="EA815" i="2"/>
  <c r="EG815" i="2" s="1"/>
  <c r="EM815" i="2"/>
  <c r="CO815" i="2" s="1"/>
  <c r="CP815" i="2" s="1"/>
  <c r="CR815" i="2" s="1"/>
  <c r="EP815" i="2"/>
  <c r="DA815" i="2" s="1"/>
  <c r="BR5" i="2"/>
  <c r="BT5" i="2" s="1"/>
  <c r="BU5" i="2"/>
  <c r="BX5" i="2"/>
  <c r="BZ5" i="2" s="1"/>
  <c r="CA5" i="2"/>
  <c r="CD5" i="2"/>
  <c r="CF5" i="2" s="1"/>
  <c r="CG5" i="2"/>
  <c r="CJ5" i="2"/>
  <c r="CL5" i="2" s="1"/>
  <c r="CM5" i="2"/>
  <c r="CP5" i="2"/>
  <c r="CR5" i="2" s="1"/>
  <c r="CS5" i="2"/>
  <c r="CV5" i="2"/>
  <c r="CX5" i="2" s="1"/>
  <c r="CY5" i="2"/>
  <c r="DB5" i="2"/>
  <c r="DD5" i="2" s="1"/>
  <c r="DE5" i="2"/>
  <c r="DK5" i="2"/>
  <c r="DN5" i="2"/>
  <c r="DQ5" i="2"/>
  <c r="DX5" i="2"/>
  <c r="DY5" i="2"/>
  <c r="DZ5" i="2" s="1"/>
  <c r="EG5" i="2"/>
  <c r="EM5" i="2"/>
  <c r="EP5" i="2"/>
  <c r="DG5" i="2" s="1"/>
  <c r="DH5" i="2" s="1"/>
  <c r="DJ5" i="2" s="1"/>
  <c r="BR1005" i="2"/>
  <c r="BT1005" i="2" s="1"/>
  <c r="BU1005" i="2"/>
  <c r="BX1005" i="2"/>
  <c r="BZ1005" i="2" s="1"/>
  <c r="CA1005" i="2"/>
  <c r="CD1005" i="2"/>
  <c r="CF1005" i="2" s="1"/>
  <c r="CG1005" i="2"/>
  <c r="CM1005" i="2"/>
  <c r="CS1005" i="2"/>
  <c r="CY1005" i="2"/>
  <c r="DE1005" i="2"/>
  <c r="DK1005" i="2"/>
  <c r="DN1005" i="2"/>
  <c r="DQ1005" i="2"/>
  <c r="DX1005" i="2"/>
  <c r="DY1005" i="2"/>
  <c r="DZ1005" i="2" s="1"/>
  <c r="EG1005" i="2"/>
  <c r="EM1005" i="2"/>
  <c r="CO1005" i="2" s="1"/>
  <c r="EP1005" i="2"/>
  <c r="DA1005" i="2" s="1"/>
  <c r="DB1005" i="2" s="1"/>
  <c r="BR602" i="2"/>
  <c r="BT602" i="2" s="1"/>
  <c r="BU602" i="2"/>
  <c r="BX602" i="2"/>
  <c r="BZ602" i="2" s="1"/>
  <c r="CA602" i="2"/>
  <c r="CD602" i="2"/>
  <c r="CF602" i="2" s="1"/>
  <c r="CG602" i="2"/>
  <c r="CJ602" i="2"/>
  <c r="CL602" i="2" s="1"/>
  <c r="CM602" i="2"/>
  <c r="CP602" i="2"/>
  <c r="CR602" i="2" s="1"/>
  <c r="CS602" i="2"/>
  <c r="CV602" i="2"/>
  <c r="CX602" i="2" s="1"/>
  <c r="CY602" i="2"/>
  <c r="DB602" i="2"/>
  <c r="DD602" i="2" s="1"/>
  <c r="DE602" i="2"/>
  <c r="DH602" i="2"/>
  <c r="DJ602" i="2" s="1"/>
  <c r="DK602" i="2"/>
  <c r="DN602" i="2"/>
  <c r="DQ602" i="2"/>
  <c r="DX602" i="2"/>
  <c r="DY602" i="2"/>
  <c r="DZ602" i="2"/>
  <c r="EG602" i="2"/>
  <c r="EM602" i="2"/>
  <c r="EP602" i="2"/>
  <c r="BO602" i="2" s="1"/>
  <c r="BR609" i="2"/>
  <c r="BT609" i="2" s="1"/>
  <c r="BU609" i="2"/>
  <c r="BX609" i="2"/>
  <c r="BZ609" i="2" s="1"/>
  <c r="CA609" i="2"/>
  <c r="CD609" i="2"/>
  <c r="CF609" i="2" s="1"/>
  <c r="CG609" i="2"/>
  <c r="CJ609" i="2"/>
  <c r="CL609" i="2" s="1"/>
  <c r="CK609" i="2" s="1"/>
  <c r="DN609" i="2"/>
  <c r="DQ609" i="2"/>
  <c r="DX609" i="2"/>
  <c r="DY609" i="2"/>
  <c r="DZ609" i="2" s="1"/>
  <c r="EA609" i="2"/>
  <c r="EC609" i="2"/>
  <c r="EM609" i="2"/>
  <c r="CO609" i="2" s="1"/>
  <c r="EP609" i="2"/>
  <c r="DM609" i="2" s="1"/>
  <c r="BM53" i="2"/>
  <c r="BO53" i="2" s="1"/>
  <c r="BP53" i="2"/>
  <c r="BS53" i="2"/>
  <c r="BU53" i="2" s="1"/>
  <c r="BV53" i="2"/>
  <c r="CB53" i="2"/>
  <c r="CH53" i="2"/>
  <c r="CN53" i="2"/>
  <c r="CT53" i="2"/>
  <c r="DA53" i="2"/>
  <c r="DB53" i="2"/>
  <c r="DC53" i="2"/>
  <c r="DF53" i="2"/>
  <c r="DG53" i="2"/>
  <c r="DM53" i="2"/>
  <c r="DO53" i="2" s="1"/>
  <c r="BX53" i="2" s="1"/>
  <c r="BR617" i="2"/>
  <c r="BT617" i="2" s="1"/>
  <c r="BU617" i="2"/>
  <c r="BX617" i="2"/>
  <c r="BZ617" i="2" s="1"/>
  <c r="CA617" i="2"/>
  <c r="CG617" i="2"/>
  <c r="CM617" i="2"/>
  <c r="CS617" i="2"/>
  <c r="CY617" i="2"/>
  <c r="DE617" i="2"/>
  <c r="DK617" i="2"/>
  <c r="DM617" i="2"/>
  <c r="DN617" i="2"/>
  <c r="DQ617" i="2"/>
  <c r="DX617" i="2"/>
  <c r="DY617" i="2"/>
  <c r="DZ617" i="2" s="1"/>
  <c r="EG617" i="2"/>
  <c r="EM617" i="2"/>
  <c r="CO617" i="2" s="1"/>
  <c r="EP617" i="2"/>
  <c r="DG617" i="2" s="1"/>
  <c r="BR49" i="2"/>
  <c r="BT49" i="2" s="1"/>
  <c r="BU49" i="2"/>
  <c r="BX49" i="2"/>
  <c r="BZ49" i="2" s="1"/>
  <c r="CA49" i="2"/>
  <c r="DM49" i="2"/>
  <c r="DN49" i="2"/>
  <c r="DQ49" i="2"/>
  <c r="DX49" i="2"/>
  <c r="DY49" i="2"/>
  <c r="DZ49" i="2" s="1"/>
  <c r="EB49" i="2"/>
  <c r="EG49" i="2" s="1"/>
  <c r="EM49" i="2"/>
  <c r="CO49" i="2" s="1"/>
  <c r="EP49" i="2"/>
  <c r="BO49" i="2" s="1"/>
  <c r="BR48" i="2"/>
  <c r="BT48" i="2" s="1"/>
  <c r="BU48" i="2"/>
  <c r="BX48" i="2"/>
  <c r="BZ48" i="2" s="1"/>
  <c r="CA48" i="2"/>
  <c r="DM48" i="2"/>
  <c r="DN48" i="2"/>
  <c r="DQ48" i="2"/>
  <c r="DX48" i="2"/>
  <c r="DY48" i="2"/>
  <c r="DZ48" i="2" s="1"/>
  <c r="EB48" i="2"/>
  <c r="EG48" i="2" s="1"/>
  <c r="EM48" i="2"/>
  <c r="CO48" i="2" s="1"/>
  <c r="EP48" i="2"/>
  <c r="DA48" i="2" s="1"/>
  <c r="DB48" i="2" s="1"/>
  <c r="BR329" i="2"/>
  <c r="BT329" i="2" s="1"/>
  <c r="BU329" i="2"/>
  <c r="BX329" i="2"/>
  <c r="BZ329" i="2" s="1"/>
  <c r="CA329" i="2"/>
  <c r="CD329" i="2"/>
  <c r="CF329" i="2" s="1"/>
  <c r="CG329" i="2"/>
  <c r="CJ329" i="2"/>
  <c r="CL329" i="2" s="1"/>
  <c r="CM329" i="2"/>
  <c r="CS329" i="2"/>
  <c r="CY329" i="2"/>
  <c r="DE329" i="2"/>
  <c r="DK329" i="2"/>
  <c r="DM329" i="2"/>
  <c r="DN329" i="2"/>
  <c r="DQ329" i="2"/>
  <c r="DX329" i="2"/>
  <c r="DY329" i="2"/>
  <c r="DZ329" i="2" s="1"/>
  <c r="EG329" i="2"/>
  <c r="EM329" i="2"/>
  <c r="CO329" i="2" s="1"/>
  <c r="EP329" i="2"/>
  <c r="BO329" i="2" s="1"/>
  <c r="BR429" i="2"/>
  <c r="BT429" i="2" s="1"/>
  <c r="BU429" i="2"/>
  <c r="BX429" i="2"/>
  <c r="BZ429" i="2" s="1"/>
  <c r="CA429" i="2"/>
  <c r="CD429" i="2"/>
  <c r="CF429" i="2" s="1"/>
  <c r="CG429" i="2"/>
  <c r="CJ429" i="2"/>
  <c r="CL429" i="2" s="1"/>
  <c r="CM429" i="2"/>
  <c r="CS429" i="2"/>
  <c r="CY429" i="2"/>
  <c r="DE429" i="2"/>
  <c r="DK429" i="2"/>
  <c r="DM429" i="2"/>
  <c r="DN429" i="2"/>
  <c r="DQ429" i="2"/>
  <c r="DX429" i="2"/>
  <c r="DY429" i="2"/>
  <c r="DZ429" i="2" s="1"/>
  <c r="EG429" i="2"/>
  <c r="EM429" i="2"/>
  <c r="CO429" i="2" s="1"/>
  <c r="CP429" i="2" s="1"/>
  <c r="EP429" i="2"/>
  <c r="CU429" i="2" s="1"/>
  <c r="CV429" i="2" s="1"/>
  <c r="CX429" i="2" s="1"/>
  <c r="BR393" i="2"/>
  <c r="BT393" i="2" s="1"/>
  <c r="BU393" i="2"/>
  <c r="BX393" i="2"/>
  <c r="BZ393" i="2" s="1"/>
  <c r="CA393" i="2"/>
  <c r="CD393" i="2"/>
  <c r="CF393" i="2" s="1"/>
  <c r="CG393" i="2"/>
  <c r="CM393" i="2"/>
  <c r="CS393" i="2"/>
  <c r="CY393" i="2"/>
  <c r="DE393" i="2"/>
  <c r="DK393" i="2"/>
  <c r="DM393" i="2"/>
  <c r="DN393" i="2"/>
  <c r="DQ393" i="2"/>
  <c r="DX393" i="2"/>
  <c r="DY393" i="2"/>
  <c r="DZ393" i="2" s="1"/>
  <c r="EG393" i="2"/>
  <c r="EM393" i="2"/>
  <c r="CO393" i="2" s="1"/>
  <c r="CP393" i="2" s="1"/>
  <c r="CR393" i="2" s="1"/>
  <c r="EP393" i="2"/>
  <c r="CU393" i="2" s="1"/>
  <c r="CV393" i="2" s="1"/>
  <c r="CX393" i="2" s="1"/>
  <c r="BR65" i="2"/>
  <c r="BT65" i="2" s="1"/>
  <c r="BU65" i="2"/>
  <c r="BX65" i="2"/>
  <c r="BZ65" i="2" s="1"/>
  <c r="CA65" i="2"/>
  <c r="CD65" i="2"/>
  <c r="CF65" i="2" s="1"/>
  <c r="CG65" i="2"/>
  <c r="CM65" i="2"/>
  <c r="CS65" i="2"/>
  <c r="CY65" i="2"/>
  <c r="DE65" i="2"/>
  <c r="DK65" i="2"/>
  <c r="DM65" i="2"/>
  <c r="DN65" i="2"/>
  <c r="DQ65" i="2"/>
  <c r="DX65" i="2"/>
  <c r="DY65" i="2"/>
  <c r="DZ65" i="2" s="1"/>
  <c r="EA65" i="2"/>
  <c r="EG65" i="2" s="1"/>
  <c r="EM65" i="2"/>
  <c r="CO65" i="2" s="1"/>
  <c r="CP65" i="2" s="1"/>
  <c r="EP65" i="2"/>
  <c r="DG65" i="2" s="1"/>
  <c r="DH65" i="2" s="1"/>
  <c r="DJ65" i="2" s="1"/>
  <c r="BR183" i="2"/>
  <c r="BT183" i="2" s="1"/>
  <c r="BU183" i="2"/>
  <c r="BX183" i="2"/>
  <c r="BZ183" i="2" s="1"/>
  <c r="CA183" i="2"/>
  <c r="CD183" i="2"/>
  <c r="CF183" i="2" s="1"/>
  <c r="CG183" i="2"/>
  <c r="CM183" i="2"/>
  <c r="CS183" i="2"/>
  <c r="CY183" i="2"/>
  <c r="DE183" i="2"/>
  <c r="DK183" i="2"/>
  <c r="DM183" i="2"/>
  <c r="DN183" i="2"/>
  <c r="DQ183" i="2"/>
  <c r="DX183" i="2"/>
  <c r="DY183" i="2"/>
  <c r="DZ183" i="2" s="1"/>
  <c r="EG183" i="2"/>
  <c r="EM183" i="2"/>
  <c r="CO183" i="2" s="1"/>
  <c r="CP183" i="2" s="1"/>
  <c r="CR183" i="2" s="1"/>
  <c r="EP183" i="2"/>
  <c r="CU183" i="2" s="1"/>
  <c r="CV183" i="2" s="1"/>
  <c r="CX183" i="2" s="1"/>
  <c r="BR96" i="2"/>
  <c r="BT96" i="2" s="1"/>
  <c r="BU96" i="2"/>
  <c r="BX96" i="2"/>
  <c r="BZ96" i="2" s="1"/>
  <c r="CA96" i="2"/>
  <c r="CG96" i="2"/>
  <c r="CM96" i="2"/>
  <c r="CS96" i="2"/>
  <c r="CY96" i="2"/>
  <c r="DE96" i="2"/>
  <c r="DK96" i="2"/>
  <c r="DM96" i="2"/>
  <c r="DN96" i="2"/>
  <c r="DQ96" i="2"/>
  <c r="DX96" i="2"/>
  <c r="DY96" i="2"/>
  <c r="DZ96" i="2" s="1"/>
  <c r="EA96" i="2"/>
  <c r="EG96" i="2" s="1"/>
  <c r="EM96" i="2"/>
  <c r="CO96" i="2" s="1"/>
  <c r="EP96" i="2"/>
  <c r="CU96" i="2" s="1"/>
  <c r="CV96" i="2" s="1"/>
  <c r="CX96" i="2" s="1"/>
  <c r="BR821" i="2"/>
  <c r="BT821" i="2" s="1"/>
  <c r="BU821" i="2"/>
  <c r="BX821" i="2"/>
  <c r="BZ821" i="2" s="1"/>
  <c r="CA821" i="2"/>
  <c r="CD821" i="2"/>
  <c r="CF821" i="2" s="1"/>
  <c r="CG821" i="2"/>
  <c r="CM821" i="2"/>
  <c r="CS821" i="2"/>
  <c r="CY821" i="2"/>
  <c r="DE821" i="2"/>
  <c r="DK821" i="2"/>
  <c r="DM821" i="2"/>
  <c r="DN821" i="2"/>
  <c r="DQ821" i="2"/>
  <c r="DX821" i="2"/>
  <c r="DY821" i="2"/>
  <c r="DZ821" i="2" s="1"/>
  <c r="EA821" i="2"/>
  <c r="EG821" i="2" s="1"/>
  <c r="EM821" i="2"/>
  <c r="CO821" i="2" s="1"/>
  <c r="CP821" i="2" s="1"/>
  <c r="CR821" i="2" s="1"/>
  <c r="EP821" i="2"/>
  <c r="DG821" i="2" s="1"/>
  <c r="DH821" i="2" s="1"/>
  <c r="DJ821" i="2" s="1"/>
  <c r="BR715" i="2"/>
  <c r="BT715" i="2" s="1"/>
  <c r="BU715" i="2"/>
  <c r="BX715" i="2"/>
  <c r="BZ715" i="2" s="1"/>
  <c r="CA715" i="2"/>
  <c r="CG715" i="2"/>
  <c r="CM715" i="2"/>
  <c r="CS715" i="2"/>
  <c r="CY715" i="2"/>
  <c r="DE715" i="2"/>
  <c r="DK715" i="2"/>
  <c r="DM715" i="2"/>
  <c r="DN715" i="2"/>
  <c r="DQ715" i="2"/>
  <c r="DY715" i="2"/>
  <c r="DZ715" i="2" s="1"/>
  <c r="EG715" i="2"/>
  <c r="EM715" i="2"/>
  <c r="CO715" i="2" s="1"/>
  <c r="CP715" i="2" s="1"/>
  <c r="CR715" i="2" s="1"/>
  <c r="EP715" i="2"/>
  <c r="CU715" i="2" s="1"/>
  <c r="CV715" i="2" s="1"/>
  <c r="CX715" i="2" s="1"/>
  <c r="DX198" i="2"/>
  <c r="BR105" i="2"/>
  <c r="BT105" i="2" s="1"/>
  <c r="BU105" i="2"/>
  <c r="BX105" i="2"/>
  <c r="BZ105" i="2" s="1"/>
  <c r="CA105" i="2"/>
  <c r="CD105" i="2"/>
  <c r="CF105" i="2" s="1"/>
  <c r="CG105" i="2"/>
  <c r="CJ105" i="2"/>
  <c r="CL105" i="2" s="1"/>
  <c r="CM105" i="2"/>
  <c r="CS105" i="2"/>
  <c r="CY105" i="2"/>
  <c r="DE105" i="2"/>
  <c r="DH105" i="2"/>
  <c r="DI105" i="2"/>
  <c r="DK105" i="2"/>
  <c r="DM105" i="2"/>
  <c r="DN105" i="2"/>
  <c r="DQ105" i="2"/>
  <c r="DX105" i="2"/>
  <c r="DY105" i="2"/>
  <c r="DZ105" i="2" s="1"/>
  <c r="EG105" i="2"/>
  <c r="EM105" i="2"/>
  <c r="CO105" i="2" s="1"/>
  <c r="CP105" i="2" s="1"/>
  <c r="CR105" i="2" s="1"/>
  <c r="EP105" i="2"/>
  <c r="DA105" i="2" s="1"/>
  <c r="DB105" i="2" s="1"/>
  <c r="DD105" i="2" s="1"/>
  <c r="BR972" i="2"/>
  <c r="BT972" i="2" s="1"/>
  <c r="BU972" i="2"/>
  <c r="BX972" i="2"/>
  <c r="BZ972" i="2" s="1"/>
  <c r="CA972" i="2"/>
  <c r="CG972" i="2"/>
  <c r="CM972" i="2"/>
  <c r="CS972" i="2"/>
  <c r="CY972" i="2"/>
  <c r="DE972" i="2"/>
  <c r="DH972" i="2"/>
  <c r="DI972" i="2"/>
  <c r="DK972" i="2"/>
  <c r="DM972" i="2"/>
  <c r="DN972" i="2"/>
  <c r="DQ972" i="2"/>
  <c r="DX972" i="2"/>
  <c r="DY972" i="2"/>
  <c r="DZ972" i="2" s="1"/>
  <c r="EG972" i="2"/>
  <c r="EM972" i="2"/>
  <c r="CC972" i="2" s="1"/>
  <c r="CD972" i="2" s="1"/>
  <c r="CF972" i="2" s="1"/>
  <c r="EP972" i="2"/>
  <c r="BO972" i="2" s="1"/>
  <c r="BR698" i="2"/>
  <c r="BT698" i="2" s="1"/>
  <c r="BU698" i="2"/>
  <c r="BX698" i="2"/>
  <c r="BZ698" i="2" s="1"/>
  <c r="CA698" i="2"/>
  <c r="DH698" i="2"/>
  <c r="DI698" i="2"/>
  <c r="DK698" i="2"/>
  <c r="DM698" i="2"/>
  <c r="DN698" i="2"/>
  <c r="DQ698" i="2"/>
  <c r="DX698" i="2"/>
  <c r="DY698" i="2"/>
  <c r="DZ698" i="2" s="1"/>
  <c r="EG698" i="2"/>
  <c r="EM698" i="2"/>
  <c r="CC698" i="2" s="1"/>
  <c r="CD698" i="2" s="1"/>
  <c r="EP698" i="2"/>
  <c r="BO698" i="2" s="1"/>
  <c r="BR468" i="2"/>
  <c r="BV468" i="2" s="1"/>
  <c r="BU468" i="2"/>
  <c r="BX468" i="2"/>
  <c r="BZ468" i="2" s="1"/>
  <c r="CA468" i="2"/>
  <c r="CD468" i="2"/>
  <c r="CF468" i="2" s="1"/>
  <c r="CG468" i="2"/>
  <c r="CJ468" i="2"/>
  <c r="CL468" i="2" s="1"/>
  <c r="CM468" i="2"/>
  <c r="CP468" i="2"/>
  <c r="CR468" i="2" s="1"/>
  <c r="CS468" i="2"/>
  <c r="CV468" i="2"/>
  <c r="CX468" i="2" s="1"/>
  <c r="CY468" i="2"/>
  <c r="DB468" i="2"/>
  <c r="DD468" i="2" s="1"/>
  <c r="DE468" i="2"/>
  <c r="DH468" i="2"/>
  <c r="DI468" i="2"/>
  <c r="DK468" i="2"/>
  <c r="DM468" i="2"/>
  <c r="DN468" i="2"/>
  <c r="DQ468" i="2"/>
  <c r="DX468" i="2"/>
  <c r="DY468" i="2"/>
  <c r="DZ468" i="2"/>
  <c r="EA468" i="2"/>
  <c r="EG468" i="2"/>
  <c r="EM468" i="2"/>
  <c r="EP468" i="2"/>
  <c r="BO468" i="2" s="1"/>
  <c r="BR132" i="2"/>
  <c r="BT132" i="2" s="1"/>
  <c r="BU132" i="2"/>
  <c r="BX132" i="2"/>
  <c r="BZ132" i="2" s="1"/>
  <c r="CA132" i="2"/>
  <c r="CG132" i="2"/>
  <c r="CM132" i="2"/>
  <c r="CS132" i="2"/>
  <c r="CY132" i="2"/>
  <c r="DE132" i="2"/>
  <c r="DI132" i="2"/>
  <c r="DK132" i="2"/>
  <c r="DM132" i="2"/>
  <c r="DN132" i="2"/>
  <c r="DQ132" i="2"/>
  <c r="DX132" i="2"/>
  <c r="DY132" i="2"/>
  <c r="DZ132" i="2" s="1"/>
  <c r="EG132" i="2"/>
  <c r="EM132" i="2"/>
  <c r="CC132" i="2" s="1"/>
  <c r="CD132" i="2" s="1"/>
  <c r="CF132" i="2" s="1"/>
  <c r="EP132" i="2"/>
  <c r="BO132" i="2" s="1"/>
  <c r="BR198" i="2"/>
  <c r="BT198" i="2" s="1"/>
  <c r="BU198" i="2"/>
  <c r="BX198" i="2"/>
  <c r="BZ198" i="2" s="1"/>
  <c r="CA198" i="2"/>
  <c r="CG198" i="2"/>
  <c r="CM198" i="2"/>
  <c r="CS198" i="2"/>
  <c r="CY198" i="2"/>
  <c r="DE198" i="2"/>
  <c r="DH198" i="2"/>
  <c r="DJ198" i="2" s="1"/>
  <c r="DI198" i="2"/>
  <c r="DK198" i="2"/>
  <c r="DM198" i="2"/>
  <c r="DN198" i="2"/>
  <c r="DQ198" i="2"/>
  <c r="DY198" i="2"/>
  <c r="DZ198" i="2" s="1"/>
  <c r="EG198" i="2"/>
  <c r="EJ198" i="2"/>
  <c r="EK198" i="2"/>
  <c r="EM198" i="2" s="1"/>
  <c r="CC198" i="2" s="1"/>
  <c r="CD198" i="2" s="1"/>
  <c r="CF198" i="2" s="1"/>
  <c r="EN198" i="2"/>
  <c r="EP198" i="2" s="1"/>
  <c r="BO198" i="2" s="1"/>
  <c r="BR751" i="2"/>
  <c r="BT751" i="2" s="1"/>
  <c r="BU751" i="2"/>
  <c r="BX751" i="2"/>
  <c r="BZ751" i="2" s="1"/>
  <c r="CA751" i="2"/>
  <c r="CD751" i="2"/>
  <c r="CF751" i="2" s="1"/>
  <c r="CG751" i="2"/>
  <c r="CM751" i="2"/>
  <c r="CS751" i="2"/>
  <c r="CY751" i="2"/>
  <c r="DE751" i="2"/>
  <c r="DH751" i="2"/>
  <c r="DI751" i="2"/>
  <c r="DK751" i="2"/>
  <c r="DM751" i="2"/>
  <c r="DN751" i="2"/>
  <c r="DQ751" i="2"/>
  <c r="DX751" i="2"/>
  <c r="DY751" i="2"/>
  <c r="DZ751" i="2" s="1"/>
  <c r="EG751" i="2"/>
  <c r="EJ751" i="2"/>
  <c r="EK751" i="2"/>
  <c r="EM751" i="2" s="1"/>
  <c r="CO751" i="2" s="1"/>
  <c r="CP751" i="2" s="1"/>
  <c r="CR751" i="2" s="1"/>
  <c r="EN751" i="2"/>
  <c r="EP751" i="2" s="1"/>
  <c r="DA751" i="2" s="1"/>
  <c r="DB751" i="2" s="1"/>
  <c r="DD751" i="2" s="1"/>
  <c r="BR695" i="2"/>
  <c r="BT695" i="2" s="1"/>
  <c r="BU695" i="2"/>
  <c r="BX695" i="2"/>
  <c r="BZ695" i="2" s="1"/>
  <c r="CA695" i="2"/>
  <c r="CD695" i="2"/>
  <c r="CF695" i="2" s="1"/>
  <c r="CG695" i="2"/>
  <c r="CM695" i="2"/>
  <c r="CS695" i="2"/>
  <c r="CY695" i="2"/>
  <c r="DE695" i="2"/>
  <c r="DH695" i="2"/>
  <c r="DI695" i="2"/>
  <c r="DK695" i="2"/>
  <c r="DM695" i="2"/>
  <c r="DN695" i="2"/>
  <c r="DQ695" i="2"/>
  <c r="DX695" i="2"/>
  <c r="DY695" i="2"/>
  <c r="DZ695" i="2" s="1"/>
  <c r="EG695" i="2"/>
  <c r="EM695" i="2"/>
  <c r="CO695" i="2" s="1"/>
  <c r="CP695" i="2" s="1"/>
  <c r="CR695" i="2" s="1"/>
  <c r="EP695" i="2"/>
  <c r="DA695" i="2" s="1"/>
  <c r="DB695" i="2" s="1"/>
  <c r="DD695" i="2" s="1"/>
  <c r="BR727" i="2"/>
  <c r="BT727" i="2" s="1"/>
  <c r="BU727" i="2"/>
  <c r="BX727" i="2"/>
  <c r="BZ727" i="2" s="1"/>
  <c r="CA727" i="2"/>
  <c r="CD727" i="2"/>
  <c r="CF727" i="2" s="1"/>
  <c r="CG727" i="2"/>
  <c r="CM727" i="2"/>
  <c r="CS727" i="2"/>
  <c r="CY727" i="2"/>
  <c r="DE727" i="2"/>
  <c r="DH727" i="2"/>
  <c r="DI727" i="2"/>
  <c r="DK727" i="2"/>
  <c r="DM727" i="2"/>
  <c r="DN727" i="2"/>
  <c r="DQ727" i="2"/>
  <c r="DX727" i="2"/>
  <c r="DY727" i="2"/>
  <c r="DZ727" i="2" s="1"/>
  <c r="EG727" i="2"/>
  <c r="EM727" i="2"/>
  <c r="CO727" i="2" s="1"/>
  <c r="CP727" i="2" s="1"/>
  <c r="CR727" i="2" s="1"/>
  <c r="EP727" i="2"/>
  <c r="DA727" i="2" s="1"/>
  <c r="DB727" i="2" s="1"/>
  <c r="DD727" i="2" s="1"/>
  <c r="BR938" i="2"/>
  <c r="BT938" i="2" s="1"/>
  <c r="BU938" i="2"/>
  <c r="BX938" i="2"/>
  <c r="BZ938" i="2" s="1"/>
  <c r="CA938" i="2"/>
  <c r="CD938" i="2"/>
  <c r="CF938" i="2" s="1"/>
  <c r="CG938" i="2"/>
  <c r="CM938" i="2"/>
  <c r="CS938" i="2"/>
  <c r="CY938" i="2"/>
  <c r="DE938" i="2"/>
  <c r="DH938" i="2"/>
  <c r="DI938" i="2"/>
  <c r="DK938" i="2"/>
  <c r="DM938" i="2"/>
  <c r="DN938" i="2"/>
  <c r="DQ938" i="2"/>
  <c r="DX938" i="2"/>
  <c r="DY938" i="2"/>
  <c r="DZ938" i="2" s="1"/>
  <c r="EG938" i="2"/>
  <c r="EM938" i="2"/>
  <c r="CO938" i="2" s="1"/>
  <c r="CP938" i="2" s="1"/>
  <c r="CR938" i="2" s="1"/>
  <c r="EP938" i="2"/>
  <c r="DA938" i="2" s="1"/>
  <c r="DB938" i="2" s="1"/>
  <c r="DD938" i="2" s="1"/>
  <c r="BR931" i="2"/>
  <c r="BT931" i="2" s="1"/>
  <c r="BU931" i="2"/>
  <c r="BX931" i="2"/>
  <c r="BZ931" i="2" s="1"/>
  <c r="CA931" i="2"/>
  <c r="CD931" i="2"/>
  <c r="CF931" i="2" s="1"/>
  <c r="CG931" i="2"/>
  <c r="CM931" i="2"/>
  <c r="CS931" i="2"/>
  <c r="CY931" i="2"/>
  <c r="DE931" i="2"/>
  <c r="DH931" i="2"/>
  <c r="DI931" i="2"/>
  <c r="DK931" i="2"/>
  <c r="DM931" i="2"/>
  <c r="DN931" i="2"/>
  <c r="DQ931" i="2"/>
  <c r="DX931" i="2"/>
  <c r="DY931" i="2"/>
  <c r="DZ931" i="2" s="1"/>
  <c r="EG931" i="2"/>
  <c r="EM931" i="2"/>
  <c r="CO931" i="2" s="1"/>
  <c r="CP931" i="2" s="1"/>
  <c r="CR931" i="2" s="1"/>
  <c r="EP931" i="2"/>
  <c r="DA931" i="2" s="1"/>
  <c r="DB931" i="2" s="1"/>
  <c r="DD931" i="2" s="1"/>
  <c r="BR348" i="2"/>
  <c r="BT348" i="2" s="1"/>
  <c r="BU348" i="2"/>
  <c r="BX348" i="2"/>
  <c r="BZ348" i="2" s="1"/>
  <c r="CA348" i="2"/>
  <c r="CD348" i="2"/>
  <c r="DH348" i="2"/>
  <c r="DI348" i="2"/>
  <c r="DK348" i="2"/>
  <c r="DM348" i="2"/>
  <c r="DN348" i="2"/>
  <c r="DQ348" i="2"/>
  <c r="DX348" i="2"/>
  <c r="DY348" i="2"/>
  <c r="DZ348" i="2" s="1"/>
  <c r="EG348" i="2"/>
  <c r="EM348" i="2"/>
  <c r="CO348" i="2" s="1"/>
  <c r="CP348" i="2" s="1"/>
  <c r="CR348" i="2" s="1"/>
  <c r="CQ348" i="2" s="1"/>
  <c r="EP348" i="2"/>
  <c r="BO348" i="2" s="1"/>
  <c r="BR865" i="2"/>
  <c r="BT865" i="2" s="1"/>
  <c r="BU865" i="2"/>
  <c r="BX865" i="2"/>
  <c r="BZ865" i="2" s="1"/>
  <c r="CA865" i="2"/>
  <c r="CD865" i="2"/>
  <c r="CF865" i="2" s="1"/>
  <c r="CG865" i="2"/>
  <c r="CM865" i="2"/>
  <c r="CS865" i="2"/>
  <c r="CY865" i="2"/>
  <c r="DE865" i="2"/>
  <c r="DH865" i="2"/>
  <c r="DI865" i="2"/>
  <c r="DK865" i="2"/>
  <c r="DM865" i="2"/>
  <c r="DN865" i="2"/>
  <c r="DQ865" i="2"/>
  <c r="DX865" i="2"/>
  <c r="DY865" i="2"/>
  <c r="DZ865" i="2" s="1"/>
  <c r="EG865" i="2"/>
  <c r="EM865" i="2"/>
  <c r="CO865" i="2" s="1"/>
  <c r="CP865" i="2" s="1"/>
  <c r="CR865" i="2" s="1"/>
  <c r="EP865" i="2"/>
  <c r="DA865" i="2" s="1"/>
  <c r="DB865" i="2" s="1"/>
  <c r="DD865" i="2" s="1"/>
  <c r="BR767" i="2"/>
  <c r="BT767" i="2" s="1"/>
  <c r="BU767" i="2"/>
  <c r="BX767" i="2"/>
  <c r="BZ767" i="2" s="1"/>
  <c r="CA767" i="2"/>
  <c r="CG767" i="2"/>
  <c r="CM767" i="2"/>
  <c r="CS767" i="2"/>
  <c r="CY767" i="2"/>
  <c r="DE767" i="2"/>
  <c r="DH767" i="2"/>
  <c r="DI767" i="2"/>
  <c r="DK767" i="2"/>
  <c r="DM767" i="2"/>
  <c r="DN767" i="2"/>
  <c r="DQ767" i="2"/>
  <c r="DX767" i="2"/>
  <c r="DY767" i="2"/>
  <c r="DZ767" i="2" s="1"/>
  <c r="EB767" i="2"/>
  <c r="EG767" i="2" s="1"/>
  <c r="EM767" i="2"/>
  <c r="CC767" i="2" s="1"/>
  <c r="CD767" i="2" s="1"/>
  <c r="CF767" i="2" s="1"/>
  <c r="EP767" i="2"/>
  <c r="BO767" i="2" s="1"/>
  <c r="BR789" i="2"/>
  <c r="BT789" i="2" s="1"/>
  <c r="BU789" i="2"/>
  <c r="BX789" i="2"/>
  <c r="BZ789" i="2" s="1"/>
  <c r="CA789" i="2"/>
  <c r="CD789" i="2"/>
  <c r="CF789" i="2" s="1"/>
  <c r="CG789" i="2"/>
  <c r="CM789" i="2"/>
  <c r="CS789" i="2"/>
  <c r="CY789" i="2"/>
  <c r="DE789" i="2"/>
  <c r="DH789" i="2"/>
  <c r="DI789" i="2"/>
  <c r="DK789" i="2"/>
  <c r="DM789" i="2"/>
  <c r="DN789" i="2"/>
  <c r="DQ789" i="2"/>
  <c r="DX789" i="2"/>
  <c r="DY789" i="2"/>
  <c r="DZ789" i="2" s="1"/>
  <c r="EG789" i="2"/>
  <c r="EM789" i="2"/>
  <c r="EP789" i="2"/>
  <c r="DA789" i="2" s="1"/>
  <c r="DB789" i="2" s="1"/>
  <c r="DD789" i="2" s="1"/>
  <c r="BR144" i="2"/>
  <c r="BT144" i="2" s="1"/>
  <c r="BU144" i="2"/>
  <c r="BX144" i="2"/>
  <c r="BZ144" i="2" s="1"/>
  <c r="CA144" i="2"/>
  <c r="CD144" i="2"/>
  <c r="CF144" i="2" s="1"/>
  <c r="CG144" i="2"/>
  <c r="CJ144" i="2"/>
  <c r="CL144" i="2" s="1"/>
  <c r="CM144" i="2"/>
  <c r="CS144" i="2"/>
  <c r="CY144" i="2"/>
  <c r="DE144" i="2"/>
  <c r="DH144" i="2"/>
  <c r="DI144" i="2"/>
  <c r="DK144" i="2"/>
  <c r="DM144" i="2"/>
  <c r="DN144" i="2"/>
  <c r="DQ144" i="2"/>
  <c r="DX144" i="2"/>
  <c r="DY144" i="2"/>
  <c r="DZ144" i="2" s="1"/>
  <c r="EG144" i="2"/>
  <c r="EM144" i="2"/>
  <c r="CO144" i="2" s="1"/>
  <c r="CP144" i="2" s="1"/>
  <c r="CR144" i="2" s="1"/>
  <c r="EP144" i="2"/>
  <c r="DA144" i="2" s="1"/>
  <c r="DB144" i="2" s="1"/>
  <c r="DD144" i="2" s="1"/>
  <c r="BR141" i="2"/>
  <c r="BT141" i="2" s="1"/>
  <c r="BU141" i="2"/>
  <c r="BX141" i="2"/>
  <c r="BZ141" i="2" s="1"/>
  <c r="CA141" i="2"/>
  <c r="CD141" i="2"/>
  <c r="CF141" i="2" s="1"/>
  <c r="CG141" i="2"/>
  <c r="CJ141" i="2"/>
  <c r="CL141" i="2" s="1"/>
  <c r="CM141" i="2"/>
  <c r="CS141" i="2"/>
  <c r="CY141" i="2"/>
  <c r="DE141" i="2"/>
  <c r="DH141" i="2"/>
  <c r="DI141" i="2"/>
  <c r="DK141" i="2"/>
  <c r="DM141" i="2"/>
  <c r="DN141" i="2"/>
  <c r="DQ141" i="2"/>
  <c r="DX141" i="2"/>
  <c r="DY141" i="2"/>
  <c r="DZ141" i="2" s="1"/>
  <c r="EG141" i="2"/>
  <c r="EM141" i="2"/>
  <c r="CO141" i="2" s="1"/>
  <c r="CP141" i="2" s="1"/>
  <c r="CR141" i="2" s="1"/>
  <c r="EP141" i="2"/>
  <c r="DA141" i="2" s="1"/>
  <c r="DB141" i="2" s="1"/>
  <c r="DD141" i="2" s="1"/>
  <c r="BR1011" i="2"/>
  <c r="BT1011" i="2" s="1"/>
  <c r="BU1011" i="2"/>
  <c r="BX1011" i="2"/>
  <c r="BZ1011" i="2" s="1"/>
  <c r="CA1011" i="2"/>
  <c r="CD1011" i="2"/>
  <c r="CF1011" i="2" s="1"/>
  <c r="CG1011" i="2"/>
  <c r="CJ1011" i="2"/>
  <c r="CL1011" i="2" s="1"/>
  <c r="CM1011" i="2"/>
  <c r="CS1011" i="2"/>
  <c r="CY1011" i="2"/>
  <c r="DE1011" i="2"/>
  <c r="DH1011" i="2"/>
  <c r="DI1011" i="2"/>
  <c r="DK1011" i="2"/>
  <c r="DM1011" i="2"/>
  <c r="DN1011" i="2"/>
  <c r="DQ1011" i="2"/>
  <c r="DX1011" i="2"/>
  <c r="DY1011" i="2"/>
  <c r="DZ1011" i="2" s="1"/>
  <c r="EG1011" i="2"/>
  <c r="EK1011" i="2"/>
  <c r="EM1011" i="2" s="1"/>
  <c r="CO1011" i="2" s="1"/>
  <c r="CP1011" i="2" s="1"/>
  <c r="EN1011" i="2"/>
  <c r="EP1011" i="2" s="1"/>
  <c r="DA1011" i="2" s="1"/>
  <c r="DB1011" i="2" s="1"/>
  <c r="DD1011" i="2" s="1"/>
  <c r="BR1045" i="2"/>
  <c r="BT1045" i="2" s="1"/>
  <c r="BU1045" i="2"/>
  <c r="BX1045" i="2"/>
  <c r="BZ1045" i="2" s="1"/>
  <c r="CA1045" i="2"/>
  <c r="CD1045" i="2"/>
  <c r="CF1045" i="2" s="1"/>
  <c r="CG1045" i="2"/>
  <c r="CM1045" i="2"/>
  <c r="CS1045" i="2"/>
  <c r="CY1045" i="2"/>
  <c r="DE1045" i="2"/>
  <c r="DH1045" i="2"/>
  <c r="DI1045" i="2"/>
  <c r="DK1045" i="2"/>
  <c r="DM1045" i="2"/>
  <c r="DN1045" i="2"/>
  <c r="DQ1045" i="2"/>
  <c r="DX1045" i="2"/>
  <c r="DY1045" i="2"/>
  <c r="DZ1045" i="2" s="1"/>
  <c r="EG1045" i="2"/>
  <c r="EM1045" i="2"/>
  <c r="CO1045" i="2" s="1"/>
  <c r="CP1045" i="2" s="1"/>
  <c r="CR1045" i="2" s="1"/>
  <c r="EP1045" i="2"/>
  <c r="DA1045" i="2" s="1"/>
  <c r="DB1045" i="2" s="1"/>
  <c r="DD1045" i="2" s="1"/>
  <c r="BR318" i="2"/>
  <c r="BT318" i="2" s="1"/>
  <c r="BU318" i="2"/>
  <c r="BX318" i="2"/>
  <c r="BZ318" i="2" s="1"/>
  <c r="CA318" i="2"/>
  <c r="CD318" i="2"/>
  <c r="CF318" i="2" s="1"/>
  <c r="CG318" i="2"/>
  <c r="CM318" i="2"/>
  <c r="CS318" i="2"/>
  <c r="CY318" i="2"/>
  <c r="DE318" i="2"/>
  <c r="DH318" i="2"/>
  <c r="DI318" i="2"/>
  <c r="DK318" i="2"/>
  <c r="DM318" i="2"/>
  <c r="DN318" i="2"/>
  <c r="DQ318" i="2"/>
  <c r="DX318" i="2"/>
  <c r="DY318" i="2"/>
  <c r="DZ318" i="2" s="1"/>
  <c r="EG318" i="2"/>
  <c r="EJ318" i="2"/>
  <c r="EK318" i="2"/>
  <c r="EM318" i="2" s="1"/>
  <c r="CO318" i="2" s="1"/>
  <c r="CP318" i="2" s="1"/>
  <c r="CR318" i="2" s="1"/>
  <c r="EN318" i="2"/>
  <c r="EP318" i="2" s="1"/>
  <c r="BO318" i="2" s="1"/>
  <c r="BR545" i="2"/>
  <c r="BT545" i="2" s="1"/>
  <c r="BU545" i="2"/>
  <c r="BX545" i="2"/>
  <c r="BZ545" i="2" s="1"/>
  <c r="CA545" i="2"/>
  <c r="CD545" i="2"/>
  <c r="CF545" i="2" s="1"/>
  <c r="CG545" i="2"/>
  <c r="CM545" i="2"/>
  <c r="CS545" i="2"/>
  <c r="CY545" i="2"/>
  <c r="DE545" i="2"/>
  <c r="DH545" i="2"/>
  <c r="DI545" i="2"/>
  <c r="DK545" i="2"/>
  <c r="DM545" i="2"/>
  <c r="DN545" i="2"/>
  <c r="DQ545" i="2"/>
  <c r="DX545" i="2"/>
  <c r="DY545" i="2"/>
  <c r="DZ545" i="2" s="1"/>
  <c r="EG545" i="2"/>
  <c r="EM545" i="2"/>
  <c r="CO545" i="2" s="1"/>
  <c r="CP545" i="2" s="1"/>
  <c r="EP545" i="2"/>
  <c r="DA545" i="2" s="1"/>
  <c r="DB545" i="2" s="1"/>
  <c r="DD545" i="2" s="1"/>
  <c r="BR840" i="2"/>
  <c r="BT840" i="2" s="1"/>
  <c r="BU840" i="2"/>
  <c r="BX840" i="2"/>
  <c r="BZ840" i="2" s="1"/>
  <c r="CA840" i="2"/>
  <c r="CD840" i="2"/>
  <c r="CF840" i="2" s="1"/>
  <c r="CG840" i="2"/>
  <c r="CM840" i="2"/>
  <c r="CS840" i="2"/>
  <c r="CY840" i="2"/>
  <c r="DE840" i="2"/>
  <c r="DH840" i="2"/>
  <c r="DI840" i="2"/>
  <c r="DK840" i="2"/>
  <c r="DM840" i="2"/>
  <c r="DN840" i="2"/>
  <c r="DQ840" i="2"/>
  <c r="DX840" i="2"/>
  <c r="DY840" i="2"/>
  <c r="DZ840" i="2" s="1"/>
  <c r="EG840" i="2"/>
  <c r="EJ840" i="2"/>
  <c r="EK840" i="2"/>
  <c r="EM840" i="2" s="1"/>
  <c r="CO840" i="2" s="1"/>
  <c r="CP840" i="2" s="1"/>
  <c r="CR840" i="2" s="1"/>
  <c r="EN840" i="2"/>
  <c r="EP840" i="2" s="1"/>
  <c r="CU840" i="2" s="1"/>
  <c r="CV840" i="2" s="1"/>
  <c r="CX840" i="2" s="1"/>
  <c r="BR937" i="2"/>
  <c r="BT937" i="2" s="1"/>
  <c r="BU937" i="2"/>
  <c r="BX937" i="2"/>
  <c r="BZ937" i="2" s="1"/>
  <c r="CA937" i="2"/>
  <c r="CD937" i="2"/>
  <c r="CF937" i="2" s="1"/>
  <c r="CG937" i="2"/>
  <c r="CM937" i="2"/>
  <c r="CS937" i="2"/>
  <c r="CY937" i="2"/>
  <c r="DE937" i="2"/>
  <c r="DH937" i="2"/>
  <c r="DI937" i="2"/>
  <c r="DK937" i="2"/>
  <c r="DM937" i="2"/>
  <c r="DN937" i="2"/>
  <c r="DQ937" i="2"/>
  <c r="DX937" i="2"/>
  <c r="DY937" i="2"/>
  <c r="DZ937" i="2" s="1"/>
  <c r="EG937" i="2"/>
  <c r="EM937" i="2"/>
  <c r="CO937" i="2" s="1"/>
  <c r="CP937" i="2" s="1"/>
  <c r="CR937" i="2" s="1"/>
  <c r="EP937" i="2"/>
  <c r="BO937" i="2" s="1"/>
  <c r="BR465" i="2"/>
  <c r="BT465" i="2" s="1"/>
  <c r="BU465" i="2"/>
  <c r="BX465" i="2"/>
  <c r="BZ465" i="2" s="1"/>
  <c r="CA465" i="2"/>
  <c r="CD465" i="2"/>
  <c r="CF465" i="2" s="1"/>
  <c r="CG465" i="2"/>
  <c r="CJ465" i="2"/>
  <c r="CL465" i="2" s="1"/>
  <c r="CM465" i="2"/>
  <c r="CS465" i="2"/>
  <c r="CY465" i="2"/>
  <c r="DE465" i="2"/>
  <c r="DH465" i="2"/>
  <c r="DI465" i="2"/>
  <c r="DK465" i="2"/>
  <c r="DM465" i="2"/>
  <c r="DN465" i="2"/>
  <c r="DQ465" i="2"/>
  <c r="DX465" i="2"/>
  <c r="DY465" i="2"/>
  <c r="DZ465" i="2" s="1"/>
  <c r="EG465" i="2"/>
  <c r="EM465" i="2"/>
  <c r="CO465" i="2" s="1"/>
  <c r="CP465" i="2" s="1"/>
  <c r="CR465" i="2" s="1"/>
  <c r="EP465" i="2"/>
  <c r="DA465" i="2" s="1"/>
  <c r="DB465" i="2" s="1"/>
  <c r="DD465" i="2" s="1"/>
  <c r="BR1035" i="2"/>
  <c r="BT1035" i="2" s="1"/>
  <c r="BU1035" i="2"/>
  <c r="BX1035" i="2"/>
  <c r="BZ1035" i="2" s="1"/>
  <c r="CA1035" i="2"/>
  <c r="CD1035" i="2"/>
  <c r="CF1035" i="2" s="1"/>
  <c r="CG1035" i="2"/>
  <c r="CM1035" i="2"/>
  <c r="CS1035" i="2"/>
  <c r="CY1035" i="2"/>
  <c r="DE1035" i="2"/>
  <c r="DH1035" i="2"/>
  <c r="DI1035" i="2"/>
  <c r="DK1035" i="2"/>
  <c r="DM1035" i="2"/>
  <c r="DN1035" i="2"/>
  <c r="DQ1035" i="2"/>
  <c r="DX1035" i="2"/>
  <c r="DY1035" i="2"/>
  <c r="DZ1035" i="2" s="1"/>
  <c r="EG1035" i="2"/>
  <c r="EJ1035" i="2"/>
  <c r="EK1035" i="2"/>
  <c r="EL1035" i="2"/>
  <c r="EN1035" i="2"/>
  <c r="EO1035" i="2"/>
  <c r="BR1025" i="2"/>
  <c r="BT1025" i="2" s="1"/>
  <c r="BU1025" i="2"/>
  <c r="BX1025" i="2"/>
  <c r="BZ1025" i="2" s="1"/>
  <c r="CA1025" i="2"/>
  <c r="CD1025" i="2"/>
  <c r="CF1025" i="2" s="1"/>
  <c r="CG1025" i="2"/>
  <c r="CM1025" i="2"/>
  <c r="CS1025" i="2"/>
  <c r="CY1025" i="2"/>
  <c r="DE1025" i="2"/>
  <c r="DH1025" i="2"/>
  <c r="DI1025" i="2"/>
  <c r="DK1025" i="2"/>
  <c r="DM1025" i="2"/>
  <c r="DN1025" i="2"/>
  <c r="DQ1025" i="2"/>
  <c r="DX1025" i="2"/>
  <c r="DY1025" i="2"/>
  <c r="DZ1025" i="2" s="1"/>
  <c r="EG1025" i="2"/>
  <c r="EK1025" i="2"/>
  <c r="EM1025" i="2" s="1"/>
  <c r="CI1025" i="2" s="1"/>
  <c r="CJ1025" i="2" s="1"/>
  <c r="CL1025" i="2" s="1"/>
  <c r="EN1025" i="2"/>
  <c r="EP1025" i="2" s="1"/>
  <c r="BR1026" i="2"/>
  <c r="BT1026" i="2" s="1"/>
  <c r="BU1026" i="2"/>
  <c r="BX1026" i="2"/>
  <c r="BZ1026" i="2" s="1"/>
  <c r="CA1026" i="2"/>
  <c r="CD1026" i="2"/>
  <c r="CF1026" i="2" s="1"/>
  <c r="CG1026" i="2"/>
  <c r="CM1026" i="2"/>
  <c r="CS1026" i="2"/>
  <c r="CY1026" i="2"/>
  <c r="DE1026" i="2"/>
  <c r="DH1026" i="2"/>
  <c r="DI1026" i="2"/>
  <c r="DK1026" i="2"/>
  <c r="DM1026" i="2"/>
  <c r="DN1026" i="2"/>
  <c r="DQ1026" i="2"/>
  <c r="DX1026" i="2"/>
  <c r="DY1026" i="2"/>
  <c r="DZ1026" i="2" s="1"/>
  <c r="EG1026" i="2"/>
  <c r="EK1026" i="2"/>
  <c r="EM1026" i="2" s="1"/>
  <c r="CO1026" i="2" s="1"/>
  <c r="CP1026" i="2" s="1"/>
  <c r="CR1026" i="2" s="1"/>
  <c r="EN1026" i="2"/>
  <c r="EP1026" i="2" s="1"/>
  <c r="DG1026" i="2" s="1"/>
  <c r="BR1027" i="2"/>
  <c r="BT1027" i="2" s="1"/>
  <c r="BU1027" i="2"/>
  <c r="BX1027" i="2"/>
  <c r="BZ1027" i="2" s="1"/>
  <c r="CA1027" i="2"/>
  <c r="CD1027" i="2"/>
  <c r="CF1027" i="2" s="1"/>
  <c r="CG1027" i="2"/>
  <c r="CM1027" i="2"/>
  <c r="CS1027" i="2"/>
  <c r="CY1027" i="2"/>
  <c r="DE1027" i="2"/>
  <c r="DH1027" i="2"/>
  <c r="DI1027" i="2"/>
  <c r="DK1027" i="2"/>
  <c r="DM1027" i="2"/>
  <c r="DN1027" i="2"/>
  <c r="DQ1027" i="2"/>
  <c r="DX1027" i="2"/>
  <c r="DY1027" i="2"/>
  <c r="DZ1027" i="2" s="1"/>
  <c r="EG1027" i="2"/>
  <c r="EJ1027" i="2"/>
  <c r="EK1027" i="2"/>
  <c r="EM1027" i="2" s="1"/>
  <c r="EN1027" i="2"/>
  <c r="EP1027" i="2" s="1"/>
  <c r="DA1027" i="2" s="1"/>
  <c r="DB1027" i="2" s="1"/>
  <c r="BO1029" i="2"/>
  <c r="BR1029" i="2"/>
  <c r="BT1029" i="2" s="1"/>
  <c r="BU1029" i="2"/>
  <c r="BX1029" i="2"/>
  <c r="BZ1029" i="2" s="1"/>
  <c r="CA1029" i="2"/>
  <c r="CD1029" i="2"/>
  <c r="CF1029" i="2" s="1"/>
  <c r="CG1029" i="2"/>
  <c r="CI1029" i="2"/>
  <c r="CM1029" i="2"/>
  <c r="CO1029" i="2"/>
  <c r="CP1029" i="2" s="1"/>
  <c r="CR1029" i="2" s="1"/>
  <c r="CS1029" i="2"/>
  <c r="CU1029" i="2"/>
  <c r="CV1029" i="2" s="1"/>
  <c r="CY1029" i="2"/>
  <c r="DA1029" i="2"/>
  <c r="DB1029" i="2" s="1"/>
  <c r="DE1029" i="2"/>
  <c r="DG1029" i="2"/>
  <c r="DH1029" i="2"/>
  <c r="DI1029" i="2"/>
  <c r="DK1029" i="2"/>
  <c r="DM1029" i="2"/>
  <c r="DN1029" i="2"/>
  <c r="DQ1029" i="2"/>
  <c r="DX1029" i="2"/>
  <c r="DY1029" i="2"/>
  <c r="DZ1029" i="2" s="1"/>
  <c r="EG1029" i="2"/>
  <c r="EJ1029" i="2"/>
  <c r="BR1031" i="2"/>
  <c r="BT1031" i="2" s="1"/>
  <c r="BU1031" i="2"/>
  <c r="BX1031" i="2"/>
  <c r="BZ1031" i="2" s="1"/>
  <c r="CA1031" i="2"/>
  <c r="CD1031" i="2"/>
  <c r="CF1031" i="2" s="1"/>
  <c r="CG1031" i="2"/>
  <c r="CM1031" i="2"/>
  <c r="CS1031" i="2"/>
  <c r="CY1031" i="2"/>
  <c r="DE1031" i="2"/>
  <c r="DH1031" i="2"/>
  <c r="DI1031" i="2"/>
  <c r="DK1031" i="2"/>
  <c r="DM1031" i="2"/>
  <c r="DN1031" i="2"/>
  <c r="DQ1031" i="2"/>
  <c r="DX1031" i="2"/>
  <c r="DY1031" i="2"/>
  <c r="DZ1031" i="2" s="1"/>
  <c r="EG1031" i="2"/>
  <c r="EM1031" i="2"/>
  <c r="CO1031" i="2" s="1"/>
  <c r="CP1031" i="2" s="1"/>
  <c r="CR1031" i="2" s="1"/>
  <c r="EP1031" i="2"/>
  <c r="DA1031" i="2" s="1"/>
  <c r="DB1031" i="2" s="1"/>
  <c r="DD1031" i="2" s="1"/>
  <c r="BR1032" i="2"/>
  <c r="BT1032" i="2" s="1"/>
  <c r="BU1032" i="2"/>
  <c r="BX1032" i="2"/>
  <c r="BZ1032" i="2" s="1"/>
  <c r="CA1032" i="2"/>
  <c r="CD1032" i="2"/>
  <c r="CF1032" i="2" s="1"/>
  <c r="CG1032" i="2"/>
  <c r="CM1032" i="2"/>
  <c r="CS1032" i="2"/>
  <c r="CY1032" i="2"/>
  <c r="DE1032" i="2"/>
  <c r="DH1032" i="2"/>
  <c r="DI1032" i="2"/>
  <c r="DK1032" i="2"/>
  <c r="DM1032" i="2"/>
  <c r="DN1032" i="2"/>
  <c r="DQ1032" i="2"/>
  <c r="DX1032" i="2"/>
  <c r="DY1032" i="2"/>
  <c r="DZ1032" i="2" s="1"/>
  <c r="EG1032" i="2"/>
  <c r="EK1032" i="2"/>
  <c r="EM1032" i="2" s="1"/>
  <c r="CI1032" i="2" s="1"/>
  <c r="EN1032" i="2"/>
  <c r="EP1032" i="2" s="1"/>
  <c r="CU1032" i="2" s="1"/>
  <c r="CV1032" i="2" s="1"/>
  <c r="CX1032" i="2" s="1"/>
  <c r="BR1033" i="2"/>
  <c r="BT1033" i="2" s="1"/>
  <c r="BU1033" i="2"/>
  <c r="BX1033" i="2"/>
  <c r="BZ1033" i="2" s="1"/>
  <c r="CA1033" i="2"/>
  <c r="CD1033" i="2"/>
  <c r="CF1033" i="2" s="1"/>
  <c r="CG1033" i="2"/>
  <c r="CM1033" i="2"/>
  <c r="CS1033" i="2"/>
  <c r="CY1033" i="2"/>
  <c r="DE1033" i="2"/>
  <c r="DH1033" i="2"/>
  <c r="DI1033" i="2"/>
  <c r="DK1033" i="2"/>
  <c r="DM1033" i="2"/>
  <c r="DN1033" i="2"/>
  <c r="DQ1033" i="2"/>
  <c r="DX1033" i="2"/>
  <c r="DY1033" i="2"/>
  <c r="DZ1033" i="2" s="1"/>
  <c r="EG1033" i="2"/>
  <c r="EJ1033" i="2"/>
  <c r="EK1033" i="2"/>
  <c r="EM1033" i="2" s="1"/>
  <c r="CO1033" i="2" s="1"/>
  <c r="CP1033" i="2" s="1"/>
  <c r="CR1033" i="2" s="1"/>
  <c r="EN1033" i="2"/>
  <c r="EP1033" i="2" s="1"/>
  <c r="BR1023" i="2"/>
  <c r="BT1023" i="2" s="1"/>
  <c r="BU1023" i="2"/>
  <c r="BX1023" i="2"/>
  <c r="BZ1023" i="2" s="1"/>
  <c r="CA1023" i="2"/>
  <c r="CD1023" i="2"/>
  <c r="CF1023" i="2" s="1"/>
  <c r="CG1023" i="2"/>
  <c r="CM1023" i="2"/>
  <c r="CS1023" i="2"/>
  <c r="CY1023" i="2"/>
  <c r="DE1023" i="2"/>
  <c r="DH1023" i="2"/>
  <c r="DI1023" i="2"/>
  <c r="DK1023" i="2"/>
  <c r="DM1023" i="2"/>
  <c r="DN1023" i="2"/>
  <c r="DQ1023" i="2"/>
  <c r="DX1023" i="2"/>
  <c r="DY1023" i="2"/>
  <c r="DZ1023" i="2" s="1"/>
  <c r="EG1023" i="2"/>
  <c r="EM1023" i="2"/>
  <c r="CO1023" i="2" s="1"/>
  <c r="CP1023" i="2" s="1"/>
  <c r="CR1023" i="2" s="1"/>
  <c r="EP1023" i="2"/>
  <c r="DA1023" i="2" s="1"/>
  <c r="DB1023" i="2" s="1"/>
  <c r="BR1024" i="2"/>
  <c r="BT1024" i="2" s="1"/>
  <c r="BU1024" i="2"/>
  <c r="BX1024" i="2"/>
  <c r="BZ1024" i="2" s="1"/>
  <c r="CA1024" i="2"/>
  <c r="CD1024" i="2"/>
  <c r="CF1024" i="2" s="1"/>
  <c r="CG1024" i="2"/>
  <c r="CM1024" i="2"/>
  <c r="CS1024" i="2"/>
  <c r="CY1024" i="2"/>
  <c r="DE1024" i="2"/>
  <c r="DH1024" i="2"/>
  <c r="DI1024" i="2"/>
  <c r="DK1024" i="2"/>
  <c r="DM1024" i="2"/>
  <c r="DN1024" i="2"/>
  <c r="DQ1024" i="2"/>
  <c r="DX1024" i="2"/>
  <c r="DY1024" i="2"/>
  <c r="DZ1024" i="2" s="1"/>
  <c r="EG1024" i="2"/>
  <c r="EM1024" i="2"/>
  <c r="CI1024" i="2" s="1"/>
  <c r="CJ1024" i="2" s="1"/>
  <c r="EP1024" i="2"/>
  <c r="DA1024" i="2" s="1"/>
  <c r="DB1024" i="2" s="1"/>
  <c r="DD1024" i="2" s="1"/>
  <c r="BR1028" i="2"/>
  <c r="BT1028" i="2" s="1"/>
  <c r="BU1028" i="2"/>
  <c r="BX1028" i="2"/>
  <c r="BZ1028" i="2" s="1"/>
  <c r="CA1028" i="2"/>
  <c r="CD1028" i="2"/>
  <c r="CF1028" i="2" s="1"/>
  <c r="CG1028" i="2"/>
  <c r="CM1028" i="2"/>
  <c r="CS1028" i="2"/>
  <c r="CY1028" i="2"/>
  <c r="DE1028" i="2"/>
  <c r="DH1028" i="2"/>
  <c r="DI1028" i="2"/>
  <c r="DK1028" i="2"/>
  <c r="DM1028" i="2"/>
  <c r="DN1028" i="2"/>
  <c r="DQ1028" i="2"/>
  <c r="DX1028" i="2"/>
  <c r="DY1028" i="2"/>
  <c r="DZ1028" i="2" s="1"/>
  <c r="EG1028" i="2"/>
  <c r="EK1028" i="2"/>
  <c r="EM1028" i="2" s="1"/>
  <c r="CO1028" i="2" s="1"/>
  <c r="CP1028" i="2" s="1"/>
  <c r="EN1028" i="2"/>
  <c r="EP1028" i="2" s="1"/>
  <c r="BO1028" i="2" s="1"/>
  <c r="BR1030" i="2"/>
  <c r="BT1030" i="2" s="1"/>
  <c r="BU1030" i="2"/>
  <c r="BX1030" i="2"/>
  <c r="BZ1030" i="2" s="1"/>
  <c r="CA1030" i="2"/>
  <c r="CD1030" i="2"/>
  <c r="CF1030" i="2" s="1"/>
  <c r="CG1030" i="2"/>
  <c r="CM1030" i="2"/>
  <c r="CS1030" i="2"/>
  <c r="CY1030" i="2"/>
  <c r="DE1030" i="2"/>
  <c r="DH1030" i="2"/>
  <c r="DI1030" i="2"/>
  <c r="DK1030" i="2"/>
  <c r="DM1030" i="2"/>
  <c r="DN1030" i="2"/>
  <c r="DQ1030" i="2"/>
  <c r="DX1030" i="2"/>
  <c r="DY1030" i="2"/>
  <c r="DZ1030" i="2" s="1"/>
  <c r="EG1030" i="2"/>
  <c r="EM1030" i="2"/>
  <c r="CO1030" i="2" s="1"/>
  <c r="CP1030" i="2" s="1"/>
  <c r="EP1030" i="2"/>
  <c r="DG1030" i="2" s="1"/>
  <c r="BR163" i="2"/>
  <c r="BT163" i="2" s="1"/>
  <c r="BU163" i="2"/>
  <c r="BX163" i="2"/>
  <c r="BZ163" i="2" s="1"/>
  <c r="CA163" i="2"/>
  <c r="CD163" i="2"/>
  <c r="CG163" i="2"/>
  <c r="CJ163" i="2"/>
  <c r="CL163" i="2" s="1"/>
  <c r="CM163" i="2"/>
  <c r="CS163" i="2"/>
  <c r="CY163" i="2"/>
  <c r="DE163" i="2"/>
  <c r="DH163" i="2"/>
  <c r="DI163" i="2"/>
  <c r="DK163" i="2"/>
  <c r="DM163" i="2"/>
  <c r="DN163" i="2"/>
  <c r="DQ163" i="2"/>
  <c r="DX163" i="2"/>
  <c r="DY163" i="2"/>
  <c r="DZ163" i="2" s="1"/>
  <c r="EG163" i="2"/>
  <c r="EM163" i="2"/>
  <c r="CO163" i="2" s="1"/>
  <c r="CP163" i="2" s="1"/>
  <c r="CR163" i="2" s="1"/>
  <c r="EP163" i="2"/>
  <c r="DA163" i="2" s="1"/>
  <c r="BR714" i="2"/>
  <c r="BT714" i="2" s="1"/>
  <c r="BU714" i="2"/>
  <c r="BX714" i="2"/>
  <c r="BZ714" i="2" s="1"/>
  <c r="CA714" i="2"/>
  <c r="CG714" i="2"/>
  <c r="CM714" i="2"/>
  <c r="CS714" i="2"/>
  <c r="CY714" i="2"/>
  <c r="DE714" i="2"/>
  <c r="DH714" i="2"/>
  <c r="DI714" i="2"/>
  <c r="DK714" i="2"/>
  <c r="DM714" i="2"/>
  <c r="DN714" i="2"/>
  <c r="DQ714" i="2"/>
  <c r="DX714" i="2"/>
  <c r="DY714" i="2"/>
  <c r="DZ714" i="2" s="1"/>
  <c r="EG714" i="2"/>
  <c r="EM714" i="2"/>
  <c r="EP714" i="2"/>
  <c r="DA714" i="2" s="1"/>
  <c r="DB714" i="2" s="1"/>
  <c r="BR713" i="2"/>
  <c r="BT713" i="2" s="1"/>
  <c r="BU713" i="2"/>
  <c r="BX713" i="2"/>
  <c r="BZ713" i="2" s="1"/>
  <c r="CA713" i="2"/>
  <c r="CG713" i="2"/>
  <c r="CM713" i="2"/>
  <c r="CS713" i="2"/>
  <c r="CY713" i="2"/>
  <c r="DE713" i="2"/>
  <c r="DH713" i="2"/>
  <c r="DI713" i="2"/>
  <c r="DK713" i="2"/>
  <c r="DM713" i="2"/>
  <c r="DN713" i="2"/>
  <c r="DQ713" i="2"/>
  <c r="DX713" i="2"/>
  <c r="DY713" i="2"/>
  <c r="DZ713" i="2" s="1"/>
  <c r="EG713" i="2"/>
  <c r="EM713" i="2"/>
  <c r="CC713" i="2" s="1"/>
  <c r="CD713" i="2" s="1"/>
  <c r="EP713" i="2"/>
  <c r="DG713" i="2" s="1"/>
  <c r="BR389" i="2"/>
  <c r="BT389" i="2" s="1"/>
  <c r="BU389" i="2"/>
  <c r="BX389" i="2"/>
  <c r="BZ389" i="2" s="1"/>
  <c r="CA389" i="2"/>
  <c r="CD389" i="2"/>
  <c r="CF389" i="2" s="1"/>
  <c r="CG389" i="2"/>
  <c r="CJ389" i="2"/>
  <c r="CL389" i="2" s="1"/>
  <c r="CM389" i="2"/>
  <c r="CS389" i="2"/>
  <c r="CY389" i="2"/>
  <c r="DE389" i="2"/>
  <c r="DH389" i="2"/>
  <c r="DI389" i="2"/>
  <c r="DK389" i="2"/>
  <c r="DM389" i="2"/>
  <c r="DN389" i="2"/>
  <c r="DQ389" i="2"/>
  <c r="DX389" i="2"/>
  <c r="DY389" i="2"/>
  <c r="DZ389" i="2" s="1"/>
  <c r="EG389" i="2"/>
  <c r="EM389" i="2"/>
  <c r="CO389" i="2" s="1"/>
  <c r="EP389" i="2"/>
  <c r="CU389" i="2" s="1"/>
  <c r="CV389" i="2" s="1"/>
  <c r="BR210" i="2"/>
  <c r="BT210" i="2" s="1"/>
  <c r="BU210" i="2"/>
  <c r="BX210" i="2"/>
  <c r="BZ210" i="2" s="1"/>
  <c r="CA210" i="2"/>
  <c r="CD210" i="2"/>
  <c r="CF210" i="2" s="1"/>
  <c r="CG210" i="2"/>
  <c r="CM210" i="2"/>
  <c r="CS210" i="2"/>
  <c r="CY210" i="2"/>
  <c r="DE210" i="2"/>
  <c r="DH210" i="2"/>
  <c r="DI210" i="2"/>
  <c r="DK210" i="2"/>
  <c r="DM210" i="2"/>
  <c r="DN210" i="2"/>
  <c r="DQ210" i="2"/>
  <c r="DY210" i="2"/>
  <c r="DZ210" i="2" s="1"/>
  <c r="EG210" i="2"/>
  <c r="EM210" i="2"/>
  <c r="CI210" i="2" s="1"/>
  <c r="CJ210" i="2" s="1"/>
  <c r="EP210" i="2"/>
  <c r="DA210" i="2" s="1"/>
  <c r="DB210" i="2" s="1"/>
  <c r="BR655" i="2"/>
  <c r="BT655" i="2" s="1"/>
  <c r="BU655" i="2"/>
  <c r="BX655" i="2"/>
  <c r="BZ655" i="2" s="1"/>
  <c r="CA655" i="2"/>
  <c r="CG655" i="2"/>
  <c r="CM655" i="2"/>
  <c r="CS655" i="2"/>
  <c r="CY655" i="2"/>
  <c r="DE655" i="2"/>
  <c r="DH655" i="2"/>
  <c r="DI655" i="2"/>
  <c r="DK655" i="2"/>
  <c r="DM655" i="2"/>
  <c r="DN655" i="2"/>
  <c r="DQ655" i="2"/>
  <c r="DX655" i="2"/>
  <c r="DY655" i="2"/>
  <c r="DZ655" i="2" s="1"/>
  <c r="EG655" i="2"/>
  <c r="EJ655" i="2"/>
  <c r="EK655" i="2"/>
  <c r="EL655" i="2"/>
  <c r="EN655" i="2"/>
  <c r="EO655" i="2"/>
  <c r="BR882" i="2"/>
  <c r="BT882" i="2" s="1"/>
  <c r="BU882" i="2"/>
  <c r="BX882" i="2"/>
  <c r="BZ882" i="2" s="1"/>
  <c r="CA882" i="2"/>
  <c r="CD882" i="2"/>
  <c r="CF882" i="2" s="1"/>
  <c r="CG882" i="2"/>
  <c r="CM882" i="2"/>
  <c r="CS882" i="2"/>
  <c r="CY882" i="2"/>
  <c r="DE882" i="2"/>
  <c r="DH882" i="2"/>
  <c r="DI882" i="2"/>
  <c r="DK882" i="2"/>
  <c r="DM882" i="2"/>
  <c r="DN882" i="2"/>
  <c r="DQ882" i="2"/>
  <c r="DX882" i="2"/>
  <c r="DY882" i="2"/>
  <c r="DZ882" i="2" s="1"/>
  <c r="EG882" i="2"/>
  <c r="EM882" i="2"/>
  <c r="EP882" i="2"/>
  <c r="DG882" i="2" s="1"/>
  <c r="DS256" i="2"/>
  <c r="DT256" i="2"/>
  <c r="DU256" i="2"/>
  <c r="DS464" i="2"/>
  <c r="DT464" i="2"/>
  <c r="DU464" i="2"/>
  <c r="BR604" i="2"/>
  <c r="BT604" i="2" s="1"/>
  <c r="BU604" i="2"/>
  <c r="BX604" i="2"/>
  <c r="BZ604" i="2" s="1"/>
  <c r="CA604" i="2"/>
  <c r="CD604" i="2"/>
  <c r="CF604" i="2" s="1"/>
  <c r="CG604" i="2"/>
  <c r="CJ604" i="2"/>
  <c r="CL604" i="2" s="1"/>
  <c r="CM604" i="2"/>
  <c r="CS604" i="2"/>
  <c r="CY604" i="2"/>
  <c r="DE604" i="2"/>
  <c r="DK604" i="2"/>
  <c r="DN604" i="2"/>
  <c r="DO604" i="2"/>
  <c r="DQ604" i="2"/>
  <c r="DS604" i="2"/>
  <c r="DT604" i="2"/>
  <c r="DW604" i="2"/>
  <c r="ED604" i="2"/>
  <c r="EE604" i="2"/>
  <c r="EF604" i="2" s="1"/>
  <c r="EM604" i="2"/>
  <c r="ES604" i="2"/>
  <c r="CO604" i="2" s="1"/>
  <c r="CP604" i="2" s="1"/>
  <c r="EV604" i="2"/>
  <c r="DM604" i="2" s="1"/>
  <c r="BR420" i="2"/>
  <c r="BT420" i="2" s="1"/>
  <c r="BU420" i="2"/>
  <c r="BX420" i="2"/>
  <c r="BZ420" i="2" s="1"/>
  <c r="CA420" i="2"/>
  <c r="CD420" i="2"/>
  <c r="CF420" i="2" s="1"/>
  <c r="CG420" i="2"/>
  <c r="CJ420" i="2"/>
  <c r="CL420" i="2" s="1"/>
  <c r="CM420" i="2"/>
  <c r="CP420" i="2"/>
  <c r="CR420" i="2" s="1"/>
  <c r="CS420" i="2"/>
  <c r="CY420" i="2"/>
  <c r="DE420" i="2"/>
  <c r="DK420" i="2"/>
  <c r="DN420" i="2"/>
  <c r="DO420" i="2"/>
  <c r="DQ420" i="2"/>
  <c r="DS420" i="2"/>
  <c r="DT420" i="2"/>
  <c r="DW420" i="2"/>
  <c r="ED420" i="2"/>
  <c r="EE420" i="2"/>
  <c r="EF420" i="2" s="1"/>
  <c r="EM420" i="2"/>
  <c r="ES420" i="2"/>
  <c r="CU420" i="2" s="1"/>
  <c r="EV420" i="2"/>
  <c r="BO420" i="2" s="1"/>
  <c r="BR573" i="2"/>
  <c r="BT573" i="2" s="1"/>
  <c r="BU573" i="2"/>
  <c r="BX573" i="2"/>
  <c r="BZ573" i="2" s="1"/>
  <c r="CA573" i="2"/>
  <c r="CD573" i="2"/>
  <c r="CF573" i="2" s="1"/>
  <c r="CG573" i="2"/>
  <c r="CM573" i="2"/>
  <c r="CS573" i="2"/>
  <c r="CY573" i="2"/>
  <c r="DE573" i="2"/>
  <c r="DK573" i="2"/>
  <c r="DN573" i="2"/>
  <c r="DO573" i="2"/>
  <c r="DQ573" i="2"/>
  <c r="DS573" i="2"/>
  <c r="DT573" i="2"/>
  <c r="DW573" i="2"/>
  <c r="ED573" i="2"/>
  <c r="EE573" i="2"/>
  <c r="EF573" i="2" s="1"/>
  <c r="EM573" i="2"/>
  <c r="ES573" i="2"/>
  <c r="EV573" i="2"/>
  <c r="DG573" i="2" s="1"/>
  <c r="DH573" i="2" s="1"/>
  <c r="BR466" i="2"/>
  <c r="BT466" i="2" s="1"/>
  <c r="BU466" i="2"/>
  <c r="BX466" i="2"/>
  <c r="BZ466" i="2" s="1"/>
  <c r="CA466" i="2"/>
  <c r="CD466" i="2"/>
  <c r="CF466" i="2" s="1"/>
  <c r="CG466" i="2"/>
  <c r="CJ466" i="2"/>
  <c r="CL466" i="2" s="1"/>
  <c r="CM466" i="2"/>
  <c r="CS466" i="2"/>
  <c r="CY466" i="2"/>
  <c r="DE466" i="2"/>
  <c r="DK466" i="2"/>
  <c r="DN466" i="2"/>
  <c r="DO466" i="2"/>
  <c r="DQ466" i="2"/>
  <c r="DS466" i="2"/>
  <c r="DT466" i="2"/>
  <c r="DW466" i="2"/>
  <c r="ED466" i="2"/>
  <c r="EE466" i="2"/>
  <c r="EF466" i="2" s="1"/>
  <c r="EM466" i="2"/>
  <c r="ES466" i="2"/>
  <c r="CU466" i="2" s="1"/>
  <c r="EV466" i="2"/>
  <c r="BR217" i="2"/>
  <c r="BT217" i="2" s="1"/>
  <c r="BU217" i="2"/>
  <c r="BX217" i="2"/>
  <c r="BZ217" i="2" s="1"/>
  <c r="CA217" i="2"/>
  <c r="CD217" i="2"/>
  <c r="CF217" i="2" s="1"/>
  <c r="CG217" i="2"/>
  <c r="CM217" i="2"/>
  <c r="CP217" i="2"/>
  <c r="CR217" i="2" s="1"/>
  <c r="CS217" i="2"/>
  <c r="CV217" i="2"/>
  <c r="CX217" i="2" s="1"/>
  <c r="CY217" i="2"/>
  <c r="DE217" i="2"/>
  <c r="DK217" i="2"/>
  <c r="DN217" i="2"/>
  <c r="DO217" i="2"/>
  <c r="DQ217" i="2"/>
  <c r="DS217" i="2"/>
  <c r="DT217" i="2"/>
  <c r="DW217" i="2"/>
  <c r="ED217" i="2"/>
  <c r="EE217" i="2"/>
  <c r="EF217" i="2" s="1"/>
  <c r="EM217" i="2"/>
  <c r="ES217" i="2"/>
  <c r="CI217" i="2" s="1"/>
  <c r="ET217" i="2"/>
  <c r="EU217" i="2"/>
  <c r="BR279" i="2"/>
  <c r="BT279" i="2" s="1"/>
  <c r="BU279" i="2"/>
  <c r="BX279" i="2"/>
  <c r="BZ279" i="2" s="1"/>
  <c r="CA279" i="2"/>
  <c r="CD279" i="2"/>
  <c r="CF279" i="2" s="1"/>
  <c r="CG279" i="2"/>
  <c r="CJ279" i="2"/>
  <c r="CL279" i="2" s="1"/>
  <c r="CM279" i="2"/>
  <c r="CS279" i="2"/>
  <c r="CY279" i="2"/>
  <c r="DE279" i="2"/>
  <c r="DK279" i="2"/>
  <c r="DN279" i="2"/>
  <c r="DO279" i="2"/>
  <c r="DQ279" i="2"/>
  <c r="DS279" i="2"/>
  <c r="DT279" i="2"/>
  <c r="DW279" i="2"/>
  <c r="ED279" i="2"/>
  <c r="EE279" i="2"/>
  <c r="EF279" i="2" s="1"/>
  <c r="EM279" i="2"/>
  <c r="ES279" i="2"/>
  <c r="CO279" i="2" s="1"/>
  <c r="CP279" i="2" s="1"/>
  <c r="EV279" i="2"/>
  <c r="DM279" i="2" s="1"/>
  <c r="BR280" i="2"/>
  <c r="BT280" i="2" s="1"/>
  <c r="BU280" i="2"/>
  <c r="BX280" i="2"/>
  <c r="BZ280" i="2" s="1"/>
  <c r="CA280" i="2"/>
  <c r="CD280" i="2"/>
  <c r="CF280" i="2" s="1"/>
  <c r="CG280" i="2"/>
  <c r="CJ280" i="2"/>
  <c r="CL280" i="2" s="1"/>
  <c r="CM280" i="2"/>
  <c r="CS280" i="2"/>
  <c r="CY280" i="2"/>
  <c r="DE280" i="2"/>
  <c r="DK280" i="2"/>
  <c r="DN280" i="2"/>
  <c r="DO280" i="2"/>
  <c r="DQ280" i="2"/>
  <c r="DS280" i="2"/>
  <c r="DT280" i="2"/>
  <c r="DW280" i="2"/>
  <c r="ED280" i="2"/>
  <c r="EE280" i="2"/>
  <c r="EF280" i="2" s="1"/>
  <c r="EM280" i="2"/>
  <c r="ES280" i="2"/>
  <c r="CO280" i="2" s="1"/>
  <c r="CP280" i="2" s="1"/>
  <c r="CR280" i="2" s="1"/>
  <c r="EV280" i="2"/>
  <c r="DM280" i="2" s="1"/>
  <c r="BR80" i="2"/>
  <c r="BT80" i="2" s="1"/>
  <c r="BU80" i="2"/>
  <c r="BX80" i="2"/>
  <c r="BZ80" i="2" s="1"/>
  <c r="CA80" i="2"/>
  <c r="CD80" i="2"/>
  <c r="CF80" i="2" s="1"/>
  <c r="CG80" i="2"/>
  <c r="CJ80" i="2"/>
  <c r="CL80" i="2" s="1"/>
  <c r="CM80" i="2"/>
  <c r="CS80" i="2"/>
  <c r="CY80" i="2"/>
  <c r="DE80" i="2"/>
  <c r="DK80" i="2"/>
  <c r="DN80" i="2"/>
  <c r="DO80" i="2"/>
  <c r="DQ80" i="2"/>
  <c r="DS80" i="2"/>
  <c r="DT80" i="2"/>
  <c r="DW80" i="2"/>
  <c r="ED80" i="2"/>
  <c r="EE80" i="2"/>
  <c r="EF80" i="2" s="1"/>
  <c r="EM80" i="2"/>
  <c r="EP80" i="2"/>
  <c r="EQ80" i="2"/>
  <c r="ES80" i="2" s="1"/>
  <c r="CO80" i="2" s="1"/>
  <c r="ET80" i="2"/>
  <c r="EV80" i="2" s="1"/>
  <c r="DA80" i="2" s="1"/>
  <c r="BR803" i="2"/>
  <c r="BT803" i="2" s="1"/>
  <c r="BU803" i="2"/>
  <c r="BX803" i="2"/>
  <c r="BZ803" i="2" s="1"/>
  <c r="CA803" i="2"/>
  <c r="CD803" i="2"/>
  <c r="CF803" i="2" s="1"/>
  <c r="CG803" i="2"/>
  <c r="CJ803" i="2"/>
  <c r="CL803" i="2" s="1"/>
  <c r="CM803" i="2"/>
  <c r="CS803" i="2"/>
  <c r="CY803" i="2"/>
  <c r="DE803" i="2"/>
  <c r="DK803" i="2"/>
  <c r="DN803" i="2"/>
  <c r="DO803" i="2"/>
  <c r="DQ803" i="2"/>
  <c r="DS803" i="2"/>
  <c r="DT803" i="2"/>
  <c r="DW803" i="2"/>
  <c r="ED803" i="2"/>
  <c r="EE803" i="2"/>
  <c r="EF803" i="2" s="1"/>
  <c r="EM803" i="2"/>
  <c r="ES803" i="2"/>
  <c r="CO803" i="2" s="1"/>
  <c r="CP803" i="2" s="1"/>
  <c r="CR803" i="2" s="1"/>
  <c r="EV803" i="2"/>
  <c r="BO803" i="2" s="1"/>
  <c r="BR804" i="2"/>
  <c r="BT804" i="2" s="1"/>
  <c r="BU804" i="2"/>
  <c r="BX804" i="2"/>
  <c r="BZ804" i="2" s="1"/>
  <c r="CA804" i="2"/>
  <c r="CD804" i="2"/>
  <c r="CF804" i="2" s="1"/>
  <c r="CG804" i="2"/>
  <c r="CJ804" i="2"/>
  <c r="CL804" i="2" s="1"/>
  <c r="CM804" i="2"/>
  <c r="CS804" i="2"/>
  <c r="CY804" i="2"/>
  <c r="DE804" i="2"/>
  <c r="DK804" i="2"/>
  <c r="DN804" i="2"/>
  <c r="DO804" i="2"/>
  <c r="DQ804" i="2"/>
  <c r="DS804" i="2"/>
  <c r="DT804" i="2"/>
  <c r="DW804" i="2"/>
  <c r="ED804" i="2"/>
  <c r="EE804" i="2"/>
  <c r="EF804" i="2" s="1"/>
  <c r="EM804" i="2"/>
  <c r="ES804" i="2"/>
  <c r="EV804" i="2"/>
  <c r="DG804" i="2" s="1"/>
  <c r="DH804" i="2" s="1"/>
  <c r="BR960" i="2"/>
  <c r="BT960" i="2" s="1"/>
  <c r="BU960" i="2"/>
  <c r="BX960" i="2"/>
  <c r="BZ960" i="2" s="1"/>
  <c r="CA960" i="2"/>
  <c r="CD960" i="2"/>
  <c r="CF960" i="2" s="1"/>
  <c r="CG960" i="2"/>
  <c r="CJ960" i="2"/>
  <c r="CL960" i="2" s="1"/>
  <c r="CM960" i="2"/>
  <c r="CS960" i="2"/>
  <c r="CY960" i="2"/>
  <c r="DE960" i="2"/>
  <c r="DK960" i="2"/>
  <c r="DN960" i="2"/>
  <c r="DO960" i="2"/>
  <c r="DQ960" i="2"/>
  <c r="DS960" i="2"/>
  <c r="DT960" i="2"/>
  <c r="DW960" i="2"/>
  <c r="ED960" i="2"/>
  <c r="EE960" i="2"/>
  <c r="EF960" i="2" s="1"/>
  <c r="EM960" i="2"/>
  <c r="ES960" i="2"/>
  <c r="CO960" i="2" s="1"/>
  <c r="CP960" i="2" s="1"/>
  <c r="EV960" i="2"/>
  <c r="DM960" i="2" s="1"/>
  <c r="BR932" i="2"/>
  <c r="BT932" i="2" s="1"/>
  <c r="BU932" i="2"/>
  <c r="BX932" i="2"/>
  <c r="BZ932" i="2" s="1"/>
  <c r="CA932" i="2"/>
  <c r="CD932" i="2"/>
  <c r="CF932" i="2" s="1"/>
  <c r="CG932" i="2"/>
  <c r="CJ932" i="2"/>
  <c r="CL932" i="2" s="1"/>
  <c r="CM932" i="2"/>
  <c r="CS932" i="2"/>
  <c r="CY932" i="2"/>
  <c r="DE932" i="2"/>
  <c r="DK932" i="2"/>
  <c r="DN932" i="2"/>
  <c r="DO932" i="2"/>
  <c r="DQ932" i="2"/>
  <c r="DS932" i="2"/>
  <c r="DT932" i="2"/>
  <c r="DW932" i="2"/>
  <c r="ED932" i="2"/>
  <c r="EE932" i="2"/>
  <c r="EF932" i="2" s="1"/>
  <c r="EM932" i="2"/>
  <c r="ES932" i="2"/>
  <c r="CO932" i="2" s="1"/>
  <c r="CP932" i="2" s="1"/>
  <c r="EV932" i="2"/>
  <c r="DA932" i="2" s="1"/>
  <c r="DB932" i="2" s="1"/>
  <c r="DD932" i="2" s="1"/>
  <c r="BR667" i="2"/>
  <c r="BT667" i="2" s="1"/>
  <c r="BU667" i="2"/>
  <c r="BX667" i="2"/>
  <c r="BZ667" i="2" s="1"/>
  <c r="CA667" i="2"/>
  <c r="CD667" i="2"/>
  <c r="CF667" i="2" s="1"/>
  <c r="CG667" i="2"/>
  <c r="CJ667" i="2"/>
  <c r="CL667" i="2" s="1"/>
  <c r="CM667" i="2"/>
  <c r="CP667" i="2"/>
  <c r="CR667" i="2" s="1"/>
  <c r="CS667" i="2"/>
  <c r="CU667" i="2"/>
  <c r="CY667" i="2"/>
  <c r="DA667" i="2"/>
  <c r="DB667" i="2" s="1"/>
  <c r="DE667" i="2"/>
  <c r="DG667" i="2"/>
  <c r="DH667" i="2" s="1"/>
  <c r="DK667" i="2"/>
  <c r="DN667" i="2"/>
  <c r="DO667" i="2"/>
  <c r="DQ667" i="2"/>
  <c r="DS667" i="2"/>
  <c r="DT667" i="2"/>
  <c r="DW667" i="2"/>
  <c r="ED667" i="2"/>
  <c r="EE667" i="2"/>
  <c r="EF667" i="2" s="1"/>
  <c r="EM667" i="2"/>
  <c r="ES667" i="2"/>
  <c r="EV667" i="2"/>
  <c r="BR437" i="2"/>
  <c r="BT437" i="2" s="1"/>
  <c r="BU437" i="2"/>
  <c r="BX437" i="2"/>
  <c r="BZ437" i="2" s="1"/>
  <c r="CA437" i="2"/>
  <c r="CD437" i="2"/>
  <c r="CF437" i="2" s="1"/>
  <c r="CG437" i="2"/>
  <c r="CJ437" i="2"/>
  <c r="CL437" i="2" s="1"/>
  <c r="CM437" i="2"/>
  <c r="CS437" i="2"/>
  <c r="CY437" i="2"/>
  <c r="DE437" i="2"/>
  <c r="DK437" i="2"/>
  <c r="DN437" i="2"/>
  <c r="DO437" i="2"/>
  <c r="DQ437" i="2"/>
  <c r="DS437" i="2"/>
  <c r="DT437" i="2"/>
  <c r="DW437" i="2"/>
  <c r="ED437" i="2"/>
  <c r="EE437" i="2"/>
  <c r="EF437" i="2" s="1"/>
  <c r="EM437" i="2"/>
  <c r="ES437" i="2"/>
  <c r="CO437" i="2" s="1"/>
  <c r="EV437" i="2"/>
  <c r="BO437" i="2" s="1"/>
  <c r="BR298" i="2"/>
  <c r="BT298" i="2" s="1"/>
  <c r="BU298" i="2"/>
  <c r="BX298" i="2"/>
  <c r="BZ298" i="2" s="1"/>
  <c r="CA298" i="2"/>
  <c r="CD298" i="2"/>
  <c r="CF298" i="2" s="1"/>
  <c r="CG298" i="2"/>
  <c r="CM298" i="2"/>
  <c r="CS298" i="2"/>
  <c r="CY298" i="2"/>
  <c r="DE298" i="2"/>
  <c r="DK298" i="2"/>
  <c r="DN298" i="2"/>
  <c r="DO298" i="2"/>
  <c r="DQ298" i="2"/>
  <c r="DS298" i="2"/>
  <c r="DT298" i="2"/>
  <c r="DW298" i="2"/>
  <c r="ED298" i="2"/>
  <c r="EE298" i="2"/>
  <c r="EF298" i="2" s="1"/>
  <c r="EM298" i="2"/>
  <c r="ES298" i="2"/>
  <c r="CI298" i="2" s="1"/>
  <c r="EV298" i="2"/>
  <c r="DA298" i="2" s="1"/>
  <c r="DB298" i="2" s="1"/>
  <c r="DD298" i="2" s="1"/>
  <c r="BR148" i="2"/>
  <c r="BT148" i="2" s="1"/>
  <c r="BU148" i="2"/>
  <c r="BX148" i="2"/>
  <c r="BZ148" i="2" s="1"/>
  <c r="CA148" i="2"/>
  <c r="CD148" i="2"/>
  <c r="CF148" i="2" s="1"/>
  <c r="CG148" i="2"/>
  <c r="CJ148" i="2"/>
  <c r="CL148" i="2" s="1"/>
  <c r="CM148" i="2"/>
  <c r="DN148" i="2"/>
  <c r="DO148" i="2"/>
  <c r="DQ148" i="2"/>
  <c r="DS148" i="2"/>
  <c r="DT148" i="2"/>
  <c r="DW148" i="2"/>
  <c r="ED148" i="2"/>
  <c r="EE148" i="2"/>
  <c r="EF148" i="2" s="1"/>
  <c r="EM148" i="2"/>
  <c r="ES148" i="2"/>
  <c r="CO148" i="2" s="1"/>
  <c r="EV148" i="2"/>
  <c r="BR907" i="2"/>
  <c r="BT907" i="2" s="1"/>
  <c r="BU907" i="2"/>
  <c r="BX907" i="2"/>
  <c r="BZ907" i="2" s="1"/>
  <c r="CA907" i="2"/>
  <c r="CD907" i="2"/>
  <c r="CF907" i="2" s="1"/>
  <c r="CG907" i="2"/>
  <c r="CJ907" i="2"/>
  <c r="CL907" i="2" s="1"/>
  <c r="CM907" i="2"/>
  <c r="CP907" i="2"/>
  <c r="CR907" i="2" s="1"/>
  <c r="CS907" i="2"/>
  <c r="CY907" i="2"/>
  <c r="DB907" i="2"/>
  <c r="DD907" i="2" s="1"/>
  <c r="DE907" i="2"/>
  <c r="DK907" i="2"/>
  <c r="DN907" i="2"/>
  <c r="DO907" i="2"/>
  <c r="DQ907" i="2"/>
  <c r="DS907" i="2"/>
  <c r="DT907" i="2"/>
  <c r="DW907" i="2"/>
  <c r="ED907" i="2"/>
  <c r="EE907" i="2"/>
  <c r="EF907" i="2" s="1"/>
  <c r="EM907" i="2"/>
  <c r="ES907" i="2"/>
  <c r="CU907" i="2" s="1"/>
  <c r="CV907" i="2" s="1"/>
  <c r="CX907" i="2" s="1"/>
  <c r="EV907" i="2"/>
  <c r="BR1000" i="2"/>
  <c r="BT1000" i="2" s="1"/>
  <c r="BU1000" i="2"/>
  <c r="BX1000" i="2"/>
  <c r="BZ1000" i="2" s="1"/>
  <c r="CA1000" i="2"/>
  <c r="CD1000" i="2"/>
  <c r="CF1000" i="2" s="1"/>
  <c r="CG1000" i="2"/>
  <c r="CJ1000" i="2"/>
  <c r="CL1000" i="2" s="1"/>
  <c r="CM1000" i="2"/>
  <c r="CS1000" i="2"/>
  <c r="CY1000" i="2"/>
  <c r="DE1000" i="2"/>
  <c r="DK1000" i="2"/>
  <c r="DN1000" i="2"/>
  <c r="DO1000" i="2"/>
  <c r="DQ1000" i="2"/>
  <c r="DS1000" i="2"/>
  <c r="DT1000" i="2"/>
  <c r="DW1000" i="2"/>
  <c r="ED1000" i="2"/>
  <c r="EE1000" i="2"/>
  <c r="EF1000" i="2" s="1"/>
  <c r="EM1000" i="2"/>
  <c r="ES1000" i="2"/>
  <c r="EV1000" i="2"/>
  <c r="DM1000" i="2" s="1"/>
  <c r="BR493" i="2"/>
  <c r="BT493" i="2" s="1"/>
  <c r="BU493" i="2"/>
  <c r="BX493" i="2"/>
  <c r="BZ493" i="2" s="1"/>
  <c r="CA493" i="2"/>
  <c r="CD493" i="2"/>
  <c r="CF493" i="2" s="1"/>
  <c r="CG493" i="2"/>
  <c r="CJ493" i="2"/>
  <c r="CL493" i="2" s="1"/>
  <c r="CM493" i="2"/>
  <c r="CS493" i="2"/>
  <c r="CY493" i="2"/>
  <c r="DE493" i="2"/>
  <c r="DK493" i="2"/>
  <c r="DN493" i="2"/>
  <c r="DO493" i="2"/>
  <c r="DQ493" i="2"/>
  <c r="DS493" i="2"/>
  <c r="DT493" i="2"/>
  <c r="DW493" i="2"/>
  <c r="ED493" i="2"/>
  <c r="EE493" i="2"/>
  <c r="EF493" i="2" s="1"/>
  <c r="EM493" i="2"/>
  <c r="ES493" i="2"/>
  <c r="CO493" i="2" s="1"/>
  <c r="CP493" i="2" s="1"/>
  <c r="EV493" i="2"/>
  <c r="BR797" i="2"/>
  <c r="BT797" i="2" s="1"/>
  <c r="BU797" i="2"/>
  <c r="BX797" i="2"/>
  <c r="BZ797" i="2" s="1"/>
  <c r="CA797" i="2"/>
  <c r="CD797" i="2"/>
  <c r="CF797" i="2" s="1"/>
  <c r="CG797" i="2"/>
  <c r="CJ797" i="2"/>
  <c r="CL797" i="2" s="1"/>
  <c r="CM797" i="2"/>
  <c r="CS797" i="2"/>
  <c r="CY797" i="2"/>
  <c r="DE797" i="2"/>
  <c r="DK797" i="2"/>
  <c r="DN797" i="2"/>
  <c r="DO797" i="2"/>
  <c r="DQ797" i="2"/>
  <c r="DS797" i="2"/>
  <c r="DT797" i="2"/>
  <c r="DW797" i="2"/>
  <c r="ED797" i="2"/>
  <c r="EE797" i="2"/>
  <c r="EF797" i="2" s="1"/>
  <c r="EM797" i="2"/>
  <c r="ES797" i="2"/>
  <c r="CO797" i="2" s="1"/>
  <c r="EV797" i="2"/>
  <c r="DA797" i="2" s="1"/>
  <c r="DB797" i="2" s="1"/>
  <c r="DD797" i="2" s="1"/>
  <c r="BR235" i="2"/>
  <c r="BT235" i="2" s="1"/>
  <c r="BU235" i="2"/>
  <c r="BX235" i="2"/>
  <c r="BZ235" i="2" s="1"/>
  <c r="CA235" i="2"/>
  <c r="CD235" i="2"/>
  <c r="CF235" i="2" s="1"/>
  <c r="CG235" i="2"/>
  <c r="CJ235" i="2"/>
  <c r="CL235" i="2" s="1"/>
  <c r="CM235" i="2"/>
  <c r="CS235" i="2"/>
  <c r="CY235" i="2"/>
  <c r="DE235" i="2"/>
  <c r="DK235" i="2"/>
  <c r="DN235" i="2"/>
  <c r="DO235" i="2"/>
  <c r="DQ235" i="2"/>
  <c r="DS235" i="2"/>
  <c r="DT235" i="2"/>
  <c r="DW235" i="2"/>
  <c r="ED235" i="2"/>
  <c r="EE235" i="2"/>
  <c r="EF235" i="2" s="1"/>
  <c r="EM235" i="2"/>
  <c r="ES235" i="2"/>
  <c r="CO235" i="2" s="1"/>
  <c r="CP235" i="2" s="1"/>
  <c r="EV235" i="2"/>
  <c r="DA235" i="2" s="1"/>
  <c r="BR271" i="2"/>
  <c r="BT271" i="2" s="1"/>
  <c r="BU271" i="2"/>
  <c r="BX271" i="2"/>
  <c r="BZ271" i="2" s="1"/>
  <c r="CA271" i="2"/>
  <c r="CD271" i="2"/>
  <c r="CF271" i="2" s="1"/>
  <c r="CG271" i="2"/>
  <c r="CI271" i="2"/>
  <c r="CJ271" i="2" s="1"/>
  <c r="CL271" i="2" s="1"/>
  <c r="CM271" i="2"/>
  <c r="CS271" i="2"/>
  <c r="CY271" i="2"/>
  <c r="DE271" i="2"/>
  <c r="DK271" i="2"/>
  <c r="DR271" i="2"/>
  <c r="DS271" i="2"/>
  <c r="DT271" i="2" s="1"/>
  <c r="EA271" i="2"/>
  <c r="ED271" i="2"/>
  <c r="EE271" i="2"/>
  <c r="EF271" i="2"/>
  <c r="EH271" i="2"/>
  <c r="EI271" i="2"/>
  <c r="BR520" i="2"/>
  <c r="BT520" i="2" s="1"/>
  <c r="BU520" i="2"/>
  <c r="BX520" i="2"/>
  <c r="BZ520" i="2" s="1"/>
  <c r="CA520" i="2"/>
  <c r="CD520" i="2"/>
  <c r="CF520" i="2" s="1"/>
  <c r="CG520" i="2"/>
  <c r="CJ520" i="2"/>
  <c r="CL520" i="2" s="1"/>
  <c r="CM520" i="2"/>
  <c r="CS520" i="2"/>
  <c r="CY520" i="2"/>
  <c r="DE520" i="2"/>
  <c r="DK520" i="2"/>
  <c r="DN520" i="2"/>
  <c r="DO520" i="2"/>
  <c r="DQ520" i="2"/>
  <c r="DS520" i="2"/>
  <c r="DT520" i="2"/>
  <c r="DW520" i="2"/>
  <c r="ED520" i="2"/>
  <c r="EE520" i="2"/>
  <c r="EF520" i="2" s="1"/>
  <c r="EM520" i="2"/>
  <c r="ES520" i="2"/>
  <c r="CU520" i="2" s="1"/>
  <c r="EV520" i="2"/>
  <c r="BO520" i="2" s="1"/>
  <c r="BR521" i="2"/>
  <c r="BT521" i="2" s="1"/>
  <c r="BU521" i="2"/>
  <c r="BX521" i="2"/>
  <c r="BZ521" i="2" s="1"/>
  <c r="CA521" i="2"/>
  <c r="CD521" i="2"/>
  <c r="CF521" i="2" s="1"/>
  <c r="CG521" i="2"/>
  <c r="CJ521" i="2"/>
  <c r="CL521" i="2" s="1"/>
  <c r="CM521" i="2"/>
  <c r="CS521" i="2"/>
  <c r="CY521" i="2"/>
  <c r="DE521" i="2"/>
  <c r="DK521" i="2"/>
  <c r="DN521" i="2"/>
  <c r="DO521" i="2"/>
  <c r="DQ521" i="2"/>
  <c r="DS521" i="2"/>
  <c r="DT521" i="2"/>
  <c r="DW521" i="2"/>
  <c r="ED521" i="2"/>
  <c r="EE521" i="2"/>
  <c r="EF521" i="2" s="1"/>
  <c r="EM521" i="2"/>
  <c r="ES521" i="2"/>
  <c r="CU521" i="2" s="1"/>
  <c r="EV521" i="2"/>
  <c r="BO521" i="2" s="1"/>
  <c r="BR522" i="2"/>
  <c r="BT522" i="2" s="1"/>
  <c r="BU522" i="2"/>
  <c r="BX522" i="2"/>
  <c r="BZ522" i="2" s="1"/>
  <c r="CA522" i="2"/>
  <c r="CD522" i="2"/>
  <c r="CF522" i="2" s="1"/>
  <c r="CG522" i="2"/>
  <c r="CJ522" i="2"/>
  <c r="CL522" i="2" s="1"/>
  <c r="CM522" i="2"/>
  <c r="CS522" i="2"/>
  <c r="CY522" i="2"/>
  <c r="DE522" i="2"/>
  <c r="DK522" i="2"/>
  <c r="DN522" i="2"/>
  <c r="DO522" i="2"/>
  <c r="DQ522" i="2"/>
  <c r="DS522" i="2"/>
  <c r="DT522" i="2"/>
  <c r="DW522" i="2"/>
  <c r="ED522" i="2"/>
  <c r="EE522" i="2"/>
  <c r="EF522" i="2" s="1"/>
  <c r="EM522" i="2"/>
  <c r="ES522" i="2"/>
  <c r="CO522" i="2" s="1"/>
  <c r="EV522" i="2"/>
  <c r="DA522" i="2" s="1"/>
  <c r="DB522" i="2" s="1"/>
  <c r="BR523" i="2"/>
  <c r="BT523" i="2" s="1"/>
  <c r="BU523" i="2"/>
  <c r="BX523" i="2"/>
  <c r="BZ523" i="2" s="1"/>
  <c r="CA523" i="2"/>
  <c r="CD523" i="2"/>
  <c r="CF523" i="2" s="1"/>
  <c r="CG523" i="2"/>
  <c r="CJ523" i="2"/>
  <c r="CL523" i="2" s="1"/>
  <c r="CM523" i="2"/>
  <c r="CS523" i="2"/>
  <c r="CY523" i="2"/>
  <c r="DE523" i="2"/>
  <c r="DK523" i="2"/>
  <c r="DN523" i="2"/>
  <c r="DO523" i="2"/>
  <c r="DQ523" i="2"/>
  <c r="DS523" i="2"/>
  <c r="DT523" i="2"/>
  <c r="DW523" i="2"/>
  <c r="ED523" i="2"/>
  <c r="EE523" i="2"/>
  <c r="EF523" i="2" s="1"/>
  <c r="EM523" i="2"/>
  <c r="ES523" i="2"/>
  <c r="CO523" i="2" s="1"/>
  <c r="CP523" i="2" s="1"/>
  <c r="CR523" i="2" s="1"/>
  <c r="EV523" i="2"/>
  <c r="BR524" i="2"/>
  <c r="BT524" i="2" s="1"/>
  <c r="BU524" i="2"/>
  <c r="BX524" i="2"/>
  <c r="BZ524" i="2" s="1"/>
  <c r="CA524" i="2"/>
  <c r="CD524" i="2"/>
  <c r="CF524" i="2" s="1"/>
  <c r="CG524" i="2"/>
  <c r="CJ524" i="2"/>
  <c r="CL524" i="2" s="1"/>
  <c r="CM524" i="2"/>
  <c r="CS524" i="2"/>
  <c r="CY524" i="2"/>
  <c r="DE524" i="2"/>
  <c r="DK524" i="2"/>
  <c r="DN524" i="2"/>
  <c r="DO524" i="2"/>
  <c r="DQ524" i="2"/>
  <c r="DS524" i="2"/>
  <c r="DT524" i="2"/>
  <c r="DW524" i="2"/>
  <c r="ED524" i="2"/>
  <c r="EE524" i="2"/>
  <c r="EF524" i="2" s="1"/>
  <c r="EM524" i="2"/>
  <c r="ES524" i="2"/>
  <c r="CO524" i="2" s="1"/>
  <c r="CP524" i="2" s="1"/>
  <c r="EV524" i="2"/>
  <c r="DM524" i="2" s="1"/>
  <c r="BR525" i="2"/>
  <c r="BT525" i="2" s="1"/>
  <c r="BU525" i="2"/>
  <c r="BX525" i="2"/>
  <c r="BZ525" i="2" s="1"/>
  <c r="CA525" i="2"/>
  <c r="CD525" i="2"/>
  <c r="CF525" i="2" s="1"/>
  <c r="CG525" i="2"/>
  <c r="CJ525" i="2"/>
  <c r="CL525" i="2" s="1"/>
  <c r="CM525" i="2"/>
  <c r="CS525" i="2"/>
  <c r="CY525" i="2"/>
  <c r="DE525" i="2"/>
  <c r="DK525" i="2"/>
  <c r="DN525" i="2"/>
  <c r="DO525" i="2"/>
  <c r="DQ525" i="2"/>
  <c r="DS525" i="2"/>
  <c r="DT525" i="2"/>
  <c r="DW525" i="2"/>
  <c r="ED525" i="2"/>
  <c r="EE525" i="2"/>
  <c r="EF525" i="2" s="1"/>
  <c r="EM525" i="2"/>
  <c r="ES525" i="2"/>
  <c r="CU525" i="2" s="1"/>
  <c r="EV525" i="2"/>
  <c r="DA525" i="2" s="1"/>
  <c r="DB525" i="2" s="1"/>
  <c r="DD525" i="2" s="1"/>
  <c r="BR516" i="2"/>
  <c r="BT516" i="2" s="1"/>
  <c r="BU516" i="2"/>
  <c r="BX516" i="2"/>
  <c r="BZ516" i="2" s="1"/>
  <c r="CA516" i="2"/>
  <c r="CD516" i="2"/>
  <c r="CF516" i="2" s="1"/>
  <c r="CG516" i="2"/>
  <c r="CJ516" i="2"/>
  <c r="CL516" i="2" s="1"/>
  <c r="CM516" i="2"/>
  <c r="CS516" i="2"/>
  <c r="CY516" i="2"/>
  <c r="DE516" i="2"/>
  <c r="DK516" i="2"/>
  <c r="DN516" i="2"/>
  <c r="DO516" i="2"/>
  <c r="DQ516" i="2"/>
  <c r="DS516" i="2"/>
  <c r="DT516" i="2"/>
  <c r="DW516" i="2"/>
  <c r="ED516" i="2"/>
  <c r="EE516" i="2"/>
  <c r="EF516" i="2" s="1"/>
  <c r="EM516" i="2"/>
  <c r="ES516" i="2"/>
  <c r="CU516" i="2" s="1"/>
  <c r="CV516" i="2" s="1"/>
  <c r="CX516" i="2" s="1"/>
  <c r="EV516" i="2"/>
  <c r="BO516" i="2" s="1"/>
  <c r="BR528" i="2"/>
  <c r="BT528" i="2" s="1"/>
  <c r="BU528" i="2"/>
  <c r="BX528" i="2"/>
  <c r="BZ528" i="2" s="1"/>
  <c r="CA528" i="2"/>
  <c r="CD528" i="2"/>
  <c r="CF528" i="2" s="1"/>
  <c r="CG528" i="2"/>
  <c r="CJ528" i="2"/>
  <c r="CL528" i="2" s="1"/>
  <c r="CM528" i="2"/>
  <c r="CS528" i="2"/>
  <c r="CY528" i="2"/>
  <c r="DE528" i="2"/>
  <c r="DK528" i="2"/>
  <c r="DN528" i="2"/>
  <c r="DO528" i="2"/>
  <c r="DQ528" i="2"/>
  <c r="DS528" i="2"/>
  <c r="DT528" i="2"/>
  <c r="DW528" i="2"/>
  <c r="ED528" i="2"/>
  <c r="EE528" i="2"/>
  <c r="EF528" i="2" s="1"/>
  <c r="EM528" i="2"/>
  <c r="ES528" i="2"/>
  <c r="CO528" i="2" s="1"/>
  <c r="CP528" i="2" s="1"/>
  <c r="EV528" i="2"/>
  <c r="DM528" i="2" s="1"/>
  <c r="BR529" i="2"/>
  <c r="BT529" i="2" s="1"/>
  <c r="BU529" i="2"/>
  <c r="BX529" i="2"/>
  <c r="BZ529" i="2" s="1"/>
  <c r="CA529" i="2"/>
  <c r="CD529" i="2"/>
  <c r="CF529" i="2" s="1"/>
  <c r="CG529" i="2"/>
  <c r="CJ529" i="2"/>
  <c r="CL529" i="2" s="1"/>
  <c r="CM529" i="2"/>
  <c r="CS529" i="2"/>
  <c r="CY529" i="2"/>
  <c r="DE529" i="2"/>
  <c r="DK529" i="2"/>
  <c r="DN529" i="2"/>
  <c r="DO529" i="2"/>
  <c r="DQ529" i="2"/>
  <c r="DS529" i="2"/>
  <c r="DT529" i="2"/>
  <c r="DW529" i="2"/>
  <c r="ED529" i="2"/>
  <c r="EE529" i="2"/>
  <c r="EF529" i="2" s="1"/>
  <c r="EM529" i="2"/>
  <c r="ES529" i="2"/>
  <c r="CU529" i="2" s="1"/>
  <c r="CV529" i="2" s="1"/>
  <c r="EV529" i="2"/>
  <c r="BO529" i="2" s="1"/>
  <c r="BR530" i="2"/>
  <c r="BT530" i="2" s="1"/>
  <c r="BU530" i="2"/>
  <c r="BX530" i="2"/>
  <c r="BZ530" i="2" s="1"/>
  <c r="CA530" i="2"/>
  <c r="CD530" i="2"/>
  <c r="CF530" i="2" s="1"/>
  <c r="CG530" i="2"/>
  <c r="CJ530" i="2"/>
  <c r="CL530" i="2" s="1"/>
  <c r="CM530" i="2"/>
  <c r="CS530" i="2"/>
  <c r="CY530" i="2"/>
  <c r="DE530" i="2"/>
  <c r="DK530" i="2"/>
  <c r="DN530" i="2"/>
  <c r="DO530" i="2"/>
  <c r="DQ530" i="2"/>
  <c r="DS530" i="2"/>
  <c r="DT530" i="2"/>
  <c r="DW530" i="2"/>
  <c r="ED530" i="2"/>
  <c r="EE530" i="2"/>
  <c r="EF530" i="2" s="1"/>
  <c r="EM530" i="2"/>
  <c r="ES530" i="2"/>
  <c r="CU530" i="2" s="1"/>
  <c r="CV530" i="2" s="1"/>
  <c r="EV530" i="2"/>
  <c r="DA530" i="2" s="1"/>
  <c r="DB530" i="2" s="1"/>
  <c r="DD530" i="2" s="1"/>
  <c r="BR531" i="2"/>
  <c r="BT531" i="2" s="1"/>
  <c r="BU531" i="2"/>
  <c r="BX531" i="2"/>
  <c r="BZ531" i="2" s="1"/>
  <c r="CA531" i="2"/>
  <c r="CD531" i="2"/>
  <c r="CF531" i="2" s="1"/>
  <c r="CG531" i="2"/>
  <c r="CJ531" i="2"/>
  <c r="CL531" i="2" s="1"/>
  <c r="CM531" i="2"/>
  <c r="CS531" i="2"/>
  <c r="CY531" i="2"/>
  <c r="DE531" i="2"/>
  <c r="DK531" i="2"/>
  <c r="DN531" i="2"/>
  <c r="DO531" i="2"/>
  <c r="DQ531" i="2"/>
  <c r="DS531" i="2"/>
  <c r="DT531" i="2"/>
  <c r="DW531" i="2"/>
  <c r="ED531" i="2"/>
  <c r="EE531" i="2"/>
  <c r="EF531" i="2" s="1"/>
  <c r="EM531" i="2"/>
  <c r="ES531" i="2"/>
  <c r="EV531" i="2"/>
  <c r="DA531" i="2" s="1"/>
  <c r="BR532" i="2"/>
  <c r="BT532" i="2" s="1"/>
  <c r="BU532" i="2"/>
  <c r="BX532" i="2"/>
  <c r="BZ532" i="2" s="1"/>
  <c r="CA532" i="2"/>
  <c r="CD532" i="2"/>
  <c r="CF532" i="2" s="1"/>
  <c r="CG532" i="2"/>
  <c r="CJ532" i="2"/>
  <c r="CL532" i="2" s="1"/>
  <c r="CM532" i="2"/>
  <c r="CS532" i="2"/>
  <c r="CY532" i="2"/>
  <c r="DE532" i="2"/>
  <c r="DK532" i="2"/>
  <c r="DN532" i="2"/>
  <c r="DO532" i="2"/>
  <c r="DQ532" i="2"/>
  <c r="DS532" i="2"/>
  <c r="DT532" i="2"/>
  <c r="DW532" i="2"/>
  <c r="ED532" i="2"/>
  <c r="EE532" i="2"/>
  <c r="EF532" i="2" s="1"/>
  <c r="EM532" i="2"/>
  <c r="ES532" i="2"/>
  <c r="EV532" i="2"/>
  <c r="DG532" i="2" s="1"/>
  <c r="DH532" i="2" s="1"/>
  <c r="DJ532" i="2" s="1"/>
  <c r="BR533" i="2"/>
  <c r="BT533" i="2" s="1"/>
  <c r="BU533" i="2"/>
  <c r="BX533" i="2"/>
  <c r="BZ533" i="2" s="1"/>
  <c r="CA533" i="2"/>
  <c r="CD533" i="2"/>
  <c r="CF533" i="2" s="1"/>
  <c r="CG533" i="2"/>
  <c r="CJ533" i="2"/>
  <c r="CL533" i="2" s="1"/>
  <c r="CM533" i="2"/>
  <c r="CS533" i="2"/>
  <c r="CY533" i="2"/>
  <c r="DE533" i="2"/>
  <c r="DK533" i="2"/>
  <c r="DN533" i="2"/>
  <c r="DO533" i="2"/>
  <c r="DQ533" i="2"/>
  <c r="DS533" i="2"/>
  <c r="DT533" i="2"/>
  <c r="DW533" i="2"/>
  <c r="ED533" i="2"/>
  <c r="EE533" i="2"/>
  <c r="EF533" i="2" s="1"/>
  <c r="EM533" i="2"/>
  <c r="ES533" i="2"/>
  <c r="CO533" i="2" s="1"/>
  <c r="CP533" i="2" s="1"/>
  <c r="EV533" i="2"/>
  <c r="DA533" i="2" s="1"/>
  <c r="DB533" i="2" s="1"/>
  <c r="DD533" i="2" s="1"/>
  <c r="BR534" i="2"/>
  <c r="BT534" i="2" s="1"/>
  <c r="BU534" i="2"/>
  <c r="BX534" i="2"/>
  <c r="BZ534" i="2" s="1"/>
  <c r="CA534" i="2"/>
  <c r="CD534" i="2"/>
  <c r="CF534" i="2" s="1"/>
  <c r="CG534" i="2"/>
  <c r="CJ534" i="2"/>
  <c r="CL534" i="2" s="1"/>
  <c r="CM534" i="2"/>
  <c r="CS534" i="2"/>
  <c r="CY534" i="2"/>
  <c r="DE534" i="2"/>
  <c r="DK534" i="2"/>
  <c r="DN534" i="2"/>
  <c r="DO534" i="2"/>
  <c r="DQ534" i="2"/>
  <c r="DS534" i="2"/>
  <c r="DT534" i="2"/>
  <c r="DW534" i="2"/>
  <c r="ED534" i="2"/>
  <c r="EE534" i="2"/>
  <c r="EF534" i="2" s="1"/>
  <c r="EM534" i="2"/>
  <c r="ES534" i="2"/>
  <c r="EV534" i="2"/>
  <c r="DG534" i="2" s="1"/>
  <c r="BR535" i="2"/>
  <c r="BT535" i="2" s="1"/>
  <c r="BU535" i="2"/>
  <c r="BX535" i="2"/>
  <c r="BZ535" i="2" s="1"/>
  <c r="CA535" i="2"/>
  <c r="CD535" i="2"/>
  <c r="CF535" i="2" s="1"/>
  <c r="CG535" i="2"/>
  <c r="CJ535" i="2"/>
  <c r="CL535" i="2" s="1"/>
  <c r="CM535" i="2"/>
  <c r="CS535" i="2"/>
  <c r="CY535" i="2"/>
  <c r="DE535" i="2"/>
  <c r="DK535" i="2"/>
  <c r="DN535" i="2"/>
  <c r="DO535" i="2"/>
  <c r="DQ535" i="2"/>
  <c r="DS535" i="2"/>
  <c r="DT535" i="2"/>
  <c r="DW535" i="2"/>
  <c r="ED535" i="2"/>
  <c r="EE535" i="2"/>
  <c r="EF535" i="2" s="1"/>
  <c r="EM535" i="2"/>
  <c r="ES535" i="2"/>
  <c r="CO535" i="2" s="1"/>
  <c r="CP535" i="2" s="1"/>
  <c r="EV535" i="2"/>
  <c r="DM535" i="2" s="1"/>
  <c r="BR536" i="2"/>
  <c r="BT536" i="2" s="1"/>
  <c r="BU536" i="2"/>
  <c r="BX536" i="2"/>
  <c r="BZ536" i="2" s="1"/>
  <c r="CA536" i="2"/>
  <c r="CD536" i="2"/>
  <c r="CF536" i="2" s="1"/>
  <c r="CG536" i="2"/>
  <c r="CJ536" i="2"/>
  <c r="CL536" i="2" s="1"/>
  <c r="CM536" i="2"/>
  <c r="CS536" i="2"/>
  <c r="CY536" i="2"/>
  <c r="DE536" i="2"/>
  <c r="DK536" i="2"/>
  <c r="DN536" i="2"/>
  <c r="DO536" i="2"/>
  <c r="DQ536" i="2"/>
  <c r="DS536" i="2"/>
  <c r="DT536" i="2"/>
  <c r="DW536" i="2"/>
  <c r="ED536" i="2"/>
  <c r="EE536" i="2"/>
  <c r="EF536" i="2" s="1"/>
  <c r="EM536" i="2"/>
  <c r="ES536" i="2"/>
  <c r="EV536" i="2"/>
  <c r="BO536" i="2" s="1"/>
  <c r="BR416" i="2"/>
  <c r="BT416" i="2" s="1"/>
  <c r="BU416" i="2"/>
  <c r="BX416" i="2"/>
  <c r="BZ416" i="2" s="1"/>
  <c r="CA416" i="2"/>
  <c r="CD416" i="2"/>
  <c r="CF416" i="2" s="1"/>
  <c r="CG416" i="2"/>
  <c r="CJ416" i="2"/>
  <c r="CL416" i="2" s="1"/>
  <c r="CM416" i="2"/>
  <c r="CP416" i="2"/>
  <c r="CR416" i="2" s="1"/>
  <c r="CS416" i="2"/>
  <c r="CY416" i="2"/>
  <c r="DE416" i="2"/>
  <c r="DK416" i="2"/>
  <c r="DN416" i="2"/>
  <c r="DO416" i="2"/>
  <c r="DQ416" i="2"/>
  <c r="DS416" i="2"/>
  <c r="DT416" i="2"/>
  <c r="DW416" i="2"/>
  <c r="ED416" i="2"/>
  <c r="EE416" i="2"/>
  <c r="EF416" i="2" s="1"/>
  <c r="EM416" i="2"/>
  <c r="ES416" i="2"/>
  <c r="CU416" i="2" s="1"/>
  <c r="EV416" i="2"/>
  <c r="BO416" i="2" s="1"/>
  <c r="BR570" i="2"/>
  <c r="BT570" i="2" s="1"/>
  <c r="BU570" i="2"/>
  <c r="BX570" i="2"/>
  <c r="BZ570" i="2" s="1"/>
  <c r="CA570" i="2"/>
  <c r="CD570" i="2"/>
  <c r="CF570" i="2" s="1"/>
  <c r="CG570" i="2"/>
  <c r="CJ570" i="2"/>
  <c r="CL570" i="2" s="1"/>
  <c r="CM570" i="2"/>
  <c r="CS570" i="2"/>
  <c r="CY570" i="2"/>
  <c r="DE570" i="2"/>
  <c r="DK570" i="2"/>
  <c r="DN570" i="2"/>
  <c r="DO570" i="2"/>
  <c r="DQ570" i="2"/>
  <c r="DS570" i="2"/>
  <c r="DT570" i="2"/>
  <c r="DW570" i="2"/>
  <c r="ED570" i="2"/>
  <c r="EE570" i="2"/>
  <c r="EF570" i="2" s="1"/>
  <c r="EM570" i="2"/>
  <c r="ES570" i="2"/>
  <c r="CU570" i="2" s="1"/>
  <c r="CV570" i="2" s="1"/>
  <c r="EV570" i="2"/>
  <c r="BR79" i="2"/>
  <c r="BT79" i="2" s="1"/>
  <c r="BU79" i="2"/>
  <c r="BX79" i="2"/>
  <c r="BZ79" i="2" s="1"/>
  <c r="CA79" i="2"/>
  <c r="CD79" i="2"/>
  <c r="CF79" i="2" s="1"/>
  <c r="CG79" i="2"/>
  <c r="CJ79" i="2"/>
  <c r="CL79" i="2" s="1"/>
  <c r="CM79" i="2"/>
  <c r="CP79" i="2"/>
  <c r="CR79" i="2" s="1"/>
  <c r="CS79" i="2"/>
  <c r="CY79" i="2"/>
  <c r="DE79" i="2"/>
  <c r="DK79" i="2"/>
  <c r="DN79" i="2"/>
  <c r="DO79" i="2"/>
  <c r="DQ79" i="2"/>
  <c r="DS79" i="2"/>
  <c r="DT79" i="2"/>
  <c r="DW79" i="2"/>
  <c r="ED79" i="2"/>
  <c r="EE79" i="2"/>
  <c r="EF79" i="2" s="1"/>
  <c r="EM79" i="2"/>
  <c r="ES79" i="2"/>
  <c r="CU79" i="2" s="1"/>
  <c r="CV79" i="2" s="1"/>
  <c r="EV79" i="2"/>
  <c r="BR11" i="2"/>
  <c r="BT11" i="2" s="1"/>
  <c r="BU11" i="2"/>
  <c r="BX11" i="2"/>
  <c r="BZ11" i="2" s="1"/>
  <c r="CA11" i="2"/>
  <c r="CD11" i="2"/>
  <c r="CF11" i="2" s="1"/>
  <c r="CG11" i="2"/>
  <c r="CJ11" i="2"/>
  <c r="CL11" i="2" s="1"/>
  <c r="CM11" i="2"/>
  <c r="CP11" i="2"/>
  <c r="CR11" i="2" s="1"/>
  <c r="CS11" i="2"/>
  <c r="CY11" i="2"/>
  <c r="DE11" i="2"/>
  <c r="DK11" i="2"/>
  <c r="DN11" i="2"/>
  <c r="DO11" i="2"/>
  <c r="DQ11" i="2"/>
  <c r="DS11" i="2"/>
  <c r="DT11" i="2"/>
  <c r="DW11" i="2"/>
  <c r="ED11" i="2"/>
  <c r="EE11" i="2"/>
  <c r="EF11" i="2" s="1"/>
  <c r="EM11" i="2"/>
  <c r="ES11" i="2"/>
  <c r="CU11" i="2" s="1"/>
  <c r="CV11" i="2" s="1"/>
  <c r="CX11" i="2" s="1"/>
  <c r="EV11" i="2"/>
  <c r="BR1003" i="2"/>
  <c r="BT1003" i="2" s="1"/>
  <c r="BU1003" i="2"/>
  <c r="BX1003" i="2"/>
  <c r="BZ1003" i="2" s="1"/>
  <c r="CA1003" i="2"/>
  <c r="CD1003" i="2"/>
  <c r="CF1003" i="2" s="1"/>
  <c r="CG1003" i="2"/>
  <c r="CJ1003" i="2"/>
  <c r="CL1003" i="2" s="1"/>
  <c r="CM1003" i="2"/>
  <c r="CS1003" i="2"/>
  <c r="CY1003" i="2"/>
  <c r="DE1003" i="2"/>
  <c r="DK1003" i="2"/>
  <c r="DN1003" i="2"/>
  <c r="DO1003" i="2"/>
  <c r="DQ1003" i="2"/>
  <c r="DS1003" i="2"/>
  <c r="DT1003" i="2"/>
  <c r="DW1003" i="2"/>
  <c r="ED1003" i="2"/>
  <c r="EE1003" i="2"/>
  <c r="EF1003" i="2" s="1"/>
  <c r="EM1003" i="2"/>
  <c r="ES1003" i="2"/>
  <c r="CO1003" i="2" s="1"/>
  <c r="CP1003" i="2" s="1"/>
  <c r="CR1003" i="2" s="1"/>
  <c r="EV1003" i="2"/>
  <c r="DA1003" i="2" s="1"/>
  <c r="BR228" i="2"/>
  <c r="BT228" i="2" s="1"/>
  <c r="BU228" i="2"/>
  <c r="BX228" i="2"/>
  <c r="BZ228" i="2" s="1"/>
  <c r="CA228" i="2"/>
  <c r="CD228" i="2"/>
  <c r="CF228" i="2" s="1"/>
  <c r="CG228" i="2"/>
  <c r="CM228" i="2"/>
  <c r="CS228" i="2"/>
  <c r="CY228" i="2"/>
  <c r="DE228" i="2"/>
  <c r="DK228" i="2"/>
  <c r="DN228" i="2"/>
  <c r="DO228" i="2"/>
  <c r="DQ228" i="2"/>
  <c r="DS228" i="2"/>
  <c r="DT228" i="2"/>
  <c r="DW228" i="2"/>
  <c r="ED228" i="2"/>
  <c r="EE228" i="2"/>
  <c r="EF228" i="2" s="1"/>
  <c r="EM228" i="2"/>
  <c r="ES228" i="2"/>
  <c r="CO228" i="2" s="1"/>
  <c r="CP228" i="2" s="1"/>
  <c r="CR228" i="2" s="1"/>
  <c r="EV228" i="2"/>
  <c r="DA228" i="2" s="1"/>
  <c r="DB228" i="2" s="1"/>
  <c r="DD228" i="2" s="1"/>
  <c r="BR224" i="2"/>
  <c r="BT224" i="2" s="1"/>
  <c r="BU224" i="2"/>
  <c r="BX224" i="2"/>
  <c r="BZ224" i="2" s="1"/>
  <c r="CA224" i="2"/>
  <c r="CD224" i="2"/>
  <c r="CF224" i="2" s="1"/>
  <c r="CG224" i="2"/>
  <c r="CM224" i="2"/>
  <c r="CS224" i="2"/>
  <c r="CY224" i="2"/>
  <c r="DE224" i="2"/>
  <c r="DK224" i="2"/>
  <c r="DN224" i="2"/>
  <c r="DO224" i="2"/>
  <c r="DQ224" i="2"/>
  <c r="DS224" i="2"/>
  <c r="DT224" i="2"/>
  <c r="DW224" i="2"/>
  <c r="ED224" i="2"/>
  <c r="EE224" i="2"/>
  <c r="EF224" i="2" s="1"/>
  <c r="EM224" i="2"/>
  <c r="ES224" i="2"/>
  <c r="CU224" i="2" s="1"/>
  <c r="CV224" i="2" s="1"/>
  <c r="CX224" i="2" s="1"/>
  <c r="EV224" i="2"/>
  <c r="BR223" i="2"/>
  <c r="BT223" i="2" s="1"/>
  <c r="BU223" i="2"/>
  <c r="BX223" i="2"/>
  <c r="BZ223" i="2" s="1"/>
  <c r="CA223" i="2"/>
  <c r="CD223" i="2"/>
  <c r="CF223" i="2" s="1"/>
  <c r="CG223" i="2"/>
  <c r="CM223" i="2"/>
  <c r="CS223" i="2"/>
  <c r="CY223" i="2"/>
  <c r="DE223" i="2"/>
  <c r="DK223" i="2"/>
  <c r="DN223" i="2"/>
  <c r="DO223" i="2"/>
  <c r="DQ223" i="2"/>
  <c r="DS223" i="2"/>
  <c r="DT223" i="2"/>
  <c r="DW223" i="2"/>
  <c r="ED223" i="2"/>
  <c r="EE223" i="2"/>
  <c r="EF223" i="2" s="1"/>
  <c r="EM223" i="2"/>
  <c r="ES223" i="2"/>
  <c r="CI223" i="2" s="1"/>
  <c r="EV223" i="2"/>
  <c r="DG223" i="2" s="1"/>
  <c r="DH223" i="2" s="1"/>
  <c r="BR85" i="2"/>
  <c r="BT85" i="2" s="1"/>
  <c r="BU85" i="2"/>
  <c r="BX85" i="2"/>
  <c r="BZ85" i="2" s="1"/>
  <c r="CA85" i="2"/>
  <c r="CD85" i="2"/>
  <c r="CF85" i="2" s="1"/>
  <c r="CG85" i="2"/>
  <c r="CJ85" i="2"/>
  <c r="CL85" i="2" s="1"/>
  <c r="CM85" i="2"/>
  <c r="CS85" i="2"/>
  <c r="CY85" i="2"/>
  <c r="DE85" i="2"/>
  <c r="DK85" i="2"/>
  <c r="DN85" i="2"/>
  <c r="DO85" i="2"/>
  <c r="DQ85" i="2"/>
  <c r="DS85" i="2"/>
  <c r="DT85" i="2"/>
  <c r="DW85" i="2"/>
  <c r="ED85" i="2"/>
  <c r="EE85" i="2"/>
  <c r="EF85" i="2" s="1"/>
  <c r="EM85" i="2"/>
  <c r="EP85" i="2"/>
  <c r="EQ85" i="2"/>
  <c r="ER85" i="2"/>
  <c r="ET85" i="2"/>
  <c r="EU85" i="2"/>
  <c r="BR401" i="2"/>
  <c r="BT401" i="2" s="1"/>
  <c r="BU401" i="2"/>
  <c r="BX401" i="2"/>
  <c r="BZ401" i="2" s="1"/>
  <c r="CA401" i="2"/>
  <c r="CD401" i="2"/>
  <c r="CF401" i="2" s="1"/>
  <c r="CG401" i="2"/>
  <c r="CJ401" i="2"/>
  <c r="CL401" i="2" s="1"/>
  <c r="CM401" i="2"/>
  <c r="CS401" i="2"/>
  <c r="CY401" i="2"/>
  <c r="DE401" i="2"/>
  <c r="DK401" i="2"/>
  <c r="DR401" i="2"/>
  <c r="DS401" i="2"/>
  <c r="DT401" i="2" s="1"/>
  <c r="EA401" i="2"/>
  <c r="EG401" i="2"/>
  <c r="CO401" i="2" s="1"/>
  <c r="CP401" i="2" s="1"/>
  <c r="CR401" i="2" s="1"/>
  <c r="EJ401" i="2"/>
  <c r="BO401" i="2" s="1"/>
  <c r="BR395" i="2"/>
  <c r="BT395" i="2" s="1"/>
  <c r="BU395" i="2"/>
  <c r="BX395" i="2"/>
  <c r="BZ395" i="2" s="1"/>
  <c r="CA395" i="2"/>
  <c r="CD395" i="2"/>
  <c r="CF395" i="2" s="1"/>
  <c r="CG395" i="2"/>
  <c r="CJ395" i="2"/>
  <c r="CL395" i="2" s="1"/>
  <c r="CM395" i="2"/>
  <c r="CS395" i="2"/>
  <c r="CY395" i="2"/>
  <c r="DE395" i="2"/>
  <c r="DK395" i="2"/>
  <c r="DR395" i="2"/>
  <c r="DS395" i="2"/>
  <c r="DT395" i="2" s="1"/>
  <c r="EA395" i="2"/>
  <c r="EG395" i="2"/>
  <c r="CO395" i="2" s="1"/>
  <c r="CP395" i="2" s="1"/>
  <c r="CR395" i="2" s="1"/>
  <c r="EJ395" i="2"/>
  <c r="BO395" i="2" s="1"/>
  <c r="BR400" i="2"/>
  <c r="BT400" i="2" s="1"/>
  <c r="BU400" i="2"/>
  <c r="BX400" i="2"/>
  <c r="BZ400" i="2" s="1"/>
  <c r="CA400" i="2"/>
  <c r="CD400" i="2"/>
  <c r="CF400" i="2" s="1"/>
  <c r="CG400" i="2"/>
  <c r="CJ400" i="2"/>
  <c r="CL400" i="2" s="1"/>
  <c r="CM400" i="2"/>
  <c r="CS400" i="2"/>
  <c r="CY400" i="2"/>
  <c r="DE400" i="2"/>
  <c r="DK400" i="2"/>
  <c r="DR400" i="2"/>
  <c r="DS400" i="2"/>
  <c r="DT400" i="2" s="1"/>
  <c r="EA400" i="2"/>
  <c r="EG400" i="2"/>
  <c r="CO400" i="2" s="1"/>
  <c r="EJ400" i="2"/>
  <c r="DA400" i="2" s="1"/>
  <c r="BR398" i="2"/>
  <c r="BT398" i="2" s="1"/>
  <c r="BU398" i="2"/>
  <c r="BX398" i="2"/>
  <c r="BZ398" i="2" s="1"/>
  <c r="CA398" i="2"/>
  <c r="CD398" i="2"/>
  <c r="CF398" i="2" s="1"/>
  <c r="CG398" i="2"/>
  <c r="CJ398" i="2"/>
  <c r="CL398" i="2" s="1"/>
  <c r="CM398" i="2"/>
  <c r="CS398" i="2"/>
  <c r="CY398" i="2"/>
  <c r="DE398" i="2"/>
  <c r="DK398" i="2"/>
  <c r="DR398" i="2"/>
  <c r="DS398" i="2"/>
  <c r="DT398" i="2" s="1"/>
  <c r="EA398" i="2"/>
  <c r="EG398" i="2"/>
  <c r="CO398" i="2" s="1"/>
  <c r="EJ398" i="2"/>
  <c r="DA398" i="2" s="1"/>
  <c r="DB398" i="2" s="1"/>
  <c r="DD398" i="2" s="1"/>
  <c r="BR399" i="2"/>
  <c r="BT399" i="2" s="1"/>
  <c r="BU399" i="2"/>
  <c r="BX399" i="2"/>
  <c r="BZ399" i="2" s="1"/>
  <c r="CA399" i="2"/>
  <c r="CD399" i="2"/>
  <c r="CF399" i="2" s="1"/>
  <c r="CG399" i="2"/>
  <c r="CJ399" i="2"/>
  <c r="CL399" i="2" s="1"/>
  <c r="CM399" i="2"/>
  <c r="CS399" i="2"/>
  <c r="CY399" i="2"/>
  <c r="DE399" i="2"/>
  <c r="DK399" i="2"/>
  <c r="DR399" i="2"/>
  <c r="DS399" i="2"/>
  <c r="DT399" i="2" s="1"/>
  <c r="EA399" i="2"/>
  <c r="EG399" i="2"/>
  <c r="CU399" i="2" s="1"/>
  <c r="CV399" i="2" s="1"/>
  <c r="EJ399" i="2"/>
  <c r="BO399" i="2" s="1"/>
  <c r="BR397" i="2"/>
  <c r="BT397" i="2" s="1"/>
  <c r="BU397" i="2"/>
  <c r="BX397" i="2"/>
  <c r="BZ397" i="2" s="1"/>
  <c r="CA397" i="2"/>
  <c r="CD397" i="2"/>
  <c r="CF397" i="2" s="1"/>
  <c r="CG397" i="2"/>
  <c r="CJ397" i="2"/>
  <c r="CL397" i="2" s="1"/>
  <c r="CM397" i="2"/>
  <c r="CS397" i="2"/>
  <c r="CY397" i="2"/>
  <c r="DE397" i="2"/>
  <c r="DK397" i="2"/>
  <c r="DR397" i="2"/>
  <c r="DS397" i="2"/>
  <c r="DT397" i="2" s="1"/>
  <c r="EA397" i="2"/>
  <c r="EG397" i="2"/>
  <c r="CO397" i="2" s="1"/>
  <c r="EJ397" i="2"/>
  <c r="BO397" i="2" s="1"/>
  <c r="BR396" i="2"/>
  <c r="BT396" i="2" s="1"/>
  <c r="BU396" i="2"/>
  <c r="BX396" i="2"/>
  <c r="BZ396" i="2" s="1"/>
  <c r="CA396" i="2"/>
  <c r="CD396" i="2"/>
  <c r="CF396" i="2" s="1"/>
  <c r="CG396" i="2"/>
  <c r="CJ396" i="2"/>
  <c r="CL396" i="2" s="1"/>
  <c r="CM396" i="2"/>
  <c r="CS396" i="2"/>
  <c r="CY396" i="2"/>
  <c r="DE396" i="2"/>
  <c r="DK396" i="2"/>
  <c r="DR396" i="2"/>
  <c r="DS396" i="2"/>
  <c r="DT396" i="2" s="1"/>
  <c r="EA396" i="2"/>
  <c r="EG396" i="2"/>
  <c r="CO396" i="2" s="1"/>
  <c r="EJ396" i="2"/>
  <c r="BR394" i="2"/>
  <c r="BT394" i="2" s="1"/>
  <c r="BU394" i="2"/>
  <c r="BX394" i="2"/>
  <c r="BZ394" i="2" s="1"/>
  <c r="CA394" i="2"/>
  <c r="CD394" i="2"/>
  <c r="CF394" i="2" s="1"/>
  <c r="CG394" i="2"/>
  <c r="CJ394" i="2"/>
  <c r="CL394" i="2" s="1"/>
  <c r="CM394" i="2"/>
  <c r="CS394" i="2"/>
  <c r="CY394" i="2"/>
  <c r="DE394" i="2"/>
  <c r="DK394" i="2"/>
  <c r="DR394" i="2"/>
  <c r="DS394" i="2"/>
  <c r="DT394" i="2" s="1"/>
  <c r="EA394" i="2"/>
  <c r="EG394" i="2"/>
  <c r="CU394" i="2" s="1"/>
  <c r="CV394" i="2" s="1"/>
  <c r="CX394" i="2" s="1"/>
  <c r="EJ394" i="2"/>
  <c r="BR403" i="2"/>
  <c r="BT403" i="2" s="1"/>
  <c r="BU403" i="2"/>
  <c r="BX403" i="2"/>
  <c r="BZ403" i="2" s="1"/>
  <c r="CA403" i="2"/>
  <c r="CD403" i="2"/>
  <c r="CF403" i="2" s="1"/>
  <c r="CG403" i="2"/>
  <c r="CJ403" i="2"/>
  <c r="CL403" i="2" s="1"/>
  <c r="CM403" i="2"/>
  <c r="CS403" i="2"/>
  <c r="CY403" i="2"/>
  <c r="DE403" i="2"/>
  <c r="DK403" i="2"/>
  <c r="DR403" i="2"/>
  <c r="DS403" i="2"/>
  <c r="DT403" i="2" s="1"/>
  <c r="EA403" i="2"/>
  <c r="ED403" i="2"/>
  <c r="EG403" i="2"/>
  <c r="CU403" i="2" s="1"/>
  <c r="CV403" i="2" s="1"/>
  <c r="CX403" i="2" s="1"/>
  <c r="EJ403" i="2"/>
  <c r="DA403" i="2" s="1"/>
  <c r="DB403" i="2" s="1"/>
  <c r="DD403" i="2" s="1"/>
  <c r="BR94" i="2"/>
  <c r="BT94" i="2" s="1"/>
  <c r="BU94" i="2"/>
  <c r="BX94" i="2"/>
  <c r="BZ94" i="2" s="1"/>
  <c r="CA94" i="2"/>
  <c r="CD94" i="2"/>
  <c r="CF94" i="2" s="1"/>
  <c r="CG94" i="2"/>
  <c r="CJ94" i="2"/>
  <c r="CL94" i="2" s="1"/>
  <c r="CM94" i="2"/>
  <c r="CS94" i="2"/>
  <c r="CY94" i="2"/>
  <c r="DE94" i="2"/>
  <c r="DK94" i="2"/>
  <c r="DR94" i="2"/>
  <c r="DS94" i="2"/>
  <c r="DT94" i="2" s="1"/>
  <c r="EA94" i="2"/>
  <c r="ED94" i="2"/>
  <c r="EE94" i="2"/>
  <c r="EG94" i="2" s="1"/>
  <c r="EH94" i="2"/>
  <c r="EJ94" i="2" s="1"/>
  <c r="BR424" i="2"/>
  <c r="BT424" i="2" s="1"/>
  <c r="BU424" i="2"/>
  <c r="BX424" i="2"/>
  <c r="BZ424" i="2" s="1"/>
  <c r="CA424" i="2"/>
  <c r="CD424" i="2"/>
  <c r="CF424" i="2" s="1"/>
  <c r="CG424" i="2"/>
  <c r="CJ424" i="2"/>
  <c r="CL424" i="2" s="1"/>
  <c r="CM424" i="2"/>
  <c r="CP424" i="2"/>
  <c r="CR424" i="2" s="1"/>
  <c r="CS424" i="2"/>
  <c r="CY424" i="2"/>
  <c r="DE424" i="2"/>
  <c r="DK424" i="2"/>
  <c r="DR424" i="2"/>
  <c r="DS424" i="2"/>
  <c r="DT424" i="2" s="1"/>
  <c r="EA424" i="2"/>
  <c r="EG424" i="2"/>
  <c r="CU424" i="2" s="1"/>
  <c r="EJ424" i="2"/>
  <c r="DG424" i="2" s="1"/>
  <c r="BR668" i="2"/>
  <c r="BT668" i="2" s="1"/>
  <c r="BU668" i="2"/>
  <c r="BX668" i="2"/>
  <c r="BZ668" i="2" s="1"/>
  <c r="CA668" i="2"/>
  <c r="CD668" i="2"/>
  <c r="CF668" i="2" s="1"/>
  <c r="CG668" i="2"/>
  <c r="CM668" i="2"/>
  <c r="CS668" i="2"/>
  <c r="CY668" i="2"/>
  <c r="DE668" i="2"/>
  <c r="DK668" i="2"/>
  <c r="DR668" i="2"/>
  <c r="DS668" i="2"/>
  <c r="DT668" i="2" s="1"/>
  <c r="EA668" i="2"/>
  <c r="EG668" i="2"/>
  <c r="CI668" i="2" s="1"/>
  <c r="EJ668" i="2"/>
  <c r="DA668" i="2" s="1"/>
  <c r="BR234" i="2"/>
  <c r="BT234" i="2" s="1"/>
  <c r="BU234" i="2"/>
  <c r="BX234" i="2"/>
  <c r="BZ234" i="2" s="1"/>
  <c r="CA234" i="2"/>
  <c r="CD234" i="2"/>
  <c r="CF234" i="2" s="1"/>
  <c r="CG234" i="2"/>
  <c r="CI234" i="2"/>
  <c r="CM234" i="2"/>
  <c r="CS234" i="2"/>
  <c r="CY234" i="2"/>
  <c r="DE234" i="2"/>
  <c r="DK234" i="2"/>
  <c r="DR234" i="2"/>
  <c r="DS234" i="2"/>
  <c r="DT234" i="2" s="1"/>
  <c r="EA234" i="2"/>
  <c r="ED234" i="2"/>
  <c r="EE234" i="2"/>
  <c r="EG234" i="2" s="1"/>
  <c r="CU234" i="2" s="1"/>
  <c r="CV234" i="2" s="1"/>
  <c r="EH234" i="2"/>
  <c r="EJ234" i="2" s="1"/>
  <c r="BR582" i="2"/>
  <c r="BT582" i="2" s="1"/>
  <c r="BU582" i="2"/>
  <c r="BX582" i="2"/>
  <c r="BZ582" i="2" s="1"/>
  <c r="CA582" i="2"/>
  <c r="CD582" i="2"/>
  <c r="CF582" i="2" s="1"/>
  <c r="CG582" i="2"/>
  <c r="CM582" i="2"/>
  <c r="CS582" i="2"/>
  <c r="CY582" i="2"/>
  <c r="DE582" i="2"/>
  <c r="DK582" i="2"/>
  <c r="DR582" i="2"/>
  <c r="DS582" i="2"/>
  <c r="DT582" i="2" s="1"/>
  <c r="EA582" i="2"/>
  <c r="EG582" i="2"/>
  <c r="CI582" i="2" s="1"/>
  <c r="CJ582" i="2" s="1"/>
  <c r="EJ582" i="2"/>
  <c r="DG582" i="2" s="1"/>
  <c r="DH582" i="2" s="1"/>
  <c r="DJ582" i="2" s="1"/>
  <c r="BR812" i="2"/>
  <c r="BT812" i="2" s="1"/>
  <c r="BU812" i="2"/>
  <c r="BX812" i="2"/>
  <c r="BZ812" i="2" s="1"/>
  <c r="CA812" i="2"/>
  <c r="CD812" i="2"/>
  <c r="CF812" i="2" s="1"/>
  <c r="CG812" i="2"/>
  <c r="CM812" i="2"/>
  <c r="CS812" i="2"/>
  <c r="CY812" i="2"/>
  <c r="DE812" i="2"/>
  <c r="DK812" i="2"/>
  <c r="DR812" i="2"/>
  <c r="DS812" i="2"/>
  <c r="DT812" i="2" s="1"/>
  <c r="EA812" i="2"/>
  <c r="EG812" i="2"/>
  <c r="CU812" i="2" s="1"/>
  <c r="EJ812" i="2"/>
  <c r="BO812" i="2" s="1"/>
  <c r="BR988" i="2"/>
  <c r="BT988" i="2" s="1"/>
  <c r="BU988" i="2"/>
  <c r="BX988" i="2"/>
  <c r="BZ988" i="2" s="1"/>
  <c r="CA988" i="2"/>
  <c r="CD988" i="2"/>
  <c r="CF988" i="2" s="1"/>
  <c r="CG988" i="2"/>
  <c r="CM988" i="2"/>
  <c r="CS988" i="2"/>
  <c r="CY988" i="2"/>
  <c r="DE988" i="2"/>
  <c r="DK988" i="2"/>
  <c r="DR988" i="2"/>
  <c r="DS988" i="2"/>
  <c r="DT988" i="2" s="1"/>
  <c r="EA988" i="2"/>
  <c r="EG988" i="2"/>
  <c r="CI988" i="2" s="1"/>
  <c r="CJ988" i="2" s="1"/>
  <c r="CL988" i="2" s="1"/>
  <c r="EJ988" i="2"/>
  <c r="BO988" i="2" s="1"/>
  <c r="BR82" i="2"/>
  <c r="BT82" i="2" s="1"/>
  <c r="BU82" i="2"/>
  <c r="BX82" i="2"/>
  <c r="BZ82" i="2" s="1"/>
  <c r="CA82" i="2"/>
  <c r="CD82" i="2"/>
  <c r="CF82" i="2" s="1"/>
  <c r="CG82" i="2"/>
  <c r="CM82" i="2"/>
  <c r="CS82" i="2"/>
  <c r="CY82" i="2"/>
  <c r="DE82" i="2"/>
  <c r="DK82" i="2"/>
  <c r="DR82" i="2"/>
  <c r="DS82" i="2"/>
  <c r="DT82" i="2" s="1"/>
  <c r="EA82" i="2"/>
  <c r="EG82" i="2"/>
  <c r="CI82" i="2" s="1"/>
  <c r="CJ82" i="2" s="1"/>
  <c r="CL82" i="2" s="1"/>
  <c r="EJ82" i="2"/>
  <c r="DG82" i="2" s="1"/>
  <c r="BR491" i="2"/>
  <c r="BT491" i="2" s="1"/>
  <c r="BU491" i="2"/>
  <c r="BX491" i="2"/>
  <c r="BZ491" i="2" s="1"/>
  <c r="CA491" i="2"/>
  <c r="CD491" i="2"/>
  <c r="CF491" i="2" s="1"/>
  <c r="CG491" i="2"/>
  <c r="CJ491" i="2"/>
  <c r="CL491" i="2" s="1"/>
  <c r="CM491" i="2"/>
  <c r="CS491" i="2"/>
  <c r="CY491" i="2"/>
  <c r="DE491" i="2"/>
  <c r="DK491" i="2"/>
  <c r="DR491" i="2"/>
  <c r="DS491" i="2"/>
  <c r="DT491" i="2" s="1"/>
  <c r="EA491" i="2"/>
  <c r="EG491" i="2"/>
  <c r="CO491" i="2" s="1"/>
  <c r="CP491" i="2" s="1"/>
  <c r="CR491" i="2" s="1"/>
  <c r="EJ491" i="2"/>
  <c r="BO491" i="2" s="1"/>
  <c r="BL437" i="2"/>
  <c r="BM437" i="2" s="1"/>
  <c r="BN437" i="2" s="1"/>
  <c r="BR679" i="2"/>
  <c r="BT679" i="2" s="1"/>
  <c r="BU679" i="2"/>
  <c r="BX679" i="2"/>
  <c r="BZ679" i="2" s="1"/>
  <c r="CA679" i="2"/>
  <c r="CD679" i="2"/>
  <c r="CF679" i="2" s="1"/>
  <c r="CG679" i="2"/>
  <c r="CJ679" i="2"/>
  <c r="CL679" i="2" s="1"/>
  <c r="CM679" i="2"/>
  <c r="CP679" i="2"/>
  <c r="CR679" i="2" s="1"/>
  <c r="CS679" i="2"/>
  <c r="CY679" i="2"/>
  <c r="DE679" i="2"/>
  <c r="DK679" i="2"/>
  <c r="DR679" i="2"/>
  <c r="DS679" i="2"/>
  <c r="DT679" i="2" s="1"/>
  <c r="EA679" i="2"/>
  <c r="EG679" i="2"/>
  <c r="CU679" i="2" s="1"/>
  <c r="CV679" i="2" s="1"/>
  <c r="CX679" i="2" s="1"/>
  <c r="EJ679" i="2"/>
  <c r="DA679" i="2" s="1"/>
  <c r="DB679" i="2" s="1"/>
  <c r="DD679" i="2" s="1"/>
  <c r="BR568" i="2"/>
  <c r="BT568" i="2" s="1"/>
  <c r="BU568" i="2"/>
  <c r="BX568" i="2"/>
  <c r="BZ568" i="2" s="1"/>
  <c r="CA568" i="2"/>
  <c r="CD568" i="2"/>
  <c r="CF568" i="2" s="1"/>
  <c r="CG568" i="2"/>
  <c r="CJ568" i="2"/>
  <c r="CL568" i="2" s="1"/>
  <c r="CM568" i="2"/>
  <c r="CP568" i="2"/>
  <c r="CR568" i="2" s="1"/>
  <c r="CS568" i="2"/>
  <c r="CY568" i="2"/>
  <c r="DE568" i="2"/>
  <c r="DK568" i="2"/>
  <c r="DR568" i="2"/>
  <c r="DS568" i="2"/>
  <c r="DT568" i="2" s="1"/>
  <c r="EA568" i="2"/>
  <c r="EG568" i="2"/>
  <c r="CU568" i="2" s="1"/>
  <c r="CV568" i="2" s="1"/>
  <c r="CX568" i="2" s="1"/>
  <c r="EJ568" i="2"/>
  <c r="DA568" i="2" s="1"/>
  <c r="DB568" i="2" s="1"/>
  <c r="BR12" i="2"/>
  <c r="BT12" i="2" s="1"/>
  <c r="BU12" i="2"/>
  <c r="BX12" i="2"/>
  <c r="BZ12" i="2" s="1"/>
  <c r="CA12" i="2"/>
  <c r="CD12" i="2"/>
  <c r="CF12" i="2" s="1"/>
  <c r="CG12" i="2"/>
  <c r="CJ12" i="2"/>
  <c r="CL12" i="2" s="1"/>
  <c r="CM12" i="2"/>
  <c r="CS12" i="2"/>
  <c r="CY12" i="2"/>
  <c r="DE12" i="2"/>
  <c r="DK12" i="2"/>
  <c r="DR12" i="2"/>
  <c r="DS12" i="2"/>
  <c r="DT12" i="2" s="1"/>
  <c r="EA12" i="2"/>
  <c r="EG12" i="2"/>
  <c r="EJ12" i="2"/>
  <c r="BO12" i="2" s="1"/>
  <c r="BR726" i="2"/>
  <c r="BT726" i="2" s="1"/>
  <c r="BU726" i="2"/>
  <c r="BX726" i="2"/>
  <c r="BZ726" i="2" s="1"/>
  <c r="CA726" i="2"/>
  <c r="CD726" i="2"/>
  <c r="CF726" i="2" s="1"/>
  <c r="CG726" i="2"/>
  <c r="CM726" i="2"/>
  <c r="CS726" i="2"/>
  <c r="CY726" i="2"/>
  <c r="DE726" i="2"/>
  <c r="DK726" i="2"/>
  <c r="DR726" i="2"/>
  <c r="DS726" i="2"/>
  <c r="DT726" i="2" s="1"/>
  <c r="EA726" i="2"/>
  <c r="EG726" i="2"/>
  <c r="CO726" i="2" s="1"/>
  <c r="EJ726" i="2"/>
  <c r="DG726" i="2" s="1"/>
  <c r="DH726" i="2" s="1"/>
  <c r="DJ726" i="2" s="1"/>
  <c r="BR725" i="2"/>
  <c r="BT725" i="2" s="1"/>
  <c r="BU725" i="2"/>
  <c r="BX725" i="2"/>
  <c r="BZ725" i="2" s="1"/>
  <c r="CA725" i="2"/>
  <c r="CD725" i="2"/>
  <c r="CF725" i="2" s="1"/>
  <c r="CG725" i="2"/>
  <c r="CM725" i="2"/>
  <c r="CS725" i="2"/>
  <c r="CY725" i="2"/>
  <c r="DE725" i="2"/>
  <c r="DK725" i="2"/>
  <c r="DR725" i="2"/>
  <c r="DS725" i="2"/>
  <c r="DT725" i="2" s="1"/>
  <c r="EA725" i="2"/>
  <c r="EG725" i="2"/>
  <c r="CO725" i="2" s="1"/>
  <c r="CP725" i="2" s="1"/>
  <c r="CR725" i="2" s="1"/>
  <c r="EJ725" i="2"/>
  <c r="BR724" i="2"/>
  <c r="BT724" i="2" s="1"/>
  <c r="BU724" i="2"/>
  <c r="BX724" i="2"/>
  <c r="BZ724" i="2" s="1"/>
  <c r="CA724" i="2"/>
  <c r="CD724" i="2"/>
  <c r="CF724" i="2" s="1"/>
  <c r="CG724" i="2"/>
  <c r="CM724" i="2"/>
  <c r="CS724" i="2"/>
  <c r="CY724" i="2"/>
  <c r="DE724" i="2"/>
  <c r="DK724" i="2"/>
  <c r="DR724" i="2"/>
  <c r="DS724" i="2"/>
  <c r="DT724" i="2" s="1"/>
  <c r="EA724" i="2"/>
  <c r="EG724" i="2"/>
  <c r="CO724" i="2" s="1"/>
  <c r="EJ724" i="2"/>
  <c r="BO724" i="2" s="1"/>
  <c r="BR185" i="2"/>
  <c r="BT185" i="2" s="1"/>
  <c r="BU185" i="2"/>
  <c r="BX185" i="2"/>
  <c r="BZ185" i="2" s="1"/>
  <c r="CA185" i="2"/>
  <c r="CD185" i="2"/>
  <c r="CF185" i="2" s="1"/>
  <c r="CG185" i="2"/>
  <c r="CM185" i="2"/>
  <c r="CS185" i="2"/>
  <c r="CY185" i="2"/>
  <c r="DE185" i="2"/>
  <c r="DK185" i="2"/>
  <c r="DR185" i="2"/>
  <c r="DS185" i="2"/>
  <c r="DT185" i="2" s="1"/>
  <c r="EA185" i="2"/>
  <c r="EG185" i="2"/>
  <c r="CO185" i="2" s="1"/>
  <c r="CP185" i="2" s="1"/>
  <c r="CR185" i="2" s="1"/>
  <c r="EJ185" i="2"/>
  <c r="DA185" i="2" s="1"/>
  <c r="DB185" i="2" s="1"/>
  <c r="DD185" i="2" s="1"/>
  <c r="BR306" i="2"/>
  <c r="BT306" i="2" s="1"/>
  <c r="BU306" i="2"/>
  <c r="BX306" i="2"/>
  <c r="BZ306" i="2" s="1"/>
  <c r="CA306" i="2"/>
  <c r="CD306" i="2"/>
  <c r="CF306" i="2" s="1"/>
  <c r="CG306" i="2"/>
  <c r="CM306" i="2"/>
  <c r="CS306" i="2"/>
  <c r="CY306" i="2"/>
  <c r="DE306" i="2"/>
  <c r="DK306" i="2"/>
  <c r="DR306" i="2"/>
  <c r="DS306" i="2"/>
  <c r="DT306" i="2" s="1"/>
  <c r="EA306" i="2"/>
  <c r="EG306" i="2"/>
  <c r="CO306" i="2" s="1"/>
  <c r="CP306" i="2" s="1"/>
  <c r="CR306" i="2" s="1"/>
  <c r="EJ306" i="2"/>
  <c r="DG306" i="2" s="1"/>
  <c r="DH306" i="2" s="1"/>
  <c r="DJ306" i="2" s="1"/>
  <c r="BR182" i="2"/>
  <c r="BT182" i="2" s="1"/>
  <c r="BU182" i="2"/>
  <c r="BX182" i="2"/>
  <c r="BZ182" i="2" s="1"/>
  <c r="CA182" i="2"/>
  <c r="CD182" i="2"/>
  <c r="CF182" i="2" s="1"/>
  <c r="CG182" i="2"/>
  <c r="CM182" i="2"/>
  <c r="CS182" i="2"/>
  <c r="CY182" i="2"/>
  <c r="DE182" i="2"/>
  <c r="DK182" i="2"/>
  <c r="DR182" i="2"/>
  <c r="DS182" i="2"/>
  <c r="DT182" i="2" s="1"/>
  <c r="EA182" i="2"/>
  <c r="EG182" i="2"/>
  <c r="CU182" i="2" s="1"/>
  <c r="CV182" i="2" s="1"/>
  <c r="CX182" i="2" s="1"/>
  <c r="EJ182" i="2"/>
  <c r="DA182" i="2" s="1"/>
  <c r="DB182" i="2" s="1"/>
  <c r="BR232" i="2"/>
  <c r="BT232" i="2" s="1"/>
  <c r="BU232" i="2"/>
  <c r="BX232" i="2"/>
  <c r="BZ232" i="2" s="1"/>
  <c r="CA232" i="2"/>
  <c r="CD232" i="2"/>
  <c r="CF232" i="2" s="1"/>
  <c r="CG232" i="2"/>
  <c r="CM232" i="2"/>
  <c r="CS232" i="2"/>
  <c r="CY232" i="2"/>
  <c r="DE232" i="2"/>
  <c r="DK232" i="2"/>
  <c r="DR232" i="2"/>
  <c r="DS232" i="2"/>
  <c r="DT232" i="2" s="1"/>
  <c r="EA232" i="2"/>
  <c r="EG232" i="2"/>
  <c r="EJ232" i="2"/>
  <c r="BO232" i="2" s="1"/>
  <c r="BR22" i="2"/>
  <c r="BT22" i="2" s="1"/>
  <c r="BU22" i="2"/>
  <c r="BX22" i="2"/>
  <c r="BZ22" i="2" s="1"/>
  <c r="CA22" i="2"/>
  <c r="CD22" i="2"/>
  <c r="CF22" i="2" s="1"/>
  <c r="CG22" i="2"/>
  <c r="CM22" i="2"/>
  <c r="CS22" i="2"/>
  <c r="CY22" i="2"/>
  <c r="DE22" i="2"/>
  <c r="DK22" i="2"/>
  <c r="DR22" i="2"/>
  <c r="DS22" i="2"/>
  <c r="DT22" i="2" s="1"/>
  <c r="EA22" i="2"/>
  <c r="ED22" i="2"/>
  <c r="EE22" i="2"/>
  <c r="EG22" i="2" s="1"/>
  <c r="CI22" i="2" s="1"/>
  <c r="EH22" i="2"/>
  <c r="EJ22" i="2" s="1"/>
  <c r="BR226" i="2"/>
  <c r="BT226" i="2" s="1"/>
  <c r="BU226" i="2"/>
  <c r="BX226" i="2"/>
  <c r="BZ226" i="2" s="1"/>
  <c r="CA226" i="2"/>
  <c r="CD226" i="2"/>
  <c r="CF226" i="2" s="1"/>
  <c r="CG226" i="2"/>
  <c r="CM226" i="2"/>
  <c r="CS226" i="2"/>
  <c r="CY226" i="2"/>
  <c r="DE226" i="2"/>
  <c r="DK226" i="2"/>
  <c r="DR226" i="2"/>
  <c r="DS226" i="2"/>
  <c r="DT226" i="2" s="1"/>
  <c r="EA226" i="2"/>
  <c r="EG226" i="2"/>
  <c r="CI226" i="2" s="1"/>
  <c r="CJ226" i="2" s="1"/>
  <c r="CL226" i="2" s="1"/>
  <c r="EJ226" i="2"/>
  <c r="DG226" i="2" s="1"/>
  <c r="DH226" i="2" s="1"/>
  <c r="BR410" i="2"/>
  <c r="BT410" i="2" s="1"/>
  <c r="BU410" i="2"/>
  <c r="BX410" i="2"/>
  <c r="BZ410" i="2" s="1"/>
  <c r="CA410" i="2"/>
  <c r="CD410" i="2"/>
  <c r="CF410" i="2" s="1"/>
  <c r="CG410" i="2"/>
  <c r="CM410" i="2"/>
  <c r="CS410" i="2"/>
  <c r="CY410" i="2"/>
  <c r="DE410" i="2"/>
  <c r="DK410" i="2"/>
  <c r="DR410" i="2"/>
  <c r="DS410" i="2"/>
  <c r="DT410" i="2" s="1"/>
  <c r="EA410" i="2"/>
  <c r="ED410" i="2"/>
  <c r="EE410" i="2"/>
  <c r="EF410" i="2"/>
  <c r="EH410" i="2"/>
  <c r="EI410" i="2"/>
  <c r="BR701" i="2"/>
  <c r="BT701" i="2" s="1"/>
  <c r="BU701" i="2"/>
  <c r="BX701" i="2"/>
  <c r="BZ701" i="2" s="1"/>
  <c r="CA701" i="2"/>
  <c r="CD701" i="2"/>
  <c r="CF701" i="2" s="1"/>
  <c r="CG701" i="2"/>
  <c r="CM701" i="2"/>
  <c r="CS701" i="2"/>
  <c r="CY701" i="2"/>
  <c r="DE701" i="2"/>
  <c r="DK701" i="2"/>
  <c r="DR701" i="2"/>
  <c r="DS701" i="2"/>
  <c r="DT701" i="2" s="1"/>
  <c r="EA701" i="2"/>
  <c r="EG701" i="2"/>
  <c r="CO701" i="2" s="1"/>
  <c r="CP701" i="2" s="1"/>
  <c r="EJ701" i="2"/>
  <c r="BO701" i="2" s="1"/>
  <c r="BR986" i="2"/>
  <c r="BT986" i="2" s="1"/>
  <c r="BU986" i="2"/>
  <c r="BX986" i="2"/>
  <c r="BZ986" i="2" s="1"/>
  <c r="CA986" i="2"/>
  <c r="CD986" i="2"/>
  <c r="CF986" i="2" s="1"/>
  <c r="CG986" i="2"/>
  <c r="CM986" i="2"/>
  <c r="CS986" i="2"/>
  <c r="CY986" i="2"/>
  <c r="DE986" i="2"/>
  <c r="DK986" i="2"/>
  <c r="DR986" i="2"/>
  <c r="DS986" i="2"/>
  <c r="DT986" i="2" s="1"/>
  <c r="EA986" i="2"/>
  <c r="EG986" i="2"/>
  <c r="CO986" i="2" s="1"/>
  <c r="EJ986" i="2"/>
  <c r="BO986" i="2" s="1"/>
  <c r="BR711" i="2"/>
  <c r="BT711" i="2" s="1"/>
  <c r="BU711" i="2"/>
  <c r="BX711" i="2"/>
  <c r="BZ711" i="2" s="1"/>
  <c r="CA711" i="2"/>
  <c r="CD711" i="2"/>
  <c r="CF711" i="2" s="1"/>
  <c r="CG711" i="2"/>
  <c r="CM711" i="2"/>
  <c r="CS711" i="2"/>
  <c r="CY711" i="2"/>
  <c r="DE711" i="2"/>
  <c r="DK711" i="2"/>
  <c r="DR711" i="2"/>
  <c r="DS711" i="2"/>
  <c r="DT711" i="2" s="1"/>
  <c r="EA711" i="2"/>
  <c r="EG711" i="2"/>
  <c r="CO711" i="2" s="1"/>
  <c r="EJ711" i="2"/>
  <c r="DG711" i="2" s="1"/>
  <c r="DH711" i="2" s="1"/>
  <c r="DJ711" i="2" s="1"/>
  <c r="BR188" i="2"/>
  <c r="BT188" i="2" s="1"/>
  <c r="BU188" i="2"/>
  <c r="BX188" i="2"/>
  <c r="BZ188" i="2" s="1"/>
  <c r="CA188" i="2"/>
  <c r="CD188" i="2"/>
  <c r="CF188" i="2" s="1"/>
  <c r="CG188" i="2"/>
  <c r="CM188" i="2"/>
  <c r="CS188" i="2"/>
  <c r="CY188" i="2"/>
  <c r="DE188" i="2"/>
  <c r="DK188" i="2"/>
  <c r="DR188" i="2"/>
  <c r="DS188" i="2"/>
  <c r="DT188" i="2" s="1"/>
  <c r="EA188" i="2"/>
  <c r="EG188" i="2"/>
  <c r="CI188" i="2" s="1"/>
  <c r="CJ188" i="2" s="1"/>
  <c r="EJ188" i="2"/>
  <c r="DA188" i="2" s="1"/>
  <c r="DB188" i="2" s="1"/>
  <c r="BR131" i="2"/>
  <c r="BT131" i="2" s="1"/>
  <c r="BU131" i="2"/>
  <c r="BX131" i="2"/>
  <c r="BZ131" i="2" s="1"/>
  <c r="CA131" i="2"/>
  <c r="CD131" i="2"/>
  <c r="CF131" i="2" s="1"/>
  <c r="CG131" i="2"/>
  <c r="CM131" i="2"/>
  <c r="CS131" i="2"/>
  <c r="CY131" i="2"/>
  <c r="DE131" i="2"/>
  <c r="DK131" i="2"/>
  <c r="DR131" i="2"/>
  <c r="DS131" i="2"/>
  <c r="DT131" i="2" s="1"/>
  <c r="EA131" i="2"/>
  <c r="EG131" i="2"/>
  <c r="CO131" i="2" s="1"/>
  <c r="EJ131" i="2"/>
  <c r="DG131" i="2" s="1"/>
  <c r="BR127" i="2"/>
  <c r="BT127" i="2" s="1"/>
  <c r="BU127" i="2"/>
  <c r="BX127" i="2"/>
  <c r="BZ127" i="2" s="1"/>
  <c r="CA127" i="2"/>
  <c r="CD127" i="2"/>
  <c r="CF127" i="2" s="1"/>
  <c r="CG127" i="2"/>
  <c r="CM127" i="2"/>
  <c r="CS127" i="2"/>
  <c r="CY127" i="2"/>
  <c r="DE127" i="2"/>
  <c r="DK127" i="2"/>
  <c r="DR127" i="2"/>
  <c r="DS127" i="2"/>
  <c r="DT127" i="2" s="1"/>
  <c r="EA127" i="2"/>
  <c r="EG127" i="2"/>
  <c r="CO127" i="2" s="1"/>
  <c r="EJ127" i="2"/>
  <c r="DA127" i="2" s="1"/>
  <c r="BR126" i="2"/>
  <c r="BT126" i="2" s="1"/>
  <c r="BU126" i="2"/>
  <c r="BX126" i="2"/>
  <c r="BZ126" i="2" s="1"/>
  <c r="CA126" i="2"/>
  <c r="CD126" i="2"/>
  <c r="CF126" i="2" s="1"/>
  <c r="CG126" i="2"/>
  <c r="CM126" i="2"/>
  <c r="CS126" i="2"/>
  <c r="CY126" i="2"/>
  <c r="DE126" i="2"/>
  <c r="DK126" i="2"/>
  <c r="DR126" i="2"/>
  <c r="DS126" i="2"/>
  <c r="DT126" i="2" s="1"/>
  <c r="EA126" i="2"/>
  <c r="EG126" i="2"/>
  <c r="EJ126" i="2"/>
  <c r="DA126" i="2" s="1"/>
  <c r="DB126" i="2" s="1"/>
  <c r="DD126" i="2" s="1"/>
  <c r="BR128" i="2"/>
  <c r="BT128" i="2" s="1"/>
  <c r="BU128" i="2"/>
  <c r="BX128" i="2"/>
  <c r="CA128" i="2"/>
  <c r="CD128" i="2"/>
  <c r="CF128" i="2" s="1"/>
  <c r="CG128" i="2"/>
  <c r="CM128" i="2"/>
  <c r="CS128" i="2"/>
  <c r="CY128" i="2"/>
  <c r="DE128" i="2"/>
  <c r="DK128" i="2"/>
  <c r="DR128" i="2"/>
  <c r="DS128" i="2"/>
  <c r="DT128" i="2" s="1"/>
  <c r="EA128" i="2"/>
  <c r="EG128" i="2"/>
  <c r="CO128" i="2" s="1"/>
  <c r="EJ128" i="2"/>
  <c r="BR72" i="2"/>
  <c r="BT72" i="2" s="1"/>
  <c r="BU72" i="2"/>
  <c r="BX72" i="2"/>
  <c r="BZ72" i="2" s="1"/>
  <c r="CA72" i="2"/>
  <c r="CD72" i="2"/>
  <c r="CF72" i="2" s="1"/>
  <c r="CG72" i="2"/>
  <c r="CM72" i="2"/>
  <c r="CS72" i="2"/>
  <c r="CY72" i="2"/>
  <c r="DE72" i="2"/>
  <c r="DK72" i="2"/>
  <c r="DR72" i="2"/>
  <c r="DS72" i="2"/>
  <c r="DT72" i="2" s="1"/>
  <c r="EA72" i="2"/>
  <c r="ED72" i="2"/>
  <c r="EE72" i="2"/>
  <c r="EG72" i="2" s="1"/>
  <c r="EH72" i="2"/>
  <c r="EJ72" i="2" s="1"/>
  <c r="DA72" i="2" s="1"/>
  <c r="DB72" i="2" s="1"/>
  <c r="BR92" i="2"/>
  <c r="BT92" i="2" s="1"/>
  <c r="BU92" i="2"/>
  <c r="BX92" i="2"/>
  <c r="BZ92" i="2" s="1"/>
  <c r="CA92" i="2"/>
  <c r="CD92" i="2"/>
  <c r="CF92" i="2" s="1"/>
  <c r="CG92" i="2"/>
  <c r="CM92" i="2"/>
  <c r="CS92" i="2"/>
  <c r="CY92" i="2"/>
  <c r="DE92" i="2"/>
  <c r="DK92" i="2"/>
  <c r="DR92" i="2"/>
  <c r="DS92" i="2"/>
  <c r="DT92" i="2" s="1"/>
  <c r="EA92" i="2"/>
  <c r="EG92" i="2"/>
  <c r="CI92" i="2" s="1"/>
  <c r="EJ92" i="2"/>
  <c r="BO92" i="2" s="1"/>
  <c r="BR57" i="2"/>
  <c r="BT57" i="2" s="1"/>
  <c r="BU57" i="2"/>
  <c r="BX57" i="2"/>
  <c r="BZ57" i="2" s="1"/>
  <c r="CA57" i="2"/>
  <c r="CD57" i="2"/>
  <c r="CF57" i="2" s="1"/>
  <c r="CG57" i="2"/>
  <c r="CM57" i="2"/>
  <c r="CS57" i="2"/>
  <c r="CY57" i="2"/>
  <c r="DE57" i="2"/>
  <c r="DK57" i="2"/>
  <c r="DR57" i="2"/>
  <c r="DS57" i="2"/>
  <c r="DT57" i="2" s="1"/>
  <c r="EA57" i="2"/>
  <c r="EG57" i="2"/>
  <c r="CU57" i="2" s="1"/>
  <c r="CV57" i="2" s="1"/>
  <c r="CX57" i="2" s="1"/>
  <c r="EJ57" i="2"/>
  <c r="DG57" i="2" s="1"/>
  <c r="DH57" i="2" s="1"/>
  <c r="DJ57" i="2" s="1"/>
  <c r="BR193" i="2"/>
  <c r="BT193" i="2" s="1"/>
  <c r="BU193" i="2"/>
  <c r="BX193" i="2"/>
  <c r="BZ193" i="2" s="1"/>
  <c r="CA193" i="2"/>
  <c r="CD193" i="2"/>
  <c r="CF193" i="2" s="1"/>
  <c r="CG193" i="2"/>
  <c r="CM193" i="2"/>
  <c r="CS193" i="2"/>
  <c r="CY193" i="2"/>
  <c r="DE193" i="2"/>
  <c r="DK193" i="2"/>
  <c r="DS193" i="2"/>
  <c r="DT193" i="2" s="1"/>
  <c r="EA193" i="2"/>
  <c r="EG193" i="2"/>
  <c r="CO193" i="2" s="1"/>
  <c r="CP193" i="2" s="1"/>
  <c r="EJ193" i="2"/>
  <c r="DA193" i="2" s="1"/>
  <c r="DB193" i="2" s="1"/>
  <c r="DD193" i="2" s="1"/>
  <c r="BR122" i="2"/>
  <c r="BT122" i="2" s="1"/>
  <c r="BU122" i="2"/>
  <c r="BX122" i="2"/>
  <c r="BZ122" i="2" s="1"/>
  <c r="CA122" i="2"/>
  <c r="CD122" i="2"/>
  <c r="CF122" i="2" s="1"/>
  <c r="CG122" i="2"/>
  <c r="CM122" i="2"/>
  <c r="CS122" i="2"/>
  <c r="CY122" i="2"/>
  <c r="DE122" i="2"/>
  <c r="DK122" i="2"/>
  <c r="DS122" i="2"/>
  <c r="DT122" i="2" s="1"/>
  <c r="EA122" i="2"/>
  <c r="EG122" i="2"/>
  <c r="CI122" i="2" s="1"/>
  <c r="EJ122" i="2"/>
  <c r="DA122" i="2" s="1"/>
  <c r="DB122" i="2" s="1"/>
  <c r="BR121" i="2"/>
  <c r="BT121" i="2" s="1"/>
  <c r="BU121" i="2"/>
  <c r="BX121" i="2"/>
  <c r="BZ121" i="2" s="1"/>
  <c r="CA121" i="2"/>
  <c r="CD121" i="2"/>
  <c r="CF121" i="2" s="1"/>
  <c r="CG121" i="2"/>
  <c r="CM121" i="2"/>
  <c r="CS121" i="2"/>
  <c r="CY121" i="2"/>
  <c r="DE121" i="2"/>
  <c r="DK121" i="2"/>
  <c r="DS121" i="2"/>
  <c r="DT121" i="2" s="1"/>
  <c r="EA121" i="2"/>
  <c r="EG121" i="2"/>
  <c r="CO121" i="2" s="1"/>
  <c r="CP121" i="2" s="1"/>
  <c r="EJ121" i="2"/>
  <c r="DG121" i="2" s="1"/>
  <c r="BR153" i="2"/>
  <c r="BT153" i="2" s="1"/>
  <c r="BU153" i="2"/>
  <c r="BX153" i="2"/>
  <c r="BZ153" i="2" s="1"/>
  <c r="CA153" i="2"/>
  <c r="CD153" i="2"/>
  <c r="CF153" i="2" s="1"/>
  <c r="CG153" i="2"/>
  <c r="CM153" i="2"/>
  <c r="CS153" i="2"/>
  <c r="CY153" i="2"/>
  <c r="DE153" i="2"/>
  <c r="DK153" i="2"/>
  <c r="DS153" i="2"/>
  <c r="DT153" i="2" s="1"/>
  <c r="EA153" i="2"/>
  <c r="EG153" i="2"/>
  <c r="CO153" i="2" s="1"/>
  <c r="CP153" i="2" s="1"/>
  <c r="CR153" i="2" s="1"/>
  <c r="EJ153" i="2"/>
  <c r="BO153" i="2" s="1"/>
  <c r="BR152" i="2"/>
  <c r="BT152" i="2" s="1"/>
  <c r="BU152" i="2"/>
  <c r="BX152" i="2"/>
  <c r="BZ152" i="2" s="1"/>
  <c r="CA152" i="2"/>
  <c r="CD152" i="2"/>
  <c r="CF152" i="2" s="1"/>
  <c r="CG152" i="2"/>
  <c r="CM152" i="2"/>
  <c r="CS152" i="2"/>
  <c r="CY152" i="2"/>
  <c r="DE152" i="2"/>
  <c r="DK152" i="2"/>
  <c r="DS152" i="2"/>
  <c r="DT152" i="2" s="1"/>
  <c r="EA152" i="2"/>
  <c r="ED152" i="2"/>
  <c r="EE152" i="2"/>
  <c r="EG152" i="2" s="1"/>
  <c r="EH152" i="2"/>
  <c r="EJ152" i="2" s="1"/>
  <c r="BO152" i="2" s="1"/>
  <c r="BR510" i="2"/>
  <c r="BT510" i="2" s="1"/>
  <c r="BU510" i="2"/>
  <c r="BX510" i="2"/>
  <c r="BZ510" i="2" s="1"/>
  <c r="CA510" i="2"/>
  <c r="CD510" i="2"/>
  <c r="CF510" i="2" s="1"/>
  <c r="CG510" i="2"/>
  <c r="CM510" i="2"/>
  <c r="CS510" i="2"/>
  <c r="CY510" i="2"/>
  <c r="DE510" i="2"/>
  <c r="DK510" i="2"/>
  <c r="DS510" i="2"/>
  <c r="DT510" i="2" s="1"/>
  <c r="EA510" i="2"/>
  <c r="ED510" i="2"/>
  <c r="EE510" i="2"/>
  <c r="EF510" i="2"/>
  <c r="EH510" i="2"/>
  <c r="EI510" i="2"/>
  <c r="BR175" i="2"/>
  <c r="BT175" i="2" s="1"/>
  <c r="BU175" i="2"/>
  <c r="BX175" i="2"/>
  <c r="BZ175" i="2" s="1"/>
  <c r="CA175" i="2"/>
  <c r="CD175" i="2"/>
  <c r="CF175" i="2" s="1"/>
  <c r="CG175" i="2"/>
  <c r="CI175" i="2"/>
  <c r="CJ175" i="2" s="1"/>
  <c r="CM175" i="2"/>
  <c r="CS175" i="2"/>
  <c r="CY175" i="2"/>
  <c r="DE175" i="2"/>
  <c r="DK175" i="2"/>
  <c r="DS175" i="2"/>
  <c r="DT175" i="2" s="1"/>
  <c r="EA175" i="2"/>
  <c r="ED175" i="2"/>
  <c r="EE175" i="2"/>
  <c r="EG175" i="2" s="1"/>
  <c r="EH175" i="2"/>
  <c r="EJ175" i="2" s="1"/>
  <c r="DA175" i="2" s="1"/>
  <c r="DB175" i="2" s="1"/>
  <c r="DD175" i="2" s="1"/>
  <c r="BR898" i="2"/>
  <c r="BT898" i="2" s="1"/>
  <c r="BU898" i="2"/>
  <c r="BX898" i="2"/>
  <c r="BZ898" i="2" s="1"/>
  <c r="CA898" i="2"/>
  <c r="CD898" i="2"/>
  <c r="CF898" i="2" s="1"/>
  <c r="CG898" i="2"/>
  <c r="CM898" i="2"/>
  <c r="CS898" i="2"/>
  <c r="CY898" i="2"/>
  <c r="DE898" i="2"/>
  <c r="DK898" i="2"/>
  <c r="DS898" i="2"/>
  <c r="DT898" i="2" s="1"/>
  <c r="EA898" i="2"/>
  <c r="EG898" i="2"/>
  <c r="CO898" i="2" s="1"/>
  <c r="CP898" i="2" s="1"/>
  <c r="CR898" i="2" s="1"/>
  <c r="EJ898" i="2"/>
  <c r="DA898" i="2" s="1"/>
  <c r="BR54" i="2"/>
  <c r="BT54" i="2" s="1"/>
  <c r="BU54" i="2"/>
  <c r="BX54" i="2"/>
  <c r="BZ54" i="2" s="1"/>
  <c r="CA54" i="2"/>
  <c r="CD54" i="2"/>
  <c r="CF54" i="2" s="1"/>
  <c r="CG54" i="2"/>
  <c r="CM54" i="2"/>
  <c r="CS54" i="2"/>
  <c r="CY54" i="2"/>
  <c r="DE54" i="2"/>
  <c r="DK54" i="2"/>
  <c r="DS54" i="2"/>
  <c r="DT54" i="2" s="1"/>
  <c r="EA54" i="2"/>
  <c r="EG54" i="2"/>
  <c r="CU54" i="2" s="1"/>
  <c r="EJ54" i="2"/>
  <c r="BR646" i="2"/>
  <c r="BT646" i="2" s="1"/>
  <c r="BU646" i="2"/>
  <c r="BX646" i="2"/>
  <c r="BZ646" i="2" s="1"/>
  <c r="CA646" i="2"/>
  <c r="CD646" i="2"/>
  <c r="CF646" i="2" s="1"/>
  <c r="CG646" i="2"/>
  <c r="CM646" i="2"/>
  <c r="CS646" i="2"/>
  <c r="CY646" i="2"/>
  <c r="DE646" i="2"/>
  <c r="DK646" i="2"/>
  <c r="DS646" i="2"/>
  <c r="DT646" i="2" s="1"/>
  <c r="EA646" i="2"/>
  <c r="EG646" i="2"/>
  <c r="CO646" i="2" s="1"/>
  <c r="EJ646" i="2"/>
  <c r="BR154" i="2"/>
  <c r="BT154" i="2" s="1"/>
  <c r="BU154" i="2"/>
  <c r="BX154" i="2"/>
  <c r="BZ154" i="2" s="1"/>
  <c r="CA154" i="2"/>
  <c r="CD154" i="2"/>
  <c r="CF154" i="2" s="1"/>
  <c r="CG154" i="2"/>
  <c r="CM154" i="2"/>
  <c r="CS154" i="2"/>
  <c r="CY154" i="2"/>
  <c r="DE154" i="2"/>
  <c r="DK154" i="2"/>
  <c r="DS154" i="2"/>
  <c r="DT154" i="2" s="1"/>
  <c r="EA154" i="2"/>
  <c r="EG154" i="2"/>
  <c r="CO154" i="2" s="1"/>
  <c r="CP154" i="2" s="1"/>
  <c r="CR154" i="2" s="1"/>
  <c r="EJ154" i="2"/>
  <c r="DA154" i="2" s="1"/>
  <c r="BR831" i="2"/>
  <c r="BT831" i="2" s="1"/>
  <c r="BU831" i="2"/>
  <c r="BX831" i="2"/>
  <c r="BZ831" i="2" s="1"/>
  <c r="CA831" i="2"/>
  <c r="CD831" i="2"/>
  <c r="CF831" i="2" s="1"/>
  <c r="CG831" i="2"/>
  <c r="CM831" i="2"/>
  <c r="CS831" i="2"/>
  <c r="CY831" i="2"/>
  <c r="DE831" i="2"/>
  <c r="DK831" i="2"/>
  <c r="DS831" i="2"/>
  <c r="DT831" i="2" s="1"/>
  <c r="EA831" i="2"/>
  <c r="EG831" i="2"/>
  <c r="CO831" i="2" s="1"/>
  <c r="EJ831" i="2"/>
  <c r="DA831" i="2" s="1"/>
  <c r="BR207" i="2"/>
  <c r="BT207" i="2" s="1"/>
  <c r="BU207" i="2"/>
  <c r="BX207" i="2"/>
  <c r="BZ207" i="2" s="1"/>
  <c r="CA207" i="2"/>
  <c r="CD207" i="2"/>
  <c r="CF207" i="2" s="1"/>
  <c r="CG207" i="2"/>
  <c r="CM207" i="2"/>
  <c r="CS207" i="2"/>
  <c r="CY207" i="2"/>
  <c r="DE207" i="2"/>
  <c r="DK207" i="2"/>
  <c r="DS207" i="2"/>
  <c r="DT207" i="2"/>
  <c r="EA207" i="2"/>
  <c r="EG207" i="2"/>
  <c r="CI207" i="2" s="1"/>
  <c r="CJ207" i="2" s="1"/>
  <c r="EJ207" i="2"/>
  <c r="DA207" i="2" s="1"/>
  <c r="BR908" i="2"/>
  <c r="BT908" i="2" s="1"/>
  <c r="BU908" i="2"/>
  <c r="BX908" i="2"/>
  <c r="BZ908" i="2" s="1"/>
  <c r="CA908" i="2"/>
  <c r="CG908" i="2"/>
  <c r="CM908" i="2"/>
  <c r="CS908" i="2"/>
  <c r="CY908" i="2"/>
  <c r="DE908" i="2"/>
  <c r="DK908" i="2"/>
  <c r="DS908" i="2"/>
  <c r="DT908" i="2" s="1"/>
  <c r="EA908" i="2"/>
  <c r="EG908" i="2"/>
  <c r="EJ908" i="2"/>
  <c r="BO908" i="2" s="1"/>
  <c r="BR606" i="2"/>
  <c r="BU606" i="2"/>
  <c r="BX606" i="2"/>
  <c r="BZ606" i="2" s="1"/>
  <c r="CA606" i="2"/>
  <c r="CD606" i="2"/>
  <c r="CF606" i="2" s="1"/>
  <c r="CG606" i="2"/>
  <c r="CM606" i="2"/>
  <c r="CS606" i="2"/>
  <c r="CY606" i="2"/>
  <c r="DE606" i="2"/>
  <c r="DK606" i="2"/>
  <c r="DR606" i="2"/>
  <c r="DS606" i="2"/>
  <c r="DT606" i="2" s="1"/>
  <c r="EA606" i="2"/>
  <c r="EG606" i="2"/>
  <c r="CU606" i="2" s="1"/>
  <c r="EJ606" i="2"/>
  <c r="DA606" i="2" s="1"/>
  <c r="BO621" i="2"/>
  <c r="BR621" i="2"/>
  <c r="BT621" i="2" s="1"/>
  <c r="BU621" i="2"/>
  <c r="BX621" i="2"/>
  <c r="BZ621" i="2" s="1"/>
  <c r="CA621" i="2"/>
  <c r="CD621" i="2"/>
  <c r="CF621" i="2" s="1"/>
  <c r="CG621" i="2"/>
  <c r="CM621" i="2"/>
  <c r="CS621" i="2"/>
  <c r="CY621" i="2"/>
  <c r="DE621" i="2"/>
  <c r="DK621" i="2"/>
  <c r="DS621" i="2"/>
  <c r="DT621" i="2" s="1"/>
  <c r="EA621" i="2"/>
  <c r="EG621" i="2"/>
  <c r="CO621" i="2" s="1"/>
  <c r="EJ621" i="2"/>
  <c r="DA621" i="2" s="1"/>
  <c r="BR269" i="2"/>
  <c r="BT269" i="2" s="1"/>
  <c r="BU269" i="2"/>
  <c r="BX269" i="2"/>
  <c r="BZ269" i="2" s="1"/>
  <c r="CA269" i="2"/>
  <c r="CD269" i="2"/>
  <c r="CF269" i="2" s="1"/>
  <c r="CG269" i="2"/>
  <c r="CI269" i="2"/>
  <c r="CJ269" i="2" s="1"/>
  <c r="CM269" i="2"/>
  <c r="CS269" i="2"/>
  <c r="CV269" i="2"/>
  <c r="CX269" i="2" s="1"/>
  <c r="CY269" i="2"/>
  <c r="DA269" i="2"/>
  <c r="DB269" i="2" s="1"/>
  <c r="DD269" i="2" s="1"/>
  <c r="DE269" i="2"/>
  <c r="DG269" i="2"/>
  <c r="DH269" i="2" s="1"/>
  <c r="DK269" i="2"/>
  <c r="DR269" i="2"/>
  <c r="DS269" i="2"/>
  <c r="DT269" i="2" s="1"/>
  <c r="EA269" i="2"/>
  <c r="ED269" i="2"/>
  <c r="EE269" i="2"/>
  <c r="EG269" i="2" s="1"/>
  <c r="CO269" i="2" s="1"/>
  <c r="EH269" i="2"/>
  <c r="EJ269" i="2" s="1"/>
  <c r="BO269" i="2" s="1"/>
  <c r="BR743" i="2"/>
  <c r="BT743" i="2" s="1"/>
  <c r="BU743" i="2"/>
  <c r="BX743" i="2"/>
  <c r="BZ743" i="2" s="1"/>
  <c r="CA743" i="2"/>
  <c r="CG743" i="2"/>
  <c r="CM743" i="2"/>
  <c r="CS743" i="2"/>
  <c r="CY743" i="2"/>
  <c r="DE743" i="2"/>
  <c r="DK743" i="2"/>
  <c r="DR743" i="2"/>
  <c r="DS743" i="2"/>
  <c r="DT743" i="2" s="1"/>
  <c r="EA743" i="2"/>
  <c r="EG743" i="2"/>
  <c r="CC743" i="2" s="1"/>
  <c r="EJ743" i="2"/>
  <c r="DG743" i="2" s="1"/>
  <c r="BR656" i="2"/>
  <c r="BT656" i="2" s="1"/>
  <c r="BU656" i="2"/>
  <c r="BX656" i="2"/>
  <c r="BZ656" i="2" s="1"/>
  <c r="CA656" i="2"/>
  <c r="CD656" i="2"/>
  <c r="CF656" i="2" s="1"/>
  <c r="CG656" i="2"/>
  <c r="CM656" i="2"/>
  <c r="CS656" i="2"/>
  <c r="CY656" i="2"/>
  <c r="DE656" i="2"/>
  <c r="DK656" i="2"/>
  <c r="DS656" i="2"/>
  <c r="DT656" i="2" s="1"/>
  <c r="EA656" i="2"/>
  <c r="EG656" i="2"/>
  <c r="CI656" i="2" s="1"/>
  <c r="CJ656" i="2" s="1"/>
  <c r="EJ656" i="2"/>
  <c r="DG656" i="2" s="1"/>
  <c r="BR191" i="2"/>
  <c r="BT191" i="2" s="1"/>
  <c r="BU191" i="2"/>
  <c r="BX191" i="2"/>
  <c r="BZ191" i="2" s="1"/>
  <c r="CA191" i="2"/>
  <c r="CD191" i="2"/>
  <c r="CF191" i="2" s="1"/>
  <c r="CG191" i="2"/>
  <c r="CJ191" i="2"/>
  <c r="CL191" i="2" s="1"/>
  <c r="CM191" i="2"/>
  <c r="CP191" i="2"/>
  <c r="CR191" i="2" s="1"/>
  <c r="CS191" i="2"/>
  <c r="CV191" i="2"/>
  <c r="CX191" i="2" s="1"/>
  <c r="CY191" i="2"/>
  <c r="DB191" i="2"/>
  <c r="DD191" i="2" s="1"/>
  <c r="DE191" i="2"/>
  <c r="DK191" i="2"/>
  <c r="DR191" i="2"/>
  <c r="DS191" i="2"/>
  <c r="DT191" i="2" s="1"/>
  <c r="EA191" i="2"/>
  <c r="EG191" i="2"/>
  <c r="EJ191" i="2"/>
  <c r="DG191" i="2" s="1"/>
  <c r="DH191" i="2" s="1"/>
  <c r="BR29" i="2"/>
  <c r="BT29" i="2" s="1"/>
  <c r="BU29" i="2"/>
  <c r="BX29" i="2"/>
  <c r="BZ29" i="2" s="1"/>
  <c r="CA29" i="2"/>
  <c r="CD29" i="2"/>
  <c r="CF29" i="2" s="1"/>
  <c r="CG29" i="2"/>
  <c r="CM29" i="2"/>
  <c r="CS29" i="2"/>
  <c r="CY29" i="2"/>
  <c r="DE29" i="2"/>
  <c r="DK29" i="2"/>
  <c r="DR29" i="2"/>
  <c r="DS29" i="2"/>
  <c r="DT29" i="2" s="1"/>
  <c r="EA29" i="2"/>
  <c r="ED29" i="2"/>
  <c r="EE29" i="2"/>
  <c r="EG29" i="2" s="1"/>
  <c r="EH29" i="2"/>
  <c r="EJ29" i="2" s="1"/>
  <c r="DA29" i="2" s="1"/>
  <c r="BR610" i="2"/>
  <c r="BT610" i="2" s="1"/>
  <c r="BU610" i="2"/>
  <c r="BX610" i="2"/>
  <c r="BZ610" i="2" s="1"/>
  <c r="CA610" i="2"/>
  <c r="CD610" i="2"/>
  <c r="CF610" i="2" s="1"/>
  <c r="CG610" i="2"/>
  <c r="CJ610" i="2"/>
  <c r="CL610" i="2" s="1"/>
  <c r="CM610" i="2"/>
  <c r="CO610" i="2"/>
  <c r="CP610" i="2" s="1"/>
  <c r="CR610" i="2" s="1"/>
  <c r="CS610" i="2"/>
  <c r="CU610" i="2"/>
  <c r="CV610" i="2" s="1"/>
  <c r="CX610" i="2" s="1"/>
  <c r="CY610" i="2"/>
  <c r="DE610" i="2"/>
  <c r="DK610" i="2"/>
  <c r="DR610" i="2"/>
  <c r="DS610" i="2"/>
  <c r="DT610" i="2" s="1"/>
  <c r="EA610" i="2"/>
  <c r="EJ610" i="2"/>
  <c r="BO610" i="2" s="1"/>
  <c r="BR706" i="2"/>
  <c r="BT706" i="2" s="1"/>
  <c r="BU706" i="2"/>
  <c r="BX706" i="2"/>
  <c r="BZ706" i="2" s="1"/>
  <c r="CA706" i="2"/>
  <c r="CD706" i="2"/>
  <c r="CF706" i="2" s="1"/>
  <c r="CG706" i="2"/>
  <c r="CI706" i="2"/>
  <c r="CJ706" i="2" s="1"/>
  <c r="CL706" i="2" s="1"/>
  <c r="CM706" i="2"/>
  <c r="CO706" i="2"/>
  <c r="CP706" i="2" s="1"/>
  <c r="CR706" i="2" s="1"/>
  <c r="CS706" i="2"/>
  <c r="CU706" i="2"/>
  <c r="CV706" i="2" s="1"/>
  <c r="CY706" i="2"/>
  <c r="DE706" i="2"/>
  <c r="DK706" i="2"/>
  <c r="DR706" i="2"/>
  <c r="DS706" i="2"/>
  <c r="DT706" i="2"/>
  <c r="DV706" i="2"/>
  <c r="DW706" i="2"/>
  <c r="DY706" i="2"/>
  <c r="EJ706" i="2"/>
  <c r="DA706" i="2" s="1"/>
  <c r="BR884" i="2"/>
  <c r="BT884" i="2" s="1"/>
  <c r="BU884" i="2"/>
  <c r="CA884" i="2"/>
  <c r="CG884" i="2"/>
  <c r="CM884" i="2"/>
  <c r="CS884" i="2"/>
  <c r="CY884" i="2"/>
  <c r="DE884" i="2"/>
  <c r="DK884" i="2"/>
  <c r="DR884" i="2"/>
  <c r="DS884" i="2"/>
  <c r="DT884" i="2" s="1"/>
  <c r="DV884" i="2"/>
  <c r="EA884" i="2" s="1"/>
  <c r="EG884" i="2"/>
  <c r="BW884" i="2" s="1"/>
  <c r="BX884" i="2" s="1"/>
  <c r="EJ884" i="2"/>
  <c r="BO884" i="2" s="1"/>
  <c r="BR883" i="2"/>
  <c r="BT883" i="2" s="1"/>
  <c r="BU883" i="2"/>
  <c r="CA883" i="2"/>
  <c r="CG883" i="2"/>
  <c r="CM883" i="2"/>
  <c r="CS883" i="2"/>
  <c r="CY883" i="2"/>
  <c r="DE883" i="2"/>
  <c r="DK883" i="2"/>
  <c r="DR883" i="2"/>
  <c r="DS883" i="2"/>
  <c r="DT883" i="2" s="1"/>
  <c r="DV883" i="2"/>
  <c r="EA883" i="2" s="1"/>
  <c r="EG883" i="2"/>
  <c r="BW883" i="2" s="1"/>
  <c r="BX883" i="2" s="1"/>
  <c r="BZ883" i="2" s="1"/>
  <c r="EJ883" i="2"/>
  <c r="DG883" i="2" s="1"/>
  <c r="DH883" i="2" s="1"/>
  <c r="DJ883" i="2" s="1"/>
  <c r="BR649" i="2"/>
  <c r="BT649" i="2" s="1"/>
  <c r="BU649" i="2"/>
  <c r="BX649" i="2"/>
  <c r="BZ649" i="2" s="1"/>
  <c r="CA649" i="2"/>
  <c r="CG649" i="2"/>
  <c r="CM649" i="2"/>
  <c r="CS649" i="2"/>
  <c r="CY649" i="2"/>
  <c r="DE649" i="2"/>
  <c r="DK649" i="2"/>
  <c r="DR649" i="2"/>
  <c r="DS649" i="2"/>
  <c r="DT649" i="2" s="1"/>
  <c r="DV649" i="2"/>
  <c r="EA649" i="2" s="1"/>
  <c r="EG649" i="2"/>
  <c r="CC649" i="2" s="1"/>
  <c r="CD649" i="2" s="1"/>
  <c r="EJ649" i="2"/>
  <c r="BO649" i="2" s="1"/>
  <c r="BR648" i="2"/>
  <c r="BT648" i="2" s="1"/>
  <c r="BU648" i="2"/>
  <c r="BX648" i="2"/>
  <c r="BZ648" i="2" s="1"/>
  <c r="CA648" i="2"/>
  <c r="CG648" i="2"/>
  <c r="CM648" i="2"/>
  <c r="CS648" i="2"/>
  <c r="CY648" i="2"/>
  <c r="DE648" i="2"/>
  <c r="DK648" i="2"/>
  <c r="DR648" i="2"/>
  <c r="DS648" i="2"/>
  <c r="DT648" i="2" s="1"/>
  <c r="DV648" i="2"/>
  <c r="EA648" i="2" s="1"/>
  <c r="EG648" i="2"/>
  <c r="CI648" i="2" s="1"/>
  <c r="CJ648" i="2" s="1"/>
  <c r="CL648" i="2" s="1"/>
  <c r="EJ648" i="2"/>
  <c r="DG648" i="2" s="1"/>
  <c r="DH648" i="2" s="1"/>
  <c r="DJ648" i="2" s="1"/>
  <c r="BR957" i="2"/>
  <c r="BT957" i="2" s="1"/>
  <c r="BU957" i="2"/>
  <c r="BX957" i="2"/>
  <c r="BZ957" i="2" s="1"/>
  <c r="CA957" i="2"/>
  <c r="CD957" i="2"/>
  <c r="CF957" i="2" s="1"/>
  <c r="CG957" i="2"/>
  <c r="CI957" i="2"/>
  <c r="CJ957" i="2" s="1"/>
  <c r="CL957" i="2" s="1"/>
  <c r="CM957" i="2"/>
  <c r="CO957" i="2"/>
  <c r="CP957" i="2" s="1"/>
  <c r="CR957" i="2" s="1"/>
  <c r="CS957" i="2"/>
  <c r="CU957" i="2"/>
  <c r="CV957" i="2" s="1"/>
  <c r="CX957" i="2" s="1"/>
  <c r="CY957" i="2"/>
  <c r="DE957" i="2"/>
  <c r="DK957" i="2"/>
  <c r="DR957" i="2"/>
  <c r="DS957" i="2"/>
  <c r="DT957" i="2"/>
  <c r="DV957" i="2"/>
  <c r="DW957" i="2"/>
  <c r="DY957" i="2"/>
  <c r="EJ957" i="2"/>
  <c r="DA957" i="2" s="1"/>
  <c r="DB957" i="2" s="1"/>
  <c r="DD957" i="2" s="1"/>
  <c r="BR866" i="2"/>
  <c r="BT866" i="2" s="1"/>
  <c r="BU866" i="2"/>
  <c r="BX866" i="2"/>
  <c r="BZ866" i="2" s="1"/>
  <c r="CA866" i="2"/>
  <c r="CD866" i="2"/>
  <c r="CF866" i="2" s="1"/>
  <c r="CG866" i="2"/>
  <c r="CM866" i="2"/>
  <c r="CS866" i="2"/>
  <c r="CY866" i="2"/>
  <c r="DE866" i="2"/>
  <c r="DK866" i="2"/>
  <c r="DR866" i="2"/>
  <c r="DS866" i="2"/>
  <c r="DT866" i="2" s="1"/>
  <c r="DV866" i="2"/>
  <c r="EA866" i="2" s="1"/>
  <c r="EG866" i="2"/>
  <c r="CO866" i="2" s="1"/>
  <c r="CP866" i="2" s="1"/>
  <c r="CR866" i="2" s="1"/>
  <c r="EJ866" i="2"/>
  <c r="DA866" i="2" s="1"/>
  <c r="DB866" i="2" s="1"/>
  <c r="BR677" i="2"/>
  <c r="BT677" i="2" s="1"/>
  <c r="BU677" i="2"/>
  <c r="BX677" i="2"/>
  <c r="BZ677" i="2" s="1"/>
  <c r="CA677" i="2"/>
  <c r="CG677" i="2"/>
  <c r="CM677" i="2"/>
  <c r="CS677" i="2"/>
  <c r="CY677" i="2"/>
  <c r="DE677" i="2"/>
  <c r="DK677" i="2"/>
  <c r="DR677" i="2"/>
  <c r="DS677" i="2"/>
  <c r="DT677" i="2"/>
  <c r="DU677" i="2"/>
  <c r="DV677" i="2"/>
  <c r="DW677" i="2"/>
  <c r="EG677" i="2"/>
  <c r="CI677" i="2" s="1"/>
  <c r="CJ677" i="2" s="1"/>
  <c r="CL677" i="2" s="1"/>
  <c r="EJ677" i="2"/>
  <c r="DG677" i="2" s="1"/>
  <c r="DH677" i="2" s="1"/>
  <c r="BR231" i="2"/>
  <c r="BT231" i="2" s="1"/>
  <c r="BU231" i="2"/>
  <c r="BX231" i="2"/>
  <c r="BZ231" i="2" s="1"/>
  <c r="CA231" i="2"/>
  <c r="CG231" i="2"/>
  <c r="CM231" i="2"/>
  <c r="CS231" i="2"/>
  <c r="CY231" i="2"/>
  <c r="DE231" i="2"/>
  <c r="DK231" i="2"/>
  <c r="DR231" i="2"/>
  <c r="DS231" i="2"/>
  <c r="DT231" i="2"/>
  <c r="DU231" i="2"/>
  <c r="DV231" i="2"/>
  <c r="DW231" i="2"/>
  <c r="DY231" i="2"/>
  <c r="EG231" i="2"/>
  <c r="CU231" i="2" s="1"/>
  <c r="CV231" i="2" s="1"/>
  <c r="EJ231" i="2"/>
  <c r="DA231" i="2" s="1"/>
  <c r="DB231" i="2" s="1"/>
  <c r="DD231" i="2" s="1"/>
  <c r="BS950" i="2"/>
  <c r="BY950" i="2"/>
  <c r="CA950" i="2" s="1"/>
  <c r="BZ950" i="2" s="1"/>
  <c r="CE950" i="2"/>
  <c r="CG950" i="2" s="1"/>
  <c r="CF950" i="2" s="1"/>
  <c r="CM950" i="2"/>
  <c r="CL950" i="2" s="1"/>
  <c r="CO950" i="2" s="1"/>
  <c r="CS950" i="2"/>
  <c r="CR950" i="2" s="1"/>
  <c r="CU950" i="2" s="1"/>
  <c r="CV950" i="2"/>
  <c r="CW950" i="2" s="1"/>
  <c r="DB950" i="2"/>
  <c r="DD950" i="2"/>
  <c r="DG950" i="2"/>
  <c r="DJ950" i="2"/>
  <c r="BS945" i="2"/>
  <c r="BY945" i="2"/>
  <c r="CA945" i="2" s="1"/>
  <c r="BZ945" i="2" s="1"/>
  <c r="CE945" i="2"/>
  <c r="CG945" i="2" s="1"/>
  <c r="CF945" i="2" s="1"/>
  <c r="CI945" i="2" s="1"/>
  <c r="CM945" i="2"/>
  <c r="CL945" i="2" s="1"/>
  <c r="CO945" i="2" s="1"/>
  <c r="CS945" i="2"/>
  <c r="CR945" i="2" s="1"/>
  <c r="CU945" i="2" s="1"/>
  <c r="CV945" i="2"/>
  <c r="CW945" i="2" s="1"/>
  <c r="DD945" i="2"/>
  <c r="DG945" i="2"/>
  <c r="DL945" i="2" s="1"/>
  <c r="BS549" i="2"/>
  <c r="BU549" i="2" s="1"/>
  <c r="BT549" i="2" s="1"/>
  <c r="BY549" i="2"/>
  <c r="CA549" i="2" s="1"/>
  <c r="BZ549" i="2" s="1"/>
  <c r="CE549" i="2"/>
  <c r="CG549" i="2" s="1"/>
  <c r="CF549" i="2" s="1"/>
  <c r="CM549" i="2"/>
  <c r="CL549" i="2" s="1"/>
  <c r="CO549" i="2" s="1"/>
  <c r="CS549" i="2"/>
  <c r="CR549" i="2" s="1"/>
  <c r="CU549" i="2" s="1"/>
  <c r="CV549" i="2"/>
  <c r="CW549" i="2" s="1"/>
  <c r="DB549" i="2"/>
  <c r="DD549" i="2"/>
  <c r="DG549" i="2"/>
  <c r="DL549" i="2" s="1"/>
  <c r="BS547" i="2"/>
  <c r="BY547" i="2"/>
  <c r="CA547" i="2" s="1"/>
  <c r="BZ547" i="2" s="1"/>
  <c r="CE547" i="2"/>
  <c r="CG547" i="2" s="1"/>
  <c r="CF547" i="2" s="1"/>
  <c r="CM547" i="2"/>
  <c r="CL547" i="2" s="1"/>
  <c r="CO547" i="2" s="1"/>
  <c r="CS547" i="2"/>
  <c r="CR547" i="2" s="1"/>
  <c r="CU547" i="2" s="1"/>
  <c r="CV547" i="2"/>
  <c r="CW547" i="2" s="1"/>
  <c r="DD547" i="2"/>
  <c r="DG547" i="2"/>
  <c r="DJ547" i="2"/>
  <c r="BS596" i="2"/>
  <c r="BU596" i="2" s="1"/>
  <c r="BT596" i="2" s="1"/>
  <c r="BY596" i="2"/>
  <c r="CA596" i="2" s="1"/>
  <c r="BZ596" i="2" s="1"/>
  <c r="CC596" i="2" s="1"/>
  <c r="CE596" i="2"/>
  <c r="CG596" i="2" s="1"/>
  <c r="CF596" i="2" s="1"/>
  <c r="CM596" i="2"/>
  <c r="CL596" i="2" s="1"/>
  <c r="CO596" i="2" s="1"/>
  <c r="CS596" i="2"/>
  <c r="CR596" i="2" s="1"/>
  <c r="CU596" i="2" s="1"/>
  <c r="CV596" i="2"/>
  <c r="CW596" i="2" s="1"/>
  <c r="DD596" i="2"/>
  <c r="DG596" i="2"/>
  <c r="DL596" i="2" s="1"/>
  <c r="BS362" i="2"/>
  <c r="BU362" i="2" s="1"/>
  <c r="BT362" i="2" s="1"/>
  <c r="BY362" i="2"/>
  <c r="CA362" i="2" s="1"/>
  <c r="BZ362" i="2" s="1"/>
  <c r="CC362" i="2" s="1"/>
  <c r="CE362" i="2"/>
  <c r="CG362" i="2" s="1"/>
  <c r="CF362" i="2" s="1"/>
  <c r="CI362" i="2" s="1"/>
  <c r="CM362" i="2"/>
  <c r="CL362" i="2" s="1"/>
  <c r="CO362" i="2" s="1"/>
  <c r="CS362" i="2"/>
  <c r="CR362" i="2" s="1"/>
  <c r="CU362" i="2" s="1"/>
  <c r="CV362" i="2"/>
  <c r="CW362" i="2" s="1"/>
  <c r="DD362" i="2"/>
  <c r="DG362" i="2"/>
  <c r="DL362" i="2" s="1"/>
  <c r="BT78" i="2"/>
  <c r="BW78" i="2" s="1"/>
  <c r="BY78" i="2"/>
  <c r="CE78" i="2"/>
  <c r="CG78" i="2" s="1"/>
  <c r="CF78" i="2" s="1"/>
  <c r="CM78" i="2"/>
  <c r="CL78" i="2" s="1"/>
  <c r="CO78" i="2" s="1"/>
  <c r="CS78" i="2"/>
  <c r="CR78" i="2" s="1"/>
  <c r="CU78" i="2" s="1"/>
  <c r="CV78" i="2"/>
  <c r="CW78" i="2" s="1"/>
  <c r="DD78" i="2"/>
  <c r="DG78" i="2"/>
  <c r="DL78" i="2" s="1"/>
  <c r="FK78" i="2"/>
  <c r="BY628" i="2"/>
  <c r="CA628" i="2" s="1"/>
  <c r="BZ628" i="2" s="1"/>
  <c r="CE628" i="2"/>
  <c r="CG628" i="2" s="1"/>
  <c r="CF628" i="2" s="1"/>
  <c r="CI628" i="2" s="1"/>
  <c r="CM628" i="2"/>
  <c r="CL628" i="2" s="1"/>
  <c r="CO628" i="2" s="1"/>
  <c r="CS628" i="2"/>
  <c r="CR628" i="2" s="1"/>
  <c r="CU628" i="2" s="1"/>
  <c r="CV628" i="2"/>
  <c r="CW628" i="2" s="1"/>
  <c r="DD628" i="2"/>
  <c r="DG628" i="2"/>
  <c r="DL628" i="2" s="1"/>
  <c r="IB628" i="2"/>
  <c r="BY980" i="2"/>
  <c r="CE980" i="2"/>
  <c r="CG980" i="2" s="1"/>
  <c r="CF980" i="2" s="1"/>
  <c r="CM980" i="2"/>
  <c r="CL980" i="2" s="1"/>
  <c r="CO980" i="2" s="1"/>
  <c r="CS980" i="2"/>
  <c r="CR980" i="2" s="1"/>
  <c r="CU980" i="2" s="1"/>
  <c r="CV980" i="2"/>
  <c r="CW980" i="2" s="1"/>
  <c r="DD980" i="2"/>
  <c r="DG980" i="2"/>
  <c r="DL980" i="2" s="1"/>
  <c r="BY802" i="2"/>
  <c r="CE802" i="2"/>
  <c r="CG802" i="2" s="1"/>
  <c r="CF802" i="2" s="1"/>
  <c r="CM802" i="2"/>
  <c r="CL802" i="2" s="1"/>
  <c r="CO802" i="2" s="1"/>
  <c r="CS802" i="2"/>
  <c r="CR802" i="2" s="1"/>
  <c r="CU802" i="2" s="1"/>
  <c r="CV802" i="2"/>
  <c r="CW802" i="2" s="1"/>
  <c r="DD802" i="2"/>
  <c r="DG802" i="2"/>
  <c r="DL802" i="2" s="1"/>
  <c r="CA814" i="2"/>
  <c r="BZ814" i="2" s="1"/>
  <c r="CC814" i="2" s="1"/>
  <c r="CE814" i="2"/>
  <c r="CG814" i="2" s="1"/>
  <c r="CF814" i="2" s="1"/>
  <c r="CM814" i="2"/>
  <c r="CL814" i="2" s="1"/>
  <c r="CO814" i="2" s="1"/>
  <c r="CS814" i="2"/>
  <c r="CR814" i="2" s="1"/>
  <c r="CU814" i="2" s="1"/>
  <c r="CV814" i="2"/>
  <c r="CW814" i="2" s="1"/>
  <c r="DD814" i="2"/>
  <c r="DG814" i="2"/>
  <c r="DL814" i="2" s="1"/>
  <c r="CA39" i="2"/>
  <c r="BZ39" i="2" s="1"/>
  <c r="CE39" i="2"/>
  <c r="CM39" i="2"/>
  <c r="CL39" i="2" s="1"/>
  <c r="CO39" i="2" s="1"/>
  <c r="CS39" i="2"/>
  <c r="CR39" i="2" s="1"/>
  <c r="CU39" i="2" s="1"/>
  <c r="CV39" i="2"/>
  <c r="CW39" i="2" s="1"/>
  <c r="DD39" i="2"/>
  <c r="DG39" i="2"/>
  <c r="DJ39" i="2"/>
  <c r="FK39" i="2"/>
  <c r="CA172" i="2"/>
  <c r="BZ172" i="2" s="1"/>
  <c r="CE172" i="2"/>
  <c r="CG172" i="2" s="1"/>
  <c r="CF172" i="2" s="1"/>
  <c r="CM172" i="2"/>
  <c r="CL172" i="2" s="1"/>
  <c r="CO172" i="2" s="1"/>
  <c r="CS172" i="2"/>
  <c r="CR172" i="2" s="1"/>
  <c r="CU172" i="2" s="1"/>
  <c r="CV172" i="2"/>
  <c r="CW172" i="2" s="1"/>
  <c r="DD172" i="2"/>
  <c r="DG172" i="2"/>
  <c r="DL172" i="2" s="1"/>
  <c r="DR8" i="13"/>
  <c r="DR7" i="13"/>
  <c r="DR4" i="13"/>
  <c r="BR567" i="2"/>
  <c r="BT567" i="2" s="1"/>
  <c r="BU567" i="2"/>
  <c r="BX567" i="2"/>
  <c r="BZ567" i="2" s="1"/>
  <c r="CA567" i="2"/>
  <c r="CD567" i="2"/>
  <c r="CG567" i="2"/>
  <c r="CJ567" i="2"/>
  <c r="CL567" i="2" s="1"/>
  <c r="CM567" i="2"/>
  <c r="CP567" i="2"/>
  <c r="CR567" i="2" s="1"/>
  <c r="CS567" i="2"/>
  <c r="CV567" i="2"/>
  <c r="CX567" i="2" s="1"/>
  <c r="CY567" i="2"/>
  <c r="DB567" i="2"/>
  <c r="DD567" i="2" s="1"/>
  <c r="DE567" i="2"/>
  <c r="DK567" i="2"/>
  <c r="DR567" i="2"/>
  <c r="DS567" i="2"/>
  <c r="DT567" i="2"/>
  <c r="DV567" i="2"/>
  <c r="DW567" i="2"/>
  <c r="EJ567" i="2"/>
  <c r="BO567" i="2" s="1"/>
  <c r="BR374" i="2"/>
  <c r="BT374" i="2" s="1"/>
  <c r="BU374" i="2"/>
  <c r="BX374" i="2"/>
  <c r="BZ374" i="2" s="1"/>
  <c r="CA374" i="2"/>
  <c r="CD374" i="2"/>
  <c r="CF374" i="2" s="1"/>
  <c r="CG374" i="2"/>
  <c r="CM374" i="2"/>
  <c r="CS374" i="2"/>
  <c r="CY374" i="2"/>
  <c r="DE374" i="2"/>
  <c r="DK374" i="2"/>
  <c r="DR374" i="2"/>
  <c r="DS374" i="2"/>
  <c r="DT374" i="2"/>
  <c r="DV374" i="2"/>
  <c r="EA374" i="2" s="1"/>
  <c r="EG374" i="2"/>
  <c r="CI374" i="2" s="1"/>
  <c r="CJ374" i="2" s="1"/>
  <c r="CL374" i="2" s="1"/>
  <c r="EJ374" i="2"/>
  <c r="DA374" i="2" s="1"/>
  <c r="DR5" i="13"/>
  <c r="DR6" i="13"/>
  <c r="DR9" i="13"/>
  <c r="BR873" i="2"/>
  <c r="BT873" i="2" s="1"/>
  <c r="BU873" i="2"/>
  <c r="BX873" i="2"/>
  <c r="BZ873" i="2" s="1"/>
  <c r="BY873" i="2" s="1"/>
  <c r="CD873" i="2"/>
  <c r="CF873" i="2" s="1"/>
  <c r="CE873" i="2" s="1"/>
  <c r="CI873" i="2"/>
  <c r="CJ873" i="2" s="1"/>
  <c r="CL873" i="2" s="1"/>
  <c r="CK873" i="2" s="1"/>
  <c r="CO873" i="2"/>
  <c r="CU873" i="2"/>
  <c r="DK873" i="2"/>
  <c r="DR873" i="2"/>
  <c r="DS873" i="2"/>
  <c r="DT873" i="2"/>
  <c r="DV873" i="2"/>
  <c r="DW873" i="2"/>
  <c r="EJ873" i="2"/>
  <c r="BO873" i="2" s="1"/>
  <c r="EJ9" i="13"/>
  <c r="DG9" i="13"/>
  <c r="DW9" i="13"/>
  <c r="DV9" i="13"/>
  <c r="DT9" i="13"/>
  <c r="DS9" i="13"/>
  <c r="DK9" i="13"/>
  <c r="CU9" i="13"/>
  <c r="CV9" i="13"/>
  <c r="CX9" i="13"/>
  <c r="CW9" i="13"/>
  <c r="CO9" i="13"/>
  <c r="CP9" i="13"/>
  <c r="CI9" i="13"/>
  <c r="CD9" i="13"/>
  <c r="CF9" i="13"/>
  <c r="CE9" i="13"/>
  <c r="CH9" i="13"/>
  <c r="BX9" i="13"/>
  <c r="BZ9" i="13"/>
  <c r="BY9" i="13"/>
  <c r="CB9" i="13"/>
  <c r="BU9" i="13"/>
  <c r="BS9" i="13" s="1"/>
  <c r="BR9" i="13"/>
  <c r="EJ8" i="13"/>
  <c r="BO8" i="13"/>
  <c r="DW8" i="13"/>
  <c r="DV8" i="13"/>
  <c r="DT8" i="13"/>
  <c r="DS8" i="13"/>
  <c r="DK8" i="13"/>
  <c r="CU8" i="13"/>
  <c r="CP8" i="13"/>
  <c r="CO8" i="13"/>
  <c r="CI8" i="13"/>
  <c r="CD8" i="13"/>
  <c r="BX8" i="13"/>
  <c r="BZ8" i="13"/>
  <c r="BY8" i="13"/>
  <c r="BU8" i="13"/>
  <c r="BS8" i="13" s="1"/>
  <c r="BR8" i="13"/>
  <c r="EJ7" i="13"/>
  <c r="DG7" i="13"/>
  <c r="DJ7" i="13"/>
  <c r="EG7" i="13"/>
  <c r="CI7" i="13"/>
  <c r="DW7" i="13"/>
  <c r="DV7" i="13"/>
  <c r="DU7" i="13"/>
  <c r="DT7" i="13"/>
  <c r="DS7" i="13"/>
  <c r="DK7" i="13"/>
  <c r="DA7" i="13"/>
  <c r="DB7" i="13"/>
  <c r="BX7" i="13"/>
  <c r="BZ7" i="13"/>
  <c r="BY7" i="13"/>
  <c r="CB7" i="13"/>
  <c r="BU7" i="13"/>
  <c r="BS7" i="13" s="1"/>
  <c r="BV7" i="13" s="1"/>
  <c r="BR7" i="13"/>
  <c r="BT7" i="13"/>
  <c r="EJ6" i="13"/>
  <c r="DA6" i="13"/>
  <c r="EG6" i="13"/>
  <c r="CI6" i="13"/>
  <c r="DV6" i="13"/>
  <c r="EA6" i="13"/>
  <c r="DS6" i="13"/>
  <c r="DT6" i="13"/>
  <c r="DK6" i="13"/>
  <c r="BX6" i="13"/>
  <c r="BZ6" i="13"/>
  <c r="BY6" i="13"/>
  <c r="BU6" i="13"/>
  <c r="BS6" i="13" s="1"/>
  <c r="BR6" i="13"/>
  <c r="EJ5" i="13"/>
  <c r="DG5" i="13"/>
  <c r="DJ5" i="13"/>
  <c r="EG5" i="13"/>
  <c r="CO5" i="13"/>
  <c r="DV5" i="13"/>
  <c r="EA5" i="13"/>
  <c r="DS5" i="13"/>
  <c r="DT5" i="13"/>
  <c r="DK5" i="13"/>
  <c r="BX5" i="13"/>
  <c r="BU5" i="13"/>
  <c r="BS5" i="13" s="1"/>
  <c r="BR5" i="13"/>
  <c r="BT5" i="13"/>
  <c r="EJ4" i="13"/>
  <c r="EG4" i="13"/>
  <c r="CI4" i="13"/>
  <c r="DW4" i="13"/>
  <c r="DV4" i="13"/>
  <c r="DU4" i="13"/>
  <c r="DT4" i="13"/>
  <c r="DS4" i="13"/>
  <c r="DK4" i="13"/>
  <c r="BZ4" i="13"/>
  <c r="BY4" i="13"/>
  <c r="CB4" i="13"/>
  <c r="BX4" i="13"/>
  <c r="BU4" i="13"/>
  <c r="BS4" i="13" s="1"/>
  <c r="DO4" i="13" s="1"/>
  <c r="DP4" i="13" s="1"/>
  <c r="BR4" i="13"/>
  <c r="EJ3" i="13"/>
  <c r="DG3" i="13"/>
  <c r="DL3" i="13"/>
  <c r="EG3" i="13"/>
  <c r="DV3" i="13"/>
  <c r="EA3" i="13"/>
  <c r="DS3" i="13"/>
  <c r="DT3" i="13"/>
  <c r="DR3" i="13"/>
  <c r="DK3" i="13"/>
  <c r="BU3" i="13"/>
  <c r="BS3" i="13" s="1"/>
  <c r="BR3" i="13"/>
  <c r="EJ2" i="13"/>
  <c r="DA2" i="13"/>
  <c r="DB2" i="13"/>
  <c r="EG2" i="13"/>
  <c r="CU2" i="13"/>
  <c r="CV2" i="13"/>
  <c r="DV2" i="13"/>
  <c r="EA2" i="13"/>
  <c r="DS2" i="13"/>
  <c r="DT2" i="13"/>
  <c r="DR2" i="13"/>
  <c r="DK2" i="13"/>
  <c r="CC2" i="13"/>
  <c r="CD2" i="13"/>
  <c r="BW2" i="13"/>
  <c r="BX2" i="13"/>
  <c r="BU2" i="13"/>
  <c r="BS2" i="13" s="1"/>
  <c r="BR2" i="13"/>
  <c r="BT2" i="13"/>
  <c r="BR377" i="2"/>
  <c r="BT377" i="2" s="1"/>
  <c r="BU377" i="2"/>
  <c r="CA377" i="2"/>
  <c r="CG377" i="2"/>
  <c r="CM377" i="2"/>
  <c r="CS377" i="2"/>
  <c r="CY377" i="2"/>
  <c r="DE377" i="2"/>
  <c r="DK377" i="2"/>
  <c r="DR377" i="2"/>
  <c r="DS377" i="2"/>
  <c r="DT377" i="2"/>
  <c r="DV377" i="2"/>
  <c r="EA377" i="2" s="1"/>
  <c r="EG377" i="2"/>
  <c r="CU377" i="2" s="1"/>
  <c r="CV377" i="2" s="1"/>
  <c r="EJ377" i="2"/>
  <c r="DG377" i="2" s="1"/>
  <c r="DJ377" i="2" s="1"/>
  <c r="BR26" i="2"/>
  <c r="BT26" i="2" s="1"/>
  <c r="BU26" i="2"/>
  <c r="BX26" i="2"/>
  <c r="BZ26" i="2" s="1"/>
  <c r="CA26" i="2"/>
  <c r="CD26" i="2"/>
  <c r="CF26" i="2" s="1"/>
  <c r="CG26" i="2"/>
  <c r="CM26" i="2"/>
  <c r="CS26" i="2"/>
  <c r="CY26" i="2"/>
  <c r="DE26" i="2"/>
  <c r="DK26" i="2"/>
  <c r="DR26" i="2"/>
  <c r="DS26" i="2"/>
  <c r="DT26" i="2" s="1"/>
  <c r="DV26" i="2"/>
  <c r="EA26" i="2" s="1"/>
  <c r="EG26" i="2"/>
  <c r="CO26" i="2" s="1"/>
  <c r="CP26" i="2" s="1"/>
  <c r="CR26" i="2" s="1"/>
  <c r="EJ26" i="2"/>
  <c r="DA26" i="2" s="1"/>
  <c r="DB26" i="2" s="1"/>
  <c r="DD26" i="2" s="1"/>
  <c r="BR30" i="2"/>
  <c r="BT30" i="2" s="1"/>
  <c r="BU30" i="2"/>
  <c r="BX30" i="2"/>
  <c r="BZ30" i="2" s="1"/>
  <c r="CA30" i="2"/>
  <c r="CD30" i="2"/>
  <c r="CF30" i="2" s="1"/>
  <c r="CG30" i="2"/>
  <c r="CM30" i="2"/>
  <c r="CS30" i="2"/>
  <c r="CY30" i="2"/>
  <c r="DE30" i="2"/>
  <c r="DK30" i="2"/>
  <c r="DR30" i="2"/>
  <c r="DS30" i="2"/>
  <c r="DT30" i="2" s="1"/>
  <c r="DV30" i="2"/>
  <c r="EA30" i="2" s="1"/>
  <c r="EG30" i="2"/>
  <c r="CU30" i="2" s="1"/>
  <c r="EJ30" i="2"/>
  <c r="DA30" i="2" s="1"/>
  <c r="DB30" i="2" s="1"/>
  <c r="DD30" i="2" s="1"/>
  <c r="BR47" i="2"/>
  <c r="BT47" i="2" s="1"/>
  <c r="BU47" i="2"/>
  <c r="BX47" i="2"/>
  <c r="BZ47" i="2" s="1"/>
  <c r="CA47" i="2"/>
  <c r="CD47" i="2"/>
  <c r="CF47" i="2" s="1"/>
  <c r="CG47" i="2"/>
  <c r="CM47" i="2"/>
  <c r="CS47" i="2"/>
  <c r="CY47" i="2"/>
  <c r="DE47" i="2"/>
  <c r="DK47" i="2"/>
  <c r="DR47" i="2"/>
  <c r="DS47" i="2"/>
  <c r="DT47" i="2" s="1"/>
  <c r="DV47" i="2"/>
  <c r="EA47" i="2" s="1"/>
  <c r="ED47" i="2"/>
  <c r="EE47" i="2"/>
  <c r="EG47" i="2" s="1"/>
  <c r="EH47" i="2"/>
  <c r="EJ47" i="2" s="1"/>
  <c r="EA4" i="13"/>
  <c r="BO6" i="13"/>
  <c r="DA9" i="13"/>
  <c r="DG6" i="13"/>
  <c r="BO9" i="13"/>
  <c r="BO3" i="13"/>
  <c r="DA3" i="13"/>
  <c r="DB3" i="13"/>
  <c r="DD3" i="13"/>
  <c r="DC3" i="13"/>
  <c r="DF3" i="13"/>
  <c r="DJ3" i="13"/>
  <c r="EA9" i="13"/>
  <c r="CB6" i="13"/>
  <c r="CO7" i="13"/>
  <c r="CP7" i="13"/>
  <c r="CR7" i="13"/>
  <c r="CQ7" i="13"/>
  <c r="CT7" i="13"/>
  <c r="EA8" i="13"/>
  <c r="CJ9" i="13"/>
  <c r="CI2" i="13"/>
  <c r="CO2" i="13"/>
  <c r="CU4" i="13"/>
  <c r="CV4" i="13"/>
  <c r="CO4" i="13"/>
  <c r="CP4" i="13"/>
  <c r="BT6" i="13"/>
  <c r="EA7" i="13"/>
  <c r="CC4" i="13"/>
  <c r="CD4" i="13"/>
  <c r="DG2" i="13"/>
  <c r="DL2" i="13"/>
  <c r="DA5" i="13"/>
  <c r="DB5" i="13"/>
  <c r="DA8" i="13"/>
  <c r="DB8" i="13"/>
  <c r="DD8" i="13"/>
  <c r="DC8" i="13"/>
  <c r="CB8" i="13"/>
  <c r="CZ9" i="13"/>
  <c r="BO2" i="13"/>
  <c r="DG8" i="13"/>
  <c r="DL8" i="13"/>
  <c r="BT4" i="13"/>
  <c r="CJ7" i="13"/>
  <c r="CL7" i="13"/>
  <c r="CK7" i="13"/>
  <c r="CN7" i="13"/>
  <c r="CR8" i="13"/>
  <c r="CQ8" i="13"/>
  <c r="CT8" i="13"/>
  <c r="DD7" i="13"/>
  <c r="DC7" i="13"/>
  <c r="DF7" i="13"/>
  <c r="DG4" i="13"/>
  <c r="BO4" i="13"/>
  <c r="DA4" i="13"/>
  <c r="CU5" i="13"/>
  <c r="CC5" i="13"/>
  <c r="CI5" i="13"/>
  <c r="CJ6" i="13"/>
  <c r="CL6" i="13"/>
  <c r="CK6" i="13"/>
  <c r="CN6" i="13"/>
  <c r="CX2" i="13"/>
  <c r="CW2" i="13"/>
  <c r="CZ2" i="13"/>
  <c r="CP5" i="13"/>
  <c r="CR5" i="13"/>
  <c r="CQ5" i="13"/>
  <c r="CT5" i="13"/>
  <c r="CI3" i="13"/>
  <c r="CO3" i="13"/>
  <c r="DL7" i="13"/>
  <c r="DJ9" i="13"/>
  <c r="DL9" i="13"/>
  <c r="BT3" i="13"/>
  <c r="DB9" i="13"/>
  <c r="BW3" i="13"/>
  <c r="DD2" i="13"/>
  <c r="DC2" i="13"/>
  <c r="DF2" i="13"/>
  <c r="DL6" i="13"/>
  <c r="DJ6" i="13"/>
  <c r="CU3" i="13"/>
  <c r="DL5" i="13"/>
  <c r="CF2" i="13"/>
  <c r="CE2" i="13"/>
  <c r="CH2" i="13"/>
  <c r="BZ5" i="13"/>
  <c r="BY5" i="13"/>
  <c r="CB5" i="13"/>
  <c r="CJ8" i="13"/>
  <c r="BZ2" i="13"/>
  <c r="BY2" i="13"/>
  <c r="CC3" i="13"/>
  <c r="DB6" i="13"/>
  <c r="DD6" i="13"/>
  <c r="DC6" i="13"/>
  <c r="CC7" i="13"/>
  <c r="CJ4" i="13"/>
  <c r="CO6" i="13"/>
  <c r="BO7" i="13"/>
  <c r="DM9" i="13"/>
  <c r="CF8" i="13"/>
  <c r="CE8" i="13"/>
  <c r="CH8" i="13"/>
  <c r="BT9" i="13"/>
  <c r="CC6" i="13"/>
  <c r="CU7" i="13"/>
  <c r="CV8" i="13"/>
  <c r="BT8" i="13"/>
  <c r="CU6" i="13"/>
  <c r="BO5" i="13"/>
  <c r="CR9" i="13"/>
  <c r="CQ9" i="13"/>
  <c r="CT9" i="13"/>
  <c r="BR892" i="2"/>
  <c r="BT892" i="2" s="1"/>
  <c r="BU892" i="2"/>
  <c r="BX892" i="2"/>
  <c r="BZ892" i="2" s="1"/>
  <c r="CA892" i="2"/>
  <c r="CD892" i="2"/>
  <c r="CF892" i="2" s="1"/>
  <c r="CG892" i="2"/>
  <c r="CI892" i="2"/>
  <c r="CJ892" i="2" s="1"/>
  <c r="CM892" i="2"/>
  <c r="CO892" i="2"/>
  <c r="CP892" i="2" s="1"/>
  <c r="CR892" i="2" s="1"/>
  <c r="CS892" i="2"/>
  <c r="CU892" i="2"/>
  <c r="CY892" i="2"/>
  <c r="DE892" i="2"/>
  <c r="DK892" i="2"/>
  <c r="DR892" i="2"/>
  <c r="DS892" i="2"/>
  <c r="DT892" i="2" s="1"/>
  <c r="EA892" i="2"/>
  <c r="EJ892" i="2"/>
  <c r="BR850" i="2"/>
  <c r="BT850" i="2" s="1"/>
  <c r="BU850" i="2"/>
  <c r="CA850" i="2"/>
  <c r="CG850" i="2"/>
  <c r="CM850" i="2"/>
  <c r="CS850" i="2"/>
  <c r="CY850" i="2"/>
  <c r="DE850" i="2"/>
  <c r="DK850" i="2"/>
  <c r="DR850" i="2"/>
  <c r="DS850" i="2"/>
  <c r="DT850" i="2" s="1"/>
  <c r="DV850" i="2"/>
  <c r="EA850" i="2" s="1"/>
  <c r="EG850" i="2"/>
  <c r="CI850" i="2" s="1"/>
  <c r="EJ850" i="2"/>
  <c r="DG850" i="2" s="1"/>
  <c r="BR474" i="2"/>
  <c r="BT474" i="2" s="1"/>
  <c r="BU474" i="2"/>
  <c r="BX474" i="2"/>
  <c r="BZ474" i="2" s="1"/>
  <c r="CA474" i="2"/>
  <c r="CD474" i="2"/>
  <c r="CG474" i="2"/>
  <c r="CJ474" i="2"/>
  <c r="CL474" i="2" s="1"/>
  <c r="CM474" i="2"/>
  <c r="CP474" i="2"/>
  <c r="CR474" i="2" s="1"/>
  <c r="CQ474" i="2" s="1"/>
  <c r="CT474" i="2" s="1"/>
  <c r="DK474" i="2"/>
  <c r="DR474" i="2"/>
  <c r="DS474" i="2"/>
  <c r="DT474" i="2"/>
  <c r="DU474" i="2"/>
  <c r="DV474" i="2"/>
  <c r="DW474" i="2"/>
  <c r="EG474" i="2"/>
  <c r="CU474" i="2" s="1"/>
  <c r="EJ474" i="2"/>
  <c r="BR1006" i="2"/>
  <c r="BT1006" i="2" s="1"/>
  <c r="BU1006" i="2"/>
  <c r="BX1006" i="2"/>
  <c r="CA1006" i="2"/>
  <c r="CG1006" i="2"/>
  <c r="CM1006" i="2"/>
  <c r="CS1006" i="2"/>
  <c r="CY1006" i="2"/>
  <c r="DE1006" i="2"/>
  <c r="DK1006" i="2"/>
  <c r="DR1006" i="2"/>
  <c r="DS1006" i="2"/>
  <c r="DT1006" i="2"/>
  <c r="DV1006" i="2"/>
  <c r="DW1006" i="2"/>
  <c r="DZ1006" i="2"/>
  <c r="EG1006" i="2"/>
  <c r="CI1006" i="2" s="1"/>
  <c r="EJ1006" i="2"/>
  <c r="BO1006" i="2" s="1"/>
  <c r="BR67" i="2"/>
  <c r="BT67" i="2" s="1"/>
  <c r="BU67" i="2"/>
  <c r="BX67" i="2"/>
  <c r="BZ67" i="2" s="1"/>
  <c r="CA67" i="2"/>
  <c r="CD67" i="2"/>
  <c r="CF67" i="2" s="1"/>
  <c r="CG67" i="2"/>
  <c r="CM67" i="2"/>
  <c r="CS67" i="2"/>
  <c r="CY67" i="2"/>
  <c r="DE67" i="2"/>
  <c r="DK67" i="2"/>
  <c r="DR67" i="2"/>
  <c r="DS67" i="2"/>
  <c r="DT67" i="2"/>
  <c r="DV67" i="2"/>
  <c r="EA67" i="2" s="1"/>
  <c r="EG67" i="2"/>
  <c r="CI67" i="2" s="1"/>
  <c r="EJ67" i="2"/>
  <c r="BR297" i="2"/>
  <c r="BU297" i="2"/>
  <c r="BX297" i="2"/>
  <c r="BZ297" i="2" s="1"/>
  <c r="CA297" i="2"/>
  <c r="CD297" i="2"/>
  <c r="CF297" i="2" s="1"/>
  <c r="CG297" i="2"/>
  <c r="CJ297" i="2"/>
  <c r="CL297" i="2" s="1"/>
  <c r="CM297" i="2"/>
  <c r="CS297" i="2"/>
  <c r="CY297" i="2"/>
  <c r="DE297" i="2"/>
  <c r="DK297" i="2"/>
  <c r="DR297" i="2"/>
  <c r="DS297" i="2"/>
  <c r="DT297" i="2"/>
  <c r="DV297" i="2"/>
  <c r="DW297" i="2"/>
  <c r="EG297" i="2"/>
  <c r="CO297" i="2" s="1"/>
  <c r="EJ297" i="2"/>
  <c r="DA297" i="2" s="1"/>
  <c r="DB297" i="2" s="1"/>
  <c r="BR847" i="2"/>
  <c r="BT847" i="2" s="1"/>
  <c r="BU847" i="2"/>
  <c r="BX847" i="2"/>
  <c r="BZ847" i="2" s="1"/>
  <c r="CA847" i="2"/>
  <c r="CD847" i="2"/>
  <c r="CF847" i="2" s="1"/>
  <c r="CG847" i="2"/>
  <c r="CI847" i="2"/>
  <c r="CM847" i="2"/>
  <c r="CO847" i="2"/>
  <c r="CP847" i="2" s="1"/>
  <c r="CR847" i="2" s="1"/>
  <c r="CS847" i="2"/>
  <c r="CU847" i="2"/>
  <c r="CV847" i="2" s="1"/>
  <c r="CX847" i="2" s="1"/>
  <c r="CY847" i="2"/>
  <c r="DE847" i="2"/>
  <c r="DK847" i="2"/>
  <c r="DR847" i="2"/>
  <c r="DS847" i="2"/>
  <c r="DT847" i="2"/>
  <c r="EA847" i="2"/>
  <c r="EJ847" i="2"/>
  <c r="DM2" i="13"/>
  <c r="DN9" i="13"/>
  <c r="CJ2" i="13"/>
  <c r="DJ2" i="13"/>
  <c r="DD5" i="13"/>
  <c r="DC5" i="13"/>
  <c r="DF5" i="13"/>
  <c r="CP2" i="13"/>
  <c r="DN2" i="13"/>
  <c r="CF4" i="13"/>
  <c r="CE4" i="13"/>
  <c r="CH4" i="13"/>
  <c r="CL2" i="13"/>
  <c r="CK2" i="13"/>
  <c r="CN2" i="13"/>
  <c r="CL9" i="13"/>
  <c r="CK9" i="13"/>
  <c r="CN9" i="13"/>
  <c r="DM8" i="13"/>
  <c r="CX8" i="13"/>
  <c r="CW8" i="13"/>
  <c r="CZ8" i="13"/>
  <c r="DJ8" i="13"/>
  <c r="DF8" i="13"/>
  <c r="CV3" i="13"/>
  <c r="CX3" i="13"/>
  <c r="CW3" i="13"/>
  <c r="CJ3" i="13"/>
  <c r="CL3" i="13"/>
  <c r="CK3" i="13"/>
  <c r="CN3" i="13"/>
  <c r="CJ5" i="13"/>
  <c r="CL5" i="13"/>
  <c r="CK5" i="13"/>
  <c r="CV6" i="13"/>
  <c r="CX6" i="13"/>
  <c r="CW6" i="13"/>
  <c r="CZ6" i="13"/>
  <c r="CD5" i="13"/>
  <c r="DM5" i="13"/>
  <c r="DM3" i="13"/>
  <c r="BX3" i="13"/>
  <c r="CV5" i="13"/>
  <c r="CX4" i="13"/>
  <c r="CW4" i="13"/>
  <c r="CZ4" i="13"/>
  <c r="CR4" i="13"/>
  <c r="CQ4" i="13"/>
  <c r="CT4" i="13"/>
  <c r="CP6" i="13"/>
  <c r="CL4" i="13"/>
  <c r="CK4" i="13"/>
  <c r="CV7" i="13"/>
  <c r="CN4" i="13"/>
  <c r="DB4" i="13"/>
  <c r="DN4" i="13"/>
  <c r="DM6" i="13"/>
  <c r="CD6" i="13"/>
  <c r="DM7" i="13"/>
  <c r="CD7" i="13"/>
  <c r="CD3" i="13"/>
  <c r="CF3" i="13"/>
  <c r="CE3" i="13"/>
  <c r="CB2" i="13"/>
  <c r="DD9" i="13"/>
  <c r="DC9" i="13"/>
  <c r="DF9" i="13"/>
  <c r="DJ4" i="13"/>
  <c r="DL4" i="13"/>
  <c r="DM4" i="13"/>
  <c r="CL8" i="13"/>
  <c r="CK8" i="13"/>
  <c r="CN8" i="13"/>
  <c r="DF6" i="13"/>
  <c r="DN8" i="13"/>
  <c r="CP3" i="13"/>
  <c r="CR3" i="13"/>
  <c r="CQ3" i="13"/>
  <c r="BR352" i="2"/>
  <c r="BT352" i="2" s="1"/>
  <c r="BU352" i="2"/>
  <c r="BX352" i="2"/>
  <c r="CA352" i="2"/>
  <c r="CD352" i="2"/>
  <c r="CF352" i="2" s="1"/>
  <c r="CG352" i="2"/>
  <c r="CI352" i="2"/>
  <c r="CM352" i="2"/>
  <c r="CO352" i="2"/>
  <c r="CS352" i="2"/>
  <c r="CU352" i="2"/>
  <c r="CY352" i="2"/>
  <c r="DE352" i="2"/>
  <c r="DK352" i="2"/>
  <c r="DR352" i="2"/>
  <c r="DS352" i="2"/>
  <c r="DT352" i="2" s="1"/>
  <c r="DV352" i="2"/>
  <c r="EA352" i="2" s="1"/>
  <c r="EJ352" i="2"/>
  <c r="DA352" i="2" s="1"/>
  <c r="BR734" i="2"/>
  <c r="BT734" i="2" s="1"/>
  <c r="BU734" i="2"/>
  <c r="BX734" i="2"/>
  <c r="BZ734" i="2" s="1"/>
  <c r="CA734" i="2"/>
  <c r="CD734" i="2"/>
  <c r="CF734" i="2" s="1"/>
  <c r="CG734" i="2"/>
  <c r="CJ734" i="2"/>
  <c r="CM734" i="2"/>
  <c r="CP734" i="2"/>
  <c r="CR734" i="2" s="1"/>
  <c r="CS734" i="2"/>
  <c r="CV734" i="2"/>
  <c r="CX734" i="2" s="1"/>
  <c r="CY734" i="2"/>
  <c r="DE734" i="2"/>
  <c r="DK734" i="2"/>
  <c r="DR734" i="2"/>
  <c r="DS734" i="2"/>
  <c r="DT734" i="2"/>
  <c r="EA734" i="2"/>
  <c r="ED734" i="2"/>
  <c r="EE734" i="2"/>
  <c r="EG734" i="2" s="1"/>
  <c r="EH734" i="2"/>
  <c r="EJ734" i="2" s="1"/>
  <c r="BO734" i="2" s="1"/>
  <c r="BR900" i="2"/>
  <c r="BT900" i="2" s="1"/>
  <c r="BU900" i="2"/>
  <c r="BX900" i="2"/>
  <c r="BZ900" i="2" s="1"/>
  <c r="CA900" i="2"/>
  <c r="CD900" i="2"/>
  <c r="CF900" i="2" s="1"/>
  <c r="CG900" i="2"/>
  <c r="CJ900" i="2"/>
  <c r="CL900" i="2" s="1"/>
  <c r="CM900" i="2"/>
  <c r="CP900" i="2"/>
  <c r="CR900" i="2" s="1"/>
  <c r="CS900" i="2"/>
  <c r="CV900" i="2"/>
  <c r="CX900" i="2" s="1"/>
  <c r="CY900" i="2"/>
  <c r="DB900" i="2"/>
  <c r="DD900" i="2" s="1"/>
  <c r="DE900" i="2"/>
  <c r="DK900" i="2"/>
  <c r="DR900" i="2"/>
  <c r="DS900" i="2"/>
  <c r="DT900" i="2"/>
  <c r="EA900" i="2"/>
  <c r="EG900" i="2"/>
  <c r="EJ900" i="2"/>
  <c r="DG900" i="2" s="1"/>
  <c r="DJ900" i="2" s="1"/>
  <c r="DN7" i="13"/>
  <c r="DN6" i="13"/>
  <c r="CR2" i="13"/>
  <c r="CQ2" i="13"/>
  <c r="CT2" i="13"/>
  <c r="CN5" i="13"/>
  <c r="CX7" i="13"/>
  <c r="CW7" i="13"/>
  <c r="CZ7" i="13"/>
  <c r="CF7" i="13"/>
  <c r="CE7" i="13"/>
  <c r="DD4" i="13"/>
  <c r="DC4" i="13"/>
  <c r="DN5" i="13"/>
  <c r="CT3" i="13"/>
  <c r="CF5" i="13"/>
  <c r="CE5" i="13"/>
  <c r="CF6" i="13"/>
  <c r="CE6" i="13"/>
  <c r="CX5" i="13"/>
  <c r="CW5" i="13"/>
  <c r="CZ5" i="13"/>
  <c r="CZ3" i="13"/>
  <c r="DN3" i="13"/>
  <c r="CH3" i="13"/>
  <c r="CR6" i="13"/>
  <c r="CQ6" i="13"/>
  <c r="CT6" i="13"/>
  <c r="BZ3" i="13"/>
  <c r="BY3" i="13"/>
  <c r="BR75" i="2"/>
  <c r="BT75" i="2" s="1"/>
  <c r="BU75" i="2"/>
  <c r="BX75" i="2"/>
  <c r="CA75" i="2"/>
  <c r="CD75" i="2"/>
  <c r="CF75" i="2" s="1"/>
  <c r="CG75" i="2"/>
  <c r="CI75" i="2"/>
  <c r="CJ75" i="2" s="1"/>
  <c r="CM75" i="2"/>
  <c r="CO75" i="2"/>
  <c r="CS75" i="2"/>
  <c r="CU75" i="2"/>
  <c r="CV75" i="2" s="1"/>
  <c r="CY75" i="2"/>
  <c r="DE75" i="2"/>
  <c r="DJ75" i="2"/>
  <c r="DK75" i="2"/>
  <c r="DL75" i="2"/>
  <c r="DR75" i="2"/>
  <c r="DS75" i="2"/>
  <c r="DT75" i="2" s="1"/>
  <c r="DV75" i="2"/>
  <c r="EA75" i="2" s="1"/>
  <c r="EJ75" i="2"/>
  <c r="BO75" i="2" s="1"/>
  <c r="BR315" i="2"/>
  <c r="BU315" i="2"/>
  <c r="BX315" i="2"/>
  <c r="BZ315" i="2" s="1"/>
  <c r="CA315" i="2"/>
  <c r="CD315" i="2"/>
  <c r="CF315" i="2" s="1"/>
  <c r="CG315" i="2"/>
  <c r="CJ315" i="2"/>
  <c r="CL315" i="2" s="1"/>
  <c r="CM315" i="2"/>
  <c r="CP315" i="2"/>
  <c r="CR315" i="2" s="1"/>
  <c r="CS315" i="2"/>
  <c r="CY315" i="2"/>
  <c r="DE315" i="2"/>
  <c r="DJ315" i="2"/>
  <c r="DK315" i="2"/>
  <c r="DL315" i="2"/>
  <c r="DR315" i="2"/>
  <c r="DS315" i="2"/>
  <c r="DT315" i="2" s="1"/>
  <c r="EA315" i="2"/>
  <c r="EG315" i="2"/>
  <c r="CU315" i="2" s="1"/>
  <c r="EJ315" i="2"/>
  <c r="BO315" i="2" s="1"/>
  <c r="CB3" i="13"/>
  <c r="CH7" i="13"/>
  <c r="CH5" i="13"/>
  <c r="DF4" i="13"/>
  <c r="CH6" i="13"/>
  <c r="BR785" i="2"/>
  <c r="BT785" i="2" s="1"/>
  <c r="BU785" i="2"/>
  <c r="BX785" i="2"/>
  <c r="BZ785" i="2" s="1"/>
  <c r="CA785" i="2"/>
  <c r="CF785" i="2"/>
  <c r="CG785" i="2"/>
  <c r="CJ785" i="2"/>
  <c r="CL785" i="2" s="1"/>
  <c r="CM785" i="2"/>
  <c r="CP785" i="2"/>
  <c r="CR785" i="2" s="1"/>
  <c r="CS785" i="2"/>
  <c r="CX785" i="2"/>
  <c r="CY785" i="2"/>
  <c r="DE785" i="2"/>
  <c r="DJ785" i="2"/>
  <c r="DK785" i="2"/>
  <c r="DL785" i="2"/>
  <c r="DR785" i="2"/>
  <c r="DS785" i="2"/>
  <c r="DT785" i="2" s="1"/>
  <c r="EA785" i="2"/>
  <c r="EG785" i="2"/>
  <c r="EJ785" i="2"/>
  <c r="BO785" i="2" s="1"/>
  <c r="BR691" i="2"/>
  <c r="BT691" i="2" s="1"/>
  <c r="BU691" i="2"/>
  <c r="BX691" i="2"/>
  <c r="BZ691" i="2" s="1"/>
  <c r="CA691" i="2"/>
  <c r="CG691" i="2"/>
  <c r="CM691" i="2"/>
  <c r="CS691" i="2"/>
  <c r="CY691" i="2"/>
  <c r="DE691" i="2"/>
  <c r="DJ691" i="2"/>
  <c r="DK691" i="2"/>
  <c r="DL691" i="2"/>
  <c r="DS691" i="2"/>
  <c r="DT691" i="2" s="1"/>
  <c r="EA691" i="2"/>
  <c r="EG691" i="2"/>
  <c r="CO691" i="2" s="1"/>
  <c r="EJ691" i="2"/>
  <c r="BO691" i="2" s="1"/>
  <c r="BR992" i="2"/>
  <c r="BT992" i="2" s="1"/>
  <c r="BU992" i="2"/>
  <c r="BX992" i="2"/>
  <c r="BZ992" i="2" s="1"/>
  <c r="CA992" i="2"/>
  <c r="CG992" i="2"/>
  <c r="CM992" i="2"/>
  <c r="CS992" i="2"/>
  <c r="CY992" i="2"/>
  <c r="DE992" i="2"/>
  <c r="DJ992" i="2"/>
  <c r="DK992" i="2"/>
  <c r="DL992" i="2"/>
  <c r="DR992" i="2"/>
  <c r="DS992" i="2"/>
  <c r="DT992" i="2" s="1"/>
  <c r="DW992" i="2"/>
  <c r="EA992" i="2" s="1"/>
  <c r="EG992" i="2"/>
  <c r="CU992" i="2" s="1"/>
  <c r="CV992" i="2" s="1"/>
  <c r="CX992" i="2" s="1"/>
  <c r="EJ992" i="2"/>
  <c r="BO992" i="2" s="1"/>
  <c r="BR140" i="2"/>
  <c r="BT140" i="2" s="1"/>
  <c r="BU140" i="2"/>
  <c r="BX140" i="2"/>
  <c r="BZ140" i="2" s="1"/>
  <c r="CA140" i="2"/>
  <c r="CD140" i="2"/>
  <c r="CF140" i="2" s="1"/>
  <c r="CG140" i="2"/>
  <c r="CI140" i="2"/>
  <c r="CM140" i="2"/>
  <c r="CO140" i="2"/>
  <c r="CP140" i="2" s="1"/>
  <c r="CR140" i="2" s="1"/>
  <c r="CS140" i="2"/>
  <c r="CU140" i="2"/>
  <c r="CV140" i="2" s="1"/>
  <c r="CY140" i="2"/>
  <c r="DE140" i="2"/>
  <c r="DJ140" i="2"/>
  <c r="DK140" i="2"/>
  <c r="DL140" i="2"/>
  <c r="DR140" i="2"/>
  <c r="DS140" i="2"/>
  <c r="DT140" i="2" s="1"/>
  <c r="EA140" i="2"/>
  <c r="EJ140" i="2"/>
  <c r="DA140" i="2" s="1"/>
  <c r="BR293" i="2"/>
  <c r="BT293" i="2" s="1"/>
  <c r="BU293" i="2"/>
  <c r="BX293" i="2"/>
  <c r="BZ293" i="2" s="1"/>
  <c r="CA293" i="2"/>
  <c r="CD293" i="2"/>
  <c r="CG293" i="2"/>
  <c r="CM293" i="2"/>
  <c r="CS293" i="2"/>
  <c r="CY293" i="2"/>
  <c r="DE293" i="2"/>
  <c r="DJ293" i="2"/>
  <c r="DK293" i="2"/>
  <c r="DL293" i="2"/>
  <c r="DR293" i="2"/>
  <c r="DS293" i="2"/>
  <c r="DT293" i="2" s="1"/>
  <c r="EA293" i="2"/>
  <c r="ED293" i="2"/>
  <c r="EE293" i="2"/>
  <c r="EG293" i="2" s="1"/>
  <c r="EH293" i="2"/>
  <c r="EJ293" i="2" s="1"/>
  <c r="BR20" i="2"/>
  <c r="BT20" i="2" s="1"/>
  <c r="BU20" i="2"/>
  <c r="BX20" i="2"/>
  <c r="BZ20" i="2" s="1"/>
  <c r="CA20" i="2"/>
  <c r="CD20" i="2"/>
  <c r="CF20" i="2" s="1"/>
  <c r="CG20" i="2"/>
  <c r="CJ20" i="2"/>
  <c r="CL20" i="2" s="1"/>
  <c r="CM20" i="2"/>
  <c r="CS20" i="2"/>
  <c r="CY20" i="2"/>
  <c r="DE20" i="2"/>
  <c r="DJ20" i="2"/>
  <c r="DK20" i="2"/>
  <c r="DL20" i="2"/>
  <c r="DR20" i="2"/>
  <c r="DS20" i="2"/>
  <c r="DT20" i="2"/>
  <c r="EA20" i="2"/>
  <c r="EG20" i="2"/>
  <c r="EJ20" i="2"/>
  <c r="DA20" i="2" s="1"/>
  <c r="DB20" i="2" s="1"/>
  <c r="BR721" i="2"/>
  <c r="BT721" i="2" s="1"/>
  <c r="BU721" i="2"/>
  <c r="BX721" i="2"/>
  <c r="BZ721" i="2" s="1"/>
  <c r="CA721" i="2"/>
  <c r="CD721" i="2"/>
  <c r="CF721" i="2" s="1"/>
  <c r="CG721" i="2"/>
  <c r="CI721" i="2"/>
  <c r="CJ721" i="2" s="1"/>
  <c r="CL721" i="2" s="1"/>
  <c r="CM721" i="2"/>
  <c r="CO721" i="2"/>
  <c r="CP721" i="2" s="1"/>
  <c r="CS721" i="2"/>
  <c r="CU721" i="2"/>
  <c r="CY721" i="2"/>
  <c r="DE721" i="2"/>
  <c r="DJ721" i="2"/>
  <c r="DK721" i="2"/>
  <c r="DL721" i="2"/>
  <c r="DR721" i="2"/>
  <c r="DS721" i="2"/>
  <c r="DT721" i="2" s="1"/>
  <c r="DV721" i="2"/>
  <c r="EA721" i="2" s="1"/>
  <c r="EJ721" i="2"/>
  <c r="DA721" i="2" s="1"/>
  <c r="DB721" i="2" s="1"/>
  <c r="BR710" i="2"/>
  <c r="BT710" i="2" s="1"/>
  <c r="BU710" i="2"/>
  <c r="BX710" i="2"/>
  <c r="BZ710" i="2" s="1"/>
  <c r="CA710" i="2"/>
  <c r="CG710" i="2"/>
  <c r="CM710" i="2"/>
  <c r="CS710" i="2"/>
  <c r="CY710" i="2"/>
  <c r="DE710" i="2"/>
  <c r="DJ710" i="2"/>
  <c r="DK710" i="2"/>
  <c r="DL710" i="2"/>
  <c r="DR710" i="2"/>
  <c r="DS710" i="2"/>
  <c r="DT710" i="2" s="1"/>
  <c r="DV710" i="2"/>
  <c r="EA710" i="2" s="1"/>
  <c r="ED710" i="2"/>
  <c r="EE710" i="2"/>
  <c r="EG710" i="2" s="1"/>
  <c r="CU710" i="2" s="1"/>
  <c r="EH710" i="2"/>
  <c r="EJ710" i="2" s="1"/>
  <c r="BR496" i="2"/>
  <c r="BT496" i="2" s="1"/>
  <c r="BU496" i="2"/>
  <c r="BX496" i="2"/>
  <c r="BZ496" i="2" s="1"/>
  <c r="CA496" i="2"/>
  <c r="CD496" i="2"/>
  <c r="CF496" i="2" s="1"/>
  <c r="CG496" i="2"/>
  <c r="CI496" i="2"/>
  <c r="CM496" i="2"/>
  <c r="CO496" i="2"/>
  <c r="CP496" i="2" s="1"/>
  <c r="CR496" i="2" s="1"/>
  <c r="CS496" i="2"/>
  <c r="CU496" i="2"/>
  <c r="CV496" i="2" s="1"/>
  <c r="CY496" i="2"/>
  <c r="DE496" i="2"/>
  <c r="DJ496" i="2"/>
  <c r="DK496" i="2"/>
  <c r="DL496" i="2"/>
  <c r="DR496" i="2"/>
  <c r="DS496" i="2"/>
  <c r="DT496" i="2" s="1"/>
  <c r="EA496" i="2"/>
  <c r="EJ496" i="2"/>
  <c r="DA496" i="2" s="1"/>
  <c r="DB496" i="2" s="1"/>
  <c r="DD496" i="2" s="1"/>
  <c r="BR579" i="2"/>
  <c r="BT579" i="2" s="1"/>
  <c r="BU579" i="2"/>
  <c r="BX579" i="2"/>
  <c r="BZ579" i="2" s="1"/>
  <c r="CA579" i="2"/>
  <c r="CG579" i="2"/>
  <c r="CM579" i="2"/>
  <c r="CS579" i="2"/>
  <c r="CY579" i="2"/>
  <c r="DE579" i="2"/>
  <c r="DJ579" i="2"/>
  <c r="DK579" i="2"/>
  <c r="DL579" i="2"/>
  <c r="DS579" i="2"/>
  <c r="DT579" i="2" s="1"/>
  <c r="EA579" i="2"/>
  <c r="EG579" i="2"/>
  <c r="CU579" i="2" s="1"/>
  <c r="CV579" i="2" s="1"/>
  <c r="CX579" i="2" s="1"/>
  <c r="EJ579" i="2"/>
  <c r="BR278" i="2"/>
  <c r="BT278" i="2" s="1"/>
  <c r="BU278" i="2"/>
  <c r="BX278" i="2"/>
  <c r="BZ278" i="2" s="1"/>
  <c r="CA278" i="2"/>
  <c r="CD278" i="2"/>
  <c r="CF278" i="2" s="1"/>
  <c r="CG278" i="2"/>
  <c r="CI278" i="2"/>
  <c r="CJ278" i="2" s="1"/>
  <c r="CM278" i="2"/>
  <c r="CO278" i="2"/>
  <c r="CP278" i="2" s="1"/>
  <c r="CR278" i="2" s="1"/>
  <c r="CS278" i="2"/>
  <c r="CU278" i="2"/>
  <c r="CV278" i="2" s="1"/>
  <c r="CY278" i="2"/>
  <c r="DE278" i="2"/>
  <c r="DJ278" i="2"/>
  <c r="DK278" i="2"/>
  <c r="DL278" i="2"/>
  <c r="DS278" i="2"/>
  <c r="DT278" i="2" s="1"/>
  <c r="EA278" i="2"/>
  <c r="EJ278" i="2"/>
  <c r="BO278" i="2" s="1"/>
  <c r="BR642" i="2"/>
  <c r="BU642" i="2"/>
  <c r="BX642" i="2"/>
  <c r="BZ642" i="2" s="1"/>
  <c r="CA642" i="2"/>
  <c r="CG642" i="2"/>
  <c r="CM642" i="2"/>
  <c r="CS642" i="2"/>
  <c r="CY642" i="2"/>
  <c r="DE642" i="2"/>
  <c r="DJ642" i="2"/>
  <c r="DK642" i="2"/>
  <c r="DL642" i="2"/>
  <c r="DR642" i="2"/>
  <c r="DS642" i="2"/>
  <c r="DT642" i="2" s="1"/>
  <c r="EA642" i="2"/>
  <c r="EG642" i="2"/>
  <c r="EJ642" i="2"/>
  <c r="BR500" i="2"/>
  <c r="BT500" i="2" s="1"/>
  <c r="BU500" i="2"/>
  <c r="BX500" i="2"/>
  <c r="BZ500" i="2" s="1"/>
  <c r="CA500" i="2"/>
  <c r="CG500" i="2"/>
  <c r="CM500" i="2"/>
  <c r="CS500" i="2"/>
  <c r="CY500" i="2"/>
  <c r="DE500" i="2"/>
  <c r="DJ500" i="2"/>
  <c r="DK500" i="2"/>
  <c r="DL500" i="2"/>
  <c r="DR500" i="2"/>
  <c r="DS500" i="2"/>
  <c r="DT500" i="2" s="1"/>
  <c r="EA500" i="2"/>
  <c r="EG500" i="2"/>
  <c r="CI500" i="2" s="1"/>
  <c r="EJ500" i="2"/>
  <c r="BO500" i="2" s="1"/>
  <c r="BR590" i="2"/>
  <c r="BT590" i="2" s="1"/>
  <c r="BU590" i="2"/>
  <c r="BX590" i="2"/>
  <c r="BZ590" i="2" s="1"/>
  <c r="CA590" i="2"/>
  <c r="CD590" i="2"/>
  <c r="CF590" i="2" s="1"/>
  <c r="CG590" i="2"/>
  <c r="CI590" i="2"/>
  <c r="CJ590" i="2" s="1"/>
  <c r="CL590" i="2" s="1"/>
  <c r="CM590" i="2"/>
  <c r="CO590" i="2"/>
  <c r="CP590" i="2" s="1"/>
  <c r="CR590" i="2" s="1"/>
  <c r="CS590" i="2"/>
  <c r="CU590" i="2"/>
  <c r="CV590" i="2" s="1"/>
  <c r="CY590" i="2"/>
  <c r="DE590" i="2"/>
  <c r="DJ590" i="2"/>
  <c r="DK590" i="2"/>
  <c r="DL590" i="2"/>
  <c r="DR590" i="2"/>
  <c r="DS590" i="2"/>
  <c r="DT590" i="2" s="1"/>
  <c r="EA590" i="2"/>
  <c r="EJ590" i="2"/>
  <c r="BO590" i="2" s="1"/>
  <c r="BR24" i="2"/>
  <c r="BT24" i="2" s="1"/>
  <c r="BU24" i="2"/>
  <c r="BX24" i="2"/>
  <c r="BZ24" i="2" s="1"/>
  <c r="CA24" i="2"/>
  <c r="CD24" i="2"/>
  <c r="CF24" i="2" s="1"/>
  <c r="CG24" i="2"/>
  <c r="CI24" i="2"/>
  <c r="CJ24" i="2" s="1"/>
  <c r="CM24" i="2"/>
  <c r="CO24" i="2"/>
  <c r="CP24" i="2" s="1"/>
  <c r="CR24" i="2" s="1"/>
  <c r="CS24" i="2"/>
  <c r="CU24" i="2"/>
  <c r="CY24" i="2"/>
  <c r="DE24" i="2"/>
  <c r="DJ24" i="2"/>
  <c r="DK24" i="2"/>
  <c r="DL24" i="2"/>
  <c r="DR24" i="2"/>
  <c r="DS24" i="2"/>
  <c r="DT24" i="2" s="1"/>
  <c r="EA24" i="2"/>
  <c r="EJ24" i="2"/>
  <c r="DA24" i="2" s="1"/>
  <c r="CR721" i="2"/>
  <c r="BR200" i="2"/>
  <c r="BT200" i="2" s="1"/>
  <c r="BU200" i="2"/>
  <c r="BX200" i="2"/>
  <c r="BZ200" i="2" s="1"/>
  <c r="CA200" i="2"/>
  <c r="CG200" i="2"/>
  <c r="CM200" i="2"/>
  <c r="CS200" i="2"/>
  <c r="CY200" i="2"/>
  <c r="DE200" i="2"/>
  <c r="DJ200" i="2"/>
  <c r="DK200" i="2"/>
  <c r="DL200" i="2"/>
  <c r="DR200" i="2"/>
  <c r="DS200" i="2"/>
  <c r="DT200" i="2" s="1"/>
  <c r="EA200" i="2"/>
  <c r="EG200" i="2"/>
  <c r="CU200" i="2" s="1"/>
  <c r="CV200" i="2" s="1"/>
  <c r="EJ200" i="2"/>
  <c r="DA200" i="2" s="1"/>
  <c r="BR137" i="2"/>
  <c r="BT137" i="2" s="1"/>
  <c r="BU137" i="2"/>
  <c r="BX137" i="2"/>
  <c r="BZ137" i="2" s="1"/>
  <c r="CA137" i="2"/>
  <c r="CD137" i="2"/>
  <c r="CF137" i="2" s="1"/>
  <c r="CG137" i="2"/>
  <c r="CI137" i="2"/>
  <c r="CJ137" i="2" s="1"/>
  <c r="CL137" i="2" s="1"/>
  <c r="CM137" i="2"/>
  <c r="CO137" i="2"/>
  <c r="CP137" i="2" s="1"/>
  <c r="CS137" i="2"/>
  <c r="CU137" i="2"/>
  <c r="CV137" i="2" s="1"/>
  <c r="CX137" i="2" s="1"/>
  <c r="CY137" i="2"/>
  <c r="DE137" i="2"/>
  <c r="DJ137" i="2"/>
  <c r="DK137" i="2"/>
  <c r="DL137" i="2"/>
  <c r="DR137" i="2"/>
  <c r="DS137" i="2"/>
  <c r="DT137" i="2" s="1"/>
  <c r="EA137" i="2"/>
  <c r="EJ137" i="2"/>
  <c r="DA137" i="2" s="1"/>
  <c r="DB137" i="2" s="1"/>
  <c r="DD137" i="2" s="1"/>
  <c r="BR431" i="2"/>
  <c r="BT431" i="2" s="1"/>
  <c r="BU431" i="2"/>
  <c r="BX431" i="2"/>
  <c r="CA431" i="2"/>
  <c r="CD431" i="2"/>
  <c r="CF431" i="2" s="1"/>
  <c r="CG431" i="2"/>
  <c r="CI431" i="2"/>
  <c r="CJ431" i="2" s="1"/>
  <c r="CM431" i="2"/>
  <c r="CO431" i="2"/>
  <c r="CS431" i="2"/>
  <c r="CU431" i="2"/>
  <c r="CV431" i="2" s="1"/>
  <c r="CX431" i="2" s="1"/>
  <c r="CY431" i="2"/>
  <c r="DE431" i="2"/>
  <c r="DJ431" i="2"/>
  <c r="DK431" i="2"/>
  <c r="DL431" i="2"/>
  <c r="DR431" i="2"/>
  <c r="DS431" i="2"/>
  <c r="DT431" i="2" s="1"/>
  <c r="EA431" i="2"/>
  <c r="EJ431" i="2"/>
  <c r="DA431" i="2" s="1"/>
  <c r="DB431" i="2" s="1"/>
  <c r="BR926" i="2"/>
  <c r="BT926" i="2" s="1"/>
  <c r="BU926" i="2"/>
  <c r="BX926" i="2"/>
  <c r="BZ926" i="2" s="1"/>
  <c r="CA926" i="2"/>
  <c r="CD926" i="2"/>
  <c r="CF926" i="2" s="1"/>
  <c r="CG926" i="2"/>
  <c r="CJ926" i="2"/>
  <c r="CL926" i="2" s="1"/>
  <c r="CM926" i="2"/>
  <c r="CO926" i="2"/>
  <c r="CP926" i="2" s="1"/>
  <c r="CS926" i="2"/>
  <c r="CU926" i="2"/>
  <c r="CV926" i="2" s="1"/>
  <c r="CY926" i="2"/>
  <c r="DE926" i="2"/>
  <c r="DJ926" i="2"/>
  <c r="DK926" i="2"/>
  <c r="DL926" i="2"/>
  <c r="DR926" i="2"/>
  <c r="DS926" i="2"/>
  <c r="DT926" i="2" s="1"/>
  <c r="EA926" i="2"/>
  <c r="EJ926" i="2"/>
  <c r="DA926" i="2" s="1"/>
  <c r="DB926" i="2" s="1"/>
  <c r="BR158" i="2"/>
  <c r="BT158" i="2" s="1"/>
  <c r="BU158" i="2"/>
  <c r="BX158" i="2"/>
  <c r="BZ158" i="2" s="1"/>
  <c r="CA158" i="2"/>
  <c r="CG158" i="2"/>
  <c r="CM158" i="2"/>
  <c r="CS158" i="2"/>
  <c r="CY158" i="2"/>
  <c r="DE158" i="2"/>
  <c r="DJ158" i="2"/>
  <c r="DK158" i="2"/>
  <c r="DL158" i="2"/>
  <c r="DR158" i="2"/>
  <c r="DS158" i="2"/>
  <c r="DT158" i="2" s="1"/>
  <c r="EA158" i="2"/>
  <c r="EG158" i="2"/>
  <c r="CC158" i="2" s="1"/>
  <c r="CD158" i="2" s="1"/>
  <c r="EJ158" i="2"/>
  <c r="BO158" i="2" s="1"/>
  <c r="BR123" i="2"/>
  <c r="BT123" i="2" s="1"/>
  <c r="BU123" i="2"/>
  <c r="CA123" i="2"/>
  <c r="CG123" i="2"/>
  <c r="CM123" i="2"/>
  <c r="CS123" i="2"/>
  <c r="CY123" i="2"/>
  <c r="DE123" i="2"/>
  <c r="DJ123" i="2"/>
  <c r="DK123" i="2"/>
  <c r="DL123" i="2"/>
  <c r="DR123" i="2"/>
  <c r="DS123" i="2"/>
  <c r="DT123" i="2" s="1"/>
  <c r="EA123" i="2"/>
  <c r="EG123" i="2"/>
  <c r="CO123" i="2" s="1"/>
  <c r="EJ123" i="2"/>
  <c r="BR167" i="2"/>
  <c r="BT167" i="2" s="1"/>
  <c r="BU167" i="2"/>
  <c r="BX167" i="2"/>
  <c r="BZ167" i="2" s="1"/>
  <c r="CA167" i="2"/>
  <c r="CD167" i="2"/>
  <c r="CF167" i="2" s="1"/>
  <c r="CG167" i="2"/>
  <c r="CI167" i="2"/>
  <c r="CJ167" i="2" s="1"/>
  <c r="CM167" i="2"/>
  <c r="CO167" i="2"/>
  <c r="CP167" i="2" s="1"/>
  <c r="CR167" i="2" s="1"/>
  <c r="CS167" i="2"/>
  <c r="CU167" i="2"/>
  <c r="CY167" i="2"/>
  <c r="DE167" i="2"/>
  <c r="DJ167" i="2"/>
  <c r="DK167" i="2"/>
  <c r="DL167" i="2"/>
  <c r="DS167" i="2"/>
  <c r="DT167" i="2" s="1"/>
  <c r="EA167" i="2"/>
  <c r="EJ167" i="2"/>
  <c r="DA167" i="2" s="1"/>
  <c r="DB167" i="2" s="1"/>
  <c r="BR502" i="2"/>
  <c r="BT502" i="2" s="1"/>
  <c r="BU502" i="2"/>
  <c r="BX502" i="2"/>
  <c r="BZ502" i="2" s="1"/>
  <c r="CA502" i="2"/>
  <c r="CD502" i="2"/>
  <c r="CF502" i="2" s="1"/>
  <c r="CG502" i="2"/>
  <c r="CI502" i="2"/>
  <c r="CJ502" i="2" s="1"/>
  <c r="CM502" i="2"/>
  <c r="CO502" i="2"/>
  <c r="CP502" i="2" s="1"/>
  <c r="CR502" i="2" s="1"/>
  <c r="CS502" i="2"/>
  <c r="CU502" i="2"/>
  <c r="CY502" i="2"/>
  <c r="DE502" i="2"/>
  <c r="DJ502" i="2"/>
  <c r="DK502" i="2"/>
  <c r="DL502" i="2"/>
  <c r="DR502" i="2"/>
  <c r="DS502" i="2"/>
  <c r="DT502" i="2" s="1"/>
  <c r="EA502" i="2"/>
  <c r="EJ502" i="2"/>
  <c r="DA502" i="2" s="1"/>
  <c r="BR956" i="2"/>
  <c r="BT956" i="2" s="1"/>
  <c r="BU956" i="2"/>
  <c r="BX956" i="2"/>
  <c r="BZ956" i="2" s="1"/>
  <c r="CA956" i="2"/>
  <c r="CD956" i="2"/>
  <c r="CF956" i="2" s="1"/>
  <c r="CG956" i="2"/>
  <c r="CM956" i="2"/>
  <c r="CS956" i="2"/>
  <c r="CY956" i="2"/>
  <c r="DE956" i="2"/>
  <c r="DJ956" i="2"/>
  <c r="DK956" i="2"/>
  <c r="DL956" i="2"/>
  <c r="DS956" i="2"/>
  <c r="DT956" i="2" s="1"/>
  <c r="EA956" i="2"/>
  <c r="EG956" i="2"/>
  <c r="EJ956" i="2"/>
  <c r="DA956" i="2" s="1"/>
  <c r="DB956" i="2" s="1"/>
  <c r="BR965" i="2"/>
  <c r="BU965" i="2"/>
  <c r="BX965" i="2"/>
  <c r="BZ965" i="2" s="1"/>
  <c r="CA965" i="2"/>
  <c r="CD965" i="2"/>
  <c r="CF965" i="2" s="1"/>
  <c r="CG965" i="2"/>
  <c r="CM965" i="2"/>
  <c r="CS965" i="2"/>
  <c r="CY965" i="2"/>
  <c r="DE965" i="2"/>
  <c r="DJ965" i="2"/>
  <c r="DK965" i="2"/>
  <c r="DL965" i="2"/>
  <c r="DS965" i="2"/>
  <c r="DT965" i="2" s="1"/>
  <c r="EA965" i="2"/>
  <c r="EG965" i="2"/>
  <c r="CO965" i="2" s="1"/>
  <c r="EJ965" i="2"/>
  <c r="DA965" i="2" s="1"/>
  <c r="BR101" i="2"/>
  <c r="BT101" i="2" s="1"/>
  <c r="BU101" i="2"/>
  <c r="BX101" i="2"/>
  <c r="BZ101" i="2" s="1"/>
  <c r="CA101" i="2"/>
  <c r="CD101" i="2"/>
  <c r="CF101" i="2" s="1"/>
  <c r="CG101" i="2"/>
  <c r="CI101" i="2"/>
  <c r="CJ101" i="2" s="1"/>
  <c r="CM101" i="2"/>
  <c r="CO101" i="2"/>
  <c r="CP101" i="2" s="1"/>
  <c r="CR101" i="2" s="1"/>
  <c r="CS101" i="2"/>
  <c r="CU101" i="2"/>
  <c r="CV101" i="2" s="1"/>
  <c r="CX101" i="2" s="1"/>
  <c r="CY101" i="2"/>
  <c r="DE101" i="2"/>
  <c r="DJ101" i="2"/>
  <c r="DK101" i="2"/>
  <c r="DL101" i="2"/>
  <c r="DR101" i="2"/>
  <c r="DS101" i="2"/>
  <c r="DT101" i="2" s="1"/>
  <c r="EA101" i="2"/>
  <c r="EJ101" i="2"/>
  <c r="BO101" i="2" s="1"/>
  <c r="BR878" i="2"/>
  <c r="BT878" i="2" s="1"/>
  <c r="BU878" i="2"/>
  <c r="BX878" i="2"/>
  <c r="BZ878" i="2" s="1"/>
  <c r="CA878" i="2"/>
  <c r="CD878" i="2"/>
  <c r="CF878" i="2" s="1"/>
  <c r="CG878" i="2"/>
  <c r="CI878" i="2"/>
  <c r="CM878" i="2"/>
  <c r="CO878" i="2"/>
  <c r="CP878" i="2" s="1"/>
  <c r="CR878" i="2" s="1"/>
  <c r="CS878" i="2"/>
  <c r="CU878" i="2"/>
  <c r="CV878" i="2" s="1"/>
  <c r="CY878" i="2"/>
  <c r="DE878" i="2"/>
  <c r="DJ878" i="2"/>
  <c r="DK878" i="2"/>
  <c r="DL878" i="2"/>
  <c r="DR878" i="2"/>
  <c r="DS878" i="2"/>
  <c r="DT878" i="2" s="1"/>
  <c r="EA878" i="2"/>
  <c r="EJ878" i="2"/>
  <c r="DA878" i="2" s="1"/>
  <c r="DD878" i="2" s="1"/>
  <c r="BR387" i="2"/>
  <c r="BT387" i="2" s="1"/>
  <c r="BU387" i="2"/>
  <c r="BX387" i="2"/>
  <c r="CA387" i="2"/>
  <c r="CD387" i="2"/>
  <c r="CF387" i="2" s="1"/>
  <c r="CG387" i="2"/>
  <c r="CI387" i="2"/>
  <c r="CJ387" i="2" s="1"/>
  <c r="CL387" i="2" s="1"/>
  <c r="CM387" i="2"/>
  <c r="CO387" i="2"/>
  <c r="CP387" i="2" s="1"/>
  <c r="CR387" i="2" s="1"/>
  <c r="CS387" i="2"/>
  <c r="CU387" i="2"/>
  <c r="CV387" i="2" s="1"/>
  <c r="CY387" i="2"/>
  <c r="DE387" i="2"/>
  <c r="DJ387" i="2"/>
  <c r="DK387" i="2"/>
  <c r="DL387" i="2"/>
  <c r="DR387" i="2"/>
  <c r="DT387" i="2"/>
  <c r="EA387" i="2"/>
  <c r="EJ387" i="2"/>
  <c r="DA387" i="2" s="1"/>
  <c r="BR125" i="2"/>
  <c r="BT125" i="2" s="1"/>
  <c r="BU125" i="2"/>
  <c r="BX125" i="2"/>
  <c r="BZ125" i="2" s="1"/>
  <c r="CA125" i="2"/>
  <c r="CG125" i="2"/>
  <c r="CM125" i="2"/>
  <c r="CS125" i="2"/>
  <c r="CY125" i="2"/>
  <c r="DE125" i="2"/>
  <c r="DJ125" i="2"/>
  <c r="DK125" i="2"/>
  <c r="DL125" i="2"/>
  <c r="DR125" i="2"/>
  <c r="DS125" i="2"/>
  <c r="DT125" i="2" s="1"/>
  <c r="EA125" i="2"/>
  <c r="EG125" i="2"/>
  <c r="CU125" i="2" s="1"/>
  <c r="EJ125" i="2"/>
  <c r="BO125" i="2" s="1"/>
  <c r="BR225" i="2"/>
  <c r="BT225" i="2" s="1"/>
  <c r="BU225" i="2"/>
  <c r="BX225" i="2"/>
  <c r="CA225" i="2"/>
  <c r="CD225" i="2"/>
  <c r="CF225" i="2" s="1"/>
  <c r="CG225" i="2"/>
  <c r="CI225" i="2"/>
  <c r="CM225" i="2"/>
  <c r="CS225" i="2"/>
  <c r="CY225" i="2"/>
  <c r="DE225" i="2"/>
  <c r="DJ225" i="2"/>
  <c r="DK225" i="2"/>
  <c r="DL225" i="2"/>
  <c r="DR225" i="2"/>
  <c r="DS225" i="2"/>
  <c r="DT225" i="2" s="1"/>
  <c r="EA225" i="2"/>
  <c r="EG225" i="2"/>
  <c r="EJ225" i="2"/>
  <c r="BO225" i="2" s="1"/>
  <c r="BR605" i="2"/>
  <c r="BT605" i="2" s="1"/>
  <c r="BU605" i="2"/>
  <c r="BX605" i="2"/>
  <c r="BZ605" i="2" s="1"/>
  <c r="CA605" i="2"/>
  <c r="CD605" i="2"/>
  <c r="CF605" i="2" s="1"/>
  <c r="CG605" i="2"/>
  <c r="CI605" i="2"/>
  <c r="CM605" i="2"/>
  <c r="CO605" i="2"/>
  <c r="CP605" i="2" s="1"/>
  <c r="CR605" i="2" s="1"/>
  <c r="CS605" i="2"/>
  <c r="CU605" i="2"/>
  <c r="CY605" i="2"/>
  <c r="DE605" i="2"/>
  <c r="DJ605" i="2"/>
  <c r="DK605" i="2"/>
  <c r="DL605" i="2"/>
  <c r="DR605" i="2"/>
  <c r="DS605" i="2"/>
  <c r="DT605" i="2" s="1"/>
  <c r="EA605" i="2"/>
  <c r="EJ605" i="2"/>
  <c r="DA605" i="2" s="1"/>
  <c r="BR478" i="2"/>
  <c r="BT478" i="2" s="1"/>
  <c r="BU478" i="2"/>
  <c r="BX478" i="2"/>
  <c r="BZ478" i="2" s="1"/>
  <c r="CA478" i="2"/>
  <c r="CD478" i="2"/>
  <c r="CF478" i="2" s="1"/>
  <c r="CG478" i="2"/>
  <c r="CI478" i="2"/>
  <c r="CJ478" i="2" s="1"/>
  <c r="CL478" i="2" s="1"/>
  <c r="CM478" i="2"/>
  <c r="CO478" i="2"/>
  <c r="CP478" i="2" s="1"/>
  <c r="CS478" i="2"/>
  <c r="CU478" i="2"/>
  <c r="CV478" i="2" s="1"/>
  <c r="CX478" i="2" s="1"/>
  <c r="CY478" i="2"/>
  <c r="DE478" i="2"/>
  <c r="DJ478" i="2"/>
  <c r="DK478" i="2"/>
  <c r="DL478" i="2"/>
  <c r="DR478" i="2"/>
  <c r="DS478" i="2"/>
  <c r="DT478" i="2" s="1"/>
  <c r="EA478" i="2"/>
  <c r="EJ478" i="2"/>
  <c r="BR705" i="2"/>
  <c r="BT705" i="2" s="1"/>
  <c r="BU705" i="2"/>
  <c r="BX705" i="2"/>
  <c r="BZ705" i="2" s="1"/>
  <c r="CA705" i="2"/>
  <c r="CD705" i="2"/>
  <c r="CF705" i="2" s="1"/>
  <c r="CG705" i="2"/>
  <c r="CI705" i="2"/>
  <c r="CJ705" i="2" s="1"/>
  <c r="CL705" i="2" s="1"/>
  <c r="CM705" i="2"/>
  <c r="CO705" i="2"/>
  <c r="CS705" i="2"/>
  <c r="CU705" i="2"/>
  <c r="CV705" i="2" s="1"/>
  <c r="CX705" i="2" s="1"/>
  <c r="CY705" i="2"/>
  <c r="DE705" i="2"/>
  <c r="DJ705" i="2"/>
  <c r="DK705" i="2"/>
  <c r="DL705" i="2"/>
  <c r="DS705" i="2"/>
  <c r="DT705" i="2" s="1"/>
  <c r="EA705" i="2"/>
  <c r="EJ705" i="2"/>
  <c r="DA705" i="2" s="1"/>
  <c r="DD705" i="2" s="1"/>
  <c r="BR1040" i="2"/>
  <c r="BT1040" i="2" s="1"/>
  <c r="BU1040" i="2"/>
  <c r="BX1040" i="2"/>
  <c r="BZ1040" i="2" s="1"/>
  <c r="CA1040" i="2"/>
  <c r="CD1040" i="2"/>
  <c r="CF1040" i="2" s="1"/>
  <c r="CG1040" i="2"/>
  <c r="CI1040" i="2"/>
  <c r="CJ1040" i="2" s="1"/>
  <c r="CM1040" i="2"/>
  <c r="CO1040" i="2"/>
  <c r="CP1040" i="2" s="1"/>
  <c r="CR1040" i="2" s="1"/>
  <c r="CS1040" i="2"/>
  <c r="CU1040" i="2"/>
  <c r="CV1040" i="2" s="1"/>
  <c r="CX1040" i="2" s="1"/>
  <c r="CY1040" i="2"/>
  <c r="DE1040" i="2"/>
  <c r="DJ1040" i="2"/>
  <c r="DK1040" i="2"/>
  <c r="DL1040" i="2"/>
  <c r="DR1040" i="2"/>
  <c r="DS1040" i="2"/>
  <c r="DT1040" i="2" s="1"/>
  <c r="EA1040" i="2"/>
  <c r="EJ1040" i="2"/>
  <c r="DA1040" i="2" s="1"/>
  <c r="DF1040" i="2" s="1"/>
  <c r="BL379" i="2"/>
  <c r="CS379" i="2"/>
  <c r="CT379" i="2"/>
  <c r="CU379" i="2"/>
  <c r="CV379" i="2" s="1"/>
  <c r="DN379" i="2" s="1"/>
  <c r="CY379" i="2"/>
  <c r="DE379" i="2"/>
  <c r="DJ379" i="2"/>
  <c r="DK379" i="2"/>
  <c r="DL379" i="2"/>
  <c r="EJ379" i="2"/>
  <c r="BO379" i="2" s="1"/>
  <c r="IX379" i="2"/>
  <c r="BR747" i="2"/>
  <c r="BT747" i="2" s="1"/>
  <c r="BU747" i="2"/>
  <c r="BX747" i="2"/>
  <c r="BZ747" i="2" s="1"/>
  <c r="CA747" i="2"/>
  <c r="CD747" i="2"/>
  <c r="CF747" i="2" s="1"/>
  <c r="CG747" i="2"/>
  <c r="CJ747" i="2"/>
  <c r="CL747" i="2" s="1"/>
  <c r="CM747" i="2"/>
  <c r="CP747" i="2"/>
  <c r="CR747" i="2" s="1"/>
  <c r="CS747" i="2"/>
  <c r="CV747" i="2"/>
  <c r="CX747" i="2" s="1"/>
  <c r="CY747" i="2"/>
  <c r="DE747" i="2"/>
  <c r="DJ747" i="2"/>
  <c r="DK747" i="2"/>
  <c r="DL747" i="2"/>
  <c r="DR747" i="2"/>
  <c r="DS747" i="2"/>
  <c r="DT747" i="2" s="1"/>
  <c r="EA747" i="2"/>
  <c r="EG747" i="2"/>
  <c r="EJ747" i="2"/>
  <c r="BO747" i="2" s="1"/>
  <c r="BR744" i="2"/>
  <c r="BT744" i="2" s="1"/>
  <c r="BU744" i="2"/>
  <c r="BX744" i="2"/>
  <c r="BZ744" i="2" s="1"/>
  <c r="CA744" i="2"/>
  <c r="CD744" i="2"/>
  <c r="CF744" i="2" s="1"/>
  <c r="CG744" i="2"/>
  <c r="CJ744" i="2"/>
  <c r="CL744" i="2" s="1"/>
  <c r="CM744" i="2"/>
  <c r="CS744" i="2"/>
  <c r="CY744" i="2"/>
  <c r="DE744" i="2"/>
  <c r="DJ744" i="2"/>
  <c r="DK744" i="2"/>
  <c r="DL744" i="2"/>
  <c r="DR744" i="2"/>
  <c r="DS744" i="2"/>
  <c r="DT744" i="2" s="1"/>
  <c r="EA744" i="2"/>
  <c r="EG744" i="2"/>
  <c r="CO744" i="2" s="1"/>
  <c r="EJ744" i="2"/>
  <c r="DA744" i="2" s="1"/>
  <c r="BR704" i="2"/>
  <c r="BT704" i="2" s="1"/>
  <c r="BU704" i="2"/>
  <c r="BX704" i="2"/>
  <c r="BZ704" i="2" s="1"/>
  <c r="CA704" i="2"/>
  <c r="CD704" i="2"/>
  <c r="CF704" i="2" s="1"/>
  <c r="CG704" i="2"/>
  <c r="CM704" i="2"/>
  <c r="CS704" i="2"/>
  <c r="CY704" i="2"/>
  <c r="DE704" i="2"/>
  <c r="DJ704" i="2"/>
  <c r="DK704" i="2"/>
  <c r="DL704" i="2"/>
  <c r="DR704" i="2"/>
  <c r="DS704" i="2"/>
  <c r="DT704" i="2"/>
  <c r="EA704" i="2"/>
  <c r="EG704" i="2"/>
  <c r="CO704" i="2" s="1"/>
  <c r="EJ704" i="2"/>
  <c r="BR592" i="2"/>
  <c r="BT592" i="2" s="1"/>
  <c r="BU592" i="2"/>
  <c r="BX592" i="2"/>
  <c r="BZ592" i="2" s="1"/>
  <c r="CA592" i="2"/>
  <c r="CD592" i="2"/>
  <c r="CF592" i="2" s="1"/>
  <c r="CG592" i="2"/>
  <c r="CJ592" i="2"/>
  <c r="CL592" i="2" s="1"/>
  <c r="CM592" i="2"/>
  <c r="CP592" i="2"/>
  <c r="CR592" i="2" s="1"/>
  <c r="CS592" i="2"/>
  <c r="CV592" i="2"/>
  <c r="CX592" i="2" s="1"/>
  <c r="CY592" i="2"/>
  <c r="DE592" i="2"/>
  <c r="DJ592" i="2"/>
  <c r="DK592" i="2"/>
  <c r="DL592" i="2"/>
  <c r="DR592" i="2"/>
  <c r="DS592" i="2"/>
  <c r="DT592" i="2" s="1"/>
  <c r="EA592" i="2"/>
  <c r="EG592" i="2"/>
  <c r="EJ592" i="2"/>
  <c r="BO592" i="2" s="1"/>
  <c r="BJ620" i="2"/>
  <c r="BM620" i="2"/>
  <c r="BO620" i="2" s="1"/>
  <c r="BP620" i="2"/>
  <c r="BS620" i="2"/>
  <c r="BU620" i="2" s="1"/>
  <c r="BV620" i="2"/>
  <c r="BY620" i="2"/>
  <c r="CA620" i="2" s="1"/>
  <c r="CB620" i="2"/>
  <c r="CE620" i="2"/>
  <c r="CG620" i="2" s="1"/>
  <c r="CH620" i="2"/>
  <c r="CK620" i="2"/>
  <c r="CM620" i="2" s="1"/>
  <c r="CN620" i="2"/>
  <c r="CP620" i="2"/>
  <c r="CS620" i="2" s="1"/>
  <c r="CT620" i="2"/>
  <c r="CV620" i="2"/>
  <c r="DW620" i="2"/>
  <c r="BG620" i="2" s="1"/>
  <c r="BH620" i="2" s="1"/>
  <c r="BI620" i="2" s="1"/>
  <c r="BR303" i="2"/>
  <c r="BT303" i="2" s="1"/>
  <c r="BU303" i="2"/>
  <c r="BX303" i="2"/>
  <c r="BZ303" i="2" s="1"/>
  <c r="CA303" i="2"/>
  <c r="CD303" i="2"/>
  <c r="CF303" i="2" s="1"/>
  <c r="CG303" i="2"/>
  <c r="CI303" i="2"/>
  <c r="CJ303" i="2" s="1"/>
  <c r="CL303" i="2" s="1"/>
  <c r="CM303" i="2"/>
  <c r="CO303" i="2"/>
  <c r="CP303" i="2" s="1"/>
  <c r="CS303" i="2"/>
  <c r="CU303" i="2"/>
  <c r="CV303" i="2" s="1"/>
  <c r="CX303" i="2" s="1"/>
  <c r="CY303" i="2"/>
  <c r="DE303" i="2"/>
  <c r="DJ303" i="2"/>
  <c r="DK303" i="2"/>
  <c r="DL303" i="2"/>
  <c r="DS303" i="2"/>
  <c r="DT303" i="2" s="1"/>
  <c r="EA303" i="2"/>
  <c r="EJ303" i="2"/>
  <c r="DA303" i="2" s="1"/>
  <c r="BR558" i="2"/>
  <c r="BT558" i="2" s="1"/>
  <c r="BU558" i="2"/>
  <c r="BX558" i="2"/>
  <c r="BZ558" i="2" s="1"/>
  <c r="CA558" i="2"/>
  <c r="CD558" i="2"/>
  <c r="CF558" i="2" s="1"/>
  <c r="CG558" i="2"/>
  <c r="CI558" i="2"/>
  <c r="CJ558" i="2" s="1"/>
  <c r="CM558" i="2"/>
  <c r="CO558" i="2"/>
  <c r="CP558" i="2" s="1"/>
  <c r="CS558" i="2"/>
  <c r="CU558" i="2"/>
  <c r="CV558" i="2" s="1"/>
  <c r="CY558" i="2"/>
  <c r="DE558" i="2"/>
  <c r="DJ558" i="2"/>
  <c r="DK558" i="2"/>
  <c r="DL558" i="2"/>
  <c r="DS558" i="2"/>
  <c r="DT558" i="2" s="1"/>
  <c r="EA558" i="2"/>
  <c r="EJ558" i="2"/>
  <c r="BO558" i="2" s="1"/>
  <c r="BR625" i="2"/>
  <c r="BT625" i="2" s="1"/>
  <c r="BU625" i="2"/>
  <c r="BX625" i="2"/>
  <c r="BZ625" i="2" s="1"/>
  <c r="CA625" i="2"/>
  <c r="CD625" i="2"/>
  <c r="CF625" i="2" s="1"/>
  <c r="CG625" i="2"/>
  <c r="CI625" i="2"/>
  <c r="CJ625" i="2" s="1"/>
  <c r="CM625" i="2"/>
  <c r="CO625" i="2"/>
  <c r="CP625" i="2" s="1"/>
  <c r="CS625" i="2"/>
  <c r="CU625" i="2"/>
  <c r="CV625" i="2" s="1"/>
  <c r="CY625" i="2"/>
  <c r="DE625" i="2"/>
  <c r="DJ625" i="2"/>
  <c r="DK625" i="2"/>
  <c r="DL625" i="2"/>
  <c r="DS625" i="2"/>
  <c r="DT625" i="2" s="1"/>
  <c r="EA625" i="2"/>
  <c r="EJ625" i="2"/>
  <c r="BO625" i="2" s="1"/>
  <c r="BR1043" i="2"/>
  <c r="BT1043" i="2" s="1"/>
  <c r="BU1043" i="2"/>
  <c r="BX1043" i="2"/>
  <c r="BZ1043" i="2" s="1"/>
  <c r="CA1043" i="2"/>
  <c r="CD1043" i="2"/>
  <c r="CG1043" i="2"/>
  <c r="CI1043" i="2"/>
  <c r="CJ1043" i="2" s="1"/>
  <c r="CL1043" i="2" s="1"/>
  <c r="CM1043" i="2"/>
  <c r="CO1043" i="2"/>
  <c r="CS1043" i="2"/>
  <c r="CU1043" i="2"/>
  <c r="CV1043" i="2" s="1"/>
  <c r="CY1043" i="2"/>
  <c r="DE1043" i="2"/>
  <c r="DJ1043" i="2"/>
  <c r="DK1043" i="2"/>
  <c r="DL1043" i="2"/>
  <c r="DS1043" i="2"/>
  <c r="DT1043" i="2" s="1"/>
  <c r="EA1043" i="2"/>
  <c r="EJ1043" i="2"/>
  <c r="DA1043" i="2" s="1"/>
  <c r="BR962" i="2"/>
  <c r="BT962" i="2" s="1"/>
  <c r="BU962" i="2"/>
  <c r="BX962" i="2"/>
  <c r="BZ962" i="2" s="1"/>
  <c r="CA962" i="2"/>
  <c r="CD962" i="2"/>
  <c r="CF962" i="2" s="1"/>
  <c r="CG962" i="2"/>
  <c r="CI962" i="2"/>
  <c r="CJ962" i="2" s="1"/>
  <c r="CL962" i="2" s="1"/>
  <c r="CM962" i="2"/>
  <c r="CO962" i="2"/>
  <c r="CP962" i="2" s="1"/>
  <c r="CS962" i="2"/>
  <c r="CU962" i="2"/>
  <c r="CV962" i="2" s="1"/>
  <c r="CY962" i="2"/>
  <c r="DE962" i="2"/>
  <c r="DJ962" i="2"/>
  <c r="DK962" i="2"/>
  <c r="DL962" i="2"/>
  <c r="DS962" i="2"/>
  <c r="DT962" i="2" s="1"/>
  <c r="EA962" i="2"/>
  <c r="EJ962" i="2"/>
  <c r="DA962" i="2" s="1"/>
  <c r="BR1021" i="2"/>
  <c r="BT1021" i="2" s="1"/>
  <c r="BU1021" i="2"/>
  <c r="BX1021" i="2"/>
  <c r="BZ1021" i="2" s="1"/>
  <c r="CA1021" i="2"/>
  <c r="CD1021" i="2"/>
  <c r="CF1021" i="2" s="1"/>
  <c r="CG1021" i="2"/>
  <c r="CI1021" i="2"/>
  <c r="CM1021" i="2"/>
  <c r="CO1021" i="2"/>
  <c r="CP1021" i="2" s="1"/>
  <c r="CR1021" i="2" s="1"/>
  <c r="CS1021" i="2"/>
  <c r="CU1021" i="2"/>
  <c r="CV1021" i="2" s="1"/>
  <c r="CY1021" i="2"/>
  <c r="DE1021" i="2"/>
  <c r="DJ1021" i="2"/>
  <c r="DK1021" i="2"/>
  <c r="DL1021" i="2"/>
  <c r="DS1021" i="2"/>
  <c r="DT1021" i="2" s="1"/>
  <c r="EA1021" i="2"/>
  <c r="EJ1021" i="2"/>
  <c r="DA1021" i="2" s="1"/>
  <c r="DF1021" i="2" s="1"/>
  <c r="BR686" i="2"/>
  <c r="BT686" i="2" s="1"/>
  <c r="BU686" i="2"/>
  <c r="BX686" i="2"/>
  <c r="BZ686" i="2" s="1"/>
  <c r="CA686" i="2"/>
  <c r="CD686" i="2"/>
  <c r="CF686" i="2" s="1"/>
  <c r="CG686" i="2"/>
  <c r="CI686" i="2"/>
  <c r="CJ686" i="2" s="1"/>
  <c r="CL686" i="2" s="1"/>
  <c r="CM686" i="2"/>
  <c r="CO686" i="2"/>
  <c r="CP686" i="2" s="1"/>
  <c r="CR686" i="2" s="1"/>
  <c r="CS686" i="2"/>
  <c r="CU686" i="2"/>
  <c r="CV686" i="2" s="1"/>
  <c r="CY686" i="2"/>
  <c r="DE686" i="2"/>
  <c r="DJ686" i="2"/>
  <c r="DK686" i="2"/>
  <c r="DL686" i="2"/>
  <c r="DS686" i="2"/>
  <c r="DT686" i="2" s="1"/>
  <c r="EA686" i="2"/>
  <c r="EJ686" i="2"/>
  <c r="DA686" i="2" s="1"/>
  <c r="BR371" i="2"/>
  <c r="BT371" i="2" s="1"/>
  <c r="BU371" i="2"/>
  <c r="BX371" i="2"/>
  <c r="BZ371" i="2" s="1"/>
  <c r="CA371" i="2"/>
  <c r="CD371" i="2"/>
  <c r="CF371" i="2" s="1"/>
  <c r="CG371" i="2"/>
  <c r="CI371" i="2"/>
  <c r="CM371" i="2"/>
  <c r="CO371" i="2"/>
  <c r="CP371" i="2" s="1"/>
  <c r="CR371" i="2" s="1"/>
  <c r="CS371" i="2"/>
  <c r="CU371" i="2"/>
  <c r="CY371" i="2"/>
  <c r="DE371" i="2"/>
  <c r="DJ371" i="2"/>
  <c r="DK371" i="2"/>
  <c r="DL371" i="2"/>
  <c r="DS371" i="2"/>
  <c r="DT371" i="2" s="1"/>
  <c r="EA371" i="2"/>
  <c r="EJ371" i="2"/>
  <c r="DA371" i="2" s="1"/>
  <c r="BR622" i="2"/>
  <c r="BT622" i="2" s="1"/>
  <c r="BU622" i="2"/>
  <c r="BX622" i="2"/>
  <c r="BZ622" i="2" s="1"/>
  <c r="CA622" i="2"/>
  <c r="CD622" i="2"/>
  <c r="CF622" i="2" s="1"/>
  <c r="CG622" i="2"/>
  <c r="CI622" i="2"/>
  <c r="CJ622" i="2" s="1"/>
  <c r="CL622" i="2" s="1"/>
  <c r="CM622" i="2"/>
  <c r="CO622" i="2"/>
  <c r="CP622" i="2" s="1"/>
  <c r="CR622" i="2" s="1"/>
  <c r="CS622" i="2"/>
  <c r="CU622" i="2"/>
  <c r="CV622" i="2" s="1"/>
  <c r="CY622" i="2"/>
  <c r="DE622" i="2"/>
  <c r="DJ622" i="2"/>
  <c r="DK622" i="2"/>
  <c r="DL622" i="2"/>
  <c r="DS622" i="2"/>
  <c r="DT622" i="2" s="1"/>
  <c r="EA622" i="2"/>
  <c r="EJ622" i="2"/>
  <c r="BO622" i="2" s="1"/>
  <c r="BR827" i="2"/>
  <c r="BT827" i="2" s="1"/>
  <c r="BU827" i="2"/>
  <c r="BX827" i="2"/>
  <c r="BZ827" i="2" s="1"/>
  <c r="CA827" i="2"/>
  <c r="CD827" i="2"/>
  <c r="CF827" i="2" s="1"/>
  <c r="CG827" i="2"/>
  <c r="CI827" i="2"/>
  <c r="CJ827" i="2" s="1"/>
  <c r="CL827" i="2" s="1"/>
  <c r="CM827" i="2"/>
  <c r="CO827" i="2"/>
  <c r="CP827" i="2" s="1"/>
  <c r="CR827" i="2" s="1"/>
  <c r="CS827" i="2"/>
  <c r="CU827" i="2"/>
  <c r="CY827" i="2"/>
  <c r="DE827" i="2"/>
  <c r="DJ827" i="2"/>
  <c r="DK827" i="2"/>
  <c r="DL827" i="2"/>
  <c r="DS827" i="2"/>
  <c r="DT827" i="2" s="1"/>
  <c r="EA827" i="2"/>
  <c r="EJ827" i="2"/>
  <c r="BO827" i="2" s="1"/>
  <c r="BR1019" i="2"/>
  <c r="BT1019" i="2" s="1"/>
  <c r="BU1019" i="2"/>
  <c r="BX1019" i="2"/>
  <c r="BZ1019" i="2" s="1"/>
  <c r="CA1019" i="2"/>
  <c r="CD1019" i="2"/>
  <c r="CF1019" i="2" s="1"/>
  <c r="CG1019" i="2"/>
  <c r="CI1019" i="2"/>
  <c r="CJ1019" i="2" s="1"/>
  <c r="CL1019" i="2" s="1"/>
  <c r="CM1019" i="2"/>
  <c r="CO1019" i="2"/>
  <c r="CS1019" i="2"/>
  <c r="CU1019" i="2"/>
  <c r="CV1019" i="2" s="1"/>
  <c r="CY1019" i="2"/>
  <c r="DE1019" i="2"/>
  <c r="DJ1019" i="2"/>
  <c r="DK1019" i="2"/>
  <c r="DL1019" i="2"/>
  <c r="DS1019" i="2"/>
  <c r="DT1019" i="2" s="1"/>
  <c r="EA1019" i="2"/>
  <c r="EJ1019" i="2"/>
  <c r="BR16" i="2"/>
  <c r="BT16" i="2" s="1"/>
  <c r="BU16" i="2"/>
  <c r="BX16" i="2"/>
  <c r="BZ16" i="2" s="1"/>
  <c r="CA16" i="2"/>
  <c r="CD16" i="2"/>
  <c r="CF16" i="2" s="1"/>
  <c r="CG16" i="2"/>
  <c r="CI16" i="2"/>
  <c r="CM16" i="2"/>
  <c r="CO16" i="2"/>
  <c r="CP16" i="2" s="1"/>
  <c r="CR16" i="2" s="1"/>
  <c r="CS16" i="2"/>
  <c r="CU16" i="2"/>
  <c r="CV16" i="2" s="1"/>
  <c r="CX16" i="2" s="1"/>
  <c r="CY16" i="2"/>
  <c r="DE16" i="2"/>
  <c r="DJ16" i="2"/>
  <c r="DK16" i="2"/>
  <c r="DL16" i="2"/>
  <c r="DS16" i="2"/>
  <c r="DT16" i="2" s="1"/>
  <c r="EA16" i="2"/>
  <c r="EJ16" i="2"/>
  <c r="DA16" i="2" s="1"/>
  <c r="DF16" i="2" s="1"/>
  <c r="BR383" i="2"/>
  <c r="BT383" i="2" s="1"/>
  <c r="BU383" i="2"/>
  <c r="BX383" i="2"/>
  <c r="BZ383" i="2" s="1"/>
  <c r="CA383" i="2"/>
  <c r="CG383" i="2"/>
  <c r="CM383" i="2"/>
  <c r="CS383" i="2"/>
  <c r="CY383" i="2"/>
  <c r="DE383" i="2"/>
  <c r="DJ383" i="2"/>
  <c r="DK383" i="2"/>
  <c r="DL383" i="2"/>
  <c r="DS383" i="2"/>
  <c r="DT383" i="2" s="1"/>
  <c r="EA383" i="2"/>
  <c r="EG383" i="2"/>
  <c r="CC383" i="2" s="1"/>
  <c r="EJ383" i="2"/>
  <c r="BO383" i="2" s="1"/>
  <c r="BR257" i="2"/>
  <c r="BT257" i="2" s="1"/>
  <c r="BU257" i="2"/>
  <c r="BX257" i="2"/>
  <c r="BZ257" i="2" s="1"/>
  <c r="CA257" i="2"/>
  <c r="CD257" i="2"/>
  <c r="CF257" i="2" s="1"/>
  <c r="CG257" i="2"/>
  <c r="CI257" i="2"/>
  <c r="CM257" i="2"/>
  <c r="CO257" i="2"/>
  <c r="CP257" i="2" s="1"/>
  <c r="CS257" i="2"/>
  <c r="CU257" i="2"/>
  <c r="CV257" i="2" s="1"/>
  <c r="CX257" i="2" s="1"/>
  <c r="CY257" i="2"/>
  <c r="DE257" i="2"/>
  <c r="DJ257" i="2"/>
  <c r="DK257" i="2"/>
  <c r="DL257" i="2"/>
  <c r="DS257" i="2"/>
  <c r="DT257" i="2" s="1"/>
  <c r="EA257" i="2"/>
  <c r="EJ257" i="2"/>
  <c r="BO257" i="2" s="1"/>
  <c r="BR985" i="2"/>
  <c r="BT985" i="2" s="1"/>
  <c r="BU985" i="2"/>
  <c r="BX985" i="2"/>
  <c r="BZ985" i="2" s="1"/>
  <c r="CA985" i="2"/>
  <c r="CD985" i="2"/>
  <c r="CF985" i="2" s="1"/>
  <c r="CG985" i="2"/>
  <c r="CI985" i="2"/>
  <c r="CJ985" i="2" s="1"/>
  <c r="CM985" i="2"/>
  <c r="CO985" i="2"/>
  <c r="CP985" i="2" s="1"/>
  <c r="CS985" i="2"/>
  <c r="CU985" i="2"/>
  <c r="CV985" i="2" s="1"/>
  <c r="CX985" i="2" s="1"/>
  <c r="CY985" i="2"/>
  <c r="DE985" i="2"/>
  <c r="DJ985" i="2"/>
  <c r="DK985" i="2"/>
  <c r="DL985" i="2"/>
  <c r="DS985" i="2"/>
  <c r="DT985" i="2" s="1"/>
  <c r="EA985" i="2"/>
  <c r="EJ985" i="2"/>
  <c r="DA985" i="2" s="1"/>
  <c r="BR553" i="2"/>
  <c r="BT553" i="2" s="1"/>
  <c r="BU553" i="2"/>
  <c r="BX553" i="2"/>
  <c r="BZ553" i="2" s="1"/>
  <c r="CA553" i="2"/>
  <c r="CD553" i="2"/>
  <c r="CF553" i="2" s="1"/>
  <c r="CG553" i="2"/>
  <c r="CI553" i="2"/>
  <c r="CM553" i="2"/>
  <c r="CO553" i="2"/>
  <c r="CP553" i="2" s="1"/>
  <c r="CS553" i="2"/>
  <c r="CU553" i="2"/>
  <c r="CY553" i="2"/>
  <c r="DE553" i="2"/>
  <c r="DJ553" i="2"/>
  <c r="DK553" i="2"/>
  <c r="DL553" i="2"/>
  <c r="DS553" i="2"/>
  <c r="DT553" i="2" s="1"/>
  <c r="EA553" i="2"/>
  <c r="EJ553" i="2"/>
  <c r="DA553" i="2" s="1"/>
  <c r="DF553" i="2" s="1"/>
  <c r="BR342" i="2"/>
  <c r="BT342" i="2" s="1"/>
  <c r="BU342" i="2"/>
  <c r="BX342" i="2"/>
  <c r="BZ342" i="2" s="1"/>
  <c r="CA342" i="2"/>
  <c r="CD342" i="2"/>
  <c r="CF342" i="2" s="1"/>
  <c r="CG342" i="2"/>
  <c r="CI342" i="2"/>
  <c r="CM342" i="2"/>
  <c r="CO342" i="2"/>
  <c r="CP342" i="2" s="1"/>
  <c r="CR342" i="2" s="1"/>
  <c r="CS342" i="2"/>
  <c r="CU342" i="2"/>
  <c r="CV342" i="2" s="1"/>
  <c r="CX342" i="2" s="1"/>
  <c r="CY342" i="2"/>
  <c r="DG342" i="2"/>
  <c r="DH342" i="2" s="1"/>
  <c r="DO342" i="2"/>
  <c r="DX342" i="2"/>
  <c r="BO342" i="2" s="1"/>
  <c r="BR970" i="2"/>
  <c r="BT970" i="2" s="1"/>
  <c r="BU970" i="2"/>
  <c r="BX970" i="2"/>
  <c r="BZ970" i="2" s="1"/>
  <c r="CA970" i="2"/>
  <c r="CD970" i="2"/>
  <c r="CF970" i="2" s="1"/>
  <c r="CG970" i="2"/>
  <c r="CI970" i="2"/>
  <c r="CM970" i="2"/>
  <c r="CO970" i="2"/>
  <c r="CP970" i="2" s="1"/>
  <c r="CS970" i="2"/>
  <c r="CU970" i="2"/>
  <c r="CV970" i="2" s="1"/>
  <c r="CX970" i="2" s="1"/>
  <c r="CY970" i="2"/>
  <c r="DG970" i="2"/>
  <c r="DH970" i="2" s="1"/>
  <c r="DO970" i="2"/>
  <c r="DX970" i="2"/>
  <c r="BO970" i="2" s="1"/>
  <c r="BR912" i="2"/>
  <c r="BT912" i="2" s="1"/>
  <c r="BU912" i="2"/>
  <c r="BX912" i="2"/>
  <c r="BZ912" i="2" s="1"/>
  <c r="CA912" i="2"/>
  <c r="CD912" i="2"/>
  <c r="CF912" i="2" s="1"/>
  <c r="CG912" i="2"/>
  <c r="CI912" i="2"/>
  <c r="CM912" i="2"/>
  <c r="CO912" i="2"/>
  <c r="CP912" i="2" s="1"/>
  <c r="CR912" i="2" s="1"/>
  <c r="CS912" i="2"/>
  <c r="CU912" i="2"/>
  <c r="CV912" i="2" s="1"/>
  <c r="CY912" i="2"/>
  <c r="DG912" i="2"/>
  <c r="DH912" i="2" s="1"/>
  <c r="DO912" i="2"/>
  <c r="DX912" i="2"/>
  <c r="BO912" i="2" s="1"/>
  <c r="BR414" i="2"/>
  <c r="BT414" i="2" s="1"/>
  <c r="BU414" i="2"/>
  <c r="BX414" i="2"/>
  <c r="BZ414" i="2" s="1"/>
  <c r="CA414" i="2"/>
  <c r="CD414" i="2"/>
  <c r="CF414" i="2" s="1"/>
  <c r="CG414" i="2"/>
  <c r="CI414" i="2"/>
  <c r="CM414" i="2"/>
  <c r="CO414" i="2"/>
  <c r="CP414" i="2" s="1"/>
  <c r="CR414" i="2" s="1"/>
  <c r="CS414" i="2"/>
  <c r="CU414" i="2"/>
  <c r="CV414" i="2" s="1"/>
  <c r="CY414" i="2"/>
  <c r="DG414" i="2"/>
  <c r="DH414" i="2" s="1"/>
  <c r="DO414" i="2"/>
  <c r="DX414" i="2"/>
  <c r="BO414" i="2" s="1"/>
  <c r="BR330" i="2"/>
  <c r="BU330" i="2"/>
  <c r="BX330" i="2"/>
  <c r="BZ330" i="2" s="1"/>
  <c r="CA330" i="2"/>
  <c r="CD330" i="2"/>
  <c r="CF330" i="2" s="1"/>
  <c r="CG330" i="2"/>
  <c r="CI330" i="2"/>
  <c r="CJ330" i="2" s="1"/>
  <c r="CM330" i="2"/>
  <c r="CO330" i="2"/>
  <c r="CP330" i="2" s="1"/>
  <c r="CR330" i="2" s="1"/>
  <c r="CS330" i="2"/>
  <c r="CU330" i="2"/>
  <c r="CV330" i="2" s="1"/>
  <c r="CY330" i="2"/>
  <c r="DF330" i="2"/>
  <c r="DG330" i="2"/>
  <c r="DH330" i="2" s="1"/>
  <c r="DO330" i="2"/>
  <c r="DX330" i="2"/>
  <c r="BO330" i="2" s="1"/>
  <c r="BR598" i="2"/>
  <c r="BU598" i="2"/>
  <c r="BX598" i="2"/>
  <c r="BZ598" i="2" s="1"/>
  <c r="CA598" i="2"/>
  <c r="CD598" i="2"/>
  <c r="CF598" i="2" s="1"/>
  <c r="CG598" i="2"/>
  <c r="CI598" i="2"/>
  <c r="CJ598" i="2" s="1"/>
  <c r="CL598" i="2" s="1"/>
  <c r="CM598" i="2"/>
  <c r="CO598" i="2"/>
  <c r="CP598" i="2" s="1"/>
  <c r="CS598" i="2"/>
  <c r="CU598" i="2"/>
  <c r="CV598" i="2" s="1"/>
  <c r="CY598" i="2"/>
  <c r="DG598" i="2"/>
  <c r="DH598" i="2" s="1"/>
  <c r="DO598" i="2"/>
  <c r="DX598" i="2"/>
  <c r="BO598" i="2" s="1"/>
  <c r="BR601" i="2"/>
  <c r="BT601" i="2" s="1"/>
  <c r="BU601" i="2"/>
  <c r="BX601" i="2"/>
  <c r="CA601" i="2"/>
  <c r="CD601" i="2"/>
  <c r="CF601" i="2" s="1"/>
  <c r="CG601" i="2"/>
  <c r="CI601" i="2"/>
  <c r="CM601" i="2"/>
  <c r="CO601" i="2"/>
  <c r="CS601" i="2"/>
  <c r="CU601" i="2"/>
  <c r="CV601" i="2" s="1"/>
  <c r="CX601" i="2" s="1"/>
  <c r="CY601" i="2"/>
  <c r="DG601" i="2"/>
  <c r="DH601" i="2" s="1"/>
  <c r="DO601" i="2"/>
  <c r="DX601" i="2"/>
  <c r="BO601" i="2" s="1"/>
  <c r="BR295" i="2"/>
  <c r="BT295" i="2" s="1"/>
  <c r="BU295" i="2"/>
  <c r="BX295" i="2"/>
  <c r="BZ295" i="2" s="1"/>
  <c r="CA295" i="2"/>
  <c r="CD295" i="2"/>
  <c r="CF295" i="2" s="1"/>
  <c r="CG295" i="2"/>
  <c r="CI295" i="2"/>
  <c r="CJ295" i="2" s="1"/>
  <c r="CL295" i="2" s="1"/>
  <c r="CM295" i="2"/>
  <c r="CO295" i="2"/>
  <c r="CP295" i="2" s="1"/>
  <c r="CR295" i="2" s="1"/>
  <c r="CS295" i="2"/>
  <c r="CU295" i="2"/>
  <c r="CV295" i="2" s="1"/>
  <c r="CX295" i="2" s="1"/>
  <c r="CY295" i="2"/>
  <c r="DF295" i="2"/>
  <c r="DG295" i="2"/>
  <c r="DH295" i="2" s="1"/>
  <c r="DO295" i="2"/>
  <c r="DX295" i="2"/>
  <c r="BO295" i="2" s="1"/>
  <c r="BR467" i="2"/>
  <c r="BT467" i="2" s="1"/>
  <c r="BU467" i="2"/>
  <c r="BX467" i="2"/>
  <c r="BZ467" i="2" s="1"/>
  <c r="CA467" i="2"/>
  <c r="CD467" i="2"/>
  <c r="CF467" i="2" s="1"/>
  <c r="CG467" i="2"/>
  <c r="CI467" i="2"/>
  <c r="CM467" i="2"/>
  <c r="CO467" i="2"/>
  <c r="CP467" i="2" s="1"/>
  <c r="CS467" i="2"/>
  <c r="CU467" i="2"/>
  <c r="CV467" i="2" s="1"/>
  <c r="CX467" i="2" s="1"/>
  <c r="CY467" i="2"/>
  <c r="DG467" i="2"/>
  <c r="DH467" i="2" s="1"/>
  <c r="DO467" i="2"/>
  <c r="DX467" i="2"/>
  <c r="BO467" i="2" s="1"/>
  <c r="BR997" i="2"/>
  <c r="BT997" i="2" s="1"/>
  <c r="BU997" i="2"/>
  <c r="BX997" i="2"/>
  <c r="BZ997" i="2" s="1"/>
  <c r="CA997" i="2"/>
  <c r="CD997" i="2"/>
  <c r="CF997" i="2" s="1"/>
  <c r="CG997" i="2"/>
  <c r="CI997" i="2"/>
  <c r="CJ997" i="2" s="1"/>
  <c r="CL997" i="2" s="1"/>
  <c r="CM997" i="2"/>
  <c r="CO997" i="2"/>
  <c r="CP997" i="2" s="1"/>
  <c r="CS997" i="2"/>
  <c r="CU997" i="2"/>
  <c r="CY997" i="2"/>
  <c r="DG997" i="2"/>
  <c r="DH997" i="2" s="1"/>
  <c r="DO997" i="2"/>
  <c r="DX997" i="2"/>
  <c r="BO997" i="2" s="1"/>
  <c r="BR206" i="2"/>
  <c r="BT206" i="2" s="1"/>
  <c r="BU206" i="2"/>
  <c r="BX206" i="2"/>
  <c r="BZ206" i="2" s="1"/>
  <c r="CA206" i="2"/>
  <c r="CD206" i="2"/>
  <c r="CF206" i="2" s="1"/>
  <c r="CG206" i="2"/>
  <c r="CI206" i="2"/>
  <c r="CM206" i="2"/>
  <c r="CO206" i="2"/>
  <c r="CP206" i="2" s="1"/>
  <c r="CS206" i="2"/>
  <c r="CU206" i="2"/>
  <c r="CY206" i="2"/>
  <c r="DF206" i="2"/>
  <c r="DG206" i="2"/>
  <c r="DH206" i="2" s="1"/>
  <c r="DO206" i="2"/>
  <c r="DX206" i="2"/>
  <c r="BO206" i="2" s="1"/>
  <c r="BR242" i="2"/>
  <c r="BT242" i="2" s="1"/>
  <c r="BU242" i="2"/>
  <c r="CA242" i="2"/>
  <c r="CG242" i="2"/>
  <c r="CM242" i="2"/>
  <c r="CS242" i="2"/>
  <c r="CY242" i="2"/>
  <c r="DF242" i="2"/>
  <c r="DG242" i="2"/>
  <c r="DH242" i="2" s="1"/>
  <c r="DO242" i="2"/>
  <c r="DR242" i="2"/>
  <c r="DS242" i="2"/>
  <c r="DU242" i="2" s="1"/>
  <c r="DV242" i="2"/>
  <c r="DX242" i="2" s="1"/>
  <c r="BO242" i="2" s="1"/>
  <c r="BR1008" i="2"/>
  <c r="BT1008" i="2" s="1"/>
  <c r="BU1008" i="2"/>
  <c r="BX1008" i="2"/>
  <c r="BZ1008" i="2" s="1"/>
  <c r="CA1008" i="2"/>
  <c r="CG1008" i="2"/>
  <c r="CM1008" i="2"/>
  <c r="CS1008" i="2"/>
  <c r="CY1008" i="2"/>
  <c r="DF1008" i="2"/>
  <c r="DG1008" i="2"/>
  <c r="DH1008" i="2" s="1"/>
  <c r="DO1008" i="2"/>
  <c r="DU1008" i="2"/>
  <c r="CI1008" i="2" s="1"/>
  <c r="CJ1008" i="2" s="1"/>
  <c r="DX1008" i="2"/>
  <c r="BO1008" i="2" s="1"/>
  <c r="BR425" i="2"/>
  <c r="BT425" i="2" s="1"/>
  <c r="BU425" i="2"/>
  <c r="BX425" i="2"/>
  <c r="BZ425" i="2" s="1"/>
  <c r="CA425" i="2"/>
  <c r="CG425" i="2"/>
  <c r="CM425" i="2"/>
  <c r="CS425" i="2"/>
  <c r="CY425" i="2"/>
  <c r="DF425" i="2"/>
  <c r="DG425" i="2"/>
  <c r="DO425" i="2"/>
  <c r="DU425" i="2"/>
  <c r="CU425" i="2" s="1"/>
  <c r="CV425" i="2" s="1"/>
  <c r="DX425" i="2"/>
  <c r="BO425" i="2" s="1"/>
  <c r="BR507" i="2"/>
  <c r="BT507" i="2" s="1"/>
  <c r="BU507" i="2"/>
  <c r="BX507" i="2"/>
  <c r="BZ507" i="2" s="1"/>
  <c r="CA507" i="2"/>
  <c r="CG507" i="2"/>
  <c r="CM507" i="2"/>
  <c r="CS507" i="2"/>
  <c r="CY507" i="2"/>
  <c r="DF507" i="2"/>
  <c r="DG507" i="2"/>
  <c r="DH507" i="2" s="1"/>
  <c r="DO507" i="2"/>
  <c r="DU507" i="2"/>
  <c r="DX507" i="2"/>
  <c r="BO507" i="2" s="1"/>
  <c r="BR218" i="2"/>
  <c r="BT218" i="2" s="1"/>
  <c r="BU218" i="2"/>
  <c r="BX218" i="2"/>
  <c r="BZ218" i="2" s="1"/>
  <c r="CA218" i="2"/>
  <c r="CD218" i="2"/>
  <c r="CF218" i="2" s="1"/>
  <c r="CG218" i="2"/>
  <c r="CI218" i="2"/>
  <c r="CM218" i="2"/>
  <c r="CO218" i="2"/>
  <c r="CP218" i="2" s="1"/>
  <c r="CS218" i="2"/>
  <c r="CU218" i="2"/>
  <c r="CV218" i="2" s="1"/>
  <c r="CX218" i="2" s="1"/>
  <c r="CY218" i="2"/>
  <c r="DG218" i="2"/>
  <c r="DH218" i="2" s="1"/>
  <c r="DO218" i="2"/>
  <c r="DX218" i="2"/>
  <c r="BO218" i="2" s="1"/>
  <c r="BR405" i="2"/>
  <c r="BT405" i="2" s="1"/>
  <c r="BU405" i="2"/>
  <c r="BX405" i="2"/>
  <c r="BZ405" i="2" s="1"/>
  <c r="CA405" i="2"/>
  <c r="CD405" i="2"/>
  <c r="CF405" i="2" s="1"/>
  <c r="CG405" i="2"/>
  <c r="CI405" i="2"/>
  <c r="CJ405" i="2" s="1"/>
  <c r="CL405" i="2" s="1"/>
  <c r="CM405" i="2"/>
  <c r="CO405" i="2"/>
  <c r="CP405" i="2" s="1"/>
  <c r="CS405" i="2"/>
  <c r="CU405" i="2"/>
  <c r="CV405" i="2" s="1"/>
  <c r="CX405" i="2" s="1"/>
  <c r="CY405" i="2"/>
  <c r="DG405" i="2"/>
  <c r="DH405" i="2" s="1"/>
  <c r="DO405" i="2"/>
  <c r="DX405" i="2"/>
  <c r="BO405" i="2" s="1"/>
  <c r="BR495" i="2"/>
  <c r="BT495" i="2" s="1"/>
  <c r="BU495" i="2"/>
  <c r="BX495" i="2"/>
  <c r="BZ495" i="2" s="1"/>
  <c r="CA495" i="2"/>
  <c r="CD495" i="2"/>
  <c r="CF495" i="2" s="1"/>
  <c r="CG495" i="2"/>
  <c r="CI495" i="2"/>
  <c r="CJ495" i="2" s="1"/>
  <c r="CM495" i="2"/>
  <c r="CS495" i="2"/>
  <c r="CY495" i="2"/>
  <c r="DG495" i="2"/>
  <c r="DH495" i="2" s="1"/>
  <c r="DO495" i="2"/>
  <c r="DU495" i="2"/>
  <c r="DX495" i="2"/>
  <c r="BO495" i="2" s="1"/>
  <c r="BR702" i="2"/>
  <c r="BU702" i="2"/>
  <c r="BX702" i="2"/>
  <c r="BZ702" i="2" s="1"/>
  <c r="CA702" i="2"/>
  <c r="CD702" i="2"/>
  <c r="CF702" i="2" s="1"/>
  <c r="CG702" i="2"/>
  <c r="CI702" i="2"/>
  <c r="CJ702" i="2" s="1"/>
  <c r="CM702" i="2"/>
  <c r="CO702" i="2"/>
  <c r="CP702" i="2" s="1"/>
  <c r="CS702" i="2"/>
  <c r="CU702" i="2"/>
  <c r="CV702" i="2" s="1"/>
  <c r="CX702" i="2" s="1"/>
  <c r="CY702" i="2"/>
  <c r="DG702" i="2"/>
  <c r="DH702" i="2" s="1"/>
  <c r="DO702" i="2"/>
  <c r="DX702" i="2"/>
  <c r="BO702" i="2" s="1"/>
  <c r="BR454" i="2"/>
  <c r="BT454" i="2" s="1"/>
  <c r="BU454" i="2"/>
  <c r="BX454" i="2"/>
  <c r="BZ454" i="2" s="1"/>
  <c r="CA454" i="2"/>
  <c r="CG454" i="2"/>
  <c r="CM454" i="2"/>
  <c r="CS454" i="2"/>
  <c r="CY454" i="2"/>
  <c r="DG454" i="2"/>
  <c r="DH454" i="2" s="1"/>
  <c r="DO454" i="2"/>
  <c r="DU454" i="2"/>
  <c r="CO454" i="2" s="1"/>
  <c r="CP454" i="2" s="1"/>
  <c r="DX454" i="2"/>
  <c r="BO454" i="2" s="1"/>
  <c r="BR253" i="2"/>
  <c r="BT253" i="2" s="1"/>
  <c r="BU253" i="2"/>
  <c r="BX253" i="2"/>
  <c r="BZ253" i="2" s="1"/>
  <c r="CA253" i="2"/>
  <c r="CD253" i="2"/>
  <c r="CF253" i="2" s="1"/>
  <c r="CG253" i="2"/>
  <c r="CI253" i="2"/>
  <c r="CM253" i="2"/>
  <c r="CO253" i="2"/>
  <c r="CS253" i="2"/>
  <c r="CU253" i="2"/>
  <c r="CV253" i="2" s="1"/>
  <c r="CY253" i="2"/>
  <c r="DG253" i="2"/>
  <c r="DH253" i="2" s="1"/>
  <c r="DO253" i="2"/>
  <c r="DX253" i="2"/>
  <c r="BO253" i="2" s="1"/>
  <c r="BR599" i="2"/>
  <c r="BT599" i="2" s="1"/>
  <c r="BU599" i="2"/>
  <c r="BX599" i="2"/>
  <c r="BZ599" i="2" s="1"/>
  <c r="CA599" i="2"/>
  <c r="CD599" i="2"/>
  <c r="CF599" i="2" s="1"/>
  <c r="CG599" i="2"/>
  <c r="CJ599" i="2"/>
  <c r="CL599" i="2" s="1"/>
  <c r="CM599" i="2"/>
  <c r="CP599" i="2"/>
  <c r="CR599" i="2" s="1"/>
  <c r="CS599" i="2"/>
  <c r="CV599" i="2"/>
  <c r="CX599" i="2" s="1"/>
  <c r="CY599" i="2"/>
  <c r="DA599" i="2"/>
  <c r="DF599" i="2"/>
  <c r="DG599" i="2"/>
  <c r="DH599" i="2" s="1"/>
  <c r="DO599" i="2"/>
  <c r="DU599" i="2"/>
  <c r="DX599" i="2"/>
  <c r="BO599" i="2" s="1"/>
  <c r="BR56" i="2"/>
  <c r="BT56" i="2" s="1"/>
  <c r="BU56" i="2"/>
  <c r="BX56" i="2"/>
  <c r="BZ56" i="2" s="1"/>
  <c r="CA56" i="2"/>
  <c r="CD56" i="2"/>
  <c r="CF56" i="2" s="1"/>
  <c r="CG56" i="2"/>
  <c r="CI56" i="2"/>
  <c r="CM56" i="2"/>
  <c r="CO56" i="2"/>
  <c r="CP56" i="2" s="1"/>
  <c r="CR56" i="2" s="1"/>
  <c r="CS56" i="2"/>
  <c r="CU56" i="2"/>
  <c r="CV56" i="2" s="1"/>
  <c r="CX56" i="2" s="1"/>
  <c r="CY56" i="2"/>
  <c r="DG56" i="2"/>
  <c r="DH56" i="2" s="1"/>
  <c r="DO56" i="2"/>
  <c r="DX56" i="2"/>
  <c r="BO56" i="2" s="1"/>
  <c r="BR340" i="2"/>
  <c r="BT340" i="2" s="1"/>
  <c r="BU340" i="2"/>
  <c r="BX340" i="2"/>
  <c r="BZ340" i="2" s="1"/>
  <c r="CA340" i="2"/>
  <c r="CD340" i="2"/>
  <c r="CF340" i="2" s="1"/>
  <c r="CG340" i="2"/>
  <c r="CI340" i="2"/>
  <c r="CM340" i="2"/>
  <c r="CO340" i="2"/>
  <c r="CP340" i="2" s="1"/>
  <c r="CS340" i="2"/>
  <c r="CU340" i="2"/>
  <c r="CY340" i="2"/>
  <c r="DG340" i="2"/>
  <c r="DH340" i="2" s="1"/>
  <c r="DO340" i="2"/>
  <c r="DX340" i="2"/>
  <c r="BO340" i="2" s="1"/>
  <c r="BR252" i="2"/>
  <c r="BT252" i="2" s="1"/>
  <c r="BU252" i="2"/>
  <c r="BX252" i="2"/>
  <c r="BZ252" i="2" s="1"/>
  <c r="CA252" i="2"/>
  <c r="CD252" i="2"/>
  <c r="CF252" i="2" s="1"/>
  <c r="CG252" i="2"/>
  <c r="CI252" i="2"/>
  <c r="CJ252" i="2" s="1"/>
  <c r="CM252" i="2"/>
  <c r="CO252" i="2"/>
  <c r="CP252" i="2" s="1"/>
  <c r="CR252" i="2" s="1"/>
  <c r="CS252" i="2"/>
  <c r="CU252" i="2"/>
  <c r="CV252" i="2" s="1"/>
  <c r="CY252" i="2"/>
  <c r="DG252" i="2"/>
  <c r="DH252" i="2" s="1"/>
  <c r="DO252" i="2"/>
  <c r="DX252" i="2"/>
  <c r="BO252" i="2" s="1"/>
  <c r="BR249" i="2"/>
  <c r="BU249" i="2"/>
  <c r="BX249" i="2"/>
  <c r="BZ249" i="2" s="1"/>
  <c r="CA249" i="2"/>
  <c r="CD249" i="2"/>
  <c r="CF249" i="2" s="1"/>
  <c r="CG249" i="2"/>
  <c r="CI249" i="2"/>
  <c r="CJ249" i="2" s="1"/>
  <c r="CL249" i="2" s="1"/>
  <c r="CM249" i="2"/>
  <c r="CO249" i="2"/>
  <c r="CP249" i="2" s="1"/>
  <c r="CS249" i="2"/>
  <c r="CU249" i="2"/>
  <c r="CY249" i="2"/>
  <c r="DG249" i="2"/>
  <c r="DH249" i="2" s="1"/>
  <c r="DO249" i="2"/>
  <c r="DX249" i="2"/>
  <c r="BO249" i="2" s="1"/>
  <c r="BR699" i="2"/>
  <c r="BT699" i="2" s="1"/>
  <c r="BU699" i="2"/>
  <c r="BX699" i="2"/>
  <c r="BZ699" i="2" s="1"/>
  <c r="CA699" i="2"/>
  <c r="CD699" i="2"/>
  <c r="CF699" i="2" s="1"/>
  <c r="CG699" i="2"/>
  <c r="CI699" i="2"/>
  <c r="CJ699" i="2" s="1"/>
  <c r="CM699" i="2"/>
  <c r="CO699" i="2"/>
  <c r="CP699" i="2" s="1"/>
  <c r="CS699" i="2"/>
  <c r="CU699" i="2"/>
  <c r="CY699" i="2"/>
  <c r="DG699" i="2"/>
  <c r="DH699" i="2" s="1"/>
  <c r="DO699" i="2"/>
  <c r="DX699" i="2"/>
  <c r="BO699" i="2" s="1"/>
  <c r="BR472" i="2"/>
  <c r="BT472" i="2" s="1"/>
  <c r="BU472" i="2"/>
  <c r="BX472" i="2"/>
  <c r="BZ472" i="2" s="1"/>
  <c r="CA472" i="2"/>
  <c r="CD472" i="2"/>
  <c r="CF472" i="2" s="1"/>
  <c r="CG472" i="2"/>
  <c r="CI472" i="2"/>
  <c r="CJ472" i="2" s="1"/>
  <c r="CM472" i="2"/>
  <c r="CO472" i="2"/>
  <c r="CS472" i="2"/>
  <c r="CU472" i="2"/>
  <c r="CV472" i="2" s="1"/>
  <c r="CX472" i="2" s="1"/>
  <c r="CY472" i="2"/>
  <c r="DG472" i="2"/>
  <c r="DH472" i="2" s="1"/>
  <c r="DO472" i="2"/>
  <c r="DX472" i="2"/>
  <c r="BO472" i="2" s="1"/>
  <c r="BR987" i="2"/>
  <c r="BT987" i="2" s="1"/>
  <c r="BU987" i="2"/>
  <c r="BX987" i="2"/>
  <c r="BZ987" i="2" s="1"/>
  <c r="CA987" i="2"/>
  <c r="CG987" i="2"/>
  <c r="CM987" i="2"/>
  <c r="CS987" i="2"/>
  <c r="CY987" i="2"/>
  <c r="DG987" i="2"/>
  <c r="DH987" i="2" s="1"/>
  <c r="DO987" i="2"/>
  <c r="DU987" i="2"/>
  <c r="DX987" i="2"/>
  <c r="BO987" i="2" s="1"/>
  <c r="BR116" i="2"/>
  <c r="BT116" i="2" s="1"/>
  <c r="BU116" i="2"/>
  <c r="CA116" i="2"/>
  <c r="CG116" i="2"/>
  <c r="CM116" i="2"/>
  <c r="CS116" i="2"/>
  <c r="CY116" i="2"/>
  <c r="DF116" i="2"/>
  <c r="DG116" i="2"/>
  <c r="DH116" i="2" s="1"/>
  <c r="DO116" i="2"/>
  <c r="DU116" i="2"/>
  <c r="CO116" i="2" s="1"/>
  <c r="CP116" i="2" s="1"/>
  <c r="DX116" i="2"/>
  <c r="BO116" i="2" s="1"/>
  <c r="BR319" i="2"/>
  <c r="BT319" i="2" s="1"/>
  <c r="BU319" i="2"/>
  <c r="BX319" i="2"/>
  <c r="BZ319" i="2" s="1"/>
  <c r="CA319" i="2"/>
  <c r="CD319" i="2"/>
  <c r="CF319" i="2" s="1"/>
  <c r="CG319" i="2"/>
  <c r="CI319" i="2"/>
  <c r="CJ319" i="2" s="1"/>
  <c r="CL319" i="2" s="1"/>
  <c r="CM319" i="2"/>
  <c r="CO319" i="2"/>
  <c r="CS319" i="2"/>
  <c r="CU319" i="2"/>
  <c r="CV319" i="2" s="1"/>
  <c r="CX319" i="2" s="1"/>
  <c r="CY319" i="2"/>
  <c r="DG319" i="2"/>
  <c r="DH319" i="2" s="1"/>
  <c r="DO319" i="2"/>
  <c r="DX319" i="2"/>
  <c r="BO319" i="2" s="1"/>
  <c r="BR1039" i="2"/>
  <c r="BT1039" i="2" s="1"/>
  <c r="BU1039" i="2"/>
  <c r="BX1039" i="2"/>
  <c r="BZ1039" i="2" s="1"/>
  <c r="CA1039" i="2"/>
  <c r="CD1039" i="2"/>
  <c r="CF1039" i="2" s="1"/>
  <c r="CG1039" i="2"/>
  <c r="CI1039" i="2"/>
  <c r="CM1039" i="2"/>
  <c r="CO1039" i="2"/>
  <c r="CP1039" i="2" s="1"/>
  <c r="CS1039" i="2"/>
  <c r="CU1039" i="2"/>
  <c r="CV1039" i="2" s="1"/>
  <c r="CY1039" i="2"/>
  <c r="DG1039" i="2"/>
  <c r="DH1039" i="2" s="1"/>
  <c r="DO1039" i="2"/>
  <c r="DX1039" i="2"/>
  <c r="BO1039" i="2" s="1"/>
  <c r="BR216" i="2"/>
  <c r="BT216" i="2" s="1"/>
  <c r="BU216" i="2"/>
  <c r="BX216" i="2"/>
  <c r="BZ216" i="2" s="1"/>
  <c r="CA216" i="2"/>
  <c r="CD216" i="2"/>
  <c r="CF216" i="2" s="1"/>
  <c r="CG216" i="2"/>
  <c r="CI216" i="2"/>
  <c r="CJ216" i="2" s="1"/>
  <c r="DG216" i="2"/>
  <c r="DH216" i="2" s="1"/>
  <c r="DO216" i="2"/>
  <c r="DU216" i="2"/>
  <c r="CU216" i="2" s="1"/>
  <c r="DX216" i="2"/>
  <c r="BO216" i="2" s="1"/>
  <c r="BR40" i="2"/>
  <c r="BT40" i="2" s="1"/>
  <c r="BU40" i="2"/>
  <c r="BX40" i="2"/>
  <c r="BZ40" i="2" s="1"/>
  <c r="CA40" i="2"/>
  <c r="CD40" i="2"/>
  <c r="CF40" i="2" s="1"/>
  <c r="CG40" i="2"/>
  <c r="CI40" i="2"/>
  <c r="CJ40" i="2" s="1"/>
  <c r="CM40" i="2"/>
  <c r="CO40" i="2"/>
  <c r="CP40" i="2" s="1"/>
  <c r="CS40" i="2"/>
  <c r="CU40" i="2"/>
  <c r="CV40" i="2" s="1"/>
  <c r="CY40" i="2"/>
  <c r="DG40" i="2"/>
  <c r="DH40" i="2" s="1"/>
  <c r="DO40" i="2"/>
  <c r="DX40" i="2"/>
  <c r="BO40" i="2" s="1"/>
  <c r="BR107" i="2"/>
  <c r="BT107" i="2" s="1"/>
  <c r="BU107" i="2"/>
  <c r="BX107" i="2"/>
  <c r="BZ107" i="2" s="1"/>
  <c r="CA107" i="2"/>
  <c r="CD107" i="2"/>
  <c r="CF107" i="2" s="1"/>
  <c r="CG107" i="2"/>
  <c r="CI107" i="2"/>
  <c r="CJ107" i="2" s="1"/>
  <c r="CM107" i="2"/>
  <c r="CO107" i="2"/>
  <c r="CP107" i="2" s="1"/>
  <c r="CS107" i="2"/>
  <c r="CU107" i="2"/>
  <c r="CV107" i="2" s="1"/>
  <c r="CY107" i="2"/>
  <c r="DG107" i="2"/>
  <c r="DH107" i="2" s="1"/>
  <c r="DO107" i="2"/>
  <c r="DX107" i="2"/>
  <c r="BO107" i="2" s="1"/>
  <c r="BR427" i="2"/>
  <c r="BT427" i="2" s="1"/>
  <c r="BU427" i="2"/>
  <c r="BX427" i="2"/>
  <c r="BZ427" i="2" s="1"/>
  <c r="CA427" i="2"/>
  <c r="CD427" i="2"/>
  <c r="CF427" i="2" s="1"/>
  <c r="CG427" i="2"/>
  <c r="CI427" i="2"/>
  <c r="CJ427" i="2" s="1"/>
  <c r="CM427" i="2"/>
  <c r="CO427" i="2"/>
  <c r="CP427" i="2" s="1"/>
  <c r="CS427" i="2"/>
  <c r="CU427" i="2"/>
  <c r="CV427" i="2" s="1"/>
  <c r="CX427" i="2" s="1"/>
  <c r="CY427" i="2"/>
  <c r="DG427" i="2"/>
  <c r="DH427" i="2" s="1"/>
  <c r="DO427" i="2"/>
  <c r="DX427" i="2"/>
  <c r="BO427" i="2" s="1"/>
  <c r="BR958" i="2"/>
  <c r="BT958" i="2" s="1"/>
  <c r="BU958" i="2"/>
  <c r="BX958" i="2"/>
  <c r="BZ958" i="2" s="1"/>
  <c r="CA958" i="2"/>
  <c r="CG958" i="2"/>
  <c r="CM958" i="2"/>
  <c r="CS958" i="2"/>
  <c r="CY958" i="2"/>
  <c r="DG958" i="2"/>
  <c r="DH958" i="2" s="1"/>
  <c r="DO958" i="2"/>
  <c r="DU958" i="2"/>
  <c r="CC958" i="2" s="1"/>
  <c r="DX958" i="2"/>
  <c r="BO958" i="2" s="1"/>
  <c r="BR1014" i="2"/>
  <c r="BT1014" i="2" s="1"/>
  <c r="BU1014" i="2"/>
  <c r="BX1014" i="2"/>
  <c r="BZ1014" i="2" s="1"/>
  <c r="CA1014" i="2"/>
  <c r="CD1014" i="2"/>
  <c r="CF1014" i="2" s="1"/>
  <c r="CG1014" i="2"/>
  <c r="CI1014" i="2"/>
  <c r="CM1014" i="2"/>
  <c r="CO1014" i="2"/>
  <c r="CP1014" i="2" s="1"/>
  <c r="CR1014" i="2" s="1"/>
  <c r="CS1014" i="2"/>
  <c r="CU1014" i="2"/>
  <c r="CV1014" i="2" s="1"/>
  <c r="CX1014" i="2" s="1"/>
  <c r="CY1014" i="2"/>
  <c r="DG1014" i="2"/>
  <c r="DH1014" i="2" s="1"/>
  <c r="DO1014" i="2"/>
  <c r="DX1014" i="2"/>
  <c r="BO1014" i="2" s="1"/>
  <c r="BR823" i="2"/>
  <c r="BT823" i="2" s="1"/>
  <c r="BU823" i="2"/>
  <c r="BX823" i="2"/>
  <c r="BZ823" i="2" s="1"/>
  <c r="CA823" i="2"/>
  <c r="CD823" i="2"/>
  <c r="CF823" i="2" s="1"/>
  <c r="CG823" i="2"/>
  <c r="CI823" i="2"/>
  <c r="CJ823" i="2" s="1"/>
  <c r="CL823" i="2" s="1"/>
  <c r="CM823" i="2"/>
  <c r="CO823" i="2"/>
  <c r="CS823" i="2"/>
  <c r="CU823" i="2"/>
  <c r="CV823" i="2" s="1"/>
  <c r="CX823" i="2" s="1"/>
  <c r="CY823" i="2"/>
  <c r="DG823" i="2"/>
  <c r="DH823" i="2" s="1"/>
  <c r="DO823" i="2"/>
  <c r="DX823" i="2"/>
  <c r="BO823" i="2" s="1"/>
  <c r="BR765" i="2"/>
  <c r="BT765" i="2" s="1"/>
  <c r="BU765" i="2"/>
  <c r="BX765" i="2"/>
  <c r="BZ765" i="2" s="1"/>
  <c r="CA765" i="2"/>
  <c r="CD765" i="2"/>
  <c r="CF765" i="2" s="1"/>
  <c r="CG765" i="2"/>
  <c r="CI765" i="2"/>
  <c r="CJ765" i="2" s="1"/>
  <c r="CM765" i="2"/>
  <c r="CO765" i="2"/>
  <c r="CS765" i="2"/>
  <c r="CU765" i="2"/>
  <c r="CV765" i="2" s="1"/>
  <c r="CX765" i="2" s="1"/>
  <c r="CY765" i="2"/>
  <c r="DG765" i="2"/>
  <c r="DH765" i="2" s="1"/>
  <c r="DO765" i="2"/>
  <c r="DX765" i="2"/>
  <c r="BO765" i="2" s="1"/>
  <c r="BR417" i="2"/>
  <c r="BT417" i="2" s="1"/>
  <c r="BU417" i="2"/>
  <c r="BX417" i="2"/>
  <c r="BZ417" i="2" s="1"/>
  <c r="CA417" i="2"/>
  <c r="CD417" i="2"/>
  <c r="CF417" i="2" s="1"/>
  <c r="CG417" i="2"/>
  <c r="CI417" i="2"/>
  <c r="CJ417" i="2" s="1"/>
  <c r="CM417" i="2"/>
  <c r="CO417" i="2"/>
  <c r="CP417" i="2" s="1"/>
  <c r="CR417" i="2" s="1"/>
  <c r="CS417" i="2"/>
  <c r="CU417" i="2"/>
  <c r="CV417" i="2" s="1"/>
  <c r="CX417" i="2" s="1"/>
  <c r="CY417" i="2"/>
  <c r="DG417" i="2"/>
  <c r="DH417" i="2" s="1"/>
  <c r="DO417" i="2"/>
  <c r="DX417" i="2"/>
  <c r="BO417" i="2" s="1"/>
  <c r="BR455" i="2"/>
  <c r="BT455" i="2" s="1"/>
  <c r="BU455" i="2"/>
  <c r="BX455" i="2"/>
  <c r="BZ455" i="2" s="1"/>
  <c r="CA455" i="2"/>
  <c r="CD455" i="2"/>
  <c r="CF455" i="2" s="1"/>
  <c r="CG455" i="2"/>
  <c r="CI455" i="2"/>
  <c r="CJ455" i="2" s="1"/>
  <c r="CM455" i="2"/>
  <c r="CO455" i="2"/>
  <c r="CP455" i="2" s="1"/>
  <c r="CS455" i="2"/>
  <c r="CU455" i="2"/>
  <c r="CV455" i="2" s="1"/>
  <c r="CX455" i="2" s="1"/>
  <c r="CY455" i="2"/>
  <c r="DG455" i="2"/>
  <c r="DH455" i="2" s="1"/>
  <c r="DO455" i="2"/>
  <c r="DX455" i="2"/>
  <c r="BO455" i="2" s="1"/>
  <c r="BR749" i="2"/>
  <c r="BT749" i="2" s="1"/>
  <c r="BU749" i="2"/>
  <c r="BX749" i="2"/>
  <c r="BZ749" i="2" s="1"/>
  <c r="CA749" i="2"/>
  <c r="CD749" i="2"/>
  <c r="CF749" i="2" s="1"/>
  <c r="CG749" i="2"/>
  <c r="CI749" i="2"/>
  <c r="CJ749" i="2" s="1"/>
  <c r="CL749" i="2" s="1"/>
  <c r="CM749" i="2"/>
  <c r="CO749" i="2"/>
  <c r="CS749" i="2"/>
  <c r="CU749" i="2"/>
  <c r="CV749" i="2" s="1"/>
  <c r="CX749" i="2" s="1"/>
  <c r="CY749" i="2"/>
  <c r="DG749" i="2"/>
  <c r="DH749" i="2" s="1"/>
  <c r="DO749" i="2"/>
  <c r="DX749" i="2"/>
  <c r="BO749" i="2" s="1"/>
  <c r="BR1013" i="2"/>
  <c r="BT1013" i="2" s="1"/>
  <c r="BU1013" i="2"/>
  <c r="BX1013" i="2"/>
  <c r="BZ1013" i="2" s="1"/>
  <c r="CA1013" i="2"/>
  <c r="CD1013" i="2"/>
  <c r="CF1013" i="2" s="1"/>
  <c r="CG1013" i="2"/>
  <c r="CI1013" i="2"/>
  <c r="CM1013" i="2"/>
  <c r="CO1013" i="2"/>
  <c r="CP1013" i="2" s="1"/>
  <c r="CS1013" i="2"/>
  <c r="CU1013" i="2"/>
  <c r="CY1013" i="2"/>
  <c r="DG1013" i="2"/>
  <c r="DH1013" i="2" s="1"/>
  <c r="DO1013" i="2"/>
  <c r="DX1013" i="2"/>
  <c r="BO1013" i="2" s="1"/>
  <c r="BR143" i="2"/>
  <c r="BT143" i="2" s="1"/>
  <c r="BU143" i="2"/>
  <c r="BX143" i="2"/>
  <c r="BZ143" i="2" s="1"/>
  <c r="CA143" i="2"/>
  <c r="CD143" i="2"/>
  <c r="CF143" i="2" s="1"/>
  <c r="CG143" i="2"/>
  <c r="CI143" i="2"/>
  <c r="CJ143" i="2" s="1"/>
  <c r="CM143" i="2"/>
  <c r="CO143" i="2"/>
  <c r="CP143" i="2" s="1"/>
  <c r="CS143" i="2"/>
  <c r="CU143" i="2"/>
  <c r="CV143" i="2" s="1"/>
  <c r="CY143" i="2"/>
  <c r="DG143" i="2"/>
  <c r="DH143" i="2" s="1"/>
  <c r="DO143" i="2"/>
  <c r="DX143" i="2"/>
  <c r="BO143" i="2" s="1"/>
  <c r="BR350" i="2"/>
  <c r="BU350" i="2"/>
  <c r="BX350" i="2"/>
  <c r="BZ350" i="2" s="1"/>
  <c r="CA350" i="2"/>
  <c r="CD350" i="2"/>
  <c r="CF350" i="2" s="1"/>
  <c r="CG350" i="2"/>
  <c r="CI350" i="2"/>
  <c r="CJ350" i="2" s="1"/>
  <c r="CM350" i="2"/>
  <c r="CO350" i="2"/>
  <c r="CP350" i="2" s="1"/>
  <c r="CR350" i="2" s="1"/>
  <c r="CS350" i="2"/>
  <c r="CU350" i="2"/>
  <c r="CY350" i="2"/>
  <c r="DG350" i="2"/>
  <c r="DH350" i="2" s="1"/>
  <c r="DO350" i="2"/>
  <c r="DX350" i="2"/>
  <c r="BO350" i="2" s="1"/>
  <c r="BR390" i="2"/>
  <c r="BT390" i="2" s="1"/>
  <c r="BU390" i="2"/>
  <c r="BX390" i="2"/>
  <c r="BZ390" i="2" s="1"/>
  <c r="CA390" i="2"/>
  <c r="CD390" i="2"/>
  <c r="CF390" i="2" s="1"/>
  <c r="CG390" i="2"/>
  <c r="CI390" i="2"/>
  <c r="CJ390" i="2" s="1"/>
  <c r="CM390" i="2"/>
  <c r="CO390" i="2"/>
  <c r="CP390" i="2" s="1"/>
  <c r="CR390" i="2" s="1"/>
  <c r="CS390" i="2"/>
  <c r="CU390" i="2"/>
  <c r="CV390" i="2" s="1"/>
  <c r="CX390" i="2" s="1"/>
  <c r="CY390" i="2"/>
  <c r="DG390" i="2"/>
  <c r="DH390" i="2" s="1"/>
  <c r="DO390" i="2"/>
  <c r="DX390" i="2"/>
  <c r="BO390" i="2" s="1"/>
  <c r="BR586" i="2"/>
  <c r="BT586" i="2" s="1"/>
  <c r="BU586" i="2"/>
  <c r="BX586" i="2"/>
  <c r="BZ586" i="2" s="1"/>
  <c r="CA586" i="2"/>
  <c r="CD586" i="2"/>
  <c r="CF586" i="2" s="1"/>
  <c r="CG586" i="2"/>
  <c r="CI586" i="2"/>
  <c r="CJ586" i="2" s="1"/>
  <c r="CM586" i="2"/>
  <c r="CO586" i="2"/>
  <c r="CS586" i="2"/>
  <c r="CU586" i="2"/>
  <c r="CV586" i="2" s="1"/>
  <c r="CX586" i="2" s="1"/>
  <c r="CY586" i="2"/>
  <c r="DG586" i="2"/>
  <c r="DH586" i="2" s="1"/>
  <c r="DO586" i="2"/>
  <c r="DX586" i="2"/>
  <c r="BO586" i="2" s="1"/>
  <c r="BR816" i="2"/>
  <c r="BT816" i="2" s="1"/>
  <c r="BU816" i="2"/>
  <c r="BX816" i="2"/>
  <c r="BZ816" i="2" s="1"/>
  <c r="CA816" i="2"/>
  <c r="CD816" i="2"/>
  <c r="CF816" i="2" s="1"/>
  <c r="CG816" i="2"/>
  <c r="CI816" i="2"/>
  <c r="CJ816" i="2" s="1"/>
  <c r="CM816" i="2"/>
  <c r="CO816" i="2"/>
  <c r="CP816" i="2" s="1"/>
  <c r="CR816" i="2" s="1"/>
  <c r="CS816" i="2"/>
  <c r="CU816" i="2"/>
  <c r="CV816" i="2" s="1"/>
  <c r="CX816" i="2" s="1"/>
  <c r="CY816" i="2"/>
  <c r="DG816" i="2"/>
  <c r="DH816" i="2" s="1"/>
  <c r="DO816" i="2"/>
  <c r="DX816" i="2"/>
  <c r="BO816" i="2" s="1"/>
  <c r="BR559" i="2"/>
  <c r="BT559" i="2" s="1"/>
  <c r="BU559" i="2"/>
  <c r="BX559" i="2"/>
  <c r="BZ559" i="2" s="1"/>
  <c r="CA559" i="2"/>
  <c r="CD559" i="2"/>
  <c r="CF559" i="2" s="1"/>
  <c r="CG559" i="2"/>
  <c r="CJ559" i="2"/>
  <c r="CL559" i="2" s="1"/>
  <c r="CM559" i="2"/>
  <c r="CO559" i="2"/>
  <c r="CS559" i="2"/>
  <c r="CU559" i="2"/>
  <c r="CV559" i="2" s="1"/>
  <c r="CY559" i="2"/>
  <c r="DG559" i="2"/>
  <c r="DH559" i="2" s="1"/>
  <c r="DO559" i="2"/>
  <c r="DX559" i="2"/>
  <c r="BO559" i="2" s="1"/>
  <c r="BR326" i="2"/>
  <c r="BT326" i="2" s="1"/>
  <c r="BU326" i="2"/>
  <c r="BX326" i="2"/>
  <c r="BZ326" i="2" s="1"/>
  <c r="CA326" i="2"/>
  <c r="CD326" i="2"/>
  <c r="CF326" i="2" s="1"/>
  <c r="CG326" i="2"/>
  <c r="CJ326" i="2"/>
  <c r="CL326" i="2" s="1"/>
  <c r="CM326" i="2"/>
  <c r="CO326" i="2"/>
  <c r="CP326" i="2" s="1"/>
  <c r="CS326" i="2"/>
  <c r="CU326" i="2"/>
  <c r="CV326" i="2" s="1"/>
  <c r="CX326" i="2" s="1"/>
  <c r="CY326" i="2"/>
  <c r="DG326" i="2"/>
  <c r="DH326" i="2" s="1"/>
  <c r="DO326" i="2"/>
  <c r="DX326" i="2"/>
  <c r="BO326" i="2" s="1"/>
  <c r="BR1042" i="2"/>
  <c r="BT1042" i="2" s="1"/>
  <c r="BU1042" i="2"/>
  <c r="BX1042" i="2"/>
  <c r="BZ1042" i="2" s="1"/>
  <c r="CA1042" i="2"/>
  <c r="CD1042" i="2"/>
  <c r="CF1042" i="2" s="1"/>
  <c r="CG1042" i="2"/>
  <c r="CI1042" i="2"/>
  <c r="CJ1042" i="2" s="1"/>
  <c r="CL1042" i="2" s="1"/>
  <c r="CM1042" i="2"/>
  <c r="CO1042" i="2"/>
  <c r="CP1042" i="2" s="1"/>
  <c r="CR1042" i="2" s="1"/>
  <c r="CS1042" i="2"/>
  <c r="CU1042" i="2"/>
  <c r="CV1042" i="2" s="1"/>
  <c r="CY1042" i="2"/>
  <c r="DG1042" i="2"/>
  <c r="DH1042" i="2" s="1"/>
  <c r="DO1042" i="2"/>
  <c r="DX1042" i="2"/>
  <c r="BO1042" i="2" s="1"/>
  <c r="BR68" i="2"/>
  <c r="BT68" i="2" s="1"/>
  <c r="BU68" i="2"/>
  <c r="BX68" i="2"/>
  <c r="BZ68" i="2" s="1"/>
  <c r="CA68" i="2"/>
  <c r="CD68" i="2"/>
  <c r="CF68" i="2" s="1"/>
  <c r="CG68" i="2"/>
  <c r="CI68" i="2"/>
  <c r="CJ68" i="2" s="1"/>
  <c r="CL68" i="2" s="1"/>
  <c r="CM68" i="2"/>
  <c r="CO68" i="2"/>
  <c r="CP68" i="2" s="1"/>
  <c r="CR68" i="2" s="1"/>
  <c r="CS68" i="2"/>
  <c r="CU68" i="2"/>
  <c r="CV68" i="2" s="1"/>
  <c r="CY68" i="2"/>
  <c r="DG68" i="2"/>
  <c r="DH68" i="2" s="1"/>
  <c r="DO68" i="2"/>
  <c r="DX68" i="2"/>
  <c r="BO68" i="2" s="1"/>
  <c r="BR392" i="2"/>
  <c r="BU392" i="2"/>
  <c r="BX392" i="2"/>
  <c r="BZ392" i="2" s="1"/>
  <c r="CA392" i="2"/>
  <c r="CD392" i="2"/>
  <c r="CF392" i="2" s="1"/>
  <c r="CG392" i="2"/>
  <c r="CI392" i="2"/>
  <c r="CJ392" i="2" s="1"/>
  <c r="CM392" i="2"/>
  <c r="CO392" i="2"/>
  <c r="CP392" i="2" s="1"/>
  <c r="CS392" i="2"/>
  <c r="CU392" i="2"/>
  <c r="CV392" i="2" s="1"/>
  <c r="CY392" i="2"/>
  <c r="DG392" i="2"/>
  <c r="DH392" i="2" s="1"/>
  <c r="DO392" i="2"/>
  <c r="DX392" i="2"/>
  <c r="BO392" i="2" s="1"/>
  <c r="BR447" i="2"/>
  <c r="BT447" i="2" s="1"/>
  <c r="BU447" i="2"/>
  <c r="BX447" i="2"/>
  <c r="BZ447" i="2" s="1"/>
  <c r="CA447" i="2"/>
  <c r="CG447" i="2"/>
  <c r="CM447" i="2"/>
  <c r="CS447" i="2"/>
  <c r="CY447" i="2"/>
  <c r="DG447" i="2"/>
  <c r="DH447" i="2" s="1"/>
  <c r="DO447" i="2"/>
  <c r="DU447" i="2"/>
  <c r="CO447" i="2" s="1"/>
  <c r="DX447" i="2"/>
  <c r="BO447" i="2" s="1"/>
  <c r="BR199" i="2"/>
  <c r="BT199" i="2" s="1"/>
  <c r="BU199" i="2"/>
  <c r="BX199" i="2"/>
  <c r="BZ199" i="2" s="1"/>
  <c r="CA199" i="2"/>
  <c r="CD199" i="2"/>
  <c r="CF199" i="2" s="1"/>
  <c r="CG199" i="2"/>
  <c r="CI199" i="2"/>
  <c r="CJ199" i="2" s="1"/>
  <c r="CL199" i="2" s="1"/>
  <c r="CM199" i="2"/>
  <c r="CO199" i="2"/>
  <c r="CP199" i="2" s="1"/>
  <c r="CR199" i="2" s="1"/>
  <c r="CS199" i="2"/>
  <c r="CU199" i="2"/>
  <c r="CV199" i="2" s="1"/>
  <c r="CX199" i="2" s="1"/>
  <c r="CY199" i="2"/>
  <c r="DG199" i="2"/>
  <c r="DH199" i="2" s="1"/>
  <c r="DO199" i="2"/>
  <c r="DX199" i="2"/>
  <c r="BO199" i="2" s="1"/>
  <c r="BR989" i="2"/>
  <c r="BT989" i="2" s="1"/>
  <c r="BU989" i="2"/>
  <c r="BX989" i="2"/>
  <c r="BZ989" i="2" s="1"/>
  <c r="CA989" i="2"/>
  <c r="CD989" i="2"/>
  <c r="CF989" i="2" s="1"/>
  <c r="CG989" i="2"/>
  <c r="CI989" i="2"/>
  <c r="CJ989" i="2" s="1"/>
  <c r="CM989" i="2"/>
  <c r="CO989" i="2"/>
  <c r="CP989" i="2" s="1"/>
  <c r="CR989" i="2" s="1"/>
  <c r="CS989" i="2"/>
  <c r="CU989" i="2"/>
  <c r="CV989" i="2" s="1"/>
  <c r="CY989" i="2"/>
  <c r="DG989" i="2"/>
  <c r="DH989" i="2" s="1"/>
  <c r="DO989" i="2"/>
  <c r="DX989" i="2"/>
  <c r="BO989" i="2" s="1"/>
  <c r="BR846" i="2"/>
  <c r="BT846" i="2" s="1"/>
  <c r="BU846" i="2"/>
  <c r="BX846" i="2"/>
  <c r="BZ846" i="2" s="1"/>
  <c r="CA846" i="2"/>
  <c r="CD846" i="2"/>
  <c r="CF846" i="2" s="1"/>
  <c r="CG846" i="2"/>
  <c r="CI846" i="2"/>
  <c r="CJ846" i="2" s="1"/>
  <c r="CL846" i="2" s="1"/>
  <c r="CM846" i="2"/>
  <c r="CS846" i="2"/>
  <c r="CY846" i="2"/>
  <c r="DG846" i="2"/>
  <c r="DH846" i="2" s="1"/>
  <c r="DO846" i="2"/>
  <c r="DU846" i="2"/>
  <c r="CU846" i="2" s="1"/>
  <c r="DX846" i="2"/>
  <c r="BO846" i="2" s="1"/>
  <c r="BR904" i="2"/>
  <c r="BT904" i="2" s="1"/>
  <c r="BU904" i="2"/>
  <c r="BX904" i="2"/>
  <c r="BZ904" i="2" s="1"/>
  <c r="CA904" i="2"/>
  <c r="CD904" i="2"/>
  <c r="CG904" i="2"/>
  <c r="CI904" i="2"/>
  <c r="CJ904" i="2" s="1"/>
  <c r="CL904" i="2" s="1"/>
  <c r="CM904" i="2"/>
  <c r="CO904" i="2"/>
  <c r="CS904" i="2"/>
  <c r="CU904" i="2"/>
  <c r="CY904" i="2"/>
  <c r="DG904" i="2"/>
  <c r="DH904" i="2" s="1"/>
  <c r="DO904" i="2"/>
  <c r="DX904" i="2"/>
  <c r="BO904" i="2" s="1"/>
  <c r="BR891" i="2"/>
  <c r="BT891" i="2" s="1"/>
  <c r="BU891" i="2"/>
  <c r="BX891" i="2"/>
  <c r="BZ891" i="2" s="1"/>
  <c r="CA891" i="2"/>
  <c r="CD891" i="2"/>
  <c r="CF891" i="2" s="1"/>
  <c r="CG891" i="2"/>
  <c r="CI891" i="2"/>
  <c r="CJ891" i="2" s="1"/>
  <c r="CL891" i="2" s="1"/>
  <c r="CM891" i="2"/>
  <c r="CO891" i="2"/>
  <c r="CP891" i="2" s="1"/>
  <c r="CS891" i="2"/>
  <c r="CU891" i="2"/>
  <c r="CY891" i="2"/>
  <c r="DG891" i="2"/>
  <c r="DH891" i="2" s="1"/>
  <c r="DO891" i="2"/>
  <c r="DX891" i="2"/>
  <c r="BO891" i="2" s="1"/>
  <c r="BR923" i="2"/>
  <c r="BT923" i="2" s="1"/>
  <c r="BU923" i="2"/>
  <c r="BX923" i="2"/>
  <c r="BZ923" i="2" s="1"/>
  <c r="CA923" i="2"/>
  <c r="CG923" i="2"/>
  <c r="CM923" i="2"/>
  <c r="CS923" i="2"/>
  <c r="CY923" i="2"/>
  <c r="DG923" i="2"/>
  <c r="DH923" i="2" s="1"/>
  <c r="DO923" i="2"/>
  <c r="DU923" i="2"/>
  <c r="CC923" i="2" s="1"/>
  <c r="DX923" i="2"/>
  <c r="BO923" i="2" s="1"/>
  <c r="BR919" i="2"/>
  <c r="BT919" i="2" s="1"/>
  <c r="BU919" i="2"/>
  <c r="BX919" i="2"/>
  <c r="BZ919" i="2" s="1"/>
  <c r="CA919" i="2"/>
  <c r="CG919" i="2"/>
  <c r="CM919" i="2"/>
  <c r="CS919" i="2"/>
  <c r="CY919" i="2"/>
  <c r="DG919" i="2"/>
  <c r="DH919" i="2" s="1"/>
  <c r="DO919" i="2"/>
  <c r="DU919" i="2"/>
  <c r="CC919" i="2" s="1"/>
  <c r="DX919" i="2"/>
  <c r="BO919" i="2" s="1"/>
  <c r="BR825" i="2"/>
  <c r="BT825" i="2" s="1"/>
  <c r="BU825" i="2"/>
  <c r="BX825" i="2"/>
  <c r="BZ825" i="2" s="1"/>
  <c r="CA825" i="2"/>
  <c r="CD825" i="2"/>
  <c r="CF825" i="2" s="1"/>
  <c r="CG825" i="2"/>
  <c r="CI825" i="2"/>
  <c r="CM825" i="2"/>
  <c r="CO825" i="2"/>
  <c r="CP825" i="2" s="1"/>
  <c r="CS825" i="2"/>
  <c r="CU825" i="2"/>
  <c r="CV825" i="2" s="1"/>
  <c r="CX825" i="2" s="1"/>
  <c r="CY825" i="2"/>
  <c r="DG825" i="2"/>
  <c r="DH825" i="2" s="1"/>
  <c r="DO825" i="2"/>
  <c r="DX825" i="2"/>
  <c r="BO825" i="2" s="1"/>
  <c r="BR112" i="2"/>
  <c r="BT112" i="2" s="1"/>
  <c r="BU112" i="2"/>
  <c r="BZ112" i="2"/>
  <c r="CA112" i="2"/>
  <c r="CG112" i="2"/>
  <c r="CM112" i="2"/>
  <c r="CS112" i="2"/>
  <c r="CY112" i="2"/>
  <c r="DF112" i="2"/>
  <c r="DG112" i="2"/>
  <c r="DH112" i="2" s="1"/>
  <c r="DO112" i="2"/>
  <c r="DU112" i="2"/>
  <c r="CU112" i="2" s="1"/>
  <c r="DX112" i="2"/>
  <c r="BO112" i="2" s="1"/>
  <c r="BR839" i="2"/>
  <c r="BT839" i="2" s="1"/>
  <c r="BU839" i="2"/>
  <c r="BX839" i="2"/>
  <c r="BZ839" i="2" s="1"/>
  <c r="CA839" i="2"/>
  <c r="CD839" i="2"/>
  <c r="CF839" i="2" s="1"/>
  <c r="CG839" i="2"/>
  <c r="CM839" i="2"/>
  <c r="CP839" i="2"/>
  <c r="CR839" i="2" s="1"/>
  <c r="CS839" i="2"/>
  <c r="CT839" i="2"/>
  <c r="CY839" i="2"/>
  <c r="DF839" i="2"/>
  <c r="DG839" i="2"/>
  <c r="DH839" i="2" s="1"/>
  <c r="DO839" i="2"/>
  <c r="DS839" i="2"/>
  <c r="DU839" i="2" s="1"/>
  <c r="DV839" i="2"/>
  <c r="DW839" i="2"/>
  <c r="BR382" i="2"/>
  <c r="BT382" i="2" s="1"/>
  <c r="BU382" i="2"/>
  <c r="BX382" i="2"/>
  <c r="BZ382" i="2" s="1"/>
  <c r="CA382" i="2"/>
  <c r="CD382" i="2"/>
  <c r="CF382" i="2" s="1"/>
  <c r="CG382" i="2"/>
  <c r="CI382" i="2"/>
  <c r="CJ382" i="2" s="1"/>
  <c r="CM382" i="2"/>
  <c r="CO382" i="2"/>
  <c r="CP382" i="2" s="1"/>
  <c r="CR382" i="2" s="1"/>
  <c r="CS382" i="2"/>
  <c r="CU382" i="2"/>
  <c r="CV382" i="2" s="1"/>
  <c r="CY382" i="2"/>
  <c r="DG382" i="2"/>
  <c r="DH382" i="2" s="1"/>
  <c r="DO382" i="2"/>
  <c r="DX382" i="2"/>
  <c r="BO382" i="2" s="1"/>
  <c r="BR102" i="2"/>
  <c r="BT102" i="2" s="1"/>
  <c r="BU102" i="2"/>
  <c r="BX102" i="2"/>
  <c r="BZ102" i="2" s="1"/>
  <c r="CA102" i="2"/>
  <c r="CD102" i="2"/>
  <c r="CF102" i="2" s="1"/>
  <c r="CG102" i="2"/>
  <c r="CI102" i="2"/>
  <c r="CJ102" i="2" s="1"/>
  <c r="CM102" i="2"/>
  <c r="CO102" i="2"/>
  <c r="CS102" i="2"/>
  <c r="CU102" i="2"/>
  <c r="CY102" i="2"/>
  <c r="DG102" i="2"/>
  <c r="DH102" i="2" s="1"/>
  <c r="DO102" i="2"/>
  <c r="DX102" i="2"/>
  <c r="BO102" i="2" s="1"/>
  <c r="BR719" i="2"/>
  <c r="BT719" i="2" s="1"/>
  <c r="BU719" i="2"/>
  <c r="BX719" i="2"/>
  <c r="BZ719" i="2" s="1"/>
  <c r="CA719" i="2"/>
  <c r="CG719" i="2"/>
  <c r="CM719" i="2"/>
  <c r="CS719" i="2"/>
  <c r="CY719" i="2"/>
  <c r="DG719" i="2"/>
  <c r="DH719" i="2" s="1"/>
  <c r="DO719" i="2"/>
  <c r="DU719" i="2"/>
  <c r="CC719" i="2" s="1"/>
  <c r="CD719" i="2" s="1"/>
  <c r="DX719" i="2"/>
  <c r="BO719" i="2" s="1"/>
  <c r="BS380" i="2"/>
  <c r="BU380" i="2" s="1"/>
  <c r="BV380" i="2"/>
  <c r="BY380" i="2"/>
  <c r="CA380" i="2" s="1"/>
  <c r="CB380" i="2"/>
  <c r="CH380" i="2"/>
  <c r="CN380" i="2"/>
  <c r="CT380" i="2"/>
  <c r="CZ380" i="2"/>
  <c r="DG380" i="2"/>
  <c r="DH380" i="2" s="1"/>
  <c r="DO380" i="2"/>
  <c r="DU380" i="2"/>
  <c r="CJ380" i="2" s="1"/>
  <c r="DX380" i="2"/>
  <c r="BP380" i="2" s="1"/>
  <c r="AD18" i="12"/>
  <c r="AA18" i="12"/>
  <c r="AC18" i="12"/>
  <c r="AC17" i="12"/>
  <c r="AC16" i="12"/>
  <c r="AC15" i="12"/>
  <c r="P439" i="2"/>
  <c r="CE439" i="2" s="1"/>
  <c r="CF439" i="2" s="1"/>
  <c r="CH439" i="2" s="1"/>
  <c r="S439" i="2"/>
  <c r="BQ439" i="2" s="1"/>
  <c r="BT439" i="2"/>
  <c r="BV439" i="2" s="1"/>
  <c r="BW439" i="2"/>
  <c r="CC439" i="2"/>
  <c r="CI439" i="2"/>
  <c r="CO439" i="2"/>
  <c r="CU439" i="2"/>
  <c r="DA439" i="2"/>
  <c r="DH439" i="2"/>
  <c r="DI439" i="2"/>
  <c r="DJ439" i="2" s="1"/>
  <c r="DQ439" i="2"/>
  <c r="BM406" i="2"/>
  <c r="BO406" i="2" s="1"/>
  <c r="BP406" i="2"/>
  <c r="BS406" i="2"/>
  <c r="BU406" i="2" s="1"/>
  <c r="BV406" i="2"/>
  <c r="CB406" i="2"/>
  <c r="CH406" i="2"/>
  <c r="CN406" i="2"/>
  <c r="CT406" i="2"/>
  <c r="DA406" i="2"/>
  <c r="DB406" i="2"/>
  <c r="DC406" i="2" s="1"/>
  <c r="DJ406" i="2"/>
  <c r="DM406" i="2"/>
  <c r="DO406" i="2" s="1"/>
  <c r="CJ406" i="2" s="1"/>
  <c r="CK406" i="2" s="1"/>
  <c r="DR406" i="2"/>
  <c r="BJ406" i="2" s="1"/>
  <c r="DS406" i="2"/>
  <c r="BM339" i="2"/>
  <c r="BO339" i="2" s="1"/>
  <c r="BP339" i="2"/>
  <c r="BS339" i="2"/>
  <c r="BU339" i="2" s="1"/>
  <c r="BV339" i="2"/>
  <c r="BY339" i="2"/>
  <c r="CA339" i="2" s="1"/>
  <c r="CB339" i="2"/>
  <c r="CH339" i="2"/>
  <c r="CN339" i="2"/>
  <c r="CT339" i="2"/>
  <c r="DA339" i="2"/>
  <c r="DB339" i="2"/>
  <c r="DC339" i="2" s="1"/>
  <c r="DK339" i="2"/>
  <c r="DO339" i="2"/>
  <c r="CD339" i="2" s="1"/>
  <c r="BM490" i="2"/>
  <c r="BO490" i="2" s="1"/>
  <c r="BP490" i="2"/>
  <c r="BS490" i="2"/>
  <c r="BU490" i="2" s="1"/>
  <c r="BV490" i="2"/>
  <c r="BX490" i="2"/>
  <c r="BY490" i="2" s="1"/>
  <c r="CA490" i="2" s="1"/>
  <c r="CB490" i="2"/>
  <c r="CH490" i="2"/>
  <c r="CN490" i="2"/>
  <c r="CT490" i="2"/>
  <c r="DA490" i="2"/>
  <c r="DB490" i="2"/>
  <c r="DK490" i="2"/>
  <c r="DO490" i="2"/>
  <c r="BJ490" i="2" s="1"/>
  <c r="BM499" i="2"/>
  <c r="BO499" i="2" s="1"/>
  <c r="BP499" i="2"/>
  <c r="BV499" i="2"/>
  <c r="CB499" i="2"/>
  <c r="CH499" i="2"/>
  <c r="CN499" i="2"/>
  <c r="CT499" i="2"/>
  <c r="DB499" i="2"/>
  <c r="DC499" i="2" s="1"/>
  <c r="DK499" i="2"/>
  <c r="DO499" i="2"/>
  <c r="CJ499" i="2" s="1"/>
  <c r="CK499" i="2" s="1"/>
  <c r="BM150" i="2"/>
  <c r="BP150" i="2"/>
  <c r="BS150" i="2"/>
  <c r="BU150" i="2" s="1"/>
  <c r="BV150" i="2"/>
  <c r="CB150" i="2"/>
  <c r="CH150" i="2"/>
  <c r="CN150" i="2"/>
  <c r="CT150" i="2"/>
  <c r="DB150" i="2"/>
  <c r="DC150" i="2" s="1"/>
  <c r="DK150" i="2"/>
  <c r="DO150" i="2"/>
  <c r="BM356" i="2"/>
  <c r="BO356" i="2" s="1"/>
  <c r="BP356" i="2"/>
  <c r="BS356" i="2"/>
  <c r="BU356" i="2" s="1"/>
  <c r="BV356" i="2"/>
  <c r="BY356" i="2"/>
  <c r="CA356" i="2" s="1"/>
  <c r="CB356" i="2"/>
  <c r="CH356" i="2"/>
  <c r="CN356" i="2"/>
  <c r="CT356" i="2"/>
  <c r="CZ356" i="2"/>
  <c r="DG356" i="2"/>
  <c r="DH356" i="2"/>
  <c r="DI356" i="2"/>
  <c r="DL356" i="2"/>
  <c r="DM356" i="2"/>
  <c r="DU356" i="2"/>
  <c r="CJ356" i="2" s="1"/>
  <c r="CK356" i="2" s="1"/>
  <c r="CM356" i="2" s="1"/>
  <c r="BM354" i="2"/>
  <c r="BO354" i="2" s="1"/>
  <c r="BP354" i="2"/>
  <c r="BS354" i="2"/>
  <c r="BU354" i="2" s="1"/>
  <c r="BV354" i="2"/>
  <c r="BY354" i="2"/>
  <c r="CA354" i="2" s="1"/>
  <c r="CB354" i="2"/>
  <c r="CD354" i="2"/>
  <c r="CH354" i="2"/>
  <c r="CN354" i="2"/>
  <c r="CT354" i="2"/>
  <c r="CZ354" i="2"/>
  <c r="DG354" i="2"/>
  <c r="DH354" i="2"/>
  <c r="DI354" i="2"/>
  <c r="DU354" i="2"/>
  <c r="CV354" i="2" s="1"/>
  <c r="BM355" i="2"/>
  <c r="BO355" i="2" s="1"/>
  <c r="BP355" i="2"/>
  <c r="BS355" i="2"/>
  <c r="BU355" i="2" s="1"/>
  <c r="BV355" i="2"/>
  <c r="BY355" i="2"/>
  <c r="CA355" i="2" s="1"/>
  <c r="CB355" i="2"/>
  <c r="CG355" i="2"/>
  <c r="CH355" i="2"/>
  <c r="CK355" i="2"/>
  <c r="CM355" i="2" s="1"/>
  <c r="CN355" i="2"/>
  <c r="CT355" i="2"/>
  <c r="CZ355" i="2"/>
  <c r="DG355" i="2"/>
  <c r="DH355" i="2"/>
  <c r="DI355" i="2"/>
  <c r="DL355" i="2"/>
  <c r="DM355" i="2"/>
  <c r="DU355" i="2"/>
  <c r="CP355" i="2" s="1"/>
  <c r="BM792" i="2"/>
  <c r="BO792" i="2" s="1"/>
  <c r="BP792" i="2"/>
  <c r="BS792" i="2"/>
  <c r="BU792" i="2" s="1"/>
  <c r="BV792" i="2"/>
  <c r="CB792" i="2"/>
  <c r="CH792" i="2"/>
  <c r="CN792" i="2"/>
  <c r="CT792" i="2"/>
  <c r="CZ792" i="2"/>
  <c r="DG792" i="2"/>
  <c r="DH792" i="2"/>
  <c r="DI792" i="2"/>
  <c r="DJ792" i="2"/>
  <c r="DL792" i="2"/>
  <c r="DM792" i="2"/>
  <c r="DU792" i="2"/>
  <c r="CD792" i="2" s="1"/>
  <c r="BM829" i="2"/>
  <c r="BO829" i="2" s="1"/>
  <c r="BP829" i="2"/>
  <c r="BS829" i="2"/>
  <c r="BU829" i="2" s="1"/>
  <c r="BV829" i="2"/>
  <c r="BY829" i="2"/>
  <c r="CA829" i="2" s="1"/>
  <c r="CB829" i="2"/>
  <c r="CH829" i="2"/>
  <c r="CN829" i="2"/>
  <c r="CT829" i="2"/>
  <c r="CZ829" i="2"/>
  <c r="DG829" i="2"/>
  <c r="DH829" i="2"/>
  <c r="DI829" i="2"/>
  <c r="DL829" i="2"/>
  <c r="DM829" i="2"/>
  <c r="DU829" i="2"/>
  <c r="CP829" i="2" s="1"/>
  <c r="CQ829" i="2" s="1"/>
  <c r="BM1017" i="2"/>
  <c r="BO1017" i="2" s="1"/>
  <c r="BP1017" i="2"/>
  <c r="BS1017" i="2"/>
  <c r="BU1017" i="2" s="1"/>
  <c r="BV1017" i="2"/>
  <c r="BY1017" i="2"/>
  <c r="CA1017" i="2" s="1"/>
  <c r="CB1017" i="2"/>
  <c r="CH1017" i="2"/>
  <c r="CN1017" i="2"/>
  <c r="CT1017" i="2"/>
  <c r="CZ1017" i="2"/>
  <c r="DG1017" i="2"/>
  <c r="DH1017" i="2"/>
  <c r="DI1017" i="2"/>
  <c r="DU1017" i="2"/>
  <c r="CJ1017" i="2" s="1"/>
  <c r="BM83" i="2"/>
  <c r="BO83" i="2" s="1"/>
  <c r="BP83" i="2"/>
  <c r="BS83" i="2"/>
  <c r="BU83" i="2" s="1"/>
  <c r="BV83" i="2"/>
  <c r="BY83" i="2"/>
  <c r="CA83" i="2" s="1"/>
  <c r="CB83" i="2"/>
  <c r="CH83" i="2"/>
  <c r="CN83" i="2"/>
  <c r="CT83" i="2"/>
  <c r="CZ83" i="2"/>
  <c r="DG83" i="2"/>
  <c r="DH83" i="2"/>
  <c r="DI83" i="2"/>
  <c r="DL83" i="2"/>
  <c r="DM83" i="2"/>
  <c r="DS83" i="2"/>
  <c r="DU83" i="2" s="1"/>
  <c r="CJ83" i="2" s="1"/>
  <c r="CK83" i="2" s="1"/>
  <c r="CM83" i="2" s="1"/>
  <c r="DV83" i="2"/>
  <c r="BM59" i="2"/>
  <c r="BO59" i="2" s="1"/>
  <c r="BP59" i="2"/>
  <c r="BS59" i="2"/>
  <c r="BU59" i="2" s="1"/>
  <c r="BV59" i="2"/>
  <c r="CB59" i="2"/>
  <c r="CH59" i="2"/>
  <c r="CN59" i="2"/>
  <c r="CT59" i="2"/>
  <c r="CZ59" i="2"/>
  <c r="DH59" i="2"/>
  <c r="DQ59" i="2"/>
  <c r="DK59" i="2" s="1"/>
  <c r="IO59" i="2" s="1"/>
  <c r="DU59" i="2"/>
  <c r="BX59" i="2" s="1"/>
  <c r="BM799" i="2"/>
  <c r="BO799" i="2" s="1"/>
  <c r="BP799" i="2"/>
  <c r="BS799" i="2"/>
  <c r="BU799" i="2" s="1"/>
  <c r="BV799" i="2"/>
  <c r="BY799" i="2"/>
  <c r="CA799" i="2" s="1"/>
  <c r="CB799" i="2"/>
  <c r="CH799" i="2"/>
  <c r="CN799" i="2"/>
  <c r="CT799" i="2"/>
  <c r="CZ799" i="2"/>
  <c r="DH799" i="2"/>
  <c r="DQ799" i="2"/>
  <c r="DU799" i="2"/>
  <c r="CJ799" i="2" s="1"/>
  <c r="BM238" i="2"/>
  <c r="BO238" i="2" s="1"/>
  <c r="BP238" i="2"/>
  <c r="BS238" i="2"/>
  <c r="BU238" i="2" s="1"/>
  <c r="BV238" i="2"/>
  <c r="CB238" i="2"/>
  <c r="CH238" i="2"/>
  <c r="CN238" i="2"/>
  <c r="CT238" i="2"/>
  <c r="CZ238" i="2"/>
  <c r="DH238" i="2"/>
  <c r="DI238" i="2" s="1"/>
  <c r="DQ238" i="2"/>
  <c r="DU238" i="2"/>
  <c r="BX238" i="2" s="1"/>
  <c r="BM236" i="2"/>
  <c r="BO236" i="2" s="1"/>
  <c r="BP236" i="2"/>
  <c r="BS236" i="2"/>
  <c r="BU236" i="2" s="1"/>
  <c r="BV236" i="2"/>
  <c r="CB236" i="2"/>
  <c r="CH236" i="2"/>
  <c r="CN236" i="2"/>
  <c r="CT236" i="2"/>
  <c r="CZ236" i="2"/>
  <c r="DH236" i="2"/>
  <c r="DI236" i="2" s="1"/>
  <c r="DQ236" i="2"/>
  <c r="DU236" i="2"/>
  <c r="CJ236" i="2" s="1"/>
  <c r="CK236" i="2" s="1"/>
  <c r="BM733" i="2"/>
  <c r="BO733" i="2" s="1"/>
  <c r="BP733" i="2"/>
  <c r="BS733" i="2"/>
  <c r="BU733" i="2" s="1"/>
  <c r="BV733" i="2"/>
  <c r="BY733" i="2"/>
  <c r="CA733" i="2" s="1"/>
  <c r="CB733" i="2"/>
  <c r="CE733" i="2"/>
  <c r="CG733" i="2" s="1"/>
  <c r="CH733" i="2"/>
  <c r="CN733" i="2"/>
  <c r="CT733" i="2"/>
  <c r="CZ733" i="2"/>
  <c r="DH733" i="2"/>
  <c r="DI733" i="2" s="1"/>
  <c r="DQ733" i="2"/>
  <c r="DU733" i="2"/>
  <c r="CP733" i="2" s="1"/>
  <c r="CQ733" i="2" s="1"/>
  <c r="CS733" i="2" s="1"/>
  <c r="BM246" i="2"/>
  <c r="BO246" i="2" s="1"/>
  <c r="BP246" i="2"/>
  <c r="BS246" i="2"/>
  <c r="BU246" i="2" s="1"/>
  <c r="BV246" i="2"/>
  <c r="BY246" i="2"/>
  <c r="CA246" i="2" s="1"/>
  <c r="CB246" i="2"/>
  <c r="CH246" i="2"/>
  <c r="CN246" i="2"/>
  <c r="CT246" i="2"/>
  <c r="CZ246" i="2"/>
  <c r="DH246" i="2"/>
  <c r="DI246" i="2" s="1"/>
  <c r="DQ246" i="2"/>
  <c r="DU246" i="2"/>
  <c r="CP246" i="2" s="1"/>
  <c r="CQ246" i="2" s="1"/>
  <c r="BM624" i="2"/>
  <c r="BO624" i="2" s="1"/>
  <c r="BP624" i="2"/>
  <c r="BS624" i="2"/>
  <c r="BU624" i="2" s="1"/>
  <c r="BV624" i="2"/>
  <c r="BY624" i="2"/>
  <c r="CA624" i="2" s="1"/>
  <c r="CB624" i="2"/>
  <c r="CH624" i="2"/>
  <c r="CN624" i="2"/>
  <c r="CT624" i="2"/>
  <c r="CZ624" i="2"/>
  <c r="DG624" i="2"/>
  <c r="DH624" i="2"/>
  <c r="DI624" i="2" s="1"/>
  <c r="DQ624" i="2"/>
  <c r="DU624" i="2"/>
  <c r="CJ624" i="2" s="1"/>
  <c r="BM237" i="2"/>
  <c r="BO237" i="2" s="1"/>
  <c r="BP237" i="2"/>
  <c r="BS237" i="2"/>
  <c r="BU237" i="2" s="1"/>
  <c r="BV237" i="2"/>
  <c r="BY237" i="2"/>
  <c r="CA237" i="2" s="1"/>
  <c r="CB237" i="2"/>
  <c r="CH237" i="2"/>
  <c r="CN237" i="2"/>
  <c r="CT237" i="2"/>
  <c r="CZ237" i="2"/>
  <c r="DH237" i="2"/>
  <c r="DI237" i="2" s="1"/>
  <c r="DQ237" i="2"/>
  <c r="DU237" i="2"/>
  <c r="CV237" i="2" s="1"/>
  <c r="CY237" i="2" s="1"/>
  <c r="BK527" i="2"/>
  <c r="BM527" i="2" s="1"/>
  <c r="BN527" i="2"/>
  <c r="BQ527" i="2"/>
  <c r="BS527" i="2" s="1"/>
  <c r="BT527" i="2"/>
  <c r="BW527" i="2"/>
  <c r="BY527" i="2" s="1"/>
  <c r="BX527" i="2" s="1"/>
  <c r="CA527" i="2" s="1"/>
  <c r="CC527" i="2"/>
  <c r="CE527" i="2" s="1"/>
  <c r="CD527" i="2" s="1"/>
  <c r="CI527" i="2"/>
  <c r="CK527" i="2" s="1"/>
  <c r="CJ527" i="2" s="1"/>
  <c r="CO527" i="2"/>
  <c r="CQ527" i="2" s="1"/>
  <c r="CP527" i="2" s="1"/>
  <c r="CS527" i="2" s="1"/>
  <c r="DF527" i="2"/>
  <c r="DG527" i="2"/>
  <c r="DH527" i="2"/>
  <c r="DI527" i="2"/>
  <c r="DK527" i="2"/>
  <c r="DL527" i="2"/>
  <c r="DS527" i="2"/>
  <c r="DT527" i="2"/>
  <c r="BK897" i="2"/>
  <c r="BM897" i="2" s="1"/>
  <c r="BN897" i="2"/>
  <c r="BQ897" i="2"/>
  <c r="BS897" i="2" s="1"/>
  <c r="BT897" i="2"/>
  <c r="BW897" i="2"/>
  <c r="BY897" i="2" s="1"/>
  <c r="BX897" i="2" s="1"/>
  <c r="CC897" i="2"/>
  <c r="CE897" i="2" s="1"/>
  <c r="CD897" i="2" s="1"/>
  <c r="CI897" i="2"/>
  <c r="CK897" i="2" s="1"/>
  <c r="CJ897" i="2" s="1"/>
  <c r="CM897" i="2" s="1"/>
  <c r="CO897" i="2"/>
  <c r="CQ897" i="2" s="1"/>
  <c r="CP897" i="2" s="1"/>
  <c r="CS897" i="2" s="1"/>
  <c r="DF897" i="2"/>
  <c r="DG897" i="2"/>
  <c r="DH897" i="2"/>
  <c r="DL897" i="2"/>
  <c r="DP897" i="2" s="1"/>
  <c r="DS897" i="2"/>
  <c r="CZ897" i="2" s="1"/>
  <c r="IO2" i="11"/>
  <c r="BM511" i="2"/>
  <c r="BO511" i="2" s="1"/>
  <c r="BP511" i="2"/>
  <c r="BS511" i="2"/>
  <c r="BU511" i="2" s="1"/>
  <c r="BV511" i="2"/>
  <c r="BY511" i="2"/>
  <c r="CA511" i="2" s="1"/>
  <c r="CB511" i="2"/>
  <c r="CE511" i="2"/>
  <c r="CG511" i="2" s="1"/>
  <c r="CH511" i="2"/>
  <c r="CJ511" i="2"/>
  <c r="CK511" i="2" s="1"/>
  <c r="CM511" i="2" s="1"/>
  <c r="CN511" i="2"/>
  <c r="CP511" i="2"/>
  <c r="CQ511" i="2" s="1"/>
  <c r="CT511" i="2"/>
  <c r="CZ511" i="2"/>
  <c r="DG511" i="2"/>
  <c r="DH511" i="2"/>
  <c r="DI511" i="2"/>
  <c r="DJ511" i="2"/>
  <c r="DS511" i="2"/>
  <c r="DU511" i="2" s="1"/>
  <c r="CV511" i="2" s="1"/>
  <c r="BM488" i="2"/>
  <c r="BO488" i="2" s="1"/>
  <c r="BP488" i="2"/>
  <c r="BS488" i="2"/>
  <c r="BU488" i="2" s="1"/>
  <c r="BV488" i="2"/>
  <c r="BY488" i="2"/>
  <c r="CA488" i="2" s="1"/>
  <c r="CB488" i="2"/>
  <c r="CE488" i="2"/>
  <c r="CG488" i="2" s="1"/>
  <c r="CH488" i="2"/>
  <c r="CN488" i="2"/>
  <c r="CT488" i="2"/>
  <c r="CZ488" i="2"/>
  <c r="DG488" i="2"/>
  <c r="DH488" i="2"/>
  <c r="DI488" i="2" s="1"/>
  <c r="DQ488" i="2"/>
  <c r="DU488" i="2"/>
  <c r="CJ488" i="2" s="1"/>
  <c r="CK488" i="2" s="1"/>
  <c r="BM489" i="2"/>
  <c r="BO489" i="2" s="1"/>
  <c r="BP489" i="2"/>
  <c r="BS489" i="2"/>
  <c r="BU489" i="2" s="1"/>
  <c r="BV489" i="2"/>
  <c r="BY489" i="2"/>
  <c r="CA489" i="2" s="1"/>
  <c r="CB489" i="2"/>
  <c r="CE489" i="2"/>
  <c r="CG489" i="2" s="1"/>
  <c r="CH489" i="2"/>
  <c r="CN489" i="2"/>
  <c r="CT489" i="2"/>
  <c r="CZ489" i="2"/>
  <c r="DG489" i="2"/>
  <c r="DH489" i="2"/>
  <c r="DI489" i="2" s="1"/>
  <c r="DQ489" i="2"/>
  <c r="DU489" i="2"/>
  <c r="CP489" i="2" s="1"/>
  <c r="CQ489" i="2" s="1"/>
  <c r="CS489" i="2" s="1"/>
  <c r="BM487" i="2"/>
  <c r="BO487" i="2" s="1"/>
  <c r="BP487" i="2"/>
  <c r="BS487" i="2"/>
  <c r="BU487" i="2" s="1"/>
  <c r="BV487" i="2"/>
  <c r="BY487" i="2"/>
  <c r="CA487" i="2" s="1"/>
  <c r="CB487" i="2"/>
  <c r="CE487" i="2"/>
  <c r="CG487" i="2" s="1"/>
  <c r="CH487" i="2"/>
  <c r="CN487" i="2"/>
  <c r="CT487" i="2"/>
  <c r="CZ487" i="2"/>
  <c r="DG487" i="2"/>
  <c r="DH487" i="2"/>
  <c r="DI487" i="2" s="1"/>
  <c r="DQ487" i="2"/>
  <c r="DU487" i="2"/>
  <c r="BJ487" i="2" s="1"/>
  <c r="DU10" i="11"/>
  <c r="CJ10" i="11" s="1"/>
  <c r="DQ10" i="11"/>
  <c r="DI10" i="11"/>
  <c r="DH10" i="11"/>
  <c r="DG10" i="11"/>
  <c r="CZ10" i="11"/>
  <c r="CV10" i="11"/>
  <c r="DA10" i="11" s="1"/>
  <c r="CP10" i="11"/>
  <c r="CQ10" i="11" s="1"/>
  <c r="BY10" i="11"/>
  <c r="BU10" i="11"/>
  <c r="BT10" i="11"/>
  <c r="BW10" i="11" s="1"/>
  <c r="BS10" i="11"/>
  <c r="BM10" i="11"/>
  <c r="BO10" i="11" s="1"/>
  <c r="BN10" i="11" s="1"/>
  <c r="DU9" i="11"/>
  <c r="CP9" i="11" s="1"/>
  <c r="CD9" i="11"/>
  <c r="CE9" i="11" s="1"/>
  <c r="DQ9" i="11"/>
  <c r="DI9" i="11"/>
  <c r="DH9" i="11"/>
  <c r="DG9" i="11"/>
  <c r="DK9" i="11"/>
  <c r="BG9" i="11"/>
  <c r="BH9" i="11"/>
  <c r="BI9" i="11"/>
  <c r="DD9" i="11"/>
  <c r="CZ9" i="11"/>
  <c r="BV9" i="11"/>
  <c r="BS9" i="11"/>
  <c r="BU9" i="11" s="1"/>
  <c r="BP9" i="11"/>
  <c r="BM9" i="11"/>
  <c r="BO9" i="11" s="1"/>
  <c r="DV8" i="11"/>
  <c r="DS8" i="11"/>
  <c r="DU8" i="11" s="1"/>
  <c r="DM8" i="11"/>
  <c r="DL8" i="11"/>
  <c r="DQ8" i="11"/>
  <c r="DI8" i="11"/>
  <c r="DH8" i="11"/>
  <c r="DG8" i="11"/>
  <c r="CZ8" i="11"/>
  <c r="BY8" i="11"/>
  <c r="CA8" i="11" s="1"/>
  <c r="BZ8" i="11" s="1"/>
  <c r="BV8" i="11"/>
  <c r="BS8" i="11"/>
  <c r="BP8" i="11"/>
  <c r="BM8" i="11"/>
  <c r="BO8" i="11" s="1"/>
  <c r="DU7" i="11"/>
  <c r="CJ7" i="11" s="1"/>
  <c r="DO7" i="11"/>
  <c r="DL7" i="11"/>
  <c r="DQ7" i="11"/>
  <c r="DI7" i="11"/>
  <c r="DH7" i="11"/>
  <c r="DG7" i="11"/>
  <c r="CZ7" i="11"/>
  <c r="CV7" i="11"/>
  <c r="DA7" i="11"/>
  <c r="CD7" i="11"/>
  <c r="CE7" i="11" s="1"/>
  <c r="BY7" i="11"/>
  <c r="BV7" i="11"/>
  <c r="BT7" i="11" s="1"/>
  <c r="BW7" i="11" s="1"/>
  <c r="BU7" i="11"/>
  <c r="BS7" i="11"/>
  <c r="BP7" i="11"/>
  <c r="BM7" i="11"/>
  <c r="BO7" i="11"/>
  <c r="BJ7" i="11"/>
  <c r="DU6" i="11"/>
  <c r="CJ6" i="11" s="1"/>
  <c r="CP6" i="11"/>
  <c r="CQ6" i="11" s="1"/>
  <c r="DM6" i="11"/>
  <c r="DL6" i="11"/>
  <c r="DQ6" i="11" s="1"/>
  <c r="DI6" i="11"/>
  <c r="DH6" i="11"/>
  <c r="DG6" i="11"/>
  <c r="CZ6" i="11"/>
  <c r="CV6" i="11"/>
  <c r="DA6" i="11" s="1"/>
  <c r="BY6" i="11"/>
  <c r="BV6" i="11"/>
  <c r="BS6" i="11"/>
  <c r="BP6" i="11"/>
  <c r="BN6" i="11" s="1"/>
  <c r="BO6" i="11"/>
  <c r="BM6" i="11"/>
  <c r="DU5" i="11"/>
  <c r="BX5" i="11" s="1"/>
  <c r="CP5" i="11"/>
  <c r="CQ5" i="11" s="1"/>
  <c r="DO5" i="11"/>
  <c r="DM5" i="11"/>
  <c r="DL5" i="11"/>
  <c r="DQ5" i="11" s="1"/>
  <c r="DJ5" i="11"/>
  <c r="DI5" i="11"/>
  <c r="DH5" i="11"/>
  <c r="DG5" i="11"/>
  <c r="CZ5" i="11"/>
  <c r="CV5" i="11"/>
  <c r="DA5" i="11" s="1"/>
  <c r="CY5" i="11"/>
  <c r="BS5" i="11"/>
  <c r="BP5" i="11"/>
  <c r="BM5" i="11"/>
  <c r="BO5" i="11" s="1"/>
  <c r="DU4" i="11"/>
  <c r="BJ4" i="11" s="1"/>
  <c r="CV4" i="11"/>
  <c r="DA4" i="11" s="1"/>
  <c r="DM4" i="11"/>
  <c r="DQ4" i="11" s="1"/>
  <c r="DL4" i="11"/>
  <c r="DI4" i="11"/>
  <c r="DH4" i="11"/>
  <c r="DG4" i="11"/>
  <c r="CZ4" i="11"/>
  <c r="CK4" i="11"/>
  <c r="CM4" i="11" s="1"/>
  <c r="CL4" i="11" s="1"/>
  <c r="CG4" i="11"/>
  <c r="CF4" i="11"/>
  <c r="CI4" i="11"/>
  <c r="BY4" i="11"/>
  <c r="CA4" i="11" s="1"/>
  <c r="BZ4" i="11" s="1"/>
  <c r="CC4" i="11" s="1"/>
  <c r="BV4" i="11"/>
  <c r="BS4" i="11"/>
  <c r="BU4" i="11" s="1"/>
  <c r="BP4" i="11"/>
  <c r="BM4" i="11"/>
  <c r="BO4" i="11"/>
  <c r="DU3" i="11"/>
  <c r="CV3" i="11"/>
  <c r="DO3" i="11"/>
  <c r="DQ3" i="11"/>
  <c r="DL3" i="11"/>
  <c r="DI3" i="11"/>
  <c r="DH3" i="11"/>
  <c r="DG3" i="11"/>
  <c r="CZ3" i="11"/>
  <c r="CJ3" i="11"/>
  <c r="CK3" i="11" s="1"/>
  <c r="CE3" i="11"/>
  <c r="CD3" i="11"/>
  <c r="BY3" i="11"/>
  <c r="BV3" i="11"/>
  <c r="BS3" i="11"/>
  <c r="BU3" i="11" s="1"/>
  <c r="BP3" i="11"/>
  <c r="BM3" i="11"/>
  <c r="DU2" i="11"/>
  <c r="CP2" i="11" s="1"/>
  <c r="DM2" i="11"/>
  <c r="DL2" i="11"/>
  <c r="DQ2" i="11"/>
  <c r="DI2" i="11"/>
  <c r="DH2" i="11"/>
  <c r="DG2" i="11"/>
  <c r="CZ2" i="11"/>
  <c r="CV2" i="11"/>
  <c r="CY2" i="11" s="1"/>
  <c r="BY2" i="11"/>
  <c r="BS2" i="11"/>
  <c r="BU2" i="11" s="1"/>
  <c r="BT2" i="11" s="1"/>
  <c r="BW2" i="11" s="1"/>
  <c r="BM2" i="11"/>
  <c r="BQ2" i="11" s="1"/>
  <c r="BO2" i="11"/>
  <c r="BN2" i="11" s="1"/>
  <c r="BM212" i="2"/>
  <c r="BO212" i="2" s="1"/>
  <c r="BP212" i="2"/>
  <c r="BS212" i="2"/>
  <c r="BU212" i="2" s="1"/>
  <c r="BV212" i="2"/>
  <c r="BY212" i="2"/>
  <c r="CA212" i="2" s="1"/>
  <c r="CB212" i="2"/>
  <c r="CH212" i="2"/>
  <c r="CN212" i="2"/>
  <c r="CT212" i="2"/>
  <c r="CZ212" i="2"/>
  <c r="DG212" i="2"/>
  <c r="DH212" i="2"/>
  <c r="DI212" i="2" s="1"/>
  <c r="DL212" i="2"/>
  <c r="DM212" i="2"/>
  <c r="DU212" i="2"/>
  <c r="CJ212" i="2" s="1"/>
  <c r="CK212" i="2" s="1"/>
  <c r="BM504" i="2"/>
  <c r="BO504" i="2" s="1"/>
  <c r="BP504" i="2"/>
  <c r="BS504" i="2"/>
  <c r="BU504" i="2" s="1"/>
  <c r="BV504" i="2"/>
  <c r="BY504" i="2"/>
  <c r="CA504" i="2" s="1"/>
  <c r="CB504" i="2"/>
  <c r="CH504" i="2"/>
  <c r="CN504" i="2"/>
  <c r="CT504" i="2"/>
  <c r="CZ504" i="2"/>
  <c r="DG504" i="2"/>
  <c r="DH504" i="2"/>
  <c r="DI504" i="2"/>
  <c r="DL504" i="2"/>
  <c r="DM504" i="2"/>
  <c r="DU504" i="2"/>
  <c r="BJ504" i="2" s="1"/>
  <c r="BM69" i="2"/>
  <c r="BO69" i="2" s="1"/>
  <c r="BP69" i="2"/>
  <c r="BS69" i="2"/>
  <c r="BU69" i="2" s="1"/>
  <c r="BV69" i="2"/>
  <c r="BY69" i="2"/>
  <c r="CA69" i="2" s="1"/>
  <c r="CB69" i="2"/>
  <c r="CH69" i="2"/>
  <c r="CN69" i="2"/>
  <c r="CT69" i="2"/>
  <c r="CZ69" i="2"/>
  <c r="DG69" i="2"/>
  <c r="DH69" i="2"/>
  <c r="DI69" i="2" s="1"/>
  <c r="DQ69" i="2"/>
  <c r="DU69" i="2"/>
  <c r="BJ69" i="2" s="1"/>
  <c r="BM678" i="2"/>
  <c r="BO678" i="2" s="1"/>
  <c r="BP678" i="2"/>
  <c r="BS678" i="2"/>
  <c r="BU678" i="2" s="1"/>
  <c r="BV678" i="2"/>
  <c r="BY678" i="2"/>
  <c r="CA678" i="2" s="1"/>
  <c r="CB678" i="2"/>
  <c r="CE678" i="2"/>
  <c r="CG678" i="2" s="1"/>
  <c r="CH678" i="2"/>
  <c r="CN678" i="2"/>
  <c r="CT678" i="2"/>
  <c r="CZ678" i="2"/>
  <c r="DG678" i="2"/>
  <c r="DH678" i="2"/>
  <c r="DI678" i="2" s="1"/>
  <c r="DQ678" i="2"/>
  <c r="DU678" i="2"/>
  <c r="CJ678" i="2" s="1"/>
  <c r="BM201" i="2"/>
  <c r="BO201" i="2" s="1"/>
  <c r="BP201" i="2"/>
  <c r="BS201" i="2"/>
  <c r="BU201" i="2" s="1"/>
  <c r="BV201" i="2"/>
  <c r="BY201" i="2"/>
  <c r="CA201" i="2" s="1"/>
  <c r="CB201" i="2"/>
  <c r="CH201" i="2"/>
  <c r="CN201" i="2"/>
  <c r="CT201" i="2"/>
  <c r="CZ201" i="2"/>
  <c r="DG201" i="2"/>
  <c r="DH201" i="2"/>
  <c r="DI201" i="2" s="1"/>
  <c r="DQ201" i="2"/>
  <c r="DU201" i="2"/>
  <c r="CD201" i="2" s="1"/>
  <c r="BM1002" i="2"/>
  <c r="BO1002" i="2" s="1"/>
  <c r="BP1002" i="2"/>
  <c r="BS1002" i="2"/>
  <c r="BU1002" i="2" s="1"/>
  <c r="BV1002" i="2"/>
  <c r="CB1002" i="2"/>
  <c r="CH1002" i="2"/>
  <c r="CN1002" i="2"/>
  <c r="CT1002" i="2"/>
  <c r="CZ1002" i="2"/>
  <c r="DH1002" i="2"/>
  <c r="DI1002" i="2" s="1"/>
  <c r="DQ1002" i="2"/>
  <c r="DU1002" i="2"/>
  <c r="BJ1002" i="2" s="1"/>
  <c r="BM473" i="2"/>
  <c r="BO473" i="2" s="1"/>
  <c r="BP473" i="2"/>
  <c r="BS473" i="2"/>
  <c r="BU473" i="2" s="1"/>
  <c r="BV473" i="2"/>
  <c r="CB473" i="2"/>
  <c r="CH473" i="2"/>
  <c r="CN473" i="2"/>
  <c r="CT473" i="2"/>
  <c r="CZ473" i="2"/>
  <c r="DG473" i="2"/>
  <c r="DI473" i="2"/>
  <c r="DL473" i="2"/>
  <c r="DM473" i="2"/>
  <c r="DN473" i="2"/>
  <c r="DH473" i="2" s="1"/>
  <c r="DU473" i="2"/>
  <c r="BJ473" i="2" s="1"/>
  <c r="BM301" i="2"/>
  <c r="BO301" i="2" s="1"/>
  <c r="BP301" i="2"/>
  <c r="BS301" i="2"/>
  <c r="BU301" i="2" s="1"/>
  <c r="BV301" i="2"/>
  <c r="CB301" i="2"/>
  <c r="CH301" i="2"/>
  <c r="CN301" i="2"/>
  <c r="CT301" i="2"/>
  <c r="CZ301" i="2"/>
  <c r="DG301" i="2"/>
  <c r="DI301" i="2"/>
  <c r="DJ301" i="2"/>
  <c r="DL301" i="2"/>
  <c r="DM301" i="2"/>
  <c r="DN301" i="2"/>
  <c r="DH301" i="2" s="1"/>
  <c r="DU301" i="2"/>
  <c r="BJ301" i="2" s="1"/>
  <c r="BM215" i="2"/>
  <c r="BO215" i="2" s="1"/>
  <c r="BP215" i="2"/>
  <c r="BS215" i="2"/>
  <c r="BU215" i="2" s="1"/>
  <c r="BV215" i="2"/>
  <c r="CB215" i="2"/>
  <c r="CH215" i="2"/>
  <c r="CN215" i="2"/>
  <c r="CT215" i="2"/>
  <c r="CZ215" i="2"/>
  <c r="DG215" i="2"/>
  <c r="DH215" i="2"/>
  <c r="DI215" i="2" s="1"/>
  <c r="DL215" i="2"/>
  <c r="DM215" i="2"/>
  <c r="DU215" i="2"/>
  <c r="BJ215" i="2" s="1"/>
  <c r="BM614" i="2"/>
  <c r="BO614" i="2" s="1"/>
  <c r="BP614" i="2"/>
  <c r="BS614" i="2"/>
  <c r="BU614" i="2" s="1"/>
  <c r="BV614" i="2"/>
  <c r="BY614" i="2"/>
  <c r="CA614" i="2" s="1"/>
  <c r="CB614" i="2"/>
  <c r="CH614" i="2"/>
  <c r="CN614" i="2"/>
  <c r="CT614" i="2"/>
  <c r="CZ614" i="2"/>
  <c r="DG614" i="2"/>
  <c r="DH614" i="2"/>
  <c r="DI614" i="2" s="1"/>
  <c r="DU614" i="2"/>
  <c r="CP614" i="2" s="1"/>
  <c r="BM615" i="2"/>
  <c r="BO615" i="2" s="1"/>
  <c r="BP615" i="2"/>
  <c r="BS615" i="2"/>
  <c r="BU615" i="2" s="1"/>
  <c r="BV615" i="2"/>
  <c r="BY615" i="2"/>
  <c r="CA615" i="2" s="1"/>
  <c r="CB615" i="2"/>
  <c r="CH615" i="2"/>
  <c r="CN615" i="2"/>
  <c r="CT615" i="2"/>
  <c r="CZ615" i="2"/>
  <c r="DG615" i="2"/>
  <c r="DH615" i="2"/>
  <c r="DI615" i="2" s="1"/>
  <c r="DU615" i="2"/>
  <c r="BJ615" i="2" s="1"/>
  <c r="BM616" i="2"/>
  <c r="BO616" i="2" s="1"/>
  <c r="BP616" i="2"/>
  <c r="BS616" i="2"/>
  <c r="BU616" i="2" s="1"/>
  <c r="BV616" i="2"/>
  <c r="BY616" i="2"/>
  <c r="CA616" i="2" s="1"/>
  <c r="CB616" i="2"/>
  <c r="CH616" i="2"/>
  <c r="CN616" i="2"/>
  <c r="CT616" i="2"/>
  <c r="CZ616" i="2"/>
  <c r="DG616" i="2"/>
  <c r="DH616" i="2"/>
  <c r="DI616" i="2" s="1"/>
  <c r="DU616" i="2"/>
  <c r="CJ616" i="2" s="1"/>
  <c r="BM386" i="2"/>
  <c r="BP386" i="2"/>
  <c r="BS386" i="2"/>
  <c r="BU386" i="2" s="1"/>
  <c r="BV386" i="2"/>
  <c r="BY386" i="2"/>
  <c r="CA386" i="2" s="1"/>
  <c r="CB386" i="2"/>
  <c r="CH386" i="2"/>
  <c r="CN386" i="2"/>
  <c r="CT386" i="2"/>
  <c r="CZ386" i="2"/>
  <c r="DG386" i="2"/>
  <c r="DH386" i="2"/>
  <c r="DI386" i="2"/>
  <c r="DL386" i="2"/>
  <c r="DM386" i="2"/>
  <c r="DU386" i="2"/>
  <c r="CY3" i="11"/>
  <c r="DA3" i="11"/>
  <c r="CD5" i="11"/>
  <c r="CE5" i="11" s="1"/>
  <c r="CA2" i="11"/>
  <c r="BZ2" i="11"/>
  <c r="CC2" i="11" s="1"/>
  <c r="DO4" i="11"/>
  <c r="BJ3" i="11"/>
  <c r="CY7" i="11"/>
  <c r="CJ9" i="11"/>
  <c r="CA3" i="11"/>
  <c r="BZ3" i="11"/>
  <c r="CC3" i="11"/>
  <c r="CP3" i="11"/>
  <c r="CQ3" i="11" s="1"/>
  <c r="CS3" i="11" s="1"/>
  <c r="CR3" i="11" s="1"/>
  <c r="CA6" i="11"/>
  <c r="BZ6" i="11" s="1"/>
  <c r="BU5" i="11"/>
  <c r="BT5" i="11"/>
  <c r="BW5" i="11"/>
  <c r="CJ5" i="11"/>
  <c r="CK5" i="11" s="1"/>
  <c r="BJ5" i="11"/>
  <c r="BM640" i="2"/>
  <c r="BP640" i="2"/>
  <c r="BS640" i="2"/>
  <c r="BU640" i="2" s="1"/>
  <c r="BV640" i="2"/>
  <c r="BY640" i="2"/>
  <c r="CA640" i="2" s="1"/>
  <c r="CB640" i="2"/>
  <c r="CE640" i="2"/>
  <c r="CG640" i="2" s="1"/>
  <c r="CH640" i="2"/>
  <c r="CK640" i="2"/>
  <c r="CM640" i="2" s="1"/>
  <c r="CN640" i="2"/>
  <c r="CQ640" i="2"/>
  <c r="CS640" i="2" s="1"/>
  <c r="CR640" i="2" s="1"/>
  <c r="DB640" i="2"/>
  <c r="DG640" i="2"/>
  <c r="DH640" i="2"/>
  <c r="DQ640" i="2"/>
  <c r="DU640" i="2"/>
  <c r="BJ640" i="2" s="1"/>
  <c r="BM863" i="2"/>
  <c r="BO863" i="2" s="1"/>
  <c r="BP863" i="2"/>
  <c r="BS863" i="2"/>
  <c r="BU863" i="2" s="1"/>
  <c r="BV863" i="2"/>
  <c r="BY863" i="2"/>
  <c r="CA863" i="2" s="1"/>
  <c r="CB863" i="2"/>
  <c r="CE863" i="2"/>
  <c r="CG863" i="2" s="1"/>
  <c r="CH863" i="2"/>
  <c r="CN863" i="2"/>
  <c r="CT863" i="2"/>
  <c r="DB863" i="2"/>
  <c r="DC863" i="2" s="1"/>
  <c r="DO863" i="2"/>
  <c r="CP863" i="2" s="1"/>
  <c r="BM283" i="2"/>
  <c r="BO283" i="2" s="1"/>
  <c r="BP283" i="2"/>
  <c r="BS283" i="2"/>
  <c r="BU283" i="2" s="1"/>
  <c r="BV283" i="2"/>
  <c r="CB283" i="2"/>
  <c r="CH283" i="2"/>
  <c r="CN283" i="2"/>
  <c r="CT283" i="2"/>
  <c r="DB283" i="2"/>
  <c r="DC283" i="2" s="1"/>
  <c r="DK283" i="2"/>
  <c r="DO283" i="2"/>
  <c r="BJ283" i="2" s="1"/>
  <c r="BM358" i="2"/>
  <c r="BO358" i="2" s="1"/>
  <c r="BP358" i="2"/>
  <c r="BS358" i="2"/>
  <c r="BU358" i="2" s="1"/>
  <c r="BV358" i="2"/>
  <c r="BY358" i="2"/>
  <c r="CA358" i="2" s="1"/>
  <c r="CB358" i="2"/>
  <c r="CE358" i="2"/>
  <c r="CG358" i="2" s="1"/>
  <c r="CH358" i="2"/>
  <c r="CK358" i="2"/>
  <c r="CM358" i="2" s="1"/>
  <c r="CN358" i="2"/>
  <c r="CT358" i="2"/>
  <c r="DA358" i="2"/>
  <c r="DB358" i="2"/>
  <c r="DK358" i="2"/>
  <c r="DO358" i="2"/>
  <c r="BJ358" i="2" s="1"/>
  <c r="BM899" i="2"/>
  <c r="BO899" i="2" s="1"/>
  <c r="BP899" i="2"/>
  <c r="BS899" i="2"/>
  <c r="BU899" i="2" s="1"/>
  <c r="BV899" i="2"/>
  <c r="BY899" i="2"/>
  <c r="CA899" i="2" s="1"/>
  <c r="CB899" i="2"/>
  <c r="CH899" i="2"/>
  <c r="CN899" i="2"/>
  <c r="CV899" i="2"/>
  <c r="CW899" i="2"/>
  <c r="CX899" i="2" s="1"/>
  <c r="DF899" i="2"/>
  <c r="DJ899" i="2"/>
  <c r="CJ899" i="2" s="1"/>
  <c r="CK899" i="2" s="1"/>
  <c r="BM213" i="2"/>
  <c r="BP213" i="2"/>
  <c r="BS213" i="2"/>
  <c r="BU213" i="2" s="1"/>
  <c r="BV213" i="2"/>
  <c r="BY213" i="2"/>
  <c r="CA213" i="2" s="1"/>
  <c r="CB213" i="2"/>
  <c r="CH213" i="2"/>
  <c r="CN213" i="2"/>
  <c r="CV213" i="2"/>
  <c r="CW213" i="2"/>
  <c r="CX213" i="2" s="1"/>
  <c r="DF213" i="2"/>
  <c r="DJ213" i="2"/>
  <c r="CJ213" i="2" s="1"/>
  <c r="BM214" i="2"/>
  <c r="BO214" i="2" s="1"/>
  <c r="BP214" i="2"/>
  <c r="BS214" i="2"/>
  <c r="BU214" i="2" s="1"/>
  <c r="BV214" i="2"/>
  <c r="BY214" i="2"/>
  <c r="CA214" i="2" s="1"/>
  <c r="CB214" i="2"/>
  <c r="CH214" i="2"/>
  <c r="CN214" i="2"/>
  <c r="CV214" i="2"/>
  <c r="CW214" i="2"/>
  <c r="CX214" i="2" s="1"/>
  <c r="DF214" i="2"/>
  <c r="DJ214" i="2"/>
  <c r="CP214" i="2" s="1"/>
  <c r="BM375" i="2"/>
  <c r="BO375" i="2" s="1"/>
  <c r="BP375" i="2"/>
  <c r="BS375" i="2"/>
  <c r="BU375" i="2" s="1"/>
  <c r="BV375" i="2"/>
  <c r="BY375" i="2"/>
  <c r="CA375" i="2" s="1"/>
  <c r="CB375" i="2"/>
  <c r="CV375" i="2"/>
  <c r="CW375" i="2"/>
  <c r="CX375" i="2" s="1"/>
  <c r="DF375" i="2"/>
  <c r="DH375" i="2"/>
  <c r="DJ375" i="2" s="1"/>
  <c r="BM911" i="2"/>
  <c r="BO911" i="2" s="1"/>
  <c r="BP911" i="2"/>
  <c r="BS911" i="2"/>
  <c r="BU911" i="2" s="1"/>
  <c r="BV911" i="2"/>
  <c r="BY911" i="2"/>
  <c r="CA911" i="2" s="1"/>
  <c r="CB911" i="2"/>
  <c r="CH911" i="2"/>
  <c r="CN911" i="2"/>
  <c r="CV911" i="2"/>
  <c r="CW911" i="2"/>
  <c r="CX911" i="2" s="1"/>
  <c r="DA911" i="2"/>
  <c r="DF911" i="2" s="1"/>
  <c r="DJ911" i="2"/>
  <c r="BJ911" i="2" s="1"/>
  <c r="BM587" i="2"/>
  <c r="BO587" i="2" s="1"/>
  <c r="BP587" i="2"/>
  <c r="BS587" i="2"/>
  <c r="BU587" i="2" s="1"/>
  <c r="BV587" i="2"/>
  <c r="BY587" i="2"/>
  <c r="CA587" i="2" s="1"/>
  <c r="CB587" i="2"/>
  <c r="CH587" i="2"/>
  <c r="CN587" i="2"/>
  <c r="CV587" i="2"/>
  <c r="CW587" i="2"/>
  <c r="CX587" i="2" s="1"/>
  <c r="DA587" i="2"/>
  <c r="DF587" i="2" s="1"/>
  <c r="DJ587" i="2"/>
  <c r="CD587" i="2" s="1"/>
  <c r="BM636" i="2"/>
  <c r="BO636" i="2" s="1"/>
  <c r="BP636" i="2"/>
  <c r="BS636" i="2"/>
  <c r="BU636" i="2" s="1"/>
  <c r="BV636" i="2"/>
  <c r="BY636" i="2"/>
  <c r="CA636" i="2" s="1"/>
  <c r="CB636" i="2"/>
  <c r="CH636" i="2"/>
  <c r="CN636" i="2"/>
  <c r="CV636" i="2"/>
  <c r="CW636" i="2"/>
  <c r="CX636" i="2" s="1"/>
  <c r="DF636" i="2"/>
  <c r="DJ636" i="2"/>
  <c r="CJ636" i="2" s="1"/>
  <c r="CK636" i="2" s="1"/>
  <c r="CM636" i="2" s="1"/>
  <c r="BM436" i="2"/>
  <c r="BO436" i="2" s="1"/>
  <c r="BP436" i="2"/>
  <c r="BS436" i="2"/>
  <c r="BU436" i="2" s="1"/>
  <c r="BV436" i="2"/>
  <c r="BY436" i="2"/>
  <c r="CB436" i="2"/>
  <c r="CH436" i="2"/>
  <c r="CN436" i="2"/>
  <c r="CV436" i="2"/>
  <c r="CW436" i="2"/>
  <c r="CX436" i="2" s="1"/>
  <c r="DF436" i="2"/>
  <c r="DJ436" i="2"/>
  <c r="CJ436" i="2" s="1"/>
  <c r="CK436" i="2" s="1"/>
  <c r="BM332" i="2"/>
  <c r="BO332" i="2" s="1"/>
  <c r="BP332" i="2"/>
  <c r="BS332" i="2"/>
  <c r="BU332" i="2" s="1"/>
  <c r="BV332" i="2"/>
  <c r="BY332" i="2"/>
  <c r="CA332" i="2" s="1"/>
  <c r="CB332" i="2"/>
  <c r="CE332" i="2"/>
  <c r="CG332" i="2" s="1"/>
  <c r="CH332" i="2"/>
  <c r="CN332" i="2"/>
  <c r="CV332" i="2"/>
  <c r="CW332" i="2"/>
  <c r="CX332" i="2" s="1"/>
  <c r="DF332" i="2"/>
  <c r="DJ332" i="2"/>
  <c r="CJ332" i="2" s="1"/>
  <c r="BM146" i="2"/>
  <c r="BO146" i="2" s="1"/>
  <c r="BP146" i="2"/>
  <c r="BS146" i="2"/>
  <c r="BV146" i="2"/>
  <c r="BY146" i="2"/>
  <c r="CA146" i="2" s="1"/>
  <c r="CB146" i="2"/>
  <c r="CH146" i="2"/>
  <c r="CN146" i="2"/>
  <c r="CV146" i="2"/>
  <c r="CW146" i="2"/>
  <c r="CX146" i="2" s="1"/>
  <c r="DF146" i="2"/>
  <c r="DJ146" i="2"/>
  <c r="CP146" i="2" s="1"/>
  <c r="BM174" i="2"/>
  <c r="BO174" i="2" s="1"/>
  <c r="BP174" i="2"/>
  <c r="BS174" i="2"/>
  <c r="BU174" i="2" s="1"/>
  <c r="BV174" i="2"/>
  <c r="BY174" i="2"/>
  <c r="CA174" i="2" s="1"/>
  <c r="CB174" i="2"/>
  <c r="CH174" i="2"/>
  <c r="CN174" i="2"/>
  <c r="CW174" i="2"/>
  <c r="CX174" i="2" s="1"/>
  <c r="DF174" i="2"/>
  <c r="DJ174" i="2"/>
  <c r="CD174" i="2" s="1"/>
  <c r="CE174" i="2" s="1"/>
  <c r="CG174" i="2" s="1"/>
  <c r="BM190" i="2"/>
  <c r="BO190" i="2" s="1"/>
  <c r="BP190" i="2"/>
  <c r="BS190" i="2"/>
  <c r="BU190" i="2" s="1"/>
  <c r="BV190" i="2"/>
  <c r="BY190" i="2"/>
  <c r="CA190" i="2" s="1"/>
  <c r="CB190" i="2"/>
  <c r="CH190" i="2"/>
  <c r="CN190" i="2"/>
  <c r="CU190" i="2"/>
  <c r="CV190" i="2"/>
  <c r="CW190" i="2" s="1"/>
  <c r="DE190" i="2"/>
  <c r="DI190" i="2"/>
  <c r="CJ190" i="2" s="1"/>
  <c r="BM651" i="2"/>
  <c r="BO651" i="2" s="1"/>
  <c r="BP651" i="2"/>
  <c r="BS651" i="2"/>
  <c r="BV651" i="2"/>
  <c r="BY651" i="2"/>
  <c r="CA651" i="2" s="1"/>
  <c r="CB651" i="2"/>
  <c r="CH651" i="2"/>
  <c r="CN651" i="2"/>
  <c r="CU651" i="2"/>
  <c r="CV651" i="2"/>
  <c r="CW651" i="2" s="1"/>
  <c r="DE651" i="2"/>
  <c r="DG651" i="2"/>
  <c r="DI651" i="2" s="1"/>
  <c r="BM650" i="2"/>
  <c r="BO650" i="2" s="1"/>
  <c r="BP650" i="2"/>
  <c r="BS650" i="2"/>
  <c r="BU650" i="2" s="1"/>
  <c r="BV650" i="2"/>
  <c r="BY650" i="2"/>
  <c r="CB650" i="2"/>
  <c r="CH650" i="2"/>
  <c r="CN650" i="2"/>
  <c r="CU650" i="2"/>
  <c r="CV650" i="2"/>
  <c r="CW650" i="2" s="1"/>
  <c r="DE650" i="2"/>
  <c r="DG650" i="2"/>
  <c r="DI650" i="2" s="1"/>
  <c r="BJ650" i="2" s="1"/>
  <c r="DJ650" i="2"/>
  <c r="BM1038" i="2"/>
  <c r="BO1038" i="2" s="1"/>
  <c r="BP1038" i="2"/>
  <c r="BS1038" i="2"/>
  <c r="BU1038" i="2" s="1"/>
  <c r="BV1038" i="2"/>
  <c r="BY1038" i="2"/>
  <c r="CA1038" i="2" s="1"/>
  <c r="CB1038" i="2"/>
  <c r="CH1038" i="2"/>
  <c r="CN1038" i="2"/>
  <c r="CV1038" i="2"/>
  <c r="CW1038" i="2" s="1"/>
  <c r="DE1038" i="2"/>
  <c r="DI1038" i="2"/>
  <c r="CD1038" i="2" s="1"/>
  <c r="BM903" i="2"/>
  <c r="BO903" i="2" s="1"/>
  <c r="BP903" i="2"/>
  <c r="BS903" i="2"/>
  <c r="BU903" i="2" s="1"/>
  <c r="BV903" i="2"/>
  <c r="BY903" i="2"/>
  <c r="CA903" i="2" s="1"/>
  <c r="CB903" i="2"/>
  <c r="CH903" i="2"/>
  <c r="CN903" i="2"/>
  <c r="CV903" i="2"/>
  <c r="CW903" i="2" s="1"/>
  <c r="DE903" i="2"/>
  <c r="DI903" i="2"/>
  <c r="CJ903" i="2" s="1"/>
  <c r="BM736" i="2"/>
  <c r="BO736" i="2" s="1"/>
  <c r="BP736" i="2"/>
  <c r="BS736" i="2"/>
  <c r="BU736" i="2" s="1"/>
  <c r="BV736" i="2"/>
  <c r="BY736" i="2"/>
  <c r="CA736" i="2" s="1"/>
  <c r="CB736" i="2"/>
  <c r="CH736" i="2"/>
  <c r="CN736" i="2"/>
  <c r="CV736" i="2"/>
  <c r="CW736" i="2" s="1"/>
  <c r="DE736" i="2"/>
  <c r="DI736" i="2"/>
  <c r="CD736" i="2" s="1"/>
  <c r="CE736" i="2" s="1"/>
  <c r="BM662" i="2"/>
  <c r="BO662" i="2" s="1"/>
  <c r="BP662" i="2"/>
  <c r="BS662" i="2"/>
  <c r="BU662" i="2" s="1"/>
  <c r="BV662" i="2"/>
  <c r="BY662" i="2"/>
  <c r="CA662" i="2" s="1"/>
  <c r="CB662" i="2"/>
  <c r="CH662" i="2"/>
  <c r="CN662" i="2"/>
  <c r="CV662" i="2"/>
  <c r="CW662" i="2" s="1"/>
  <c r="DE662" i="2"/>
  <c r="DI662" i="2"/>
  <c r="CD662" i="2" s="1"/>
  <c r="CE662" i="2" s="1"/>
  <c r="CG662" i="2" s="1"/>
  <c r="BM509" i="2"/>
  <c r="BO509" i="2" s="1"/>
  <c r="BP509" i="2"/>
  <c r="BS509" i="2"/>
  <c r="BU509" i="2" s="1"/>
  <c r="BV509" i="2"/>
  <c r="BY509" i="2"/>
  <c r="CA509" i="2" s="1"/>
  <c r="CB509" i="2"/>
  <c r="CH509" i="2"/>
  <c r="CN509" i="2"/>
  <c r="CV509" i="2"/>
  <c r="CW509" i="2" s="1"/>
  <c r="DE509" i="2"/>
  <c r="DI509" i="2"/>
  <c r="BJ509" i="2" s="1"/>
  <c r="BM515" i="2"/>
  <c r="BO515" i="2" s="1"/>
  <c r="BP515" i="2"/>
  <c r="BS515" i="2"/>
  <c r="BU515" i="2" s="1"/>
  <c r="BV515" i="2"/>
  <c r="BY515" i="2"/>
  <c r="CA515" i="2" s="1"/>
  <c r="CB515" i="2"/>
  <c r="CH515" i="2"/>
  <c r="CN515" i="2"/>
  <c r="CV515" i="2"/>
  <c r="CW515" i="2" s="1"/>
  <c r="DE515" i="2"/>
  <c r="DI515" i="2"/>
  <c r="BJ515" i="2" s="1"/>
  <c r="BM477" i="2"/>
  <c r="BP477" i="2"/>
  <c r="BS477" i="2"/>
  <c r="BU477" i="2" s="1"/>
  <c r="BV477" i="2"/>
  <c r="BY477" i="2"/>
  <c r="CA477" i="2" s="1"/>
  <c r="CB477" i="2"/>
  <c r="CH477" i="2"/>
  <c r="CN477" i="2"/>
  <c r="CV477" i="2"/>
  <c r="CW477" i="2" s="1"/>
  <c r="DE477" i="2"/>
  <c r="DI477" i="2"/>
  <c r="CD477" i="2" s="1"/>
  <c r="CE477" i="2" s="1"/>
  <c r="BM408" i="2"/>
  <c r="BO408" i="2" s="1"/>
  <c r="BP408" i="2"/>
  <c r="BS408" i="2"/>
  <c r="BU408" i="2" s="1"/>
  <c r="BV408" i="2"/>
  <c r="BY408" i="2"/>
  <c r="CA408" i="2" s="1"/>
  <c r="CB408" i="2"/>
  <c r="CH408" i="2"/>
  <c r="CN408" i="2"/>
  <c r="CV408" i="2"/>
  <c r="CW408" i="2" s="1"/>
  <c r="DE408" i="2"/>
  <c r="DI408" i="2"/>
  <c r="CJ408" i="2" s="1"/>
  <c r="CK408" i="2" s="1"/>
  <c r="CM408" i="2" s="1"/>
  <c r="BM388" i="2"/>
  <c r="BO388" i="2" s="1"/>
  <c r="BP388" i="2"/>
  <c r="BS388" i="2"/>
  <c r="BU388" i="2" s="1"/>
  <c r="BV388" i="2"/>
  <c r="BY388" i="2"/>
  <c r="CA388" i="2" s="1"/>
  <c r="CB388" i="2"/>
  <c r="CH388" i="2"/>
  <c r="CN388" i="2"/>
  <c r="CV388" i="2"/>
  <c r="CW388" i="2" s="1"/>
  <c r="DE388" i="2"/>
  <c r="DI388" i="2"/>
  <c r="BJ388" i="2" s="1"/>
  <c r="BM353" i="2"/>
  <c r="BO353" i="2" s="1"/>
  <c r="BP353" i="2"/>
  <c r="BS353" i="2"/>
  <c r="BU353" i="2" s="1"/>
  <c r="BV353" i="2"/>
  <c r="BY353" i="2"/>
  <c r="CA353" i="2" s="1"/>
  <c r="CB353" i="2"/>
  <c r="CH353" i="2"/>
  <c r="CN353" i="2"/>
  <c r="CV353" i="2"/>
  <c r="CW353" i="2" s="1"/>
  <c r="DE353" i="2"/>
  <c r="DI353" i="2"/>
  <c r="CJ353" i="2" s="1"/>
  <c r="CK353" i="2" s="1"/>
  <c r="BM321" i="2"/>
  <c r="BO321" i="2" s="1"/>
  <c r="BP321" i="2"/>
  <c r="BS321" i="2"/>
  <c r="BU321" i="2" s="1"/>
  <c r="BV321" i="2"/>
  <c r="BY321" i="2"/>
  <c r="CA321" i="2" s="1"/>
  <c r="CB321" i="2"/>
  <c r="CH321" i="2"/>
  <c r="CN321" i="2"/>
  <c r="CV321" i="2"/>
  <c r="CW321" i="2" s="1"/>
  <c r="DE321" i="2"/>
  <c r="DI321" i="2"/>
  <c r="CD321" i="2" s="1"/>
  <c r="CZ638" i="2"/>
  <c r="DE638" i="2" s="1"/>
  <c r="BM638" i="2"/>
  <c r="BP638" i="2"/>
  <c r="BS638" i="2"/>
  <c r="BU638" i="2" s="1"/>
  <c r="BV638" i="2"/>
  <c r="BY638" i="2"/>
  <c r="CA638" i="2" s="1"/>
  <c r="CB638" i="2"/>
  <c r="CH638" i="2"/>
  <c r="CN638" i="2"/>
  <c r="CU638" i="2"/>
  <c r="CV638" i="2"/>
  <c r="CW638" i="2" s="1"/>
  <c r="DI638" i="2"/>
  <c r="CD638" i="2" s="1"/>
  <c r="BM7" i="2"/>
  <c r="BP7" i="2"/>
  <c r="BS7" i="2"/>
  <c r="BU7" i="2" s="1"/>
  <c r="BV7" i="2"/>
  <c r="BY7" i="2"/>
  <c r="CA7" i="2" s="1"/>
  <c r="CB7" i="2"/>
  <c r="CH7" i="2"/>
  <c r="CN7" i="2"/>
  <c r="CV7" i="2"/>
  <c r="CW7" i="2" s="1"/>
  <c r="DE7" i="2"/>
  <c r="DI7" i="2"/>
  <c r="BJ7" i="2" s="1"/>
  <c r="BM843" i="2"/>
  <c r="BO843" i="2" s="1"/>
  <c r="BP843" i="2"/>
  <c r="BS843" i="2"/>
  <c r="BU843" i="2" s="1"/>
  <c r="BV843" i="2"/>
  <c r="BY843" i="2"/>
  <c r="CB843" i="2"/>
  <c r="CH843" i="2"/>
  <c r="CN843" i="2"/>
  <c r="CU843" i="2"/>
  <c r="CV843" i="2"/>
  <c r="CW843" i="2" s="1"/>
  <c r="DE843" i="2"/>
  <c r="DI843" i="2"/>
  <c r="CD843" i="2" s="1"/>
  <c r="BM1041" i="2"/>
  <c r="BO1041" i="2" s="1"/>
  <c r="BP1041" i="2"/>
  <c r="BS1041" i="2"/>
  <c r="BU1041" i="2" s="1"/>
  <c r="BV1041" i="2"/>
  <c r="BY1041" i="2"/>
  <c r="CA1041" i="2" s="1"/>
  <c r="CB1041" i="2"/>
  <c r="CH1041" i="2"/>
  <c r="CN1041" i="2"/>
  <c r="CU1041" i="2"/>
  <c r="CV1041" i="2"/>
  <c r="CW1041" i="2" s="1"/>
  <c r="DE1041" i="2"/>
  <c r="DI1041" i="2"/>
  <c r="CJ1041" i="2" s="1"/>
  <c r="CK1041" i="2" s="1"/>
  <c r="BM844" i="2"/>
  <c r="BO844" i="2" s="1"/>
  <c r="BP844" i="2"/>
  <c r="BS844" i="2"/>
  <c r="BV844" i="2"/>
  <c r="BY844" i="2"/>
  <c r="CA844" i="2" s="1"/>
  <c r="CB844" i="2"/>
  <c r="CH844" i="2"/>
  <c r="CN844" i="2"/>
  <c r="CU844" i="2"/>
  <c r="CV844" i="2"/>
  <c r="CW844" i="2" s="1"/>
  <c r="DE844" i="2"/>
  <c r="DI844" i="2"/>
  <c r="CD844" i="2" s="1"/>
  <c r="CE844" i="2" s="1"/>
  <c r="BM404" i="2"/>
  <c r="BO404" i="2" s="1"/>
  <c r="BP404" i="2"/>
  <c r="BS404" i="2"/>
  <c r="BU404" i="2" s="1"/>
  <c r="BV404" i="2"/>
  <c r="BY404" i="2"/>
  <c r="CA404" i="2" s="1"/>
  <c r="CB404" i="2"/>
  <c r="CH404" i="2"/>
  <c r="CN404" i="2"/>
  <c r="CU404" i="2"/>
  <c r="CV404" i="2"/>
  <c r="CW404" i="2" s="1"/>
  <c r="DE404" i="2"/>
  <c r="DI404" i="2"/>
  <c r="CD404" i="2" s="1"/>
  <c r="BG2" i="11"/>
  <c r="BH2" i="11"/>
  <c r="BI2" i="11"/>
  <c r="BM927" i="2"/>
  <c r="BO927" i="2" s="1"/>
  <c r="BP927" i="2"/>
  <c r="BS927" i="2"/>
  <c r="BU927" i="2" s="1"/>
  <c r="BV927" i="2"/>
  <c r="BY927" i="2"/>
  <c r="CA927" i="2" s="1"/>
  <c r="CB927" i="2"/>
  <c r="CU927" i="2"/>
  <c r="CV927" i="2"/>
  <c r="CW927" i="2" s="1"/>
  <c r="DE927" i="2"/>
  <c r="DI927" i="2"/>
  <c r="BJ927" i="2" s="1"/>
  <c r="BM139" i="2"/>
  <c r="BO139" i="2" s="1"/>
  <c r="BP139" i="2"/>
  <c r="BS139" i="2"/>
  <c r="BU139" i="2" s="1"/>
  <c r="BV139" i="2"/>
  <c r="BY139" i="2"/>
  <c r="CA139" i="2" s="1"/>
  <c r="CB139" i="2"/>
  <c r="CH139" i="2"/>
  <c r="CN139" i="2"/>
  <c r="CU139" i="2"/>
  <c r="CV139" i="2"/>
  <c r="CW139" i="2" s="1"/>
  <c r="DE139" i="2"/>
  <c r="DI139" i="2"/>
  <c r="CD139" i="2" s="1"/>
  <c r="CE139" i="2" s="1"/>
  <c r="BM974" i="2"/>
  <c r="BO974" i="2" s="1"/>
  <c r="BP974" i="2"/>
  <c r="BS974" i="2"/>
  <c r="BU974" i="2" s="1"/>
  <c r="BV974" i="2"/>
  <c r="BY974" i="2"/>
  <c r="CA974" i="2" s="1"/>
  <c r="CB974" i="2"/>
  <c r="CH974" i="2"/>
  <c r="CN974" i="2"/>
  <c r="CU974" i="2"/>
  <c r="CV974" i="2"/>
  <c r="CW974" i="2" s="1"/>
  <c r="DE974" i="2"/>
  <c r="DI974" i="2"/>
  <c r="CD974" i="2" s="1"/>
  <c r="BM975" i="2"/>
  <c r="BO975" i="2" s="1"/>
  <c r="BP975" i="2"/>
  <c r="BS975" i="2"/>
  <c r="BV975" i="2"/>
  <c r="BY975" i="2"/>
  <c r="CA975" i="2" s="1"/>
  <c r="CB975" i="2"/>
  <c r="CH975" i="2"/>
  <c r="CN975" i="2"/>
  <c r="CU975" i="2"/>
  <c r="CV975" i="2"/>
  <c r="CW975" i="2" s="1"/>
  <c r="DE975" i="2"/>
  <c r="DI975" i="2"/>
  <c r="CJ975" i="2" s="1"/>
  <c r="CK975" i="2" s="1"/>
  <c r="CM975" i="2" s="1"/>
  <c r="BM976" i="2"/>
  <c r="BP976" i="2"/>
  <c r="BS976" i="2"/>
  <c r="BU976" i="2" s="1"/>
  <c r="BV976" i="2"/>
  <c r="BY976" i="2"/>
  <c r="CA976" i="2" s="1"/>
  <c r="CB976" i="2"/>
  <c r="CH976" i="2"/>
  <c r="CN976" i="2"/>
  <c r="CU976" i="2"/>
  <c r="CV976" i="2"/>
  <c r="CW976" i="2" s="1"/>
  <c r="DE976" i="2"/>
  <c r="DI976" i="2"/>
  <c r="BM659" i="2"/>
  <c r="BO659" i="2" s="1"/>
  <c r="BP659" i="2"/>
  <c r="BS659" i="2"/>
  <c r="BU659" i="2" s="1"/>
  <c r="BV659" i="2"/>
  <c r="BY659" i="2"/>
  <c r="CA659" i="2" s="1"/>
  <c r="CB659" i="2"/>
  <c r="CH659" i="2"/>
  <c r="CN659" i="2"/>
  <c r="CU659" i="2"/>
  <c r="CV659" i="2"/>
  <c r="CW659" i="2" s="1"/>
  <c r="DE659" i="2"/>
  <c r="DI659" i="2"/>
  <c r="CJ659" i="2" s="1"/>
  <c r="BM147" i="2"/>
  <c r="BO147" i="2" s="1"/>
  <c r="BP147" i="2"/>
  <c r="BS147" i="2"/>
  <c r="BU147" i="2" s="1"/>
  <c r="BV147" i="2"/>
  <c r="BY147" i="2"/>
  <c r="CA147" i="2" s="1"/>
  <c r="CB147" i="2"/>
  <c r="CE147" i="2"/>
  <c r="CG147" i="2" s="1"/>
  <c r="CH147" i="2"/>
  <c r="CN147" i="2"/>
  <c r="CV147" i="2"/>
  <c r="CW147" i="2" s="1"/>
  <c r="DE147" i="2"/>
  <c r="DI147" i="2"/>
  <c r="CJ147" i="2" s="1"/>
  <c r="CP147" i="2" s="1"/>
  <c r="BM887" i="2"/>
  <c r="BO887" i="2" s="1"/>
  <c r="BP887" i="2"/>
  <c r="BS887" i="2"/>
  <c r="BU887" i="2" s="1"/>
  <c r="BV887" i="2"/>
  <c r="BY887" i="2"/>
  <c r="CA887" i="2" s="1"/>
  <c r="CB887" i="2"/>
  <c r="CU887" i="2"/>
  <c r="CV887" i="2"/>
  <c r="CW887" i="2" s="1"/>
  <c r="DE887" i="2"/>
  <c r="DI887" i="2"/>
  <c r="CJ887" i="2" s="1"/>
  <c r="CK887" i="2" s="1"/>
  <c r="CM887" i="2" s="1"/>
  <c r="CL887" i="2" s="1"/>
  <c r="CO887" i="2" s="1"/>
  <c r="BM888" i="2"/>
  <c r="BO888" i="2" s="1"/>
  <c r="BP888" i="2"/>
  <c r="BS888" i="2"/>
  <c r="BU888" i="2" s="1"/>
  <c r="BV888" i="2"/>
  <c r="BY888" i="2"/>
  <c r="CA888" i="2" s="1"/>
  <c r="CB888" i="2"/>
  <c r="CU888" i="2"/>
  <c r="CV888" i="2"/>
  <c r="CW888" i="2" s="1"/>
  <c r="DE888" i="2"/>
  <c r="DI888" i="2"/>
  <c r="CJ888" i="2" s="1"/>
  <c r="CK888" i="2" s="1"/>
  <c r="BM867" i="2"/>
  <c r="BO867" i="2" s="1"/>
  <c r="BP867" i="2"/>
  <c r="BS867" i="2"/>
  <c r="BU867" i="2" s="1"/>
  <c r="BV867" i="2"/>
  <c r="BY867" i="2"/>
  <c r="CA867" i="2" s="1"/>
  <c r="CB867" i="2"/>
  <c r="CU867" i="2"/>
  <c r="CV867" i="2"/>
  <c r="CW867" i="2" s="1"/>
  <c r="DE867" i="2"/>
  <c r="DI867" i="2"/>
  <c r="BM868" i="2"/>
  <c r="BO868" i="2" s="1"/>
  <c r="BP868" i="2"/>
  <c r="BS868" i="2"/>
  <c r="BU868" i="2" s="1"/>
  <c r="BV868" i="2"/>
  <c r="CU868" i="2"/>
  <c r="CV868" i="2"/>
  <c r="CW868" i="2" s="1"/>
  <c r="DE868" i="2"/>
  <c r="DI868" i="2"/>
  <c r="BJ868" i="2" s="1"/>
  <c r="BM869" i="2"/>
  <c r="BO869" i="2" s="1"/>
  <c r="BP869" i="2"/>
  <c r="BS869" i="2"/>
  <c r="BU869" i="2" s="1"/>
  <c r="BV869" i="2"/>
  <c r="CU869" i="2"/>
  <c r="CV869" i="2"/>
  <c r="CW869" i="2" s="1"/>
  <c r="DE869" i="2"/>
  <c r="DI869" i="2"/>
  <c r="BJ869" i="2" s="1"/>
  <c r="BM870" i="2"/>
  <c r="BO870" i="2" s="1"/>
  <c r="BP870" i="2"/>
  <c r="BS870" i="2"/>
  <c r="BU870" i="2" s="1"/>
  <c r="BV870" i="2"/>
  <c r="CU870" i="2"/>
  <c r="CV870" i="2"/>
  <c r="CW870" i="2" s="1"/>
  <c r="DE870" i="2"/>
  <c r="DI870" i="2"/>
  <c r="CD870" i="2" s="1"/>
  <c r="BM871" i="2"/>
  <c r="BO871" i="2" s="1"/>
  <c r="BP871" i="2"/>
  <c r="BS871" i="2"/>
  <c r="BU871" i="2" s="1"/>
  <c r="BV871" i="2"/>
  <c r="CU871" i="2"/>
  <c r="CV871" i="2"/>
  <c r="CW871" i="2" s="1"/>
  <c r="DE871" i="2"/>
  <c r="DI871" i="2"/>
  <c r="CJ871" i="2" s="1"/>
  <c r="CK871" i="2" s="1"/>
  <c r="CM871" i="2" s="1"/>
  <c r="CL871" i="2" s="1"/>
  <c r="BM872" i="2"/>
  <c r="BO872" i="2" s="1"/>
  <c r="BP872" i="2"/>
  <c r="BS872" i="2"/>
  <c r="BU872" i="2" s="1"/>
  <c r="BV872" i="2"/>
  <c r="CU872" i="2"/>
  <c r="CV872" i="2"/>
  <c r="CW872" i="2" s="1"/>
  <c r="DE872" i="2"/>
  <c r="DI872" i="2"/>
  <c r="BJ872" i="2" s="1"/>
  <c r="BM1044" i="2"/>
  <c r="BO1044" i="2" s="1"/>
  <c r="BP1044" i="2"/>
  <c r="BS1044" i="2"/>
  <c r="BU1044" i="2" s="1"/>
  <c r="BV1044" i="2"/>
  <c r="CB1044" i="2"/>
  <c r="CH1044" i="2"/>
  <c r="CN1044" i="2"/>
  <c r="CU1044" i="2"/>
  <c r="CV1044" i="2"/>
  <c r="CW1044" i="2" s="1"/>
  <c r="DE1044" i="2"/>
  <c r="DI1044" i="2"/>
  <c r="CJ1044" i="2" s="1"/>
  <c r="CK1044" i="2" s="1"/>
  <c r="CM1044" i="2" s="1"/>
  <c r="BM203" i="2"/>
  <c r="BO203" i="2" s="1"/>
  <c r="BP203" i="2"/>
  <c r="BS203" i="2"/>
  <c r="BU203" i="2" s="1"/>
  <c r="BV203" i="2"/>
  <c r="CB203" i="2"/>
  <c r="CH203" i="2"/>
  <c r="CN203" i="2"/>
  <c r="CU203" i="2"/>
  <c r="CV203" i="2"/>
  <c r="CW203" i="2" s="1"/>
  <c r="CZ203" i="2"/>
  <c r="DE203" i="2" s="1"/>
  <c r="DI203" i="2"/>
  <c r="BX203" i="2" s="1"/>
  <c r="BY203" i="2" s="1"/>
  <c r="BM118" i="2"/>
  <c r="BO118" i="2" s="1"/>
  <c r="BP118" i="2"/>
  <c r="BS118" i="2"/>
  <c r="BU118" i="2" s="1"/>
  <c r="BV118" i="2"/>
  <c r="BY118" i="2"/>
  <c r="CA118" i="2" s="1"/>
  <c r="CB118" i="2"/>
  <c r="CH118" i="2"/>
  <c r="CN118" i="2"/>
  <c r="CU118" i="2"/>
  <c r="CV118" i="2"/>
  <c r="CW118" i="2" s="1"/>
  <c r="DE118" i="2"/>
  <c r="DI118" i="2"/>
  <c r="BJ118" i="2" s="1"/>
  <c r="BM304" i="2"/>
  <c r="BP304" i="2"/>
  <c r="BS304" i="2"/>
  <c r="BU304" i="2" s="1"/>
  <c r="BV304" i="2"/>
  <c r="BY304" i="2"/>
  <c r="CA304" i="2" s="1"/>
  <c r="CB304" i="2"/>
  <c r="CH304" i="2"/>
  <c r="CN304" i="2"/>
  <c r="CU304" i="2"/>
  <c r="CV304" i="2"/>
  <c r="CW304" i="2" s="1"/>
  <c r="DE304" i="2"/>
  <c r="DI304" i="2"/>
  <c r="CJ304" i="2" s="1"/>
  <c r="BM422" i="2"/>
  <c r="BO422" i="2" s="1"/>
  <c r="BP422" i="2"/>
  <c r="BS422" i="2"/>
  <c r="BU422" i="2" s="1"/>
  <c r="BV422" i="2"/>
  <c r="BY422" i="2"/>
  <c r="CA422" i="2" s="1"/>
  <c r="CB422" i="2"/>
  <c r="CH422" i="2"/>
  <c r="CN422" i="2"/>
  <c r="CU422" i="2"/>
  <c r="CV422" i="2"/>
  <c r="CW422" i="2" s="1"/>
  <c r="DE422" i="2"/>
  <c r="DI422" i="2"/>
  <c r="BJ422" i="2" s="1"/>
  <c r="BM161" i="2"/>
  <c r="BO161" i="2" s="1"/>
  <c r="BP161" i="2"/>
  <c r="BS161" i="2"/>
  <c r="BU161" i="2" s="1"/>
  <c r="BV161" i="2"/>
  <c r="BY161" i="2"/>
  <c r="CA161" i="2" s="1"/>
  <c r="CB161" i="2"/>
  <c r="CE161" i="2"/>
  <c r="CG161" i="2" s="1"/>
  <c r="CH161" i="2"/>
  <c r="CN161" i="2"/>
  <c r="CV161" i="2"/>
  <c r="CW161" i="2" s="1"/>
  <c r="DE161" i="2"/>
  <c r="DI161" i="2"/>
  <c r="CJ161" i="2" s="1"/>
  <c r="CK161" i="2" s="1"/>
  <c r="BM151" i="2"/>
  <c r="BP151" i="2"/>
  <c r="BS151" i="2"/>
  <c r="BU151" i="2" s="1"/>
  <c r="BV151" i="2"/>
  <c r="BY151" i="2"/>
  <c r="CA151" i="2" s="1"/>
  <c r="CB151" i="2"/>
  <c r="CH151" i="2"/>
  <c r="CN151" i="2"/>
  <c r="CV151" i="2"/>
  <c r="CW151" i="2" s="1"/>
  <c r="DE151" i="2"/>
  <c r="DI151" i="2"/>
  <c r="BJ151" i="2" s="1"/>
  <c r="BM254" i="2"/>
  <c r="BO254" i="2" s="1"/>
  <c r="BP254" i="2"/>
  <c r="BS254" i="2"/>
  <c r="BU254" i="2" s="1"/>
  <c r="BV254" i="2"/>
  <c r="BY254" i="2"/>
  <c r="CA254" i="2" s="1"/>
  <c r="CB254" i="2"/>
  <c r="CH254" i="2"/>
  <c r="CN254" i="2"/>
  <c r="CU254" i="2"/>
  <c r="CV254" i="2"/>
  <c r="CW254" i="2" s="1"/>
  <c r="DE254" i="2"/>
  <c r="DG254" i="2"/>
  <c r="DI254" i="2" s="1"/>
  <c r="BJ254" i="2" s="1"/>
  <c r="DJ254" i="2"/>
  <c r="BM859" i="2"/>
  <c r="BP859" i="2"/>
  <c r="BS859" i="2"/>
  <c r="BU859" i="2" s="1"/>
  <c r="BV859" i="2"/>
  <c r="BY859" i="2"/>
  <c r="CA859" i="2" s="1"/>
  <c r="CB859" i="2"/>
  <c r="CH859" i="2"/>
  <c r="CN859" i="2"/>
  <c r="CV859" i="2"/>
  <c r="CW859" i="2" s="1"/>
  <c r="DE859" i="2"/>
  <c r="DI859" i="2"/>
  <c r="CD859" i="2" s="1"/>
  <c r="BM149" i="2"/>
  <c r="BO149" i="2" s="1"/>
  <c r="BP149" i="2"/>
  <c r="BS149" i="2"/>
  <c r="BU149" i="2" s="1"/>
  <c r="BV149" i="2"/>
  <c r="BY149" i="2"/>
  <c r="CA149" i="2" s="1"/>
  <c r="CB149" i="2"/>
  <c r="CE149" i="2"/>
  <c r="CG149" i="2" s="1"/>
  <c r="CH149" i="2"/>
  <c r="CN149" i="2"/>
  <c r="CU149" i="2"/>
  <c r="CV149" i="2"/>
  <c r="CW149" i="2" s="1"/>
  <c r="DE149" i="2"/>
  <c r="DI149" i="2"/>
  <c r="CJ149" i="2" s="1"/>
  <c r="BM205" i="2"/>
  <c r="BP205" i="2"/>
  <c r="BS205" i="2"/>
  <c r="BU205" i="2" s="1"/>
  <c r="BV205" i="2"/>
  <c r="CB205" i="2"/>
  <c r="CH205" i="2"/>
  <c r="CN205" i="2"/>
  <c r="CU205" i="2"/>
  <c r="CV205" i="2"/>
  <c r="CW205" i="2" s="1"/>
  <c r="DE205" i="2"/>
  <c r="DI205" i="2"/>
  <c r="CJ205" i="2" s="1"/>
  <c r="CK205" i="2" s="1"/>
  <c r="BM245" i="2"/>
  <c r="BO245" i="2" s="1"/>
  <c r="BP245" i="2"/>
  <c r="BS245" i="2"/>
  <c r="BU245" i="2" s="1"/>
  <c r="BV245" i="2"/>
  <c r="BY245" i="2"/>
  <c r="CA245" i="2" s="1"/>
  <c r="CB245" i="2"/>
  <c r="CH245" i="2"/>
  <c r="CN245" i="2"/>
  <c r="CU245" i="2"/>
  <c r="CV245" i="2"/>
  <c r="CW245" i="2" s="1"/>
  <c r="DE245" i="2"/>
  <c r="DI245" i="2"/>
  <c r="CD245" i="2" s="1"/>
  <c r="BM261" i="2"/>
  <c r="BP261" i="2"/>
  <c r="BS261" i="2"/>
  <c r="BU261" i="2" s="1"/>
  <c r="BV261" i="2"/>
  <c r="BY261" i="2"/>
  <c r="CA261" i="2" s="1"/>
  <c r="CB261" i="2"/>
  <c r="CH261" i="2"/>
  <c r="CN261" i="2"/>
  <c r="CU261" i="2"/>
  <c r="CV261" i="2"/>
  <c r="CW261" i="2" s="1"/>
  <c r="DE261" i="2"/>
  <c r="DI261" i="2"/>
  <c r="CJ261" i="2" s="1"/>
  <c r="BM645" i="2"/>
  <c r="BO645" i="2" s="1"/>
  <c r="BP645" i="2"/>
  <c r="BS645" i="2"/>
  <c r="BU645" i="2" s="1"/>
  <c r="BV645" i="2"/>
  <c r="BY645" i="2"/>
  <c r="CA645" i="2" s="1"/>
  <c r="CB645" i="2"/>
  <c r="CH645" i="2"/>
  <c r="CN645" i="2"/>
  <c r="CU645" i="2"/>
  <c r="CV645" i="2"/>
  <c r="CW645" i="2" s="1"/>
  <c r="DE645" i="2"/>
  <c r="DI645" i="2"/>
  <c r="CD645" i="2" s="1"/>
  <c r="BM498" i="2"/>
  <c r="BO498" i="2" s="1"/>
  <c r="BP498" i="2"/>
  <c r="BS498" i="2"/>
  <c r="BU498" i="2" s="1"/>
  <c r="BV498" i="2"/>
  <c r="BY498" i="2"/>
  <c r="CA498" i="2" s="1"/>
  <c r="CB498" i="2"/>
  <c r="CH498" i="2"/>
  <c r="CN498" i="2"/>
  <c r="CU498" i="2"/>
  <c r="CV498" i="2"/>
  <c r="CW498" i="2" s="1"/>
  <c r="DE498" i="2"/>
  <c r="DI498" i="2"/>
  <c r="BJ498" i="2" s="1"/>
  <c r="BM266" i="2"/>
  <c r="BO266" i="2" s="1"/>
  <c r="BP266" i="2"/>
  <c r="BS266" i="2"/>
  <c r="BU266" i="2" s="1"/>
  <c r="BV266" i="2"/>
  <c r="BY266" i="2"/>
  <c r="CA266" i="2" s="1"/>
  <c r="CB266" i="2"/>
  <c r="CH266" i="2"/>
  <c r="CN266" i="2"/>
  <c r="CU266" i="2"/>
  <c r="CV266" i="2"/>
  <c r="CW266" i="2" s="1"/>
  <c r="DE266" i="2"/>
  <c r="DI266" i="2"/>
  <c r="CD266" i="2" s="1"/>
  <c r="CE266" i="2" s="1"/>
  <c r="BM265" i="2"/>
  <c r="BP265" i="2"/>
  <c r="BS265" i="2"/>
  <c r="BU265" i="2" s="1"/>
  <c r="BV265" i="2"/>
  <c r="BY265" i="2"/>
  <c r="CA265" i="2" s="1"/>
  <c r="CB265" i="2"/>
  <c r="CH265" i="2"/>
  <c r="CN265" i="2"/>
  <c r="CU265" i="2"/>
  <c r="CV265" i="2"/>
  <c r="CW265" i="2" s="1"/>
  <c r="DE265" i="2"/>
  <c r="DI265" i="2"/>
  <c r="CJ265" i="2" s="1"/>
  <c r="CK265" i="2" s="1"/>
  <c r="BM23" i="2"/>
  <c r="BO23" i="2" s="1"/>
  <c r="BP23" i="2"/>
  <c r="BS23" i="2"/>
  <c r="BU23" i="2" s="1"/>
  <c r="BV23" i="2"/>
  <c r="BY23" i="2"/>
  <c r="CA23" i="2" s="1"/>
  <c r="CB23" i="2"/>
  <c r="CE23" i="2"/>
  <c r="CG23" i="2" s="1"/>
  <c r="CH23" i="2"/>
  <c r="CN23" i="2"/>
  <c r="CU23" i="2"/>
  <c r="CV23" i="2"/>
  <c r="CW23" i="2"/>
  <c r="DE23" i="2"/>
  <c r="DI23" i="2"/>
  <c r="BJ23" i="2" s="1"/>
  <c r="BM308" i="2"/>
  <c r="BP308" i="2"/>
  <c r="BS308" i="2"/>
  <c r="BU308" i="2" s="1"/>
  <c r="BV308" i="2"/>
  <c r="BY308" i="2"/>
  <c r="CA308" i="2" s="1"/>
  <c r="CB308" i="2"/>
  <c r="CH308" i="2"/>
  <c r="CN308" i="2"/>
  <c r="CU308" i="2"/>
  <c r="CV308" i="2"/>
  <c r="CW308" i="2" s="1"/>
  <c r="DE308" i="2"/>
  <c r="DI308" i="2"/>
  <c r="BJ308" i="2" s="1"/>
  <c r="BM805" i="2"/>
  <c r="BO805" i="2" s="1"/>
  <c r="BP805" i="2"/>
  <c r="BS805" i="2"/>
  <c r="BU805" i="2" s="1"/>
  <c r="BV805" i="2"/>
  <c r="CB805" i="2"/>
  <c r="CH805" i="2"/>
  <c r="CN805" i="2"/>
  <c r="CU805" i="2"/>
  <c r="CV805" i="2"/>
  <c r="CW805" i="2" s="1"/>
  <c r="DE805" i="2"/>
  <c r="DI805" i="2"/>
  <c r="BM160" i="2"/>
  <c r="BO160" i="2" s="1"/>
  <c r="BP160" i="2"/>
  <c r="BS160" i="2"/>
  <c r="BU160" i="2" s="1"/>
  <c r="BV160" i="2"/>
  <c r="BY160" i="2"/>
  <c r="CA160" i="2" s="1"/>
  <c r="CB160" i="2"/>
  <c r="CE160" i="2"/>
  <c r="CG160" i="2" s="1"/>
  <c r="CH160" i="2"/>
  <c r="CN160" i="2"/>
  <c r="CU160" i="2"/>
  <c r="CV160" i="2"/>
  <c r="CW160" i="2" s="1"/>
  <c r="DE160" i="2"/>
  <c r="DI160" i="2"/>
  <c r="CJ160" i="2" s="1"/>
  <c r="BM492" i="2"/>
  <c r="BO492" i="2" s="1"/>
  <c r="BP492" i="2"/>
  <c r="BS492" i="2"/>
  <c r="BU492" i="2" s="1"/>
  <c r="BV492" i="2"/>
  <c r="BY492" i="2"/>
  <c r="CA492" i="2" s="1"/>
  <c r="CB492" i="2"/>
  <c r="CH492" i="2"/>
  <c r="CN492" i="2"/>
  <c r="CU492" i="2"/>
  <c r="CV492" i="2"/>
  <c r="CW492" i="2" s="1"/>
  <c r="DE492" i="2"/>
  <c r="DI492" i="2"/>
  <c r="CD492" i="2" s="1"/>
  <c r="BM159" i="2"/>
  <c r="BO159" i="2" s="1"/>
  <c r="BP159" i="2"/>
  <c r="BS159" i="2"/>
  <c r="BU159" i="2" s="1"/>
  <c r="BV159" i="2"/>
  <c r="BY159" i="2"/>
  <c r="CA159" i="2" s="1"/>
  <c r="CB159" i="2"/>
  <c r="CE159" i="2"/>
  <c r="CG159" i="2" s="1"/>
  <c r="CH159" i="2"/>
  <c r="CN159" i="2"/>
  <c r="CV159" i="2"/>
  <c r="CW159" i="2" s="1"/>
  <c r="DE159" i="2"/>
  <c r="DI159" i="2"/>
  <c r="BJ159" i="2" s="1"/>
  <c r="BM486" i="2"/>
  <c r="BO486" i="2" s="1"/>
  <c r="BP486" i="2"/>
  <c r="BS486" i="2"/>
  <c r="BU486" i="2" s="1"/>
  <c r="BV486" i="2"/>
  <c r="BY486" i="2"/>
  <c r="CA486" i="2" s="1"/>
  <c r="CB486" i="2"/>
  <c r="CH486" i="2"/>
  <c r="CN486" i="2"/>
  <c r="CV486" i="2"/>
  <c r="CW486" i="2" s="1"/>
  <c r="DE486" i="2"/>
  <c r="DI486" i="2"/>
  <c r="CD486" i="2" s="1"/>
  <c r="BM560" i="2"/>
  <c r="BO560" i="2" s="1"/>
  <c r="BP560" i="2"/>
  <c r="BS560" i="2"/>
  <c r="BU560" i="2" s="1"/>
  <c r="BV560" i="2"/>
  <c r="BY560" i="2"/>
  <c r="CA560" i="2" s="1"/>
  <c r="CB560" i="2"/>
  <c r="CE560" i="2"/>
  <c r="CG560" i="2" s="1"/>
  <c r="CH560" i="2"/>
  <c r="CN560" i="2"/>
  <c r="CU560" i="2"/>
  <c r="CV560" i="2"/>
  <c r="CW560" i="2" s="1"/>
  <c r="DE560" i="2"/>
  <c r="DI560" i="2"/>
  <c r="BJ560" i="2" s="1"/>
  <c r="DJ881" i="2"/>
  <c r="DJ317" i="2"/>
  <c r="CY308" i="2"/>
  <c r="BG308" i="2" s="1"/>
  <c r="BH308" i="2" s="1"/>
  <c r="BI308" i="2" s="1"/>
  <c r="DJ21" i="2"/>
  <c r="DJ402" i="2"/>
  <c r="IA12" i="9"/>
  <c r="DA10" i="6"/>
  <c r="DQ680" i="2"/>
  <c r="DK680" i="2" s="1"/>
  <c r="DU680" i="2"/>
  <c r="DQ189" i="2"/>
  <c r="DK189" i="2" s="1"/>
  <c r="DU189" i="2"/>
  <c r="DQ647" i="2"/>
  <c r="DK647" i="2" s="1"/>
  <c r="DU647" i="2"/>
  <c r="DQ108" i="2"/>
  <c r="DK108" i="2" s="1"/>
  <c r="DU108" i="2"/>
  <c r="DL463" i="2"/>
  <c r="DM463" i="2"/>
  <c r="DU463" i="2"/>
  <c r="DJ378" i="2"/>
  <c r="DL378" i="2"/>
  <c r="DM378" i="2"/>
  <c r="DU378" i="2"/>
  <c r="DM255" i="2"/>
  <c r="DQ255" i="2" s="1"/>
  <c r="DK255" i="2" s="1"/>
  <c r="DU255" i="2"/>
  <c r="DJ3" i="2"/>
  <c r="DL3" i="2"/>
  <c r="DM3" i="2"/>
  <c r="DU3" i="2"/>
  <c r="DL91" i="2"/>
  <c r="DQ91" i="2" s="1"/>
  <c r="DK91" i="2" s="1"/>
  <c r="DS91" i="2"/>
  <c r="DU91" i="2" s="1"/>
  <c r="DV91" i="2"/>
  <c r="DL952" i="2"/>
  <c r="DM952" i="2"/>
  <c r="DU952" i="2"/>
  <c r="DL171" i="2"/>
  <c r="DM171" i="2"/>
  <c r="DU171" i="2"/>
  <c r="DL612" i="2"/>
  <c r="DM612" i="2"/>
  <c r="DU612" i="2"/>
  <c r="DL613" i="2"/>
  <c r="DM613" i="2"/>
  <c r="DU613" i="2"/>
  <c r="DJ38" i="2"/>
  <c r="DM38" i="2"/>
  <c r="DQ38" i="2" s="1"/>
  <c r="DS38" i="2"/>
  <c r="DU38" i="2" s="1"/>
  <c r="DL813" i="2"/>
  <c r="DM813" i="2"/>
  <c r="DU813" i="2"/>
  <c r="DL984" i="2"/>
  <c r="DM984" i="2"/>
  <c r="DU984" i="2"/>
  <c r="DQ858" i="2"/>
  <c r="DK858" i="2" s="1"/>
  <c r="DU858" i="2"/>
  <c r="DL627" i="2"/>
  <c r="DM627" i="2"/>
  <c r="DU627" i="2"/>
  <c r="DJ979" i="2"/>
  <c r="DL979" i="2"/>
  <c r="DM979" i="2"/>
  <c r="DU979" i="2"/>
  <c r="DL801" i="2"/>
  <c r="DM801" i="2"/>
  <c r="DU801" i="2"/>
  <c r="DL77" i="2"/>
  <c r="DQ77" i="2" s="1"/>
  <c r="DK77" i="2" s="1"/>
  <c r="DU77" i="2"/>
  <c r="DQ548" i="2"/>
  <c r="DK548" i="2" s="1"/>
  <c r="DU548" i="2"/>
  <c r="DQ886" i="2"/>
  <c r="DK886" i="2" s="1"/>
  <c r="DU886" i="2"/>
  <c r="DL546" i="2"/>
  <c r="DM546" i="2"/>
  <c r="DU546" i="2"/>
  <c r="DJ595" i="2"/>
  <c r="DL595" i="2"/>
  <c r="DM595" i="2"/>
  <c r="DU595" i="2"/>
  <c r="DJ361" i="2"/>
  <c r="DL361" i="2"/>
  <c r="DM361" i="2"/>
  <c r="DU361" i="2"/>
  <c r="DJ949" i="2"/>
  <c r="DL949" i="2"/>
  <c r="DM949" i="2"/>
  <c r="DU949" i="2"/>
  <c r="DJ944" i="2"/>
  <c r="DL944" i="2"/>
  <c r="DM944" i="2"/>
  <c r="DU944" i="2"/>
  <c r="DQ120" i="2"/>
  <c r="DK120" i="2" s="1"/>
  <c r="DU120" i="2"/>
  <c r="DQ828" i="2"/>
  <c r="DK828" i="2" s="1"/>
  <c r="DU828" i="2"/>
  <c r="DL848" i="2"/>
  <c r="DQ848" i="2" s="1"/>
  <c r="DK848" i="2" s="1"/>
  <c r="DU848" i="2"/>
  <c r="DQ720" i="2"/>
  <c r="DK720" i="2" s="1"/>
  <c r="DU720" i="2"/>
  <c r="DB3" i="9"/>
  <c r="DQ259" i="2"/>
  <c r="DK259" i="2" s="1"/>
  <c r="DU259" i="2"/>
  <c r="DQ322" i="2"/>
  <c r="DK322" i="2" s="1"/>
  <c r="DU322" i="2"/>
  <c r="DQ703" i="2"/>
  <c r="DK703" i="2" s="1"/>
  <c r="DU703" i="2"/>
  <c r="DQ779" i="2"/>
  <c r="DK779" i="2" s="1"/>
  <c r="DU779" i="2"/>
  <c r="DD3" i="9"/>
  <c r="FO11" i="9"/>
  <c r="FO18" i="9"/>
  <c r="FO22" i="9"/>
  <c r="DG26" i="9"/>
  <c r="DG24" i="9"/>
  <c r="DG23" i="9"/>
  <c r="DG22" i="9"/>
  <c r="DG21" i="9"/>
  <c r="DG20" i="9"/>
  <c r="DG19" i="9"/>
  <c r="DG18" i="9"/>
  <c r="DG17" i="9"/>
  <c r="DG16" i="9"/>
  <c r="DG14" i="9"/>
  <c r="DG13" i="9"/>
  <c r="DG12" i="9"/>
  <c r="DG11" i="9"/>
  <c r="DG10" i="9"/>
  <c r="DG9" i="9"/>
  <c r="DG7" i="9"/>
  <c r="DG4" i="9"/>
  <c r="DG3" i="9"/>
  <c r="DG15" i="9"/>
  <c r="DG6" i="9"/>
  <c r="DG5" i="9"/>
  <c r="DG8" i="9"/>
  <c r="DG2" i="9"/>
  <c r="DD8" i="9"/>
  <c r="DD2" i="9"/>
  <c r="DD15" i="9"/>
  <c r="DD6" i="9"/>
  <c r="DD5" i="9"/>
  <c r="DD26" i="9"/>
  <c r="DD24" i="9"/>
  <c r="DD23" i="9"/>
  <c r="DD22" i="9"/>
  <c r="DD21" i="9"/>
  <c r="DD20" i="9"/>
  <c r="DD19" i="9"/>
  <c r="DD18" i="9"/>
  <c r="DD17" i="9"/>
  <c r="DD16" i="9"/>
  <c r="DD14" i="9"/>
  <c r="DD13" i="9"/>
  <c r="DD12" i="9"/>
  <c r="DD11" i="9"/>
  <c r="DD10" i="9"/>
  <c r="DD9" i="9"/>
  <c r="DD7" i="9"/>
  <c r="DD4" i="9"/>
  <c r="CZ34" i="9"/>
  <c r="CZ33" i="9"/>
  <c r="CZ32" i="9"/>
  <c r="DP19" i="9"/>
  <c r="DL681" i="2"/>
  <c r="DP681" i="2"/>
  <c r="DP959" i="2"/>
  <c r="DL809" i="2"/>
  <c r="DP809" i="2"/>
  <c r="DL482" i="2"/>
  <c r="DP482" i="2"/>
  <c r="DL287" i="2"/>
  <c r="DP287" i="2"/>
  <c r="DL690" i="2"/>
  <c r="DP690" i="2"/>
  <c r="DL296" i="2"/>
  <c r="DP296" i="2"/>
  <c r="DL95" i="2"/>
  <c r="DP95" i="2"/>
  <c r="CZ36" i="9"/>
  <c r="CZ38" i="9"/>
  <c r="DL959" i="2"/>
  <c r="DO824" i="2"/>
  <c r="FH824" i="2"/>
  <c r="DM836" i="2"/>
  <c r="DO836" i="2" s="1"/>
  <c r="FH836" i="2"/>
  <c r="CV15" i="9"/>
  <c r="CW15" i="9"/>
  <c r="CV6" i="9"/>
  <c r="CW6" i="9"/>
  <c r="CV5" i="9"/>
  <c r="CW5" i="9"/>
  <c r="CV26" i="9"/>
  <c r="CW26" i="9"/>
  <c r="CV24" i="9"/>
  <c r="CW24" i="9"/>
  <c r="CV23" i="9"/>
  <c r="CW23" i="9"/>
  <c r="CV22" i="9"/>
  <c r="CW22" i="9"/>
  <c r="CV21" i="9"/>
  <c r="CW21" i="9"/>
  <c r="CV20" i="9"/>
  <c r="CW20" i="9"/>
  <c r="CV19" i="9"/>
  <c r="CW19" i="9"/>
  <c r="CV18" i="9"/>
  <c r="CW18" i="9"/>
  <c r="CV17" i="9"/>
  <c r="CW17" i="9"/>
  <c r="CV16" i="9"/>
  <c r="CW16" i="9"/>
  <c r="CV14" i="9"/>
  <c r="CW14" i="9"/>
  <c r="CV13" i="9"/>
  <c r="CW13" i="9"/>
  <c r="CV12" i="9"/>
  <c r="CW12" i="9"/>
  <c r="CV11" i="9"/>
  <c r="CW11" i="9"/>
  <c r="CV10" i="9"/>
  <c r="CW10" i="9"/>
  <c r="CV9" i="9"/>
  <c r="CW9" i="9"/>
  <c r="CV7" i="9"/>
  <c r="CW7" i="9"/>
  <c r="CV4" i="9"/>
  <c r="CW4" i="9"/>
  <c r="CV3" i="9"/>
  <c r="CW3" i="9"/>
  <c r="DL24" i="9"/>
  <c r="DL22" i="9"/>
  <c r="DL21" i="9"/>
  <c r="DL19" i="9"/>
  <c r="DL16" i="9"/>
  <c r="DL14" i="9"/>
  <c r="DL12" i="9"/>
  <c r="DL11" i="9"/>
  <c r="DL10" i="9"/>
  <c r="DL9" i="9"/>
  <c r="DL4" i="9"/>
  <c r="DL6" i="9"/>
  <c r="DB15" i="9"/>
  <c r="DB6" i="9"/>
  <c r="DB5" i="9"/>
  <c r="DJ23" i="9"/>
  <c r="DJ20" i="9"/>
  <c r="DL20" i="9"/>
  <c r="DJ18" i="9"/>
  <c r="DL18" i="9"/>
  <c r="DJ17" i="9"/>
  <c r="DL13" i="9"/>
  <c r="DJ7" i="9"/>
  <c r="DJ3" i="9"/>
  <c r="DL26" i="9"/>
  <c r="DL5" i="9"/>
  <c r="DL15" i="9"/>
  <c r="CE26" i="9"/>
  <c r="CG26" i="9"/>
  <c r="CF26" i="9"/>
  <c r="CI26" i="9"/>
  <c r="CE24" i="9"/>
  <c r="CG24" i="9"/>
  <c r="CF24" i="9"/>
  <c r="CI24" i="9"/>
  <c r="CE23" i="9"/>
  <c r="CG23" i="9"/>
  <c r="CF23" i="9"/>
  <c r="CI23" i="9"/>
  <c r="CE22" i="9"/>
  <c r="CX22" i="9"/>
  <c r="CE21" i="9"/>
  <c r="CX21" i="9"/>
  <c r="CE20" i="9"/>
  <c r="CX20" i="9"/>
  <c r="CE19" i="9"/>
  <c r="CG19" i="9"/>
  <c r="CF19" i="9"/>
  <c r="CI19" i="9"/>
  <c r="CE18" i="9"/>
  <c r="CG18" i="9"/>
  <c r="CF18" i="9"/>
  <c r="CI18" i="9"/>
  <c r="CE17" i="9"/>
  <c r="CG17" i="9"/>
  <c r="CF17" i="9"/>
  <c r="CI17" i="9"/>
  <c r="CE16" i="9"/>
  <c r="CG16" i="9"/>
  <c r="CF16" i="9"/>
  <c r="CI16" i="9"/>
  <c r="CE14" i="9"/>
  <c r="CG14" i="9"/>
  <c r="CF14" i="9"/>
  <c r="CI14" i="9"/>
  <c r="CE13" i="9"/>
  <c r="CG13" i="9"/>
  <c r="CF13" i="9"/>
  <c r="CI13" i="9"/>
  <c r="CE12" i="9"/>
  <c r="CG12" i="9"/>
  <c r="CF12" i="9"/>
  <c r="CI12" i="9"/>
  <c r="CE11" i="9"/>
  <c r="CG11" i="9"/>
  <c r="CF11" i="9"/>
  <c r="CI11" i="9"/>
  <c r="CE10" i="9"/>
  <c r="CG10" i="9"/>
  <c r="CF10" i="9"/>
  <c r="CI10" i="9"/>
  <c r="CE9" i="9"/>
  <c r="CE7" i="9"/>
  <c r="CG7" i="9"/>
  <c r="CF7" i="9"/>
  <c r="CI7" i="9"/>
  <c r="CE4" i="9"/>
  <c r="CG4" i="9"/>
  <c r="CF4" i="9"/>
  <c r="CI4" i="9"/>
  <c r="CE15" i="9"/>
  <c r="CG15" i="9"/>
  <c r="CF15" i="9"/>
  <c r="CI15" i="9"/>
  <c r="CE6" i="9"/>
  <c r="CG6" i="9"/>
  <c r="CF6" i="9"/>
  <c r="CI6" i="9"/>
  <c r="CE5" i="9"/>
  <c r="CG5" i="9"/>
  <c r="CF5" i="9"/>
  <c r="CI5" i="9"/>
  <c r="CE3" i="9"/>
  <c r="CG3" i="9"/>
  <c r="CF3" i="9"/>
  <c r="CI3" i="9"/>
  <c r="BY14" i="9"/>
  <c r="CA14" i="9"/>
  <c r="BY13" i="9"/>
  <c r="CA13" i="9"/>
  <c r="BZ13" i="9"/>
  <c r="BY12" i="9"/>
  <c r="CA12" i="9"/>
  <c r="BY11" i="9"/>
  <c r="CA11" i="9"/>
  <c r="BY10" i="9"/>
  <c r="CA10" i="9"/>
  <c r="BY9" i="9"/>
  <c r="CA9" i="9"/>
  <c r="BZ9" i="9"/>
  <c r="BY7" i="9"/>
  <c r="CA7" i="9"/>
  <c r="BY4" i="9"/>
  <c r="CA4" i="9"/>
  <c r="BY3" i="9"/>
  <c r="CA3" i="9"/>
  <c r="BZ3" i="9"/>
  <c r="BY6" i="9"/>
  <c r="CA6" i="9"/>
  <c r="BZ6" i="9"/>
  <c r="BY5" i="9"/>
  <c r="CA5" i="9"/>
  <c r="BZ5" i="9"/>
  <c r="BY15" i="9"/>
  <c r="CA15" i="9"/>
  <c r="BZ15" i="9"/>
  <c r="BT15" i="9"/>
  <c r="BT11" i="9"/>
  <c r="BW11" i="9"/>
  <c r="BS6" i="9"/>
  <c r="BU6" i="9"/>
  <c r="BT6" i="9"/>
  <c r="BS5" i="9"/>
  <c r="BS10" i="9"/>
  <c r="BU10" i="9"/>
  <c r="BT10" i="9"/>
  <c r="BS9" i="9"/>
  <c r="BU9" i="9"/>
  <c r="BT9" i="9"/>
  <c r="BS7" i="9"/>
  <c r="BU7" i="9"/>
  <c r="BT7" i="9"/>
  <c r="BS4" i="9"/>
  <c r="BU4" i="9"/>
  <c r="BT4" i="9"/>
  <c r="BS3" i="9"/>
  <c r="BU3" i="9"/>
  <c r="BT3" i="9"/>
  <c r="BS15" i="9"/>
  <c r="CA26" i="9"/>
  <c r="BZ26" i="9"/>
  <c r="CC26" i="9"/>
  <c r="CA24" i="9"/>
  <c r="BZ24" i="9"/>
  <c r="CC24" i="9"/>
  <c r="CA23" i="9"/>
  <c r="BZ23" i="9"/>
  <c r="CC23" i="9"/>
  <c r="CA22" i="9"/>
  <c r="BZ22" i="9"/>
  <c r="CA21" i="9"/>
  <c r="BZ21" i="9"/>
  <c r="CC21" i="9"/>
  <c r="CA20" i="9"/>
  <c r="BZ20" i="9"/>
  <c r="CC20" i="9"/>
  <c r="CA19" i="9"/>
  <c r="BZ19" i="9"/>
  <c r="CA18" i="9"/>
  <c r="BZ18" i="9"/>
  <c r="CC18" i="9"/>
  <c r="CA17" i="9"/>
  <c r="BZ17" i="9"/>
  <c r="CC17" i="9"/>
  <c r="CA16" i="9"/>
  <c r="BZ16" i="9"/>
  <c r="CC16" i="9"/>
  <c r="CG9" i="9"/>
  <c r="CF9" i="9"/>
  <c r="CI9" i="9"/>
  <c r="CM26" i="9"/>
  <c r="CL26" i="9"/>
  <c r="CO26" i="9"/>
  <c r="CM24" i="9"/>
  <c r="CL24" i="9"/>
  <c r="CO24" i="9"/>
  <c r="CM23" i="9"/>
  <c r="CL23" i="9"/>
  <c r="CO23" i="9"/>
  <c r="CM22" i="9"/>
  <c r="CL22" i="9"/>
  <c r="CO22" i="9"/>
  <c r="CM21" i="9"/>
  <c r="CL21" i="9"/>
  <c r="CO21" i="9"/>
  <c r="CM20" i="9"/>
  <c r="CL20" i="9"/>
  <c r="CO20" i="9"/>
  <c r="CM19" i="9"/>
  <c r="CL19" i="9"/>
  <c r="CO19" i="9"/>
  <c r="CM18" i="9"/>
  <c r="CL18" i="9"/>
  <c r="CO18" i="9"/>
  <c r="CM17" i="9"/>
  <c r="CL17" i="9"/>
  <c r="CO17" i="9"/>
  <c r="CM16" i="9"/>
  <c r="CL16" i="9"/>
  <c r="CM15" i="9"/>
  <c r="CL15" i="9"/>
  <c r="CO15" i="9"/>
  <c r="CM14" i="9"/>
  <c r="CL14" i="9"/>
  <c r="CO14" i="9"/>
  <c r="CM13" i="9"/>
  <c r="CL13" i="9"/>
  <c r="CO13" i="9"/>
  <c r="CM12" i="9"/>
  <c r="CL12" i="9"/>
  <c r="CO12" i="9"/>
  <c r="CM11" i="9"/>
  <c r="CL11" i="9"/>
  <c r="CO11" i="9"/>
  <c r="CM10" i="9"/>
  <c r="CL10" i="9"/>
  <c r="CO10" i="9"/>
  <c r="CM9" i="9"/>
  <c r="CL9" i="9"/>
  <c r="CO9" i="9"/>
  <c r="CM7" i="9"/>
  <c r="CL7" i="9"/>
  <c r="CM6" i="9"/>
  <c r="CL6" i="9"/>
  <c r="CO6" i="9"/>
  <c r="CM5" i="9"/>
  <c r="CL5" i="9"/>
  <c r="CO5" i="9"/>
  <c r="CM4" i="9"/>
  <c r="CL4" i="9"/>
  <c r="CO4" i="9"/>
  <c r="CM3" i="9"/>
  <c r="CL3" i="9"/>
  <c r="CS19" i="9"/>
  <c r="CR19" i="9"/>
  <c r="CU19" i="9"/>
  <c r="CS20" i="9"/>
  <c r="CR20" i="9"/>
  <c r="CU20" i="9"/>
  <c r="CS21" i="9"/>
  <c r="CR21" i="9"/>
  <c r="CU21" i="9"/>
  <c r="CS22" i="9"/>
  <c r="CR22" i="9"/>
  <c r="CU22" i="9"/>
  <c r="CS23" i="9"/>
  <c r="CR23" i="9"/>
  <c r="CS24" i="9"/>
  <c r="CR24" i="9"/>
  <c r="CU24" i="9"/>
  <c r="CS26" i="9"/>
  <c r="CR26" i="9"/>
  <c r="CU26" i="9"/>
  <c r="CS18" i="9"/>
  <c r="CR18" i="9"/>
  <c r="CU18" i="9"/>
  <c r="CS17" i="9"/>
  <c r="CR17" i="9"/>
  <c r="CU17" i="9"/>
  <c r="CS16" i="9"/>
  <c r="CR16" i="9"/>
  <c r="CU16" i="9"/>
  <c r="CS15" i="9"/>
  <c r="CR15" i="9"/>
  <c r="CU15" i="9"/>
  <c r="CS14" i="9"/>
  <c r="CR14" i="9"/>
  <c r="CU14" i="9"/>
  <c r="CS13" i="9"/>
  <c r="CR13" i="9"/>
  <c r="CU13" i="9"/>
  <c r="CS12" i="9"/>
  <c r="CR12" i="9"/>
  <c r="CU12" i="9"/>
  <c r="CS11" i="9"/>
  <c r="CR11" i="9"/>
  <c r="CU11" i="9"/>
  <c r="CS10" i="9"/>
  <c r="CR10" i="9"/>
  <c r="CU10" i="9"/>
  <c r="CS9" i="9"/>
  <c r="CR9" i="9"/>
  <c r="CU9" i="9"/>
  <c r="CS7" i="9"/>
  <c r="CR7" i="9"/>
  <c r="CU7" i="9"/>
  <c r="CS6" i="9"/>
  <c r="CR6" i="9"/>
  <c r="CU6" i="9"/>
  <c r="CS5" i="9"/>
  <c r="CR5" i="9"/>
  <c r="CU5" i="9"/>
  <c r="CS4" i="9"/>
  <c r="CR4" i="9"/>
  <c r="CU4" i="9"/>
  <c r="CS3" i="9"/>
  <c r="CR3" i="9"/>
  <c r="CU3" i="9"/>
  <c r="DO368" i="2"/>
  <c r="DO365" i="2"/>
  <c r="DO738" i="2"/>
  <c r="DO917" i="2"/>
  <c r="DO450" i="2"/>
  <c r="DO314" i="2"/>
  <c r="DO876" i="2"/>
  <c r="CX17" i="9"/>
  <c r="CX24" i="9"/>
  <c r="CG20" i="9"/>
  <c r="CF20" i="9"/>
  <c r="CI20" i="9"/>
  <c r="CX16" i="9"/>
  <c r="DK836" i="2"/>
  <c r="DK824" i="2"/>
  <c r="DL17" i="9"/>
  <c r="CX7" i="9"/>
  <c r="CX23" i="9"/>
  <c r="DL3" i="9"/>
  <c r="DL7" i="9"/>
  <c r="DL23" i="9"/>
  <c r="CX13" i="9"/>
  <c r="CX26" i="9"/>
  <c r="CX12" i="9"/>
  <c r="CX5" i="9"/>
  <c r="CX15" i="9"/>
  <c r="BZ4" i="9"/>
  <c r="CC4" i="9"/>
  <c r="BZ11" i="9"/>
  <c r="CC11" i="9"/>
  <c r="BZ14" i="9"/>
  <c r="CC14" i="9"/>
  <c r="CX14" i="9"/>
  <c r="BW10" i="9"/>
  <c r="CX19" i="9"/>
  <c r="CC9" i="9"/>
  <c r="BZ10" i="9"/>
  <c r="CC10" i="9"/>
  <c r="BZ7" i="9"/>
  <c r="CC7" i="9"/>
  <c r="CX10" i="9"/>
  <c r="CX18" i="9"/>
  <c r="CC13" i="9"/>
  <c r="BZ12" i="9"/>
  <c r="CC12" i="9"/>
  <c r="CX4" i="9"/>
  <c r="CX11" i="9"/>
  <c r="BU5" i="9"/>
  <c r="CC5" i="9"/>
  <c r="CX3" i="9"/>
  <c r="CG21" i="9"/>
  <c r="CF21" i="9"/>
  <c r="CI21" i="9"/>
  <c r="CG22" i="9"/>
  <c r="CF22" i="9"/>
  <c r="CI22" i="9"/>
  <c r="CX6" i="9"/>
  <c r="CC3" i="9"/>
  <c r="CC6" i="9"/>
  <c r="CX9" i="9"/>
  <c r="BW6" i="9"/>
  <c r="BW7" i="9"/>
  <c r="BW9" i="9"/>
  <c r="BW3" i="9"/>
  <c r="CC19" i="9"/>
  <c r="CY19" i="9"/>
  <c r="CY23" i="9"/>
  <c r="CU23" i="9"/>
  <c r="CO3" i="9"/>
  <c r="CY3" i="9"/>
  <c r="CO7" i="9"/>
  <c r="BW4" i="9"/>
  <c r="CY15" i="9"/>
  <c r="CC15" i="9"/>
  <c r="CC22" i="9"/>
  <c r="CO16" i="9"/>
  <c r="CY16" i="9"/>
  <c r="CY20" i="9"/>
  <c r="CZ20" i="9"/>
  <c r="DF20" i="9"/>
  <c r="IK20" i="9"/>
  <c r="CY9" i="9"/>
  <c r="CY26" i="9"/>
  <c r="CY24" i="9"/>
  <c r="CZ24" i="9"/>
  <c r="DF24" i="9"/>
  <c r="IK24" i="9"/>
  <c r="CY17" i="9"/>
  <c r="CZ17" i="9"/>
  <c r="CY18" i="9"/>
  <c r="CY13" i="9"/>
  <c r="CZ13" i="9"/>
  <c r="DF13" i="9"/>
  <c r="IK13" i="9"/>
  <c r="CY6" i="9"/>
  <c r="CZ16" i="9"/>
  <c r="DF16" i="9"/>
  <c r="IK16" i="9"/>
  <c r="DF17" i="9"/>
  <c r="IK17" i="9"/>
  <c r="CZ26" i="9"/>
  <c r="DF26" i="9"/>
  <c r="IK26" i="9"/>
  <c r="CZ15" i="9"/>
  <c r="DF15" i="9"/>
  <c r="IK15" i="9"/>
  <c r="CY14" i="9"/>
  <c r="CZ14" i="9"/>
  <c r="DF14" i="9"/>
  <c r="IK14" i="9"/>
  <c r="CZ23" i="9"/>
  <c r="DF23" i="9"/>
  <c r="IK23" i="9"/>
  <c r="CZ3" i="9"/>
  <c r="DF3" i="9"/>
  <c r="IK3" i="9"/>
  <c r="CY11" i="9"/>
  <c r="CZ11" i="9"/>
  <c r="DF11" i="9"/>
  <c r="CZ6" i="9"/>
  <c r="DF6" i="9"/>
  <c r="IK6" i="9"/>
  <c r="CZ9" i="9"/>
  <c r="DF9" i="9"/>
  <c r="IK9" i="9"/>
  <c r="CY21" i="9"/>
  <c r="CZ21" i="9"/>
  <c r="DF21" i="9"/>
  <c r="IK21" i="9"/>
  <c r="CY7" i="9"/>
  <c r="CZ7" i="9"/>
  <c r="DF7" i="9"/>
  <c r="IK7" i="9"/>
  <c r="CZ19" i="9"/>
  <c r="DF19" i="9"/>
  <c r="IK19" i="9"/>
  <c r="CY22" i="9"/>
  <c r="CZ22" i="9"/>
  <c r="DF22" i="9"/>
  <c r="IK22" i="9"/>
  <c r="CY4" i="9"/>
  <c r="CZ4" i="9"/>
  <c r="DF4" i="9"/>
  <c r="IK4" i="9"/>
  <c r="CZ18" i="9"/>
  <c r="DF18" i="9"/>
  <c r="CY10" i="9"/>
  <c r="CZ10" i="9"/>
  <c r="DF10" i="9"/>
  <c r="IK10" i="9"/>
  <c r="CY12" i="9"/>
  <c r="CZ12" i="9"/>
  <c r="DF12" i="9"/>
  <c r="IK12" i="9"/>
  <c r="BT5" i="9"/>
  <c r="CY5" i="9"/>
  <c r="CZ5" i="9"/>
  <c r="DF5" i="9"/>
  <c r="IK5" i="9"/>
  <c r="IK18" i="9"/>
  <c r="II33" i="9"/>
  <c r="IJ33" i="9"/>
  <c r="IK11" i="9"/>
  <c r="II31" i="9"/>
  <c r="IJ31" i="9"/>
  <c r="BW5" i="9"/>
  <c r="DK683" i="2"/>
  <c r="DO683" i="2"/>
  <c r="DK589" i="2"/>
  <c r="DO589" i="2"/>
  <c r="DO856" i="2"/>
  <c r="DK855" i="2"/>
  <c r="DO855" i="2"/>
  <c r="DK929" i="2"/>
  <c r="DO929" i="2"/>
  <c r="IK31" i="9"/>
  <c r="IL31" i="9"/>
  <c r="IK28" i="9"/>
  <c r="IK33" i="9"/>
  <c r="IL33" i="9"/>
  <c r="IK38" i="9"/>
  <c r="DK856" i="2"/>
  <c r="DK922" i="2"/>
  <c r="DM922" i="2"/>
  <c r="DN922" i="2"/>
  <c r="DP922" i="2"/>
  <c r="IK40" i="9"/>
  <c r="DK458" i="2"/>
  <c r="DO458" i="2"/>
  <c r="DK469" i="2"/>
  <c r="DO469" i="2"/>
  <c r="DL391" i="2"/>
  <c r="DM391" i="2"/>
  <c r="DN391" i="2" s="1"/>
  <c r="DR391" i="2"/>
  <c r="DV391" i="2" s="1"/>
  <c r="DZ391" i="2"/>
  <c r="DL243" i="2"/>
  <c r="DM243" i="2"/>
  <c r="DN243" i="2" s="1"/>
  <c r="DR243" i="2"/>
  <c r="DV243" i="2" s="1"/>
  <c r="DZ243" i="2"/>
  <c r="DM282" i="2"/>
  <c r="DN282" i="2"/>
  <c r="DO282" i="2" s="1"/>
  <c r="DW282" i="2"/>
  <c r="EA282" i="2"/>
  <c r="DL81" i="2"/>
  <c r="DM81" i="2"/>
  <c r="DN81" i="2" s="1"/>
  <c r="DV81" i="2"/>
  <c r="DZ81" i="2"/>
  <c r="DL98" i="2"/>
  <c r="DM98" i="2"/>
  <c r="DN98" i="2" s="1"/>
  <c r="DV98" i="2"/>
  <c r="DX98" i="2"/>
  <c r="DZ98" i="2" s="1"/>
  <c r="DL442" i="2"/>
  <c r="DM442" i="2"/>
  <c r="DN442" i="2" s="1"/>
  <c r="DV442" i="2"/>
  <c r="DZ442" i="2"/>
  <c r="DJ244" i="2"/>
  <c r="DK244" i="2"/>
  <c r="DL244" i="2" s="1"/>
  <c r="DT244" i="2"/>
  <c r="DX244" i="2"/>
  <c r="DL861" i="2"/>
  <c r="DM861" i="2" s="1"/>
  <c r="DU861" i="2"/>
  <c r="DY861" i="2"/>
  <c r="DJ861" i="2" s="1"/>
  <c r="DH243" i="2"/>
  <c r="DI243" i="2"/>
  <c r="DH391" i="2"/>
  <c r="DI391" i="2"/>
  <c r="DI282" i="2"/>
  <c r="DH81" i="2"/>
  <c r="DH442" i="2"/>
  <c r="DJ282" i="2"/>
  <c r="DH98" i="2"/>
  <c r="DI98" i="2"/>
  <c r="DI81" i="2"/>
  <c r="DH244" i="2"/>
  <c r="DI442" i="2"/>
  <c r="DJ551" i="2"/>
  <c r="DK551" i="2"/>
  <c r="DL551" i="2" s="1"/>
  <c r="DT551" i="2"/>
  <c r="DX551" i="2"/>
  <c r="DJ357" i="2"/>
  <c r="DK357" i="2"/>
  <c r="DL357" i="2" s="1"/>
  <c r="DT357" i="2"/>
  <c r="DX357" i="2"/>
  <c r="DK457" i="2"/>
  <c r="DL457" i="2" s="1"/>
  <c r="DT457" i="2"/>
  <c r="DX457" i="2"/>
  <c r="DJ761" i="2"/>
  <c r="DK761" i="2"/>
  <c r="DL761" i="2" s="1"/>
  <c r="DT761" i="2"/>
  <c r="DX761" i="2"/>
  <c r="DL273" i="2"/>
  <c r="DM273" i="2" s="1"/>
  <c r="DU273" i="2"/>
  <c r="DY273" i="2"/>
  <c r="DJ273" i="2" s="1"/>
  <c r="DL274" i="2"/>
  <c r="DM274" i="2" s="1"/>
  <c r="DU274" i="2"/>
  <c r="DY274" i="2"/>
  <c r="DJ274" i="2" s="1"/>
  <c r="DL275" i="2"/>
  <c r="DM275" i="2" s="1"/>
  <c r="DU275" i="2"/>
  <c r="DY275" i="2"/>
  <c r="DJ275" i="2" s="1"/>
  <c r="DL276" i="2"/>
  <c r="DM276" i="2" s="1"/>
  <c r="DU276" i="2"/>
  <c r="DY276" i="2"/>
  <c r="DJ276" i="2" s="1"/>
  <c r="DL277" i="2"/>
  <c r="DM277" i="2" s="1"/>
  <c r="DU277" i="2"/>
  <c r="DY277" i="2"/>
  <c r="DJ277" i="2" s="1"/>
  <c r="DJ684" i="2"/>
  <c r="DK684" i="2"/>
  <c r="DL684" i="2" s="1"/>
  <c r="DT684" i="2"/>
  <c r="DX684" i="2"/>
  <c r="DJ811" i="2"/>
  <c r="DK811" i="2"/>
  <c r="DL811" i="2" s="1"/>
  <c r="DT811" i="2"/>
  <c r="DX811" i="2"/>
  <c r="DH551" i="2"/>
  <c r="DH684" i="2"/>
  <c r="DH357" i="2"/>
  <c r="DH457" i="2"/>
  <c r="DH761" i="2"/>
  <c r="DH811" i="2"/>
  <c r="DL114" i="2"/>
  <c r="DM114" i="2" s="1"/>
  <c r="DU114" i="2"/>
  <c r="DY114" i="2"/>
  <c r="DL694" i="2"/>
  <c r="DM694" i="2" s="1"/>
  <c r="DU694" i="2"/>
  <c r="DY694" i="2"/>
  <c r="DJ694" i="2" s="1"/>
  <c r="DK267" i="2"/>
  <c r="DL267" i="2" s="1"/>
  <c r="DT267" i="2"/>
  <c r="DX267" i="2"/>
  <c r="DK444" i="2"/>
  <c r="DL444" i="2" s="1"/>
  <c r="DT444" i="2"/>
  <c r="DX444" i="2"/>
  <c r="DK906" i="2"/>
  <c r="DL906" i="2" s="1"/>
  <c r="DT906" i="2"/>
  <c r="DX906" i="2"/>
  <c r="DK554" i="2"/>
  <c r="DL554" i="2" s="1"/>
  <c r="DT554" i="2"/>
  <c r="DX554" i="2"/>
  <c r="DI114" i="2"/>
  <c r="DH444" i="2"/>
  <c r="DH906" i="2"/>
  <c r="DH267" i="2"/>
  <c r="DE10" i="6"/>
  <c r="DH554" i="2"/>
  <c r="DT778" i="2"/>
  <c r="DT19" i="2"/>
  <c r="CP22" i="6"/>
  <c r="CP21" i="6"/>
  <c r="CP20" i="6"/>
  <c r="CP19" i="6"/>
  <c r="CJ22" i="6"/>
  <c r="CJ21" i="6"/>
  <c r="CW21" i="6"/>
  <c r="CJ20" i="6"/>
  <c r="CJ19" i="6"/>
  <c r="CW22" i="6"/>
  <c r="CW20" i="6"/>
  <c r="CW19" i="6"/>
  <c r="DL18" i="6"/>
  <c r="DA16" i="6"/>
  <c r="DA21" i="6"/>
  <c r="DA15" i="6"/>
  <c r="DA12" i="6"/>
  <c r="DA11" i="6"/>
  <c r="DA9" i="6"/>
  <c r="DA4" i="6"/>
  <c r="DA3" i="6"/>
  <c r="DA2" i="6"/>
  <c r="DC11" i="6"/>
  <c r="DC23" i="6"/>
  <c r="DC31" i="6"/>
  <c r="DC30" i="6"/>
  <c r="DC29" i="6"/>
  <c r="DC28" i="6"/>
  <c r="DC27" i="6"/>
  <c r="DC26" i="6"/>
  <c r="DC25" i="6"/>
  <c r="DC24" i="6"/>
  <c r="DC22" i="6"/>
  <c r="DC21" i="6"/>
  <c r="DC20" i="6"/>
  <c r="DC19" i="6"/>
  <c r="DC18" i="6"/>
  <c r="DC17" i="6"/>
  <c r="DC16" i="6"/>
  <c r="DC15" i="6"/>
  <c r="DC14" i="6"/>
  <c r="DC13" i="6"/>
  <c r="DC12" i="6"/>
  <c r="DC10" i="6"/>
  <c r="DC9" i="6"/>
  <c r="DC8" i="6"/>
  <c r="DC7" i="6"/>
  <c r="DC6" i="6"/>
  <c r="DC5" i="6"/>
  <c r="DC4" i="6"/>
  <c r="DC3" i="6"/>
  <c r="DC2" i="6"/>
  <c r="CE22" i="6"/>
  <c r="CE21" i="6"/>
  <c r="CE20" i="6"/>
  <c r="CE19" i="6"/>
  <c r="CK22" i="6"/>
  <c r="CN22" i="6"/>
  <c r="CK21" i="6"/>
  <c r="CN21" i="6"/>
  <c r="CK20" i="6"/>
  <c r="CN20" i="6"/>
  <c r="CK19" i="6"/>
  <c r="CN19" i="6"/>
  <c r="CQ22" i="6"/>
  <c r="CT22" i="6"/>
  <c r="CQ21" i="6"/>
  <c r="CT21" i="6"/>
  <c r="CQ20" i="6"/>
  <c r="CT20" i="6"/>
  <c r="CQ19" i="6"/>
  <c r="CT19" i="6"/>
  <c r="DI17" i="6"/>
  <c r="CH19" i="6"/>
  <c r="CX19" i="6"/>
  <c r="CH20" i="6"/>
  <c r="CX20" i="6"/>
  <c r="CX21" i="6"/>
  <c r="CH21" i="6"/>
  <c r="CH22" i="6"/>
  <c r="CX22" i="6"/>
  <c r="DJ11" i="6"/>
  <c r="DH17" i="6"/>
  <c r="DH11" i="6"/>
  <c r="DF17" i="6"/>
  <c r="DF11" i="6"/>
  <c r="DD11" i="6"/>
  <c r="DA17" i="6"/>
  <c r="DA22" i="6"/>
  <c r="DA20" i="6"/>
  <c r="DA19" i="6"/>
  <c r="DA18" i="6"/>
  <c r="DA14" i="6"/>
  <c r="DA13" i="6"/>
  <c r="DA8" i="6"/>
  <c r="DA7" i="6"/>
  <c r="DA6" i="6"/>
  <c r="DA5" i="6"/>
  <c r="DH3" i="6"/>
  <c r="DH5" i="6"/>
  <c r="DO15" i="6"/>
  <c r="DJ3" i="6"/>
  <c r="DF15" i="6"/>
  <c r="DF18" i="6"/>
  <c r="DG5" i="6"/>
  <c r="DG16" i="6"/>
  <c r="DG22" i="6"/>
  <c r="DG20" i="6"/>
  <c r="DG21" i="6"/>
  <c r="DG19" i="6"/>
  <c r="DG18" i="6"/>
  <c r="DG17" i="6"/>
  <c r="DG15" i="6"/>
  <c r="DG14" i="6"/>
  <c r="DG13" i="6"/>
  <c r="DG11" i="6"/>
  <c r="DG10" i="6"/>
  <c r="DG8" i="6"/>
  <c r="DG7" i="6"/>
  <c r="DG4" i="6"/>
  <c r="DG3" i="6"/>
  <c r="DG2" i="6"/>
  <c r="DE30" i="6"/>
  <c r="IB30" i="6"/>
  <c r="DE31" i="6"/>
  <c r="IB31" i="6"/>
  <c r="DE29" i="6"/>
  <c r="IB29" i="6"/>
  <c r="DE27" i="6"/>
  <c r="IB27" i="6"/>
  <c r="DE28" i="6"/>
  <c r="IB28" i="6"/>
  <c r="DE26" i="6"/>
  <c r="IB26" i="6"/>
  <c r="DE25" i="6"/>
  <c r="IB25" i="6"/>
  <c r="HY24" i="6"/>
  <c r="DE24" i="6"/>
  <c r="IB24" i="6"/>
  <c r="HY23" i="6"/>
  <c r="DE23" i="6"/>
  <c r="IB23" i="6"/>
  <c r="DI7" i="6"/>
  <c r="DI4" i="6"/>
  <c r="DI2" i="6"/>
  <c r="DF3" i="6"/>
  <c r="DF22" i="6"/>
  <c r="DK22" i="6"/>
  <c r="DF20" i="6"/>
  <c r="DK20" i="6"/>
  <c r="DF21" i="6"/>
  <c r="DK21" i="6"/>
  <c r="DF19" i="6"/>
  <c r="DK19" i="6"/>
  <c r="DJ5" i="6"/>
  <c r="CU22" i="6"/>
  <c r="CU21" i="6"/>
  <c r="CU20" i="6"/>
  <c r="CU19" i="6"/>
  <c r="CV19" i="6"/>
  <c r="CY19" i="6"/>
  <c r="DE19" i="6"/>
  <c r="IJ19" i="6"/>
  <c r="CU5" i="6"/>
  <c r="CU117" i="6"/>
  <c r="CV117" i="6"/>
  <c r="CU116" i="6"/>
  <c r="CV116" i="6"/>
  <c r="CU115" i="6"/>
  <c r="CV115" i="6"/>
  <c r="CU114" i="6"/>
  <c r="CV114" i="6"/>
  <c r="CU113" i="6"/>
  <c r="CV113" i="6"/>
  <c r="CU112" i="6"/>
  <c r="CV112" i="6"/>
  <c r="CU111" i="6"/>
  <c r="CV111" i="6"/>
  <c r="CU110" i="6"/>
  <c r="CV110" i="6"/>
  <c r="CU109" i="6"/>
  <c r="CV109" i="6"/>
  <c r="CU108" i="6"/>
  <c r="CV108" i="6"/>
  <c r="CU107" i="6"/>
  <c r="CV107" i="6"/>
  <c r="CU106" i="6"/>
  <c r="CV106" i="6"/>
  <c r="CU105" i="6"/>
  <c r="CV105" i="6"/>
  <c r="CU104" i="6"/>
  <c r="CV104" i="6"/>
  <c r="CU103" i="6"/>
  <c r="CV103" i="6"/>
  <c r="CV22" i="6"/>
  <c r="CY22" i="6"/>
  <c r="DE22" i="6"/>
  <c r="IJ22" i="6"/>
  <c r="CV21" i="6"/>
  <c r="CY21" i="6"/>
  <c r="DE21" i="6"/>
  <c r="IJ21" i="6"/>
  <c r="CV20" i="6"/>
  <c r="CY20" i="6"/>
  <c r="DE20" i="6"/>
  <c r="IJ20" i="6"/>
  <c r="DN31" i="6"/>
  <c r="DN23" i="6"/>
  <c r="DN13" i="6"/>
  <c r="DF13" i="6"/>
  <c r="DD13" i="6"/>
  <c r="DB13" i="6"/>
  <c r="CJ13" i="6"/>
  <c r="CD13" i="6"/>
  <c r="BX13" i="6"/>
  <c r="BZ13" i="6"/>
  <c r="BR13" i="6"/>
  <c r="BT13" i="6"/>
  <c r="BO13" i="6"/>
  <c r="BM13" i="6" s="1"/>
  <c r="BP13" i="6" s="1"/>
  <c r="BL13" i="6"/>
  <c r="BI13" i="6"/>
  <c r="BG13" i="6" s="1"/>
  <c r="BF13" i="6"/>
  <c r="BH13" i="6"/>
  <c r="DN12" i="6"/>
  <c r="DK12" i="6"/>
  <c r="DB12" i="6"/>
  <c r="CJ12" i="6"/>
  <c r="CL12" i="6"/>
  <c r="CD12" i="6"/>
  <c r="BX12" i="6"/>
  <c r="BZ12" i="6"/>
  <c r="BR12" i="6"/>
  <c r="BT12" i="6"/>
  <c r="BO12" i="6"/>
  <c r="BM12" i="6" s="1"/>
  <c r="BP12" i="6" s="1"/>
  <c r="BL12" i="6"/>
  <c r="BN12" i="6"/>
  <c r="BI12" i="6"/>
  <c r="BG12" i="6" s="1"/>
  <c r="BF12" i="6"/>
  <c r="DO11" i="6"/>
  <c r="DL11" i="6"/>
  <c r="DN11" i="6"/>
  <c r="CU11" i="6"/>
  <c r="DK11" i="6"/>
  <c r="DB11" i="6"/>
  <c r="CO11" i="6"/>
  <c r="CI11" i="6"/>
  <c r="CJ11" i="6"/>
  <c r="CC11" i="6"/>
  <c r="BW11" i="6"/>
  <c r="BR11" i="6"/>
  <c r="BT11" i="6"/>
  <c r="BO11" i="6"/>
  <c r="BM11" i="6" s="1"/>
  <c r="BL11" i="6"/>
  <c r="BN11" i="6"/>
  <c r="BI11" i="6"/>
  <c r="BG11" i="6" s="1"/>
  <c r="BJ11" i="6" s="1"/>
  <c r="BF11" i="6"/>
  <c r="DN18" i="6"/>
  <c r="DK18" i="6"/>
  <c r="DB18" i="6"/>
  <c r="CJ18" i="6"/>
  <c r="CL18" i="6"/>
  <c r="CK18" i="6"/>
  <c r="CD18" i="6"/>
  <c r="CF18" i="6"/>
  <c r="BX18" i="6"/>
  <c r="BZ18" i="6"/>
  <c r="BR18" i="6"/>
  <c r="BT18" i="6"/>
  <c r="BO18" i="6"/>
  <c r="BM18" i="6" s="1"/>
  <c r="BP18" i="6" s="1"/>
  <c r="BL18" i="6"/>
  <c r="BN18" i="6"/>
  <c r="BI18" i="6"/>
  <c r="BG18" i="6" s="1"/>
  <c r="BF18" i="6"/>
  <c r="BH18" i="6"/>
  <c r="DN17" i="6"/>
  <c r="DD17" i="6"/>
  <c r="DB17" i="6"/>
  <c r="CJ17" i="6"/>
  <c r="CL17" i="6"/>
  <c r="CD17" i="6"/>
  <c r="CF17" i="6"/>
  <c r="BX17" i="6"/>
  <c r="BZ17" i="6"/>
  <c r="BR17" i="6"/>
  <c r="BO17" i="6"/>
  <c r="BM17" i="6" s="1"/>
  <c r="BP17" i="6" s="1"/>
  <c r="BL17" i="6"/>
  <c r="BN17" i="6"/>
  <c r="BI17" i="6"/>
  <c r="BG17" i="6" s="1"/>
  <c r="BJ17" i="6" s="1"/>
  <c r="BF17" i="6"/>
  <c r="BH17" i="6"/>
  <c r="DN16" i="6"/>
  <c r="DK16" i="6"/>
  <c r="DB16" i="6"/>
  <c r="CJ16" i="6"/>
  <c r="CL16" i="6"/>
  <c r="CD16" i="6"/>
  <c r="CF16" i="6"/>
  <c r="BX16" i="6"/>
  <c r="BR16" i="6"/>
  <c r="BT16" i="6"/>
  <c r="BO16" i="6"/>
  <c r="BM16" i="6" s="1"/>
  <c r="BP16" i="6" s="1"/>
  <c r="BL16" i="6"/>
  <c r="BN16" i="6"/>
  <c r="BI16" i="6"/>
  <c r="BG16" i="6" s="1"/>
  <c r="BF16" i="6"/>
  <c r="BH16" i="6"/>
  <c r="DN15" i="6"/>
  <c r="DK15" i="6"/>
  <c r="DD15" i="6"/>
  <c r="DB15" i="6"/>
  <c r="CJ15" i="6"/>
  <c r="CL15" i="6"/>
  <c r="CD15" i="6"/>
  <c r="CF15" i="6"/>
  <c r="BX15" i="6"/>
  <c r="BR15" i="6"/>
  <c r="BO15" i="6"/>
  <c r="BM15" i="6" s="1"/>
  <c r="BL15" i="6"/>
  <c r="BN15" i="6"/>
  <c r="BI15" i="6"/>
  <c r="BG15" i="6" s="1"/>
  <c r="BJ15" i="6" s="1"/>
  <c r="BF15" i="6"/>
  <c r="BH15" i="6"/>
  <c r="DN14" i="6"/>
  <c r="DF14" i="6"/>
  <c r="DD14" i="6"/>
  <c r="DB14" i="6"/>
  <c r="CJ14" i="6"/>
  <c r="CL14" i="6"/>
  <c r="CD14" i="6"/>
  <c r="CF14" i="6"/>
  <c r="BX14" i="6"/>
  <c r="BZ14" i="6"/>
  <c r="BR14" i="6"/>
  <c r="BT14" i="6"/>
  <c r="BO14" i="6"/>
  <c r="BM14" i="6" s="1"/>
  <c r="BP14" i="6" s="1"/>
  <c r="BL14" i="6"/>
  <c r="BN14" i="6"/>
  <c r="BI14" i="6"/>
  <c r="BG14" i="6" s="1"/>
  <c r="BF14" i="6"/>
  <c r="BH14" i="6"/>
  <c r="DN10" i="6"/>
  <c r="DF10" i="6"/>
  <c r="DB10" i="6"/>
  <c r="CJ10" i="6"/>
  <c r="CL10" i="6"/>
  <c r="CD10" i="6"/>
  <c r="CF10" i="6"/>
  <c r="BX10" i="6"/>
  <c r="BR10" i="6"/>
  <c r="BO10" i="6"/>
  <c r="BM10" i="6" s="1"/>
  <c r="BP10" i="6" s="1"/>
  <c r="BL10" i="6"/>
  <c r="BN10" i="6"/>
  <c r="BI10" i="6"/>
  <c r="BG10" i="6" s="1"/>
  <c r="BJ10" i="6" s="1"/>
  <c r="BF10" i="6"/>
  <c r="BH10" i="6"/>
  <c r="DN9" i="6"/>
  <c r="DK9" i="6"/>
  <c r="DB9" i="6"/>
  <c r="CJ9" i="6"/>
  <c r="CD9" i="6"/>
  <c r="CF9" i="6"/>
  <c r="BX9" i="6"/>
  <c r="BZ9" i="6"/>
  <c r="BR9" i="6"/>
  <c r="BO9" i="6"/>
  <c r="BM9" i="6" s="1"/>
  <c r="BP9" i="6" s="1"/>
  <c r="BL9" i="6"/>
  <c r="BN9" i="6"/>
  <c r="BI9" i="6"/>
  <c r="BG9" i="6" s="1"/>
  <c r="BF9" i="6"/>
  <c r="BH9" i="6"/>
  <c r="DL8" i="6"/>
  <c r="DN8" i="6"/>
  <c r="DF8" i="6"/>
  <c r="DB8" i="6"/>
  <c r="CJ8" i="6"/>
  <c r="CL8" i="6"/>
  <c r="CD8" i="6"/>
  <c r="CF8" i="6"/>
  <c r="BX8" i="6"/>
  <c r="BZ8" i="6"/>
  <c r="BR8" i="6"/>
  <c r="BT8" i="6"/>
  <c r="BO8" i="6"/>
  <c r="BM8" i="6" s="1"/>
  <c r="BP8" i="6" s="1"/>
  <c r="BL8" i="6"/>
  <c r="BN8" i="6"/>
  <c r="BI8" i="6"/>
  <c r="BG8" i="6" s="1"/>
  <c r="BJ8" i="6" s="1"/>
  <c r="BF8" i="6"/>
  <c r="DN7" i="6"/>
  <c r="DH7" i="6"/>
  <c r="DB7" i="6"/>
  <c r="CJ7" i="6"/>
  <c r="CL7" i="6"/>
  <c r="CD7" i="6"/>
  <c r="CF7" i="6"/>
  <c r="BX7" i="6"/>
  <c r="BZ7" i="6"/>
  <c r="BR7" i="6"/>
  <c r="BT7" i="6"/>
  <c r="BO7" i="6"/>
  <c r="BM7" i="6" s="1"/>
  <c r="BP7" i="6" s="1"/>
  <c r="BL7" i="6"/>
  <c r="BN7" i="6"/>
  <c r="BI7" i="6"/>
  <c r="BG7" i="6" s="1"/>
  <c r="BF7" i="6"/>
  <c r="DN6" i="6"/>
  <c r="DH6" i="6"/>
  <c r="DB6" i="6"/>
  <c r="DF6" i="6"/>
  <c r="DD6" i="6"/>
  <c r="CJ6" i="6"/>
  <c r="CL6" i="6"/>
  <c r="CD6" i="6"/>
  <c r="BX6" i="6"/>
  <c r="BZ6" i="6"/>
  <c r="BR6" i="6"/>
  <c r="BT6" i="6"/>
  <c r="BO6" i="6"/>
  <c r="BM6" i="6" s="1"/>
  <c r="BP6" i="6" s="1"/>
  <c r="BL6" i="6"/>
  <c r="BN6" i="6"/>
  <c r="BI6" i="6"/>
  <c r="BG6" i="6" s="1"/>
  <c r="BF6" i="6"/>
  <c r="BH6" i="6"/>
  <c r="DK5" i="6"/>
  <c r="DD5" i="6"/>
  <c r="DB5" i="6"/>
  <c r="CO5" i="6"/>
  <c r="CV5" i="6"/>
  <c r="CJ5" i="6"/>
  <c r="CD5" i="6"/>
  <c r="CF5" i="6"/>
  <c r="BX5" i="6"/>
  <c r="BR5" i="6"/>
  <c r="BT5" i="6"/>
  <c r="BO5" i="6"/>
  <c r="BM5" i="6" s="1"/>
  <c r="BP5" i="6" s="1"/>
  <c r="BL5" i="6"/>
  <c r="BN5" i="6"/>
  <c r="BI5" i="6"/>
  <c r="BG5" i="6" s="1"/>
  <c r="BF5" i="6"/>
  <c r="BH5" i="6"/>
  <c r="DN4" i="6"/>
  <c r="DF4" i="6"/>
  <c r="DB4" i="6"/>
  <c r="CJ4" i="6"/>
  <c r="CL4" i="6"/>
  <c r="CD4" i="6"/>
  <c r="CF4" i="6"/>
  <c r="BX4" i="6"/>
  <c r="BR4" i="6"/>
  <c r="BT4" i="6"/>
  <c r="BO4" i="6"/>
  <c r="BM4" i="6" s="1"/>
  <c r="BP4" i="6" s="1"/>
  <c r="BL4" i="6"/>
  <c r="BI4" i="6"/>
  <c r="BG4" i="6" s="1"/>
  <c r="BF4" i="6"/>
  <c r="BH4" i="6"/>
  <c r="DN3" i="6"/>
  <c r="DB3" i="6"/>
  <c r="CP3" i="6"/>
  <c r="CR3" i="6"/>
  <c r="CQ3" i="6"/>
  <c r="CJ3" i="6"/>
  <c r="CL3" i="6"/>
  <c r="CD3" i="6"/>
  <c r="CF3" i="6"/>
  <c r="CE3" i="6"/>
  <c r="BX3" i="6"/>
  <c r="BR3" i="6"/>
  <c r="BT3" i="6"/>
  <c r="BO3" i="6"/>
  <c r="BM3" i="6" s="1"/>
  <c r="BP3" i="6" s="1"/>
  <c r="BL3" i="6"/>
  <c r="BI3" i="6"/>
  <c r="BG3" i="6" s="1"/>
  <c r="BF3" i="6"/>
  <c r="DN2" i="6"/>
  <c r="DF2" i="6"/>
  <c r="DB2" i="6"/>
  <c r="CJ2" i="6"/>
  <c r="CL2" i="6"/>
  <c r="CD2" i="6"/>
  <c r="CF2" i="6"/>
  <c r="BX2" i="6"/>
  <c r="BZ2" i="6"/>
  <c r="BR2" i="6"/>
  <c r="BT2" i="6"/>
  <c r="BO2" i="6"/>
  <c r="BM2" i="6" s="1"/>
  <c r="BP2" i="6" s="1"/>
  <c r="BL2" i="6"/>
  <c r="BN2" i="6"/>
  <c r="BI2" i="6"/>
  <c r="BG2" i="6" s="1"/>
  <c r="BF2" i="6"/>
  <c r="BH2" i="6"/>
  <c r="CU3" i="6"/>
  <c r="CV3" i="6"/>
  <c r="CO4" i="6"/>
  <c r="CP4" i="6"/>
  <c r="CU4" i="6"/>
  <c r="CO6" i="6"/>
  <c r="CP6" i="6"/>
  <c r="CW6" i="6"/>
  <c r="CU6" i="6"/>
  <c r="CO14" i="6"/>
  <c r="CU14" i="6"/>
  <c r="CO7" i="6"/>
  <c r="CU7" i="6"/>
  <c r="CO10" i="6"/>
  <c r="CP10" i="6"/>
  <c r="CR10" i="6"/>
  <c r="CQ10" i="6"/>
  <c r="CU10" i="6"/>
  <c r="CO2" i="6"/>
  <c r="CP2" i="6"/>
  <c r="CW2" i="6"/>
  <c r="CU2" i="6"/>
  <c r="CO15" i="6"/>
  <c r="CP15" i="6"/>
  <c r="CR15" i="6"/>
  <c r="CQ15" i="6"/>
  <c r="CT15" i="6"/>
  <c r="CU15" i="6"/>
  <c r="CO17" i="6"/>
  <c r="CP17" i="6"/>
  <c r="CU17" i="6"/>
  <c r="CV11" i="6"/>
  <c r="CO13" i="6"/>
  <c r="CP13" i="6"/>
  <c r="CR13" i="6"/>
  <c r="CQ13" i="6"/>
  <c r="CU13" i="6"/>
  <c r="CO8" i="6"/>
  <c r="CP8" i="6"/>
  <c r="CU8" i="6"/>
  <c r="CO9" i="6"/>
  <c r="CU9" i="6"/>
  <c r="CO16" i="6"/>
  <c r="CP16" i="6"/>
  <c r="CR16" i="6"/>
  <c r="CQ16" i="6"/>
  <c r="CU16" i="6"/>
  <c r="CO18" i="6"/>
  <c r="CU18" i="6"/>
  <c r="CO12" i="6"/>
  <c r="CP12" i="6"/>
  <c r="CR12" i="6"/>
  <c r="CQ12" i="6"/>
  <c r="CU12" i="6"/>
  <c r="DK8" i="6"/>
  <c r="DK7" i="6"/>
  <c r="DK14" i="6"/>
  <c r="DK3" i="6"/>
  <c r="BS3" i="6"/>
  <c r="BV3" i="6"/>
  <c r="BS7" i="6"/>
  <c r="BV7" i="6"/>
  <c r="DK13" i="6"/>
  <c r="DK4" i="6"/>
  <c r="BX11" i="6"/>
  <c r="BS13" i="6"/>
  <c r="BV13" i="6"/>
  <c r="BS12" i="6"/>
  <c r="BV12" i="6"/>
  <c r="BY13" i="6"/>
  <c r="CB13" i="6"/>
  <c r="CF13" i="6"/>
  <c r="CE13" i="6"/>
  <c r="CH13" i="6"/>
  <c r="BN13" i="6"/>
  <c r="CL13" i="6"/>
  <c r="CK13" i="6"/>
  <c r="CN13" i="6"/>
  <c r="CK15" i="6"/>
  <c r="CN15" i="6"/>
  <c r="BS14" i="6"/>
  <c r="BV14" i="6"/>
  <c r="CK6" i="6"/>
  <c r="CN6" i="6"/>
  <c r="BY8" i="6"/>
  <c r="CB8" i="6"/>
  <c r="BS18" i="6"/>
  <c r="BV18" i="6"/>
  <c r="BY14" i="6"/>
  <c r="CB14" i="6"/>
  <c r="CK14" i="6"/>
  <c r="CN14" i="6"/>
  <c r="BS11" i="6"/>
  <c r="BV11" i="6"/>
  <c r="BY12" i="6"/>
  <c r="CB12" i="6"/>
  <c r="CK12" i="6"/>
  <c r="CN12" i="6"/>
  <c r="BS4" i="6"/>
  <c r="BV4" i="6"/>
  <c r="BH11" i="6"/>
  <c r="CD11" i="6"/>
  <c r="CF11" i="6"/>
  <c r="CE11" i="6"/>
  <c r="CL11" i="6"/>
  <c r="CK11" i="6"/>
  <c r="CN11" i="6"/>
  <c r="CP11" i="6"/>
  <c r="CR11" i="6"/>
  <c r="CQ11" i="6"/>
  <c r="BH12" i="6"/>
  <c r="CF12" i="6"/>
  <c r="CE12" i="6"/>
  <c r="CH12" i="6"/>
  <c r="BS8" i="6"/>
  <c r="BV8" i="6"/>
  <c r="CE9" i="6"/>
  <c r="CH9" i="6"/>
  <c r="CK10" i="6"/>
  <c r="CN10" i="6"/>
  <c r="CE16" i="6"/>
  <c r="CH16" i="6"/>
  <c r="BY17" i="6"/>
  <c r="CB17" i="6"/>
  <c r="CK17" i="6"/>
  <c r="CN17" i="6"/>
  <c r="BY18" i="6"/>
  <c r="CB18" i="6"/>
  <c r="CN18" i="6"/>
  <c r="BS5" i="6"/>
  <c r="BV5" i="6"/>
  <c r="CE5" i="6"/>
  <c r="CH5" i="6"/>
  <c r="BT17" i="6"/>
  <c r="BS17" i="6"/>
  <c r="BV17" i="6"/>
  <c r="CE17" i="6"/>
  <c r="CH17" i="6"/>
  <c r="CE18" i="6"/>
  <c r="CH18" i="6"/>
  <c r="CK2" i="6"/>
  <c r="CN2" i="6"/>
  <c r="CH3" i="6"/>
  <c r="BY9" i="6"/>
  <c r="CB9" i="6"/>
  <c r="DK10" i="6"/>
  <c r="IJ10" i="6"/>
  <c r="BT15" i="6"/>
  <c r="BS15" i="6"/>
  <c r="BV15" i="6"/>
  <c r="CE15" i="6"/>
  <c r="CH15" i="6"/>
  <c r="BS16" i="6"/>
  <c r="BV16" i="6"/>
  <c r="BZ16" i="6"/>
  <c r="BY16" i="6"/>
  <c r="CB16" i="6"/>
  <c r="CK16" i="6"/>
  <c r="CN16" i="6"/>
  <c r="DK17" i="6"/>
  <c r="BZ15" i="6"/>
  <c r="BY15" i="6"/>
  <c r="CB15" i="6"/>
  <c r="CE14" i="6"/>
  <c r="CH14" i="6"/>
  <c r="BS2" i="6"/>
  <c r="BV2" i="6"/>
  <c r="CK3" i="6"/>
  <c r="CN3" i="6"/>
  <c r="CK4" i="6"/>
  <c r="CN4" i="6"/>
  <c r="BY6" i="6"/>
  <c r="CB6" i="6"/>
  <c r="CK7" i="6"/>
  <c r="CN7" i="6"/>
  <c r="CE2" i="6"/>
  <c r="CH2" i="6"/>
  <c r="BN3" i="6"/>
  <c r="BZ4" i="6"/>
  <c r="BY4" i="6"/>
  <c r="CB4" i="6"/>
  <c r="CF6" i="6"/>
  <c r="CE6" i="6"/>
  <c r="CH6" i="6"/>
  <c r="BY7" i="6"/>
  <c r="CB7" i="6"/>
  <c r="CL9" i="6"/>
  <c r="CK9" i="6"/>
  <c r="CN9" i="6"/>
  <c r="BT10" i="6"/>
  <c r="BS10" i="6"/>
  <c r="BV10" i="6"/>
  <c r="CE10" i="6"/>
  <c r="CH10" i="6"/>
  <c r="DK2" i="6"/>
  <c r="CW3" i="6"/>
  <c r="CE4" i="6"/>
  <c r="CH4" i="6"/>
  <c r="BY2" i="6"/>
  <c r="CB2" i="6"/>
  <c r="CP5" i="6"/>
  <c r="CW5" i="6"/>
  <c r="BS6" i="6"/>
  <c r="BV6" i="6"/>
  <c r="CE7" i="6"/>
  <c r="CH7" i="6"/>
  <c r="BZ5" i="6"/>
  <c r="BY5" i="6"/>
  <c r="CB5" i="6"/>
  <c r="CL5" i="6"/>
  <c r="CK5" i="6"/>
  <c r="CN5" i="6"/>
  <c r="DK6" i="6"/>
  <c r="BH8" i="6"/>
  <c r="BZ3" i="6"/>
  <c r="BY3" i="6"/>
  <c r="CB3" i="6"/>
  <c r="BN4" i="6"/>
  <c r="BH7" i="6"/>
  <c r="BH3" i="6"/>
  <c r="CE8" i="6"/>
  <c r="CH8" i="6"/>
  <c r="CK8" i="6"/>
  <c r="CN8" i="6"/>
  <c r="BT9" i="6"/>
  <c r="BS9" i="6"/>
  <c r="BZ10" i="6"/>
  <c r="BY10" i="6"/>
  <c r="CB10" i="6"/>
  <c r="CP18" i="6"/>
  <c r="CR18" i="6"/>
  <c r="CQ18" i="6"/>
  <c r="BB10" i="6"/>
  <c r="BC10" i="6"/>
  <c r="BD10" i="6"/>
  <c r="CV2" i="6"/>
  <c r="CV4" i="6"/>
  <c r="CV7" i="6"/>
  <c r="CP7" i="6"/>
  <c r="CW7" i="6"/>
  <c r="CV18" i="6"/>
  <c r="CP9" i="6"/>
  <c r="CV9" i="6"/>
  <c r="CV17" i="6"/>
  <c r="CV6" i="6"/>
  <c r="CV12" i="6"/>
  <c r="CV16" i="6"/>
  <c r="CV13" i="6"/>
  <c r="CV15" i="6"/>
  <c r="CP14" i="6"/>
  <c r="CV14" i="6"/>
  <c r="BZ11" i="6"/>
  <c r="BY11" i="6"/>
  <c r="CB11" i="6"/>
  <c r="CW18" i="6"/>
  <c r="CW15" i="6"/>
  <c r="CR7" i="6"/>
  <c r="CQ7" i="6"/>
  <c r="CT7" i="6"/>
  <c r="CW12" i="6"/>
  <c r="CW13" i="6"/>
  <c r="CT13" i="6"/>
  <c r="CR5" i="6"/>
  <c r="CQ5" i="6"/>
  <c r="CW16" i="6"/>
  <c r="CW11" i="6"/>
  <c r="CH11" i="6"/>
  <c r="CT11" i="6"/>
  <c r="CT12" i="6"/>
  <c r="CW17" i="6"/>
  <c r="CR17" i="6"/>
  <c r="CQ17" i="6"/>
  <c r="CT16" i="6"/>
  <c r="CT10" i="6"/>
  <c r="CR8" i="6"/>
  <c r="CQ8" i="6"/>
  <c r="CT8" i="6"/>
  <c r="CW4" i="6"/>
  <c r="CR4" i="6"/>
  <c r="CQ4" i="6"/>
  <c r="BV9" i="6"/>
  <c r="CR2" i="6"/>
  <c r="CQ2" i="6"/>
  <c r="CR6" i="6"/>
  <c r="CQ6" i="6"/>
  <c r="CT18" i="6"/>
  <c r="CR9" i="6"/>
  <c r="CQ9" i="6"/>
  <c r="CW9" i="6"/>
  <c r="CR14" i="6"/>
  <c r="CQ14" i="6"/>
  <c r="CW14" i="6"/>
  <c r="CT5" i="6"/>
  <c r="CY8" i="6"/>
  <c r="DE8" i="6"/>
  <c r="IJ8" i="6"/>
  <c r="CT6" i="6"/>
  <c r="CT17" i="6"/>
  <c r="CT4" i="6"/>
  <c r="CT2" i="6"/>
  <c r="BB8" i="6"/>
  <c r="BC8" i="6"/>
  <c r="BD8" i="6"/>
  <c r="CT9" i="6"/>
  <c r="DE9" i="6"/>
  <c r="CT14" i="6"/>
  <c r="IJ9" i="6"/>
  <c r="BB9" i="6"/>
  <c r="BC9" i="6"/>
  <c r="BD9" i="6"/>
  <c r="IT178" i="2"/>
  <c r="IT180" i="2"/>
  <c r="IT836" i="2"/>
  <c r="IT196" i="2"/>
  <c r="IT119" i="2"/>
  <c r="IT697" i="2"/>
  <c r="IT696" i="2"/>
  <c r="IT41" i="2"/>
  <c r="IT46" i="2"/>
  <c r="IT45" i="2"/>
  <c r="IT181" i="2"/>
  <c r="DP435" i="2" l="1"/>
  <c r="DQ435" i="2" s="1"/>
  <c r="DO556" i="2"/>
  <c r="DP556" i="2" s="1"/>
  <c r="DO718" i="2"/>
  <c r="DP718" i="2" s="1"/>
  <c r="EB718" i="2" s="1"/>
  <c r="BL718" i="2" s="1"/>
  <c r="BM718" i="2" s="1"/>
  <c r="BN718" i="2" s="1"/>
  <c r="BP718" i="2" s="1"/>
  <c r="DO842" i="2"/>
  <c r="DP842" i="2" s="1"/>
  <c r="DP241" i="2"/>
  <c r="DQ241" i="2" s="1"/>
  <c r="DO260" i="2"/>
  <c r="DP260" i="2" s="1"/>
  <c r="CB435" i="2"/>
  <c r="DO70" i="2"/>
  <c r="DP70" i="2" s="1"/>
  <c r="DQ70" i="2" s="1"/>
  <c r="DQ471" i="2"/>
  <c r="EB471" i="2"/>
  <c r="BV70" i="2"/>
  <c r="DO169" i="2"/>
  <c r="DP169" i="2" s="1"/>
  <c r="DQ169" i="2" s="1"/>
  <c r="DO430" i="2"/>
  <c r="DP430" i="2" s="1"/>
  <c r="CT430" i="2"/>
  <c r="BO715" i="2"/>
  <c r="DM64" i="2"/>
  <c r="CR434" i="2"/>
  <c r="CQ434" i="2" s="1"/>
  <c r="DO434" i="2" s="1"/>
  <c r="DP434" i="2" s="1"/>
  <c r="DG420" i="2"/>
  <c r="DH420" i="2" s="1"/>
  <c r="CU751" i="2"/>
  <c r="CV751" i="2" s="1"/>
  <c r="DN739" i="2"/>
  <c r="DO1007" i="2"/>
  <c r="DP1007" i="2" s="1"/>
  <c r="DD739" i="2"/>
  <c r="DC739" i="2" s="1"/>
  <c r="DF739" i="2" s="1"/>
  <c r="DL739" i="2"/>
  <c r="DN1009" i="2"/>
  <c r="DD879" i="2"/>
  <c r="DC879" i="2" s="1"/>
  <c r="DN58" i="2"/>
  <c r="CR1009" i="2"/>
  <c r="CQ1009" i="2" s="1"/>
  <c r="CT1009" i="2" s="1"/>
  <c r="CC715" i="2"/>
  <c r="CD715" i="2" s="1"/>
  <c r="CI183" i="2"/>
  <c r="CJ183" i="2" s="1"/>
  <c r="CL183" i="2" s="1"/>
  <c r="CK183" i="2" s="1"/>
  <c r="CN183" i="2" s="1"/>
  <c r="DG183" i="2"/>
  <c r="DH183" i="2" s="1"/>
  <c r="DJ183" i="2" s="1"/>
  <c r="DI183" i="2" s="1"/>
  <c r="DL183" i="2" s="1"/>
  <c r="DO537" i="2"/>
  <c r="DD603" i="2"/>
  <c r="DC603" i="2" s="1"/>
  <c r="DO603" i="2" s="1"/>
  <c r="DP603" i="2" s="1"/>
  <c r="CN1009" i="2"/>
  <c r="DL58" i="2"/>
  <c r="CR58" i="2"/>
  <c r="CQ58" i="2" s="1"/>
  <c r="DO58" i="2" s="1"/>
  <c r="DN537" i="2"/>
  <c r="DN97" i="2"/>
  <c r="CH783" i="2"/>
  <c r="CR783" i="2"/>
  <c r="CQ783" i="2" s="1"/>
  <c r="CT783" i="2" s="1"/>
  <c r="BO65" i="2"/>
  <c r="DN64" i="2"/>
  <c r="CT537" i="2"/>
  <c r="CH97" i="2"/>
  <c r="DF97" i="2"/>
  <c r="DN783" i="2"/>
  <c r="BV64" i="2"/>
  <c r="DJ64" i="2"/>
  <c r="DI64" i="2" s="1"/>
  <c r="DL64" i="2" s="1"/>
  <c r="DL338" i="2"/>
  <c r="CT64" i="2"/>
  <c r="DO97" i="2"/>
  <c r="CU931" i="2"/>
  <c r="CV931" i="2" s="1"/>
  <c r="CN97" i="2"/>
  <c r="DN623" i="2"/>
  <c r="BV97" i="2"/>
  <c r="DL97" i="2"/>
  <c r="BV338" i="2"/>
  <c r="DJ623" i="2"/>
  <c r="DI623" i="2" s="1"/>
  <c r="CZ338" i="2"/>
  <c r="BZ338" i="2"/>
  <c r="BY338" i="2" s="1"/>
  <c r="CB338" i="2" s="1"/>
  <c r="DP65" i="2"/>
  <c r="DO65" i="2" s="1"/>
  <c r="DR65" i="2" s="1"/>
  <c r="DN338" i="2"/>
  <c r="DJ443" i="2"/>
  <c r="DI443" i="2" s="1"/>
  <c r="DO443" i="2" s="1"/>
  <c r="DO936" i="2"/>
  <c r="DP936" i="2" s="1"/>
  <c r="DQ936" i="2" s="1"/>
  <c r="CT443" i="2"/>
  <c r="DN443" i="2"/>
  <c r="EB682" i="2"/>
  <c r="BL682" i="2" s="1"/>
  <c r="BM682" i="2" s="1"/>
  <c r="BN682" i="2" s="1"/>
  <c r="BP682" i="2" s="1"/>
  <c r="DA65" i="2"/>
  <c r="CR930" i="2"/>
  <c r="CQ930" i="2" s="1"/>
  <c r="DO930" i="2" s="1"/>
  <c r="DN930" i="2"/>
  <c r="CI821" i="2"/>
  <c r="CJ821" i="2" s="1"/>
  <c r="CL821" i="2" s="1"/>
  <c r="CK821" i="2" s="1"/>
  <c r="CN821" i="2" s="1"/>
  <c r="CU65" i="2"/>
  <c r="CV65" i="2" s="1"/>
  <c r="CX65" i="2" s="1"/>
  <c r="CW65" i="2" s="1"/>
  <c r="CZ65" i="2" s="1"/>
  <c r="DP183" i="2"/>
  <c r="DO183" i="2" s="1"/>
  <c r="DR183" i="2" s="1"/>
  <c r="DF930" i="2"/>
  <c r="CH930" i="2"/>
  <c r="DO857" i="2"/>
  <c r="DP857" i="2" s="1"/>
  <c r="CU821" i="2"/>
  <c r="CV821" i="2" s="1"/>
  <c r="CB657" i="2"/>
  <c r="DG938" i="2"/>
  <c r="DJ938" i="2" s="1"/>
  <c r="CR657" i="2"/>
  <c r="CQ657" i="2" s="1"/>
  <c r="CT657" i="2" s="1"/>
  <c r="DN657" i="2"/>
  <c r="CN657" i="2"/>
  <c r="DD948" i="2"/>
  <c r="DC948" i="2" s="1"/>
  <c r="DN948" i="2"/>
  <c r="CX399" i="2"/>
  <c r="CW399" i="2" s="1"/>
  <c r="CZ399" i="2" s="1"/>
  <c r="CI972" i="2"/>
  <c r="CJ972" i="2" s="1"/>
  <c r="DN543" i="2"/>
  <c r="BO751" i="2"/>
  <c r="DG751" i="2"/>
  <c r="DL751" i="2" s="1"/>
  <c r="DA698" i="2"/>
  <c r="DB698" i="2" s="1"/>
  <c r="DA183" i="2"/>
  <c r="DB183" i="2" s="1"/>
  <c r="DD1040" i="2"/>
  <c r="DG698" i="2"/>
  <c r="DJ698" i="2" s="1"/>
  <c r="CO972" i="2"/>
  <c r="CP972" i="2" s="1"/>
  <c r="CC96" i="2"/>
  <c r="CD96" i="2" s="1"/>
  <c r="DJ689" i="2"/>
  <c r="DI689" i="2" s="1"/>
  <c r="DO689" i="2" s="1"/>
  <c r="DP689" i="2" s="1"/>
  <c r="CR65" i="2"/>
  <c r="DP96" i="2"/>
  <c r="DP393" i="2"/>
  <c r="DO393" i="2" s="1"/>
  <c r="DR393" i="2" s="1"/>
  <c r="DP468" i="2"/>
  <c r="DO468" i="2" s="1"/>
  <c r="DR468" i="2" s="1"/>
  <c r="DA821" i="2"/>
  <c r="DB821" i="2" s="1"/>
  <c r="CI65" i="2"/>
  <c r="CJ65" i="2" s="1"/>
  <c r="BO821" i="2"/>
  <c r="BO96" i="2"/>
  <c r="CU727" i="2"/>
  <c r="CV727" i="2" s="1"/>
  <c r="CX727" i="2" s="1"/>
  <c r="CR543" i="2"/>
  <c r="CQ543" i="2" s="1"/>
  <c r="CT543" i="2" s="1"/>
  <c r="DG715" i="2"/>
  <c r="DH715" i="2" s="1"/>
  <c r="DJ715" i="2" s="1"/>
  <c r="DI715" i="2" s="1"/>
  <c r="DL715" i="2" s="1"/>
  <c r="DP821" i="2"/>
  <c r="DO821" i="2" s="1"/>
  <c r="DR821" i="2" s="1"/>
  <c r="CU767" i="2"/>
  <c r="CV767" i="2" s="1"/>
  <c r="DL543" i="2"/>
  <c r="DA715" i="2"/>
  <c r="DB715" i="2" s="1"/>
  <c r="DD715" i="2" s="1"/>
  <c r="DC715" i="2" s="1"/>
  <c r="DF715" i="2" s="1"/>
  <c r="CI96" i="2"/>
  <c r="CJ96" i="2" s="1"/>
  <c r="CL96" i="2" s="1"/>
  <c r="CI393" i="2"/>
  <c r="CJ393" i="2" s="1"/>
  <c r="DP715" i="2"/>
  <c r="DO715" i="2" s="1"/>
  <c r="DR715" i="2" s="1"/>
  <c r="BO393" i="2"/>
  <c r="DG96" i="2"/>
  <c r="DH96" i="2" s="1"/>
  <c r="DG393" i="2"/>
  <c r="DH393" i="2" s="1"/>
  <c r="CU198" i="2"/>
  <c r="CV198" i="2" s="1"/>
  <c r="DA96" i="2"/>
  <c r="DB96" i="2" s="1"/>
  <c r="DD96" i="2" s="1"/>
  <c r="DC96" i="2" s="1"/>
  <c r="DF96" i="2" s="1"/>
  <c r="DJ741" i="2"/>
  <c r="DI741" i="2" s="1"/>
  <c r="DL741" i="2" s="1"/>
  <c r="BO727" i="2"/>
  <c r="DA393" i="2"/>
  <c r="DB393" i="2" s="1"/>
  <c r="DD393" i="2" s="1"/>
  <c r="DC393" i="2" s="1"/>
  <c r="DF393" i="2" s="1"/>
  <c r="CJ741" i="2"/>
  <c r="CL741" i="2" s="1"/>
  <c r="CK741" i="2" s="1"/>
  <c r="CN741" i="2" s="1"/>
  <c r="CK10" i="11"/>
  <c r="CQ2" i="11"/>
  <c r="CS2" i="11" s="1"/>
  <c r="CR2" i="11" s="1"/>
  <c r="CO3" i="11"/>
  <c r="CM3" i="11"/>
  <c r="CL3" i="11" s="1"/>
  <c r="CC6" i="11"/>
  <c r="DC3" i="11"/>
  <c r="CS5" i="11"/>
  <c r="CR5" i="11" s="1"/>
  <c r="CU5" i="11" s="1"/>
  <c r="CM6" i="11"/>
  <c r="CL6" i="11" s="1"/>
  <c r="CO6" i="11"/>
  <c r="CK6" i="11"/>
  <c r="CP8" i="11"/>
  <c r="CV8" i="11"/>
  <c r="CJ8" i="11"/>
  <c r="BJ8" i="11"/>
  <c r="CD8" i="11"/>
  <c r="DB5" i="11"/>
  <c r="CA5" i="11"/>
  <c r="BZ5" i="11" s="1"/>
  <c r="CC5" i="11" s="1"/>
  <c r="BY5" i="11"/>
  <c r="DC5" i="11" s="1"/>
  <c r="CG7" i="11"/>
  <c r="CF7" i="11" s="1"/>
  <c r="CI7" i="11" s="1"/>
  <c r="CQ9" i="11"/>
  <c r="CS9" i="11" s="1"/>
  <c r="CR9" i="11" s="1"/>
  <c r="CU9" i="11" s="1"/>
  <c r="CI3" i="11"/>
  <c r="CK7" i="11"/>
  <c r="CM7" i="11" s="1"/>
  <c r="CL7" i="11" s="1"/>
  <c r="DB7" i="11"/>
  <c r="BU8" i="11"/>
  <c r="CA7" i="11"/>
  <c r="BZ7" i="11" s="1"/>
  <c r="CC7" i="11" s="1"/>
  <c r="CP4" i="11"/>
  <c r="CA10" i="11"/>
  <c r="BZ10" i="11" s="1"/>
  <c r="CU6" i="11"/>
  <c r="DA2" i="11"/>
  <c r="BN4" i="11"/>
  <c r="BQ4" i="11" s="1"/>
  <c r="CO4" i="11"/>
  <c r="CY6" i="11"/>
  <c r="CP7" i="11"/>
  <c r="BN8" i="11"/>
  <c r="BQ8" i="11" s="1"/>
  <c r="CU10" i="11"/>
  <c r="CK9" i="11"/>
  <c r="CM9" i="11" s="1"/>
  <c r="CL9" i="11" s="1"/>
  <c r="DB3" i="11"/>
  <c r="CG5" i="11"/>
  <c r="CF5" i="11" s="1"/>
  <c r="CI5" i="11" s="1"/>
  <c r="CU3" i="11"/>
  <c r="DF9" i="11"/>
  <c r="CS10" i="11"/>
  <c r="CR10" i="11" s="1"/>
  <c r="BJ6" i="11"/>
  <c r="CG9" i="11"/>
  <c r="CF9" i="11" s="1"/>
  <c r="CI9" i="11" s="1"/>
  <c r="BO3" i="11"/>
  <c r="BN3" i="11" s="1"/>
  <c r="BT4" i="11"/>
  <c r="BW4" i="11" s="1"/>
  <c r="BU6" i="11"/>
  <c r="BT8" i="11"/>
  <c r="BW8" i="11" s="1"/>
  <c r="BN9" i="11"/>
  <c r="BQ9" i="11" s="1"/>
  <c r="BJ10" i="11"/>
  <c r="CY10" i="11"/>
  <c r="CG3" i="11"/>
  <c r="CF3" i="11" s="1"/>
  <c r="CV9" i="11"/>
  <c r="CY4" i="11"/>
  <c r="BT6" i="11"/>
  <c r="BW6" i="11" s="1"/>
  <c r="CS6" i="11"/>
  <c r="CR6" i="11" s="1"/>
  <c r="BX9" i="11"/>
  <c r="CC8" i="11"/>
  <c r="BT9" i="11"/>
  <c r="BW9" i="11" s="1"/>
  <c r="BQ10" i="11"/>
  <c r="CD10" i="11"/>
  <c r="CM5" i="11"/>
  <c r="CL5" i="11" s="1"/>
  <c r="CO5" i="11" s="1"/>
  <c r="BJ9" i="11"/>
  <c r="BK9" i="11" s="1"/>
  <c r="CD2" i="11"/>
  <c r="CJ2" i="11"/>
  <c r="BN5" i="11"/>
  <c r="BQ5" i="11" s="1"/>
  <c r="CD6" i="11"/>
  <c r="BN7" i="11"/>
  <c r="BQ7" i="11" s="1"/>
  <c r="BJ2" i="11"/>
  <c r="BK2" i="11" s="1"/>
  <c r="CE2" i="11"/>
  <c r="BT3" i="11"/>
  <c r="BW3" i="11" s="1"/>
  <c r="CI545" i="2"/>
  <c r="CJ545" i="2" s="1"/>
  <c r="DS741" i="2"/>
  <c r="BX741" i="2"/>
  <c r="BZ741" i="2" s="1"/>
  <c r="BY741" i="2" s="1"/>
  <c r="CB741" i="2" s="1"/>
  <c r="CP741" i="2"/>
  <c r="CR741" i="2" s="1"/>
  <c r="CQ741" i="2" s="1"/>
  <c r="DP741" i="2"/>
  <c r="DO741" i="2" s="1"/>
  <c r="DR741" i="2" s="1"/>
  <c r="CV741" i="2"/>
  <c r="CX741" i="2" s="1"/>
  <c r="CW741" i="2" s="1"/>
  <c r="CZ741" i="2" s="1"/>
  <c r="BY124" i="2"/>
  <c r="CB124" i="2" s="1"/>
  <c r="CU141" i="2"/>
  <c r="CV141" i="2" s="1"/>
  <c r="CX141" i="2" s="1"/>
  <c r="CI695" i="2"/>
  <c r="CJ695" i="2" s="1"/>
  <c r="CL695" i="2" s="1"/>
  <c r="CK695" i="2" s="1"/>
  <c r="CN695" i="2" s="1"/>
  <c r="DM634" i="2"/>
  <c r="DN634" i="2" s="1"/>
  <c r="CQ124" i="2"/>
  <c r="CT124" i="2" s="1"/>
  <c r="BT954" i="2"/>
  <c r="DO124" i="2"/>
  <c r="DR124" i="2" s="1"/>
  <c r="CI726" i="2"/>
  <c r="CJ726" i="2" s="1"/>
  <c r="DI124" i="2"/>
  <c r="DL124" i="2" s="1"/>
  <c r="DG568" i="2"/>
  <c r="DM568" i="2" s="1"/>
  <c r="CI724" i="2"/>
  <c r="CJ724" i="2" s="1"/>
  <c r="CK124" i="2"/>
  <c r="CN124" i="2" s="1"/>
  <c r="DC124" i="2"/>
  <c r="DF124" i="2" s="1"/>
  <c r="CE124" i="2"/>
  <c r="CH124" i="2" s="1"/>
  <c r="BS124" i="2"/>
  <c r="BV124" i="2" s="1"/>
  <c r="CU634" i="2"/>
  <c r="CV634" i="2" s="1"/>
  <c r="CU124" i="2"/>
  <c r="DG865" i="2"/>
  <c r="DJ865" i="2" s="1"/>
  <c r="DG972" i="2"/>
  <c r="DJ972" i="2" s="1"/>
  <c r="DG634" i="2"/>
  <c r="DH634" i="2" s="1"/>
  <c r="DJ634" i="2" s="1"/>
  <c r="DI634" i="2" s="1"/>
  <c r="BO183" i="2"/>
  <c r="DM925" i="2"/>
  <c r="DN925" i="2" s="1"/>
  <c r="DP925" i="2" s="1"/>
  <c r="DO925" i="2" s="1"/>
  <c r="DA634" i="2"/>
  <c r="DB634" i="2" s="1"/>
  <c r="CD634" i="2"/>
  <c r="CF634" i="2" s="1"/>
  <c r="CE634" i="2" s="1"/>
  <c r="DM954" i="2"/>
  <c r="DN954" i="2" s="1"/>
  <c r="DP954" i="2" s="1"/>
  <c r="DO954" i="2" s="1"/>
  <c r="BT634" i="2"/>
  <c r="BS634" i="2" s="1"/>
  <c r="BV634" i="2" s="1"/>
  <c r="CE954" i="2"/>
  <c r="CI634" i="2"/>
  <c r="CI938" i="2"/>
  <c r="CJ938" i="2" s="1"/>
  <c r="CL938" i="2" s="1"/>
  <c r="CK938" i="2" s="1"/>
  <c r="CN938" i="2" s="1"/>
  <c r="DP198" i="2"/>
  <c r="DO198" i="2" s="1"/>
  <c r="DR198" i="2" s="1"/>
  <c r="DP972" i="2"/>
  <c r="CO634" i="2"/>
  <c r="BW634" i="2"/>
  <c r="CU865" i="2"/>
  <c r="CV865" i="2" s="1"/>
  <c r="DP751" i="2"/>
  <c r="DO751" i="2" s="1"/>
  <c r="DR751" i="2" s="1"/>
  <c r="DA972" i="2"/>
  <c r="DB972" i="2" s="1"/>
  <c r="BY954" i="2"/>
  <c r="CB954" i="2" s="1"/>
  <c r="CK954" i="2"/>
  <c r="CN954" i="2" s="1"/>
  <c r="CV954" i="2"/>
  <c r="CX954" i="2" s="1"/>
  <c r="DA954" i="2"/>
  <c r="CR954" i="2"/>
  <c r="DG954" i="2"/>
  <c r="DG767" i="2"/>
  <c r="DL767" i="2" s="1"/>
  <c r="CU698" i="2"/>
  <c r="CV698" i="2" s="1"/>
  <c r="CX698" i="2" s="1"/>
  <c r="CW698" i="2" s="1"/>
  <c r="CZ698" i="2" s="1"/>
  <c r="BO954" i="2"/>
  <c r="DM920" i="2"/>
  <c r="DN920" i="2" s="1"/>
  <c r="DP920" i="2" s="1"/>
  <c r="DO920" i="2" s="1"/>
  <c r="BO754" i="2"/>
  <c r="DP348" i="2"/>
  <c r="DO348" i="2" s="1"/>
  <c r="DR348" i="2" s="1"/>
  <c r="DL198" i="2"/>
  <c r="DM712" i="2"/>
  <c r="DN712" i="2" s="1"/>
  <c r="CO786" i="2"/>
  <c r="CP786" i="2" s="1"/>
  <c r="DM44" i="2"/>
  <c r="DN44" i="2" s="1"/>
  <c r="DP44" i="2" s="1"/>
  <c r="DO44" i="2" s="1"/>
  <c r="DR44" i="2" s="1"/>
  <c r="DM742" i="2"/>
  <c r="DN742" i="2" s="1"/>
  <c r="CI742" i="2"/>
  <c r="CJ742" i="2" s="1"/>
  <c r="CI786" i="2"/>
  <c r="CJ786" i="2" s="1"/>
  <c r="CL786" i="2" s="1"/>
  <c r="CK786" i="2" s="1"/>
  <c r="CN786" i="2" s="1"/>
  <c r="DG742" i="2"/>
  <c r="DH742" i="2" s="1"/>
  <c r="CC786" i="2"/>
  <c r="CD786" i="2" s="1"/>
  <c r="CC754" i="2"/>
  <c r="CD754" i="2" s="1"/>
  <c r="CF754" i="2" s="1"/>
  <c r="CE754" i="2" s="1"/>
  <c r="CH754" i="2" s="1"/>
  <c r="DA742" i="2"/>
  <c r="DB742" i="2" s="1"/>
  <c r="BS742" i="2"/>
  <c r="BV742" i="2" s="1"/>
  <c r="BO568" i="2"/>
  <c r="CO198" i="2"/>
  <c r="CP198" i="2" s="1"/>
  <c r="DB786" i="2"/>
  <c r="DD786" i="2" s="1"/>
  <c r="DC786" i="2" s="1"/>
  <c r="BX786" i="2"/>
  <c r="BZ786" i="2" s="1"/>
  <c r="BY786" i="2" s="1"/>
  <c r="BT786" i="2"/>
  <c r="BS786" i="2" s="1"/>
  <c r="DM754" i="2"/>
  <c r="DN754" i="2" s="1"/>
  <c r="CU920" i="2"/>
  <c r="CV920" i="2" s="1"/>
  <c r="DG786" i="2"/>
  <c r="DG323" i="2"/>
  <c r="DH323" i="2" s="1"/>
  <c r="DJ323" i="2" s="1"/>
  <c r="DI323" i="2" s="1"/>
  <c r="DG754" i="2"/>
  <c r="DH754" i="2" s="1"/>
  <c r="DJ754" i="2" s="1"/>
  <c r="DI754" i="2" s="1"/>
  <c r="DL754" i="2" s="1"/>
  <c r="DM786" i="2"/>
  <c r="DA44" i="2"/>
  <c r="DB44" i="2" s="1"/>
  <c r="BO742" i="2"/>
  <c r="CI920" i="2"/>
  <c r="CJ920" i="2" s="1"/>
  <c r="CL920" i="2" s="1"/>
  <c r="CK920" i="2" s="1"/>
  <c r="CN920" i="2" s="1"/>
  <c r="BO786" i="2"/>
  <c r="DA754" i="2"/>
  <c r="DB754" i="2" s="1"/>
  <c r="DG920" i="2"/>
  <c r="DH920" i="2" s="1"/>
  <c r="DJ920" i="2" s="1"/>
  <c r="DI920" i="2" s="1"/>
  <c r="DL920" i="2" s="1"/>
  <c r="CU786" i="2"/>
  <c r="CI725" i="2"/>
  <c r="CJ725" i="2" s="1"/>
  <c r="BS754" i="2"/>
  <c r="BV754" i="2" s="1"/>
  <c r="CC920" i="2"/>
  <c r="CD920" i="2" s="1"/>
  <c r="CC742" i="2"/>
  <c r="DA920" i="2"/>
  <c r="DB920" i="2" s="1"/>
  <c r="DG931" i="2"/>
  <c r="DJ931" i="2" s="1"/>
  <c r="BX742" i="2"/>
  <c r="BZ742" i="2" s="1"/>
  <c r="BY742" i="2" s="1"/>
  <c r="CB742" i="2" s="1"/>
  <c r="BX754" i="2"/>
  <c r="BZ754" i="2" s="1"/>
  <c r="BY754" i="2" s="1"/>
  <c r="BX920" i="2"/>
  <c r="BZ920" i="2" s="1"/>
  <c r="BY920" i="2" s="1"/>
  <c r="CB920" i="2" s="1"/>
  <c r="CV742" i="2"/>
  <c r="CX742" i="2" s="1"/>
  <c r="CW742" i="2" s="1"/>
  <c r="CZ742" i="2" s="1"/>
  <c r="BT920" i="2"/>
  <c r="BS920" i="2" s="1"/>
  <c r="BV920" i="2" s="1"/>
  <c r="BT468" i="2"/>
  <c r="CU972" i="2"/>
  <c r="CV972" i="2" s="1"/>
  <c r="CU44" i="2"/>
  <c r="CV44" i="2" s="1"/>
  <c r="BO44" i="2"/>
  <c r="CI754" i="2"/>
  <c r="CO920" i="2"/>
  <c r="CX754" i="2"/>
  <c r="CW754" i="2" s="1"/>
  <c r="CZ754" i="2" s="1"/>
  <c r="CO742" i="2"/>
  <c r="CO754" i="2"/>
  <c r="CU937" i="2"/>
  <c r="CV937" i="2" s="1"/>
  <c r="CX937" i="2" s="1"/>
  <c r="CW937" i="2" s="1"/>
  <c r="CZ937" i="2" s="1"/>
  <c r="DG727" i="2"/>
  <c r="DJ727" i="2" s="1"/>
  <c r="DA198" i="2"/>
  <c r="DB198" i="2" s="1"/>
  <c r="DD198" i="2" s="1"/>
  <c r="DC198" i="2" s="1"/>
  <c r="DF198" i="2" s="1"/>
  <c r="CI715" i="2"/>
  <c r="CJ715" i="2" s="1"/>
  <c r="CU653" i="2"/>
  <c r="CV653" i="2" s="1"/>
  <c r="CE44" i="2"/>
  <c r="CH44" i="2" s="1"/>
  <c r="CI727" i="2"/>
  <c r="CJ727" i="2" s="1"/>
  <c r="BY44" i="2"/>
  <c r="CB44" i="2" s="1"/>
  <c r="CO767" i="2"/>
  <c r="CP767" i="2" s="1"/>
  <c r="CR767" i="2" s="1"/>
  <c r="CQ767" i="2" s="1"/>
  <c r="CT767" i="2" s="1"/>
  <c r="CI198" i="2"/>
  <c r="CJ198" i="2" s="1"/>
  <c r="CP44" i="2"/>
  <c r="CR44" i="2" s="1"/>
  <c r="CQ44" i="2" s="1"/>
  <c r="CT44" i="2" s="1"/>
  <c r="DP698" i="2"/>
  <c r="DO698" i="2" s="1"/>
  <c r="DR698" i="2" s="1"/>
  <c r="CI323" i="2"/>
  <c r="CJ323" i="2" s="1"/>
  <c r="CL323" i="2" s="1"/>
  <c r="CK323" i="2" s="1"/>
  <c r="CN323" i="2" s="1"/>
  <c r="BT44" i="2"/>
  <c r="BS44" i="2" s="1"/>
  <c r="BV44" i="2" s="1"/>
  <c r="BO337" i="2"/>
  <c r="CC323" i="2"/>
  <c r="CD323" i="2" s="1"/>
  <c r="CI44" i="2"/>
  <c r="DJ44" i="2"/>
  <c r="DI44" i="2" s="1"/>
  <c r="DL44" i="2" s="1"/>
  <c r="CI1045" i="2"/>
  <c r="CJ1045" i="2" s="1"/>
  <c r="CL1045" i="2" s="1"/>
  <c r="CK1045" i="2" s="1"/>
  <c r="CO698" i="2"/>
  <c r="CP698" i="2" s="1"/>
  <c r="DA712" i="2"/>
  <c r="DB712" i="2" s="1"/>
  <c r="DP105" i="2"/>
  <c r="BO679" i="2"/>
  <c r="BY323" i="2"/>
  <c r="CB323" i="2" s="1"/>
  <c r="DH337" i="2"/>
  <c r="DJ337" i="2" s="1"/>
  <c r="DI337" i="2" s="1"/>
  <c r="DL337" i="2" s="1"/>
  <c r="CV323" i="2"/>
  <c r="CX323" i="2" s="1"/>
  <c r="CW323" i="2" s="1"/>
  <c r="CZ323" i="2" s="1"/>
  <c r="BO545" i="2"/>
  <c r="DA323" i="2"/>
  <c r="BT323" i="2"/>
  <c r="BS323" i="2" s="1"/>
  <c r="DA337" i="2"/>
  <c r="CR323" i="2"/>
  <c r="CQ323" i="2" s="1"/>
  <c r="CT323" i="2" s="1"/>
  <c r="DG1011" i="2"/>
  <c r="DL1011" i="2" s="1"/>
  <c r="CU1018" i="2"/>
  <c r="CV1018" i="2" s="1"/>
  <c r="CE337" i="2"/>
  <c r="CH337" i="2" s="1"/>
  <c r="CU938" i="2"/>
  <c r="CV938" i="2" s="1"/>
  <c r="DM337" i="2"/>
  <c r="DN337" i="2" s="1"/>
  <c r="CQ337" i="2"/>
  <c r="CT337" i="2" s="1"/>
  <c r="DM323" i="2"/>
  <c r="BO323" i="2"/>
  <c r="DG693" i="2"/>
  <c r="DH693" i="2" s="1"/>
  <c r="DJ693" i="2" s="1"/>
  <c r="DI693" i="2" s="1"/>
  <c r="BY337" i="2"/>
  <c r="CB337" i="2" s="1"/>
  <c r="BY712" i="2"/>
  <c r="CB712" i="2" s="1"/>
  <c r="DG706" i="2"/>
  <c r="DH706" i="2" s="1"/>
  <c r="CE712" i="2"/>
  <c r="CH712" i="2" s="1"/>
  <c r="CU92" i="2"/>
  <c r="CV92" i="2" s="1"/>
  <c r="CX92" i="2" s="1"/>
  <c r="CW92" i="2" s="1"/>
  <c r="CZ92" i="2" s="1"/>
  <c r="BS712" i="2"/>
  <c r="BV712" i="2" s="1"/>
  <c r="CW337" i="2"/>
  <c r="CZ337" i="2" s="1"/>
  <c r="BS337" i="2"/>
  <c r="BV337" i="2" s="1"/>
  <c r="DP132" i="2"/>
  <c r="DO132" i="2" s="1"/>
  <c r="DR132" i="2" s="1"/>
  <c r="CK712" i="2"/>
  <c r="CN712" i="2" s="1"/>
  <c r="CP712" i="2"/>
  <c r="CR712" i="2" s="1"/>
  <c r="CQ712" i="2" s="1"/>
  <c r="CT712" i="2" s="1"/>
  <c r="DT1018" i="2"/>
  <c r="DV1018" i="2" s="1"/>
  <c r="CI1018" i="2"/>
  <c r="CJ1018" i="2" s="1"/>
  <c r="BO1018" i="2"/>
  <c r="CU712" i="2"/>
  <c r="DV84" i="2"/>
  <c r="BY1018" i="2"/>
  <c r="CB1018" i="2" s="1"/>
  <c r="BO830" i="2"/>
  <c r="DG712" i="2"/>
  <c r="CI830" i="2"/>
  <c r="CJ830" i="2" s="1"/>
  <c r="DA883" i="2"/>
  <c r="DB883" i="2" s="1"/>
  <c r="CU84" i="2"/>
  <c r="CV84" i="2" s="1"/>
  <c r="CO84" i="2"/>
  <c r="CP84" i="2" s="1"/>
  <c r="CO1018" i="2"/>
  <c r="CP1018" i="2" s="1"/>
  <c r="BY84" i="2"/>
  <c r="CB84" i="2" s="1"/>
  <c r="BS84" i="2"/>
  <c r="BV84" i="2" s="1"/>
  <c r="BS1018" i="2"/>
  <c r="BV1018" i="2" s="1"/>
  <c r="BO744" i="2"/>
  <c r="DG141" i="2"/>
  <c r="DJ141" i="2" s="1"/>
  <c r="DF84" i="2"/>
  <c r="DD84" i="2"/>
  <c r="DD1018" i="2"/>
  <c r="DF1018" i="2"/>
  <c r="CI84" i="2"/>
  <c r="BO84" i="2"/>
  <c r="BO883" i="2"/>
  <c r="CU693" i="2"/>
  <c r="CV693" i="2" s="1"/>
  <c r="CU830" i="2"/>
  <c r="CV830" i="2" s="1"/>
  <c r="CH84" i="2"/>
  <c r="CO830" i="2"/>
  <c r="CP830" i="2" s="1"/>
  <c r="DG468" i="2"/>
  <c r="DS468" i="2" s="1"/>
  <c r="DV830" i="2"/>
  <c r="CI318" i="2"/>
  <c r="CJ318" i="2" s="1"/>
  <c r="CL318" i="2" s="1"/>
  <c r="CK318" i="2" s="1"/>
  <c r="CN318" i="2" s="1"/>
  <c r="BY830" i="2"/>
  <c r="CB830" i="2" s="1"/>
  <c r="CH1018" i="2"/>
  <c r="BO141" i="2"/>
  <c r="DM115" i="2"/>
  <c r="DP115" i="2" s="1"/>
  <c r="DO115" i="2" s="1"/>
  <c r="DR115" i="2" s="1"/>
  <c r="CU1003" i="2"/>
  <c r="CV1003" i="2" s="1"/>
  <c r="CX1003" i="2" s="1"/>
  <c r="CW1003" i="2" s="1"/>
  <c r="CZ1003" i="2" s="1"/>
  <c r="CI37" i="2"/>
  <c r="CJ37" i="2" s="1"/>
  <c r="DP789" i="2"/>
  <c r="DO789" i="2" s="1"/>
  <c r="DR789" i="2" s="1"/>
  <c r="BS830" i="2"/>
  <c r="BV830" i="2" s="1"/>
  <c r="CC883" i="2"/>
  <c r="CD883" i="2" s="1"/>
  <c r="CF883" i="2" s="1"/>
  <c r="CE883" i="2" s="1"/>
  <c r="CH883" i="2" s="1"/>
  <c r="CD693" i="2"/>
  <c r="CF693" i="2" s="1"/>
  <c r="CE693" i="2" s="1"/>
  <c r="CH693" i="2" s="1"/>
  <c r="DD830" i="2"/>
  <c r="DF830" i="2"/>
  <c r="DP840" i="2"/>
  <c r="DO840" i="2" s="1"/>
  <c r="DR840" i="2" s="1"/>
  <c r="CO693" i="2"/>
  <c r="CP693" i="2" s="1"/>
  <c r="CI693" i="2"/>
  <c r="CJ693" i="2" s="1"/>
  <c r="DA223" i="2"/>
  <c r="DB223" i="2" s="1"/>
  <c r="DD223" i="2" s="1"/>
  <c r="DC223" i="2" s="1"/>
  <c r="DF223" i="2" s="1"/>
  <c r="CH830" i="2"/>
  <c r="CJ829" i="2"/>
  <c r="CK829" i="2" s="1"/>
  <c r="CM829" i="2" s="1"/>
  <c r="CL829" i="2" s="1"/>
  <c r="CO829" i="2" s="1"/>
  <c r="CU318" i="2"/>
  <c r="CV318" i="2" s="1"/>
  <c r="BY693" i="2"/>
  <c r="CB693" i="2" s="1"/>
  <c r="DV148" i="2"/>
  <c r="DU148" i="2" s="1"/>
  <c r="DX148" i="2" s="1"/>
  <c r="CP490" i="2"/>
  <c r="CQ490" i="2" s="1"/>
  <c r="BX236" i="2"/>
  <c r="BY236" i="2" s="1"/>
  <c r="CJ477" i="2"/>
  <c r="CK477" i="2" s="1"/>
  <c r="CM477" i="2" s="1"/>
  <c r="CL477" i="2" s="1"/>
  <c r="CO477" i="2" s="1"/>
  <c r="CV236" i="2"/>
  <c r="DA236" i="2" s="1"/>
  <c r="DG1003" i="2"/>
  <c r="DH1003" i="2" s="1"/>
  <c r="CJ490" i="2"/>
  <c r="CK490" i="2" s="1"/>
  <c r="CM490" i="2" s="1"/>
  <c r="CL490" i="2" s="1"/>
  <c r="CO490" i="2" s="1"/>
  <c r="DA693" i="2"/>
  <c r="BT693" i="2"/>
  <c r="BS693" i="2" s="1"/>
  <c r="CV799" i="2"/>
  <c r="DA799" i="2" s="1"/>
  <c r="CE356" i="2"/>
  <c r="DG789" i="2"/>
  <c r="DL789" i="2" s="1"/>
  <c r="DO1017" i="2"/>
  <c r="DQ1017" i="2" s="1"/>
  <c r="CQ439" i="2"/>
  <c r="CR439" i="2" s="1"/>
  <c r="DM335" i="2"/>
  <c r="DP335" i="2" s="1"/>
  <c r="DO335" i="2" s="1"/>
  <c r="DR335" i="2" s="1"/>
  <c r="CP911" i="2"/>
  <c r="CR493" i="2"/>
  <c r="CQ493" i="2" s="1"/>
  <c r="CT493" i="2" s="1"/>
  <c r="DM693" i="2"/>
  <c r="CC677" i="2"/>
  <c r="CD677" i="2" s="1"/>
  <c r="CF677" i="2" s="1"/>
  <c r="CE677" i="2" s="1"/>
  <c r="CH677" i="2" s="1"/>
  <c r="DV521" i="2"/>
  <c r="DU521" i="2" s="1"/>
  <c r="DX521" i="2" s="1"/>
  <c r="EJ271" i="2"/>
  <c r="DA271" i="2" s="1"/>
  <c r="DB271" i="2" s="1"/>
  <c r="DD271" i="2" s="1"/>
  <c r="DC271" i="2" s="1"/>
  <c r="DF271" i="2" s="1"/>
  <c r="CU280" i="2"/>
  <c r="CV280" i="2" s="1"/>
  <c r="CI132" i="2"/>
  <c r="CJ132" i="2" s="1"/>
  <c r="BY439" i="2"/>
  <c r="BZ439" i="2" s="1"/>
  <c r="CB439" i="2" s="1"/>
  <c r="CA439" i="2" s="1"/>
  <c r="CD439" i="2" s="1"/>
  <c r="CV733" i="2"/>
  <c r="DA733" i="2" s="1"/>
  <c r="BO1043" i="2"/>
  <c r="DG840" i="2"/>
  <c r="DL840" i="2" s="1"/>
  <c r="BJ83" i="2"/>
  <c r="CP83" i="2"/>
  <c r="CQ83" i="2" s="1"/>
  <c r="CS83" i="2" s="1"/>
  <c r="CR83" i="2" s="1"/>
  <c r="CU83" i="2" s="1"/>
  <c r="DA649" i="2"/>
  <c r="DB649" i="2" s="1"/>
  <c r="CL582" i="2"/>
  <c r="CK582" i="2" s="1"/>
  <c r="CN582" i="2" s="1"/>
  <c r="CI1023" i="2"/>
  <c r="CJ1023" i="2" s="1"/>
  <c r="CL1023" i="2" s="1"/>
  <c r="CK1023" i="2" s="1"/>
  <c r="CN1023" i="2" s="1"/>
  <c r="CR545" i="2"/>
  <c r="CQ545" i="2" s="1"/>
  <c r="CR1047" i="2"/>
  <c r="CU105" i="2"/>
  <c r="CV105" i="2" s="1"/>
  <c r="CX105" i="2" s="1"/>
  <c r="CW105" i="2" s="1"/>
  <c r="CZ105" i="2" s="1"/>
  <c r="DM522" i="2"/>
  <c r="DP522" i="2" s="1"/>
  <c r="DA840" i="2"/>
  <c r="DB840" i="2" s="1"/>
  <c r="DD840" i="2" s="1"/>
  <c r="DC840" i="2" s="1"/>
  <c r="DF840" i="2" s="1"/>
  <c r="CR1011" i="2"/>
  <c r="CQ1011" i="2" s="1"/>
  <c r="CT1011" i="2" s="1"/>
  <c r="BO105" i="2"/>
  <c r="CO516" i="2"/>
  <c r="CP516" i="2" s="1"/>
  <c r="CO132" i="2"/>
  <c r="CP132" i="2" s="1"/>
  <c r="DG105" i="2"/>
  <c r="DJ105" i="2" s="1"/>
  <c r="DG1047" i="2"/>
  <c r="DH1047" i="2" s="1"/>
  <c r="BT1047" i="2"/>
  <c r="CU725" i="2"/>
  <c r="CV725" i="2" s="1"/>
  <c r="CX725" i="2" s="1"/>
  <c r="CW725" i="2" s="1"/>
  <c r="CZ725" i="2" s="1"/>
  <c r="BO532" i="2"/>
  <c r="CU695" i="2"/>
  <c r="CV695" i="2" s="1"/>
  <c r="CX695" i="2" s="1"/>
  <c r="CW695" i="2" s="1"/>
  <c r="CZ695" i="2" s="1"/>
  <c r="CL115" i="2"/>
  <c r="CE1047" i="2"/>
  <c r="CK1047" i="2"/>
  <c r="CN1047" i="2" s="1"/>
  <c r="CV1047" i="2"/>
  <c r="CX1047" i="2" s="1"/>
  <c r="DJ191" i="2"/>
  <c r="DI191" i="2" s="1"/>
  <c r="DL191" i="2" s="1"/>
  <c r="BO154" i="2"/>
  <c r="DG701" i="2"/>
  <c r="DH701" i="2" s="1"/>
  <c r="BJ477" i="2"/>
  <c r="DF59" i="2"/>
  <c r="DG649" i="2"/>
  <c r="DH649" i="2" s="1"/>
  <c r="CI54" i="2"/>
  <c r="CJ54" i="2" s="1"/>
  <c r="CO92" i="2"/>
  <c r="CP92" i="2" s="1"/>
  <c r="CU188" i="2"/>
  <c r="CV188" i="2" s="1"/>
  <c r="CX188" i="2" s="1"/>
  <c r="CW188" i="2" s="1"/>
  <c r="CZ188" i="2" s="1"/>
  <c r="DM228" i="2"/>
  <c r="DP228" i="2" s="1"/>
  <c r="CU533" i="2"/>
  <c r="CV533" i="2" s="1"/>
  <c r="CX533" i="2" s="1"/>
  <c r="CW533" i="2" s="1"/>
  <c r="CZ533" i="2" s="1"/>
  <c r="BW155" i="2"/>
  <c r="BX155" i="2" s="1"/>
  <c r="DA1047" i="2"/>
  <c r="CI898" i="2"/>
  <c r="CJ898" i="2" s="1"/>
  <c r="CO155" i="2"/>
  <c r="CP155" i="2" s="1"/>
  <c r="BO686" i="2"/>
  <c r="DM235" i="2"/>
  <c r="DR235" i="2" s="1"/>
  <c r="BO1047" i="2"/>
  <c r="DA711" i="2"/>
  <c r="DB711" i="2" s="1"/>
  <c r="CI155" i="2"/>
  <c r="CJ155" i="2" s="1"/>
  <c r="DM1047" i="2"/>
  <c r="CU1026" i="2"/>
  <c r="CV1026" i="2" s="1"/>
  <c r="DP1045" i="2"/>
  <c r="DO1045" i="2" s="1"/>
  <c r="DR1045" i="2" s="1"/>
  <c r="CO648" i="2"/>
  <c r="CP648" i="2" s="1"/>
  <c r="CR648" i="2" s="1"/>
  <c r="CQ648" i="2" s="1"/>
  <c r="CT648" i="2" s="1"/>
  <c r="DM191" i="2"/>
  <c r="CC155" i="2"/>
  <c r="CD155" i="2" s="1"/>
  <c r="BR155" i="2"/>
  <c r="DV573" i="2"/>
  <c r="DU573" i="2" s="1"/>
  <c r="DX573" i="2" s="1"/>
  <c r="CU789" i="2"/>
  <c r="CV789" i="2" s="1"/>
  <c r="CX789" i="2" s="1"/>
  <c r="CW789" i="2" s="1"/>
  <c r="CZ789" i="2" s="1"/>
  <c r="DG348" i="2"/>
  <c r="DJ348" i="2" s="1"/>
  <c r="BO938" i="2"/>
  <c r="CI751" i="2"/>
  <c r="CJ751" i="2" s="1"/>
  <c r="CI698" i="2"/>
  <c r="CJ698" i="2" s="1"/>
  <c r="CU815" i="2"/>
  <c r="BO653" i="2"/>
  <c r="DP144" i="2"/>
  <c r="DO144" i="2" s="1"/>
  <c r="DR144" i="2" s="1"/>
  <c r="DP695" i="2"/>
  <c r="DO695" i="2" s="1"/>
  <c r="DR695" i="2" s="1"/>
  <c r="DM223" i="2"/>
  <c r="DP223" i="2" s="1"/>
  <c r="CO1032" i="2"/>
  <c r="CP1032" i="2" s="1"/>
  <c r="CR1032" i="2" s="1"/>
  <c r="CQ1032" i="2" s="1"/>
  <c r="CT1032" i="2" s="1"/>
  <c r="CI348" i="2"/>
  <c r="CJ348" i="2" s="1"/>
  <c r="CL348" i="2" s="1"/>
  <c r="CK348" i="2" s="1"/>
  <c r="CN348" i="2" s="1"/>
  <c r="DP931" i="2"/>
  <c r="DO931" i="2" s="1"/>
  <c r="DR931" i="2" s="1"/>
  <c r="DG155" i="2"/>
  <c r="DH155" i="2" s="1"/>
  <c r="CV83" i="2"/>
  <c r="DA83" i="2" s="1"/>
  <c r="CP356" i="2"/>
  <c r="CQ356" i="2" s="1"/>
  <c r="CW439" i="2"/>
  <c r="CX439" i="2" s="1"/>
  <c r="DP279" i="2"/>
  <c r="CV212" i="2"/>
  <c r="CY212" i="2" s="1"/>
  <c r="BJ356" i="2"/>
  <c r="CD490" i="2"/>
  <c r="CE490" i="2" s="1"/>
  <c r="CD406" i="2"/>
  <c r="CE406" i="2" s="1"/>
  <c r="CO992" i="2"/>
  <c r="CP992" i="2" s="1"/>
  <c r="CU617" i="2"/>
  <c r="CV617" i="2" s="1"/>
  <c r="CX617" i="2" s="1"/>
  <c r="CW617" i="2" s="1"/>
  <c r="CZ617" i="2" s="1"/>
  <c r="CU155" i="2"/>
  <c r="CV155" i="2" s="1"/>
  <c r="BX406" i="2"/>
  <c r="BY406" i="2" s="1"/>
  <c r="CK439" i="2"/>
  <c r="CL439" i="2" s="1"/>
  <c r="BO705" i="2"/>
  <c r="CX79" i="2"/>
  <c r="CW79" i="2" s="1"/>
  <c r="CZ79" i="2" s="1"/>
  <c r="CI840" i="2"/>
  <c r="CJ840" i="2" s="1"/>
  <c r="DB155" i="2"/>
  <c r="DD155" i="2" s="1"/>
  <c r="DC155" i="2" s="1"/>
  <c r="DF155" i="2" s="1"/>
  <c r="CP213" i="2"/>
  <c r="BJ511" i="2"/>
  <c r="CR985" i="2"/>
  <c r="CQ985" i="2" s="1"/>
  <c r="CT985" i="2" s="1"/>
  <c r="DG957" i="2"/>
  <c r="DH957" i="2" s="1"/>
  <c r="DJ957" i="2" s="1"/>
  <c r="DI957" i="2" s="1"/>
  <c r="DL957" i="2" s="1"/>
  <c r="BO1023" i="2"/>
  <c r="DM155" i="2"/>
  <c r="BO965" i="2"/>
  <c r="CI866" i="2"/>
  <c r="CJ866" i="2" s="1"/>
  <c r="BO431" i="2"/>
  <c r="DA785" i="2"/>
  <c r="DM785" i="2" s="1"/>
  <c r="DP727" i="2"/>
  <c r="DO727" i="2" s="1"/>
  <c r="DR727" i="2" s="1"/>
  <c r="BO155" i="2"/>
  <c r="BO465" i="2"/>
  <c r="EG309" i="2"/>
  <c r="CM406" i="2"/>
  <c r="CL406" i="2" s="1"/>
  <c r="CO406" i="2" s="1"/>
  <c r="BJ212" i="2"/>
  <c r="CV356" i="2"/>
  <c r="DA356" i="2" s="1"/>
  <c r="BJ792" i="2"/>
  <c r="CL40" i="2"/>
  <c r="CK40" i="2" s="1"/>
  <c r="CN40" i="2" s="1"/>
  <c r="BO1040" i="2"/>
  <c r="BO957" i="2"/>
  <c r="DV228" i="2"/>
  <c r="DU228" i="2" s="1"/>
  <c r="DX228" i="2" s="1"/>
  <c r="DG416" i="2"/>
  <c r="DH416" i="2" s="1"/>
  <c r="DV522" i="2"/>
  <c r="DU522" i="2" s="1"/>
  <c r="DX522" i="2" s="1"/>
  <c r="DA960" i="2"/>
  <c r="DB960" i="2" s="1"/>
  <c r="DD960" i="2" s="1"/>
  <c r="DC960" i="2" s="1"/>
  <c r="DF960" i="2" s="1"/>
  <c r="CU465" i="2"/>
  <c r="CV465" i="2" s="1"/>
  <c r="CX465" i="2" s="1"/>
  <c r="CW465" i="2" s="1"/>
  <c r="CZ465" i="2" s="1"/>
  <c r="BO1045" i="2"/>
  <c r="DA115" i="2"/>
  <c r="DB115" i="2" s="1"/>
  <c r="DD115" i="2" s="1"/>
  <c r="DC115" i="2" s="1"/>
  <c r="DF115" i="2" s="1"/>
  <c r="DA232" i="2"/>
  <c r="DB232" i="2" s="1"/>
  <c r="BO524" i="2"/>
  <c r="DG960" i="2"/>
  <c r="DH960" i="2" s="1"/>
  <c r="DJ960" i="2" s="1"/>
  <c r="DI960" i="2" s="1"/>
  <c r="DL960" i="2" s="1"/>
  <c r="DG465" i="2"/>
  <c r="DJ465" i="2" s="1"/>
  <c r="CD888" i="2"/>
  <c r="CE888" i="2" s="1"/>
  <c r="CG888" i="2" s="1"/>
  <c r="CF888" i="2" s="1"/>
  <c r="CI888" i="2" s="1"/>
  <c r="CX926" i="2"/>
  <c r="CW926" i="2" s="1"/>
  <c r="CZ926" i="2" s="1"/>
  <c r="CO377" i="2"/>
  <c r="CP377" i="2" s="1"/>
  <c r="BY54" i="2"/>
  <c r="CB54" i="2" s="1"/>
  <c r="CU121" i="2"/>
  <c r="CV121" i="2" s="1"/>
  <c r="BO1003" i="2"/>
  <c r="BO1000" i="2"/>
  <c r="DG232" i="2"/>
  <c r="DH232" i="2" s="1"/>
  <c r="CU668" i="2"/>
  <c r="CV668" i="2" s="1"/>
  <c r="CX668" i="2" s="1"/>
  <c r="CW668" i="2" s="1"/>
  <c r="CZ668" i="2" s="1"/>
  <c r="DG521" i="2"/>
  <c r="DH521" i="2" s="1"/>
  <c r="DJ521" i="2" s="1"/>
  <c r="DI521" i="2" s="1"/>
  <c r="DL521" i="2" s="1"/>
  <c r="EE834" i="2"/>
  <c r="EG834" i="2" s="1"/>
  <c r="CJ139" i="2"/>
  <c r="CK139" i="2" s="1"/>
  <c r="CQ139" i="2" s="1"/>
  <c r="CV69" i="2"/>
  <c r="CY69" i="2" s="1"/>
  <c r="BJ236" i="2"/>
  <c r="BJ355" i="2"/>
  <c r="BJ799" i="2"/>
  <c r="BO962" i="2"/>
  <c r="DA884" i="2"/>
  <c r="DB884" i="2" s="1"/>
  <c r="DD884" i="2" s="1"/>
  <c r="DC884" i="2" s="1"/>
  <c r="DF884" i="2" s="1"/>
  <c r="CU646" i="2"/>
  <c r="CV646" i="2" s="1"/>
  <c r="CX646" i="2" s="1"/>
  <c r="CW646" i="2" s="1"/>
  <c r="CZ646" i="2" s="1"/>
  <c r="CU306" i="2"/>
  <c r="CV306" i="2" s="1"/>
  <c r="CX306" i="2" s="1"/>
  <c r="CW306" i="2" s="1"/>
  <c r="CZ306" i="2" s="1"/>
  <c r="EG410" i="2"/>
  <c r="CO410" i="2" s="1"/>
  <c r="CP410" i="2" s="1"/>
  <c r="CR410" i="2" s="1"/>
  <c r="CQ410" i="2" s="1"/>
  <c r="CT410" i="2" s="1"/>
  <c r="CO570" i="2"/>
  <c r="CP570" i="2" s="1"/>
  <c r="CR570" i="2" s="1"/>
  <c r="CQ570" i="2" s="1"/>
  <c r="CT570" i="2" s="1"/>
  <c r="CU523" i="2"/>
  <c r="CV523" i="2" s="1"/>
  <c r="DV520" i="2"/>
  <c r="DU520" i="2" s="1"/>
  <c r="DX520" i="2" s="1"/>
  <c r="BO389" i="2"/>
  <c r="DM5" i="2"/>
  <c r="DS5" i="2" s="1"/>
  <c r="DA335" i="2"/>
  <c r="DB335" i="2" s="1"/>
  <c r="DD335" i="2" s="1"/>
  <c r="DC335" i="2" s="1"/>
  <c r="BO706" i="2"/>
  <c r="DA724" i="2"/>
  <c r="DB724" i="2" s="1"/>
  <c r="DM534" i="2"/>
  <c r="DP534" i="2" s="1"/>
  <c r="DP960" i="2"/>
  <c r="CU545" i="2"/>
  <c r="CV545" i="2" s="1"/>
  <c r="BO1011" i="2"/>
  <c r="CU144" i="2"/>
  <c r="CV144" i="2" s="1"/>
  <c r="DT144" i="2" s="1"/>
  <c r="CI767" i="2"/>
  <c r="CJ767" i="2" s="1"/>
  <c r="DP1032" i="2"/>
  <c r="DO1032" i="2" s="1"/>
  <c r="DR1032" i="2" s="1"/>
  <c r="DO511" i="2"/>
  <c r="DQ511" i="2" s="1"/>
  <c r="DA12" i="2"/>
  <c r="DB12" i="2" s="1"/>
  <c r="DG545" i="2"/>
  <c r="DL545" i="2" s="1"/>
  <c r="CU1011" i="2"/>
  <c r="CV1011" i="2" s="1"/>
  <c r="DT1011" i="2" s="1"/>
  <c r="CI865" i="2"/>
  <c r="CJ865" i="2" s="1"/>
  <c r="DJ713" i="2"/>
  <c r="DQ356" i="2"/>
  <c r="BO985" i="2"/>
  <c r="BO26" i="2"/>
  <c r="DG12" i="2"/>
  <c r="DH12" i="2" s="1"/>
  <c r="DJ12" i="2" s="1"/>
  <c r="DI12" i="2" s="1"/>
  <c r="DL12" i="2" s="1"/>
  <c r="BJ174" i="2"/>
  <c r="CI704" i="2"/>
  <c r="CJ704" i="2" s="1"/>
  <c r="CL101" i="2"/>
  <c r="CK101" i="2" s="1"/>
  <c r="CN101" i="2" s="1"/>
  <c r="BO866" i="2"/>
  <c r="CI1030" i="2"/>
  <c r="CJ1030" i="2" s="1"/>
  <c r="CI931" i="2"/>
  <c r="BJ888" i="2"/>
  <c r="BJ636" i="2"/>
  <c r="DG231" i="2"/>
  <c r="DH231" i="2" s="1"/>
  <c r="DP329" i="2"/>
  <c r="DO329" i="2" s="1"/>
  <c r="DR329" i="2" s="1"/>
  <c r="EG609" i="2"/>
  <c r="DA170" i="2"/>
  <c r="DB170" i="2" s="1"/>
  <c r="CD911" i="2"/>
  <c r="CE911" i="2" s="1"/>
  <c r="CV215" i="2"/>
  <c r="CY215" i="2" s="1"/>
  <c r="CP488" i="2"/>
  <c r="CQ488" i="2" s="1"/>
  <c r="DQ83" i="2"/>
  <c r="DA40" i="2"/>
  <c r="EA957" i="2"/>
  <c r="BO831" i="2"/>
  <c r="CI306" i="2"/>
  <c r="CJ306" i="2" s="1"/>
  <c r="DP1024" i="2"/>
  <c r="DO1024" i="2" s="1"/>
  <c r="DR1024" i="2" s="1"/>
  <c r="DP1025" i="2"/>
  <c r="DO1025" i="2" s="1"/>
  <c r="DR1025" i="2" s="1"/>
  <c r="DP141" i="2"/>
  <c r="DO141" i="2" s="1"/>
  <c r="DR141" i="2" s="1"/>
  <c r="DG835" i="2"/>
  <c r="DH835" i="2" s="1"/>
  <c r="DJ835" i="2" s="1"/>
  <c r="DI835" i="2" s="1"/>
  <c r="DL835" i="2" s="1"/>
  <c r="CU170" i="2"/>
  <c r="CV170" i="2" s="1"/>
  <c r="DA532" i="2"/>
  <c r="DB532" i="2" s="1"/>
  <c r="CD975" i="2"/>
  <c r="CE975" i="2" s="1"/>
  <c r="CG975" i="2" s="1"/>
  <c r="CF975" i="2" s="1"/>
  <c r="CI975" i="2" s="1"/>
  <c r="CP174" i="2"/>
  <c r="CP238" i="2"/>
  <c r="CQ238" i="2" s="1"/>
  <c r="CX252" i="2"/>
  <c r="CW252" i="2" s="1"/>
  <c r="CZ252" i="2" s="1"/>
  <c r="CO668" i="2"/>
  <c r="DP937" i="2"/>
  <c r="DO937" i="2" s="1"/>
  <c r="DR937" i="2" s="1"/>
  <c r="DM170" i="2"/>
  <c r="DP170" i="2" s="1"/>
  <c r="DO170" i="2" s="1"/>
  <c r="BO531" i="2"/>
  <c r="CJ354" i="2"/>
  <c r="CK354" i="2" s="1"/>
  <c r="CJ174" i="2"/>
  <c r="CK174" i="2" s="1"/>
  <c r="CR174" i="2" s="1"/>
  <c r="CD356" i="2"/>
  <c r="BO303" i="2"/>
  <c r="CI965" i="2"/>
  <c r="CJ965" i="2" s="1"/>
  <c r="CL965" i="2" s="1"/>
  <c r="CK965" i="2" s="1"/>
  <c r="CN965" i="2" s="1"/>
  <c r="BY293" i="2"/>
  <c r="CB293" i="2" s="1"/>
  <c r="DA648" i="2"/>
  <c r="DB648" i="2" s="1"/>
  <c r="CU883" i="2"/>
  <c r="CV883" i="2" s="1"/>
  <c r="DG884" i="2"/>
  <c r="DH884" i="2" s="1"/>
  <c r="DJ884" i="2" s="1"/>
  <c r="DI884" i="2" s="1"/>
  <c r="DL884" i="2" s="1"/>
  <c r="CU898" i="2"/>
  <c r="CV898" i="2" s="1"/>
  <c r="CX898" i="2" s="1"/>
  <c r="CW898" i="2" s="1"/>
  <c r="CZ898" i="2" s="1"/>
  <c r="CU193" i="2"/>
  <c r="CV193" i="2" s="1"/>
  <c r="CX193" i="2" s="1"/>
  <c r="CW193" i="2" s="1"/>
  <c r="CZ193" i="2" s="1"/>
  <c r="DG399" i="2"/>
  <c r="DH399" i="2" s="1"/>
  <c r="DA1000" i="2"/>
  <c r="DB1000" i="2" s="1"/>
  <c r="DD1000" i="2" s="1"/>
  <c r="DC1000" i="2" s="1"/>
  <c r="DF1000" i="2" s="1"/>
  <c r="BO804" i="2"/>
  <c r="CU713" i="2"/>
  <c r="CV713" i="2" s="1"/>
  <c r="CX713" i="2" s="1"/>
  <c r="CW713" i="2" s="1"/>
  <c r="CZ713" i="2" s="1"/>
  <c r="BO931" i="2"/>
  <c r="DL1029" i="2"/>
  <c r="DP1027" i="2"/>
  <c r="DO1027" i="2" s="1"/>
  <c r="DR1027" i="2" s="1"/>
  <c r="DG170" i="2"/>
  <c r="DH170" i="2" s="1"/>
  <c r="CD170" i="2"/>
  <c r="CF170" i="2" s="1"/>
  <c r="CE170" i="2" s="1"/>
  <c r="CH170" i="2" s="1"/>
  <c r="CJ650" i="2"/>
  <c r="CK650" i="2" s="1"/>
  <c r="CV473" i="2"/>
  <c r="DA473" i="2" s="1"/>
  <c r="DG297" i="2"/>
  <c r="DG401" i="2"/>
  <c r="DH401" i="2" s="1"/>
  <c r="EV85" i="2"/>
  <c r="DM85" i="2" s="1"/>
  <c r="CI170" i="2"/>
  <c r="CM1041" i="2"/>
  <c r="CL1041" i="2" s="1"/>
  <c r="CO1041" i="2" s="1"/>
  <c r="DO215" i="2"/>
  <c r="DQ215" i="2" s="1"/>
  <c r="CR340" i="2"/>
  <c r="CQ340" i="2" s="1"/>
  <c r="CT340" i="2" s="1"/>
  <c r="CI649" i="2"/>
  <c r="CJ649" i="2" s="1"/>
  <c r="CL649" i="2" s="1"/>
  <c r="CK649" i="2" s="1"/>
  <c r="CN649" i="2" s="1"/>
  <c r="BO648" i="2"/>
  <c r="BO191" i="2"/>
  <c r="DG335" i="2"/>
  <c r="DH335" i="2" s="1"/>
  <c r="CI335" i="2"/>
  <c r="CJ335" i="2" s="1"/>
  <c r="CL335" i="2" s="1"/>
  <c r="CK335" i="2" s="1"/>
  <c r="BO335" i="2"/>
  <c r="CX835" i="2"/>
  <c r="CW835" i="2" s="1"/>
  <c r="CZ835" i="2" s="1"/>
  <c r="CO170" i="2"/>
  <c r="BQ170" i="2"/>
  <c r="CD265" i="2"/>
  <c r="CE265" i="2" s="1"/>
  <c r="CG265" i="2" s="1"/>
  <c r="CF265" i="2" s="1"/>
  <c r="CI265" i="2" s="1"/>
  <c r="BZ659" i="2"/>
  <c r="CC659" i="2" s="1"/>
  <c r="CD899" i="2"/>
  <c r="CE899" i="2" s="1"/>
  <c r="CR899" i="2" s="1"/>
  <c r="CJ215" i="2"/>
  <c r="CK215" i="2" s="1"/>
  <c r="CM215" i="2" s="1"/>
  <c r="CL215" i="2" s="1"/>
  <c r="CO215" i="2" s="1"/>
  <c r="DP527" i="2"/>
  <c r="DA383" i="2"/>
  <c r="DF383" i="2" s="1"/>
  <c r="CO677" i="2"/>
  <c r="CP677" i="2" s="1"/>
  <c r="CR677" i="2" s="1"/>
  <c r="CQ677" i="2" s="1"/>
  <c r="CT677" i="2" s="1"/>
  <c r="CI883" i="2"/>
  <c r="CJ883" i="2" s="1"/>
  <c r="CL883" i="2" s="1"/>
  <c r="CK883" i="2" s="1"/>
  <c r="CN883" i="2" s="1"/>
  <c r="DA656" i="2"/>
  <c r="DB656" i="2" s="1"/>
  <c r="BO711" i="2"/>
  <c r="CI131" i="2"/>
  <c r="CJ131" i="2" s="1"/>
  <c r="CL131" i="2" s="1"/>
  <c r="CK131" i="2" s="1"/>
  <c r="CN131" i="2" s="1"/>
  <c r="BO223" i="2"/>
  <c r="CO224" i="2"/>
  <c r="ES85" i="2"/>
  <c r="CO85" i="2" s="1"/>
  <c r="DV1003" i="2"/>
  <c r="DU1003" i="2" s="1"/>
  <c r="DX1003" i="2" s="1"/>
  <c r="DA524" i="2"/>
  <c r="CR235" i="2"/>
  <c r="CQ235" i="2" s="1"/>
  <c r="CT235" i="2" s="1"/>
  <c r="DV493" i="2"/>
  <c r="DU493" i="2" s="1"/>
  <c r="DX493" i="2" s="1"/>
  <c r="DP882" i="2"/>
  <c r="DO882" i="2" s="1"/>
  <c r="DR882" i="2" s="1"/>
  <c r="DD1023" i="2"/>
  <c r="DC1023" i="2" s="1"/>
  <c r="DF1023" i="2" s="1"/>
  <c r="CU1045" i="2"/>
  <c r="CV1045" i="2" s="1"/>
  <c r="CX1045" i="2" s="1"/>
  <c r="CW1045" i="2" s="1"/>
  <c r="CZ1045" i="2" s="1"/>
  <c r="BO865" i="2"/>
  <c r="DT468" i="2"/>
  <c r="BW653" i="2"/>
  <c r="BX653" i="2" s="1"/>
  <c r="BZ653" i="2" s="1"/>
  <c r="BY653" i="2" s="1"/>
  <c r="CB653" i="2" s="1"/>
  <c r="DA904" i="2"/>
  <c r="BO15" i="2"/>
  <c r="BW170" i="2"/>
  <c r="CJ266" i="2"/>
  <c r="CK266" i="2" s="1"/>
  <c r="CQ266" i="2" s="1"/>
  <c r="CP332" i="2"/>
  <c r="CQ332" i="2" s="1"/>
  <c r="CP358" i="2"/>
  <c r="CQ358" i="2" s="1"/>
  <c r="CS358" i="2" s="1"/>
  <c r="CR358" i="2" s="1"/>
  <c r="CU358" i="2" s="1"/>
  <c r="CJ301" i="2"/>
  <c r="CK301" i="2" s="1"/>
  <c r="CM301" i="2" s="1"/>
  <c r="CL301" i="2" s="1"/>
  <c r="CO301" i="2" s="1"/>
  <c r="CD83" i="2"/>
  <c r="CE83" i="2" s="1"/>
  <c r="CU719" i="2"/>
  <c r="CV719" i="2" s="1"/>
  <c r="BO1021" i="2"/>
  <c r="CU744" i="2"/>
  <c r="CV744" i="2" s="1"/>
  <c r="BZ884" i="2"/>
  <c r="BY884" i="2" s="1"/>
  <c r="CB884" i="2" s="1"/>
  <c r="CI986" i="2"/>
  <c r="CJ986" i="2" s="1"/>
  <c r="CL986" i="2" s="1"/>
  <c r="CK986" i="2" s="1"/>
  <c r="CN986" i="2" s="1"/>
  <c r="CU131" i="2"/>
  <c r="CV131" i="2" s="1"/>
  <c r="CX131" i="2" s="1"/>
  <c r="CW131" i="2" s="1"/>
  <c r="CZ131" i="2" s="1"/>
  <c r="CU491" i="2"/>
  <c r="DG395" i="2"/>
  <c r="DH395" i="2" s="1"/>
  <c r="DJ395" i="2" s="1"/>
  <c r="DI395" i="2" s="1"/>
  <c r="DL395" i="2" s="1"/>
  <c r="DM1003" i="2"/>
  <c r="DP1003" i="2" s="1"/>
  <c r="BO522" i="2"/>
  <c r="DG524" i="2"/>
  <c r="DH524" i="2" s="1"/>
  <c r="DG932" i="2"/>
  <c r="DH932" i="2" s="1"/>
  <c r="DJ932" i="2" s="1"/>
  <c r="DI932" i="2" s="1"/>
  <c r="DL932" i="2" s="1"/>
  <c r="BO1031" i="2"/>
  <c r="DA767" i="2"/>
  <c r="DB767" i="2" s="1"/>
  <c r="BO695" i="2"/>
  <c r="DG695" i="2"/>
  <c r="DJ695" i="2" s="1"/>
  <c r="DP1031" i="2"/>
  <c r="DO1031" i="2" s="1"/>
  <c r="DR1031" i="2" s="1"/>
  <c r="BO5" i="2"/>
  <c r="DA15" i="2"/>
  <c r="DB15" i="2" s="1"/>
  <c r="CI653" i="2"/>
  <c r="CJ653" i="2" s="1"/>
  <c r="CL653" i="2" s="1"/>
  <c r="CK653" i="2" s="1"/>
  <c r="CN653" i="2" s="1"/>
  <c r="DO301" i="2"/>
  <c r="DQ301" i="2" s="1"/>
  <c r="CI719" i="2"/>
  <c r="CJ719" i="2" s="1"/>
  <c r="CL719" i="2" s="1"/>
  <c r="CK719" i="2" s="1"/>
  <c r="DN747" i="2"/>
  <c r="DG812" i="2"/>
  <c r="DH812" i="2" s="1"/>
  <c r="DJ812" i="2" s="1"/>
  <c r="DI812" i="2" s="1"/>
  <c r="DL812" i="2" s="1"/>
  <c r="DA812" i="2"/>
  <c r="DB812" i="2" s="1"/>
  <c r="DD812" i="2" s="1"/>
  <c r="DC812" i="2" s="1"/>
  <c r="DF812" i="2" s="1"/>
  <c r="DA528" i="2"/>
  <c r="DJ1030" i="2"/>
  <c r="CU15" i="2"/>
  <c r="CV15" i="2" s="1"/>
  <c r="CX15" i="2" s="1"/>
  <c r="CW15" i="2" s="1"/>
  <c r="BS335" i="2"/>
  <c r="BV335" i="2" s="1"/>
  <c r="BJ266" i="2"/>
  <c r="CJ388" i="2"/>
  <c r="CK388" i="2" s="1"/>
  <c r="CJ645" i="2"/>
  <c r="CK645" i="2" s="1"/>
  <c r="BX473" i="2"/>
  <c r="BY473" i="2" s="1"/>
  <c r="CD212" i="2"/>
  <c r="CE212" i="2" s="1"/>
  <c r="CG212" i="2" s="1"/>
  <c r="CF212" i="2" s="1"/>
  <c r="CI212" i="2" s="1"/>
  <c r="CP792" i="2"/>
  <c r="CQ792" i="2" s="1"/>
  <c r="CX1021" i="2"/>
  <c r="CW1021" i="2" s="1"/>
  <c r="CZ1021" i="2" s="1"/>
  <c r="DA558" i="2"/>
  <c r="DF558" i="2" s="1"/>
  <c r="CU649" i="2"/>
  <c r="CV649" i="2" s="1"/>
  <c r="EA706" i="2"/>
  <c r="DG831" i="2"/>
  <c r="DH831" i="2" s="1"/>
  <c r="BY234" i="2"/>
  <c r="CB234" i="2" s="1"/>
  <c r="DV224" i="2"/>
  <c r="DU224" i="2" s="1"/>
  <c r="DX224" i="2" s="1"/>
  <c r="EG271" i="2"/>
  <c r="CO271" i="2" s="1"/>
  <c r="DG80" i="2"/>
  <c r="DH80" i="2" s="1"/>
  <c r="DJ80" i="2" s="1"/>
  <c r="DI80" i="2" s="1"/>
  <c r="DL80" i="2" s="1"/>
  <c r="DV804" i="2"/>
  <c r="DU804" i="2" s="1"/>
  <c r="DX804" i="2" s="1"/>
  <c r="CU1024" i="2"/>
  <c r="CV1024" i="2" s="1"/>
  <c r="DG1045" i="2"/>
  <c r="EP1035" i="2"/>
  <c r="BO1035" i="2" s="1"/>
  <c r="CE335" i="2"/>
  <c r="CH335" i="2" s="1"/>
  <c r="CW335" i="2"/>
  <c r="CZ335" i="2" s="1"/>
  <c r="CP354" i="2"/>
  <c r="CQ354" i="2" s="1"/>
  <c r="CS354" i="2" s="1"/>
  <c r="CR354" i="2" s="1"/>
  <c r="CU354" i="2" s="1"/>
  <c r="CE354" i="2"/>
  <c r="CG354" i="2" s="1"/>
  <c r="CF354" i="2" s="1"/>
  <c r="CI354" i="2" s="1"/>
  <c r="CO958" i="2"/>
  <c r="CP958" i="2" s="1"/>
  <c r="CP705" i="2"/>
  <c r="CR705" i="2" s="1"/>
  <c r="CQ705" i="2" s="1"/>
  <c r="CT705" i="2" s="1"/>
  <c r="BO123" i="2"/>
  <c r="DA123" i="2"/>
  <c r="DB123" i="2" s="1"/>
  <c r="BX871" i="2"/>
  <c r="BY871" i="2" s="1"/>
  <c r="CA871" i="2" s="1"/>
  <c r="BZ871" i="2" s="1"/>
  <c r="BN1038" i="2"/>
  <c r="BQ1038" i="2" s="1"/>
  <c r="BN146" i="2"/>
  <c r="BQ146" i="2" s="1"/>
  <c r="BZ511" i="2"/>
  <c r="CC511" i="2" s="1"/>
  <c r="CJ1014" i="2"/>
  <c r="CL1014" i="2" s="1"/>
  <c r="CK1014" i="2" s="1"/>
  <c r="CN1014" i="2" s="1"/>
  <c r="DA1014" i="2"/>
  <c r="DF371" i="2"/>
  <c r="DD371" i="2"/>
  <c r="CO956" i="2"/>
  <c r="CP956" i="2" s="1"/>
  <c r="CR956" i="2" s="1"/>
  <c r="CQ956" i="2" s="1"/>
  <c r="CT956" i="2" s="1"/>
  <c r="CU956" i="2"/>
  <c r="CV956" i="2" s="1"/>
  <c r="CX956" i="2" s="1"/>
  <c r="CW956" i="2" s="1"/>
  <c r="EA474" i="2"/>
  <c r="CR558" i="2"/>
  <c r="CQ558" i="2" s="1"/>
  <c r="CT558" i="2" s="1"/>
  <c r="CV502" i="2"/>
  <c r="CX502" i="2" s="1"/>
  <c r="CW502" i="2" s="1"/>
  <c r="CZ502" i="2" s="1"/>
  <c r="CI158" i="2"/>
  <c r="CJ158" i="2" s="1"/>
  <c r="CO158" i="2"/>
  <c r="CP158" i="2" s="1"/>
  <c r="CJ498" i="2"/>
  <c r="CK498" i="2" s="1"/>
  <c r="BN23" i="2"/>
  <c r="BQ23" i="2" s="1"/>
  <c r="BX283" i="2"/>
  <c r="BY283" i="2" s="1"/>
  <c r="BT174" i="2"/>
  <c r="BW174" i="2" s="1"/>
  <c r="BN375" i="2"/>
  <c r="BQ375" i="2" s="1"/>
  <c r="CV301" i="2"/>
  <c r="CY301" i="2" s="1"/>
  <c r="CP473" i="2"/>
  <c r="CQ473" i="2" s="1"/>
  <c r="CV489" i="2"/>
  <c r="CY489" i="2" s="1"/>
  <c r="CT897" i="2"/>
  <c r="CU897" i="2" s="1"/>
  <c r="DB897" i="2" s="1"/>
  <c r="CJ59" i="2"/>
  <c r="CK59" i="2" s="1"/>
  <c r="CM59" i="2" s="1"/>
  <c r="CL59" i="2" s="1"/>
  <c r="CO59" i="2" s="1"/>
  <c r="BJ733" i="2"/>
  <c r="CU958" i="2"/>
  <c r="CV958" i="2" s="1"/>
  <c r="CX958" i="2" s="1"/>
  <c r="CW958" i="2" s="1"/>
  <c r="CZ958" i="2" s="1"/>
  <c r="DM962" i="2"/>
  <c r="BT308" i="2"/>
  <c r="BW308" i="2" s="1"/>
  <c r="BJ870" i="2"/>
  <c r="CD118" i="2"/>
  <c r="CE118" i="2" s="1"/>
  <c r="CJ844" i="2"/>
  <c r="CK844" i="2" s="1"/>
  <c r="CM844" i="2" s="1"/>
  <c r="CL844" i="2" s="1"/>
  <c r="CO844" i="2" s="1"/>
  <c r="CP283" i="2"/>
  <c r="CQ283" i="2" s="1"/>
  <c r="CD301" i="2"/>
  <c r="BJ489" i="2"/>
  <c r="BG59" i="2"/>
  <c r="BH59" i="2" s="1"/>
  <c r="BI59" i="2" s="1"/>
  <c r="CX622" i="2"/>
  <c r="CW622" i="2" s="1"/>
  <c r="CZ622" i="2" s="1"/>
  <c r="CU158" i="2"/>
  <c r="CV158" i="2" s="1"/>
  <c r="CX158" i="2" s="1"/>
  <c r="CW158" i="2" s="1"/>
  <c r="CZ158" i="2" s="1"/>
  <c r="DI906" i="2"/>
  <c r="CP161" i="2"/>
  <c r="CJ870" i="2"/>
  <c r="CK870" i="2" s="1"/>
  <c r="CM870" i="2" s="1"/>
  <c r="CL870" i="2" s="1"/>
  <c r="CP678" i="2"/>
  <c r="CQ678" i="2" s="1"/>
  <c r="CV624" i="2"/>
  <c r="CY624" i="2" s="1"/>
  <c r="CD59" i="2"/>
  <c r="CE59" i="2" s="1"/>
  <c r="CG59" i="2" s="1"/>
  <c r="CF59" i="2" s="1"/>
  <c r="CI59" i="2" s="1"/>
  <c r="CJ339" i="2"/>
  <c r="CK339" i="2" s="1"/>
  <c r="CM339" i="2" s="1"/>
  <c r="CL339" i="2" s="1"/>
  <c r="CO339" i="2" s="1"/>
  <c r="CP339" i="2"/>
  <c r="CQ339" i="2" s="1"/>
  <c r="CI958" i="2"/>
  <c r="CJ958" i="2" s="1"/>
  <c r="CL958" i="2" s="1"/>
  <c r="CK958" i="2" s="1"/>
  <c r="CN958" i="2" s="1"/>
  <c r="CO850" i="2"/>
  <c r="CP850" i="2" s="1"/>
  <c r="CR850" i="2" s="1"/>
  <c r="CQ850" i="2" s="1"/>
  <c r="CT850" i="2" s="1"/>
  <c r="BZ266" i="2"/>
  <c r="CC266" i="2" s="1"/>
  <c r="BJ645" i="2"/>
  <c r="BJ659" i="2"/>
  <c r="CD304" i="2"/>
  <c r="CE304" i="2" s="1"/>
  <c r="CG304" i="2" s="1"/>
  <c r="CF304" i="2" s="1"/>
  <c r="BJ321" i="2"/>
  <c r="CD213" i="2"/>
  <c r="CE213" i="2" s="1"/>
  <c r="CP215" i="2"/>
  <c r="CQ215" i="2" s="1"/>
  <c r="CP69" i="2"/>
  <c r="CQ69" i="2" s="1"/>
  <c r="CP487" i="2"/>
  <c r="CQ487" i="2" s="1"/>
  <c r="CV238" i="2"/>
  <c r="CY238" i="2" s="1"/>
  <c r="CP59" i="2"/>
  <c r="CQ59" i="2" s="1"/>
  <c r="CS59" i="2" s="1"/>
  <c r="CR59" i="2" s="1"/>
  <c r="CU59" i="2" s="1"/>
  <c r="CD238" i="2"/>
  <c r="CE238" i="2" s="1"/>
  <c r="CG238" i="2" s="1"/>
  <c r="CF238" i="2" s="1"/>
  <c r="CI238" i="2" s="1"/>
  <c r="CT527" i="2"/>
  <c r="CZ527" i="2"/>
  <c r="CD1017" i="2"/>
  <c r="CE1017" i="2" s="1"/>
  <c r="CG1017" i="2" s="1"/>
  <c r="CF1017" i="2" s="1"/>
  <c r="CI1017" i="2" s="1"/>
  <c r="CP1017" i="2"/>
  <c r="CQ1017" i="2" s="1"/>
  <c r="CJ16" i="2"/>
  <c r="CL16" i="2" s="1"/>
  <c r="CK16" i="2" s="1"/>
  <c r="CN16" i="2" s="1"/>
  <c r="CU225" i="2"/>
  <c r="CV225" i="2" s="1"/>
  <c r="CX225" i="2" s="1"/>
  <c r="CW225" i="2" s="1"/>
  <c r="CZ225" i="2" s="1"/>
  <c r="CO225" i="2"/>
  <c r="CP225" i="2" s="1"/>
  <c r="CJ868" i="2"/>
  <c r="CK868" i="2" s="1"/>
  <c r="CM868" i="2" s="1"/>
  <c r="CL868" i="2" s="1"/>
  <c r="CO868" i="2" s="1"/>
  <c r="BX215" i="2"/>
  <c r="BY215" i="2" s="1"/>
  <c r="CX559" i="2"/>
  <c r="CW559" i="2" s="1"/>
  <c r="CZ559" i="2" s="1"/>
  <c r="BO553" i="2"/>
  <c r="DA101" i="2"/>
  <c r="DF101" i="2" s="1"/>
  <c r="CC200" i="2"/>
  <c r="CD200" i="2" s="1"/>
  <c r="CF200" i="2" s="1"/>
  <c r="CE200" i="2" s="1"/>
  <c r="CI200" i="2"/>
  <c r="CJ200" i="2" s="1"/>
  <c r="DA278" i="2"/>
  <c r="DB278" i="2" s="1"/>
  <c r="DD278" i="2" s="1"/>
  <c r="DC278" i="2" s="1"/>
  <c r="DF278" i="2" s="1"/>
  <c r="CO298" i="2"/>
  <c r="CP298" i="2" s="1"/>
  <c r="CR298" i="2" s="1"/>
  <c r="CQ298" i="2" s="1"/>
  <c r="CT298" i="2" s="1"/>
  <c r="DP1026" i="2"/>
  <c r="DO1026" i="2" s="1"/>
  <c r="DR1026" i="2" s="1"/>
  <c r="DP545" i="2"/>
  <c r="DO545" i="2" s="1"/>
  <c r="DR545" i="2" s="1"/>
  <c r="DP767" i="2"/>
  <c r="DO767" i="2" s="1"/>
  <c r="DR767" i="2" s="1"/>
  <c r="DG329" i="2"/>
  <c r="DH329" i="2" s="1"/>
  <c r="DJ329" i="2" s="1"/>
  <c r="DI329" i="2" s="1"/>
  <c r="DL329" i="2" s="1"/>
  <c r="BP437" i="2"/>
  <c r="BO925" i="2"/>
  <c r="DM653" i="2"/>
  <c r="DN653" i="2" s="1"/>
  <c r="CI154" i="2"/>
  <c r="CJ154" i="2" s="1"/>
  <c r="CL154" i="2" s="1"/>
  <c r="CK154" i="2" s="1"/>
  <c r="CN154" i="2" s="1"/>
  <c r="DG154" i="2"/>
  <c r="DH154" i="2" s="1"/>
  <c r="DJ154" i="2" s="1"/>
  <c r="DI154" i="2" s="1"/>
  <c r="DL154" i="2" s="1"/>
  <c r="CU986" i="2"/>
  <c r="CV986" i="2" s="1"/>
  <c r="DP617" i="2"/>
  <c r="DO617" i="2" s="1"/>
  <c r="DR617" i="2" s="1"/>
  <c r="DG925" i="2"/>
  <c r="DH925" i="2" s="1"/>
  <c r="CU925" i="2"/>
  <c r="CV925" i="2" s="1"/>
  <c r="CR335" i="2"/>
  <c r="CQ335" i="2" s="1"/>
  <c r="CT335" i="2" s="1"/>
  <c r="BO900" i="2"/>
  <c r="EA873" i="2"/>
  <c r="CI884" i="2"/>
  <c r="CJ884" i="2" s="1"/>
  <c r="CL884" i="2" s="1"/>
  <c r="CK884" i="2" s="1"/>
  <c r="CN884" i="2" s="1"/>
  <c r="DL39" i="2"/>
  <c r="EA677" i="2"/>
  <c r="BO606" i="2"/>
  <c r="CU154" i="2"/>
  <c r="CV154" i="2" s="1"/>
  <c r="DG606" i="2"/>
  <c r="DH606" i="2" s="1"/>
  <c r="DJ606" i="2" s="1"/>
  <c r="DI606" i="2" s="1"/>
  <c r="DL606" i="2" s="1"/>
  <c r="DG175" i="2"/>
  <c r="DH175" i="2" s="1"/>
  <c r="DJ175" i="2" s="1"/>
  <c r="DI175" i="2" s="1"/>
  <c r="DL175" i="2" s="1"/>
  <c r="CU726" i="2"/>
  <c r="CV726" i="2" s="1"/>
  <c r="CX726" i="2" s="1"/>
  <c r="CW726" i="2" s="1"/>
  <c r="CZ726" i="2" s="1"/>
  <c r="BY403" i="2"/>
  <c r="CB403" i="2" s="1"/>
  <c r="DV11" i="2"/>
  <c r="DU11" i="2" s="1"/>
  <c r="DX11" i="2" s="1"/>
  <c r="DM532" i="2"/>
  <c r="DA803" i="2"/>
  <c r="DB803" i="2" s="1"/>
  <c r="DD803" i="2" s="1"/>
  <c r="DC803" i="2" s="1"/>
  <c r="DF803" i="2" s="1"/>
  <c r="BO960" i="2"/>
  <c r="DV80" i="2"/>
  <c r="DU80" i="2" s="1"/>
  <c r="DX80" i="2" s="1"/>
  <c r="DR280" i="2"/>
  <c r="DG163" i="2"/>
  <c r="DL163" i="2" s="1"/>
  <c r="BO1024" i="2"/>
  <c r="CU1031" i="2"/>
  <c r="CV1031" i="2" s="1"/>
  <c r="DM862" i="2"/>
  <c r="DP862" i="2" s="1"/>
  <c r="DO862" i="2" s="1"/>
  <c r="DR862" i="2" s="1"/>
  <c r="BZ335" i="2"/>
  <c r="BY335" i="2" s="1"/>
  <c r="CB335" i="2" s="1"/>
  <c r="CH900" i="2"/>
  <c r="DC900" i="2"/>
  <c r="DF900" i="2" s="1"/>
  <c r="BO297" i="2"/>
  <c r="CC1006" i="2"/>
  <c r="CD1006" i="2" s="1"/>
  <c r="BO677" i="2"/>
  <c r="CU884" i="2"/>
  <c r="CV884" i="2" s="1"/>
  <c r="DG898" i="2"/>
  <c r="DH898" i="2" s="1"/>
  <c r="DJ898" i="2" s="1"/>
  <c r="DI898" i="2" s="1"/>
  <c r="DL898" i="2" s="1"/>
  <c r="DA535" i="2"/>
  <c r="DB535" i="2" s="1"/>
  <c r="DV570" i="2"/>
  <c r="DU570" i="2" s="1"/>
  <c r="DX570" i="2" s="1"/>
  <c r="DP1033" i="2"/>
  <c r="DO1033" i="2" s="1"/>
  <c r="DR1033" i="2" s="1"/>
  <c r="BS429" i="2"/>
  <c r="BV429" i="2" s="1"/>
  <c r="BO787" i="2"/>
  <c r="DM525" i="2"/>
  <c r="CU298" i="2"/>
  <c r="CV298" i="2" s="1"/>
  <c r="CX298" i="2" s="1"/>
  <c r="CW298" i="2" s="1"/>
  <c r="CZ298" i="2" s="1"/>
  <c r="BS437" i="2"/>
  <c r="BV437" i="2" s="1"/>
  <c r="DR960" i="2"/>
  <c r="DM420" i="2"/>
  <c r="DP420" i="2" s="1"/>
  <c r="DG1031" i="2"/>
  <c r="DL1031" i="2" s="1"/>
  <c r="CE1045" i="2"/>
  <c r="CH1045" i="2" s="1"/>
  <c r="CO1006" i="2"/>
  <c r="CP1006" i="2" s="1"/>
  <c r="CR1006" i="2" s="1"/>
  <c r="CQ1006" i="2" s="1"/>
  <c r="CT1006" i="2" s="1"/>
  <c r="CI596" i="2"/>
  <c r="CX980" i="2"/>
  <c r="DL950" i="2"/>
  <c r="CE749" i="2"/>
  <c r="CH749" i="2" s="1"/>
  <c r="BY500" i="2"/>
  <c r="CB500" i="2" s="1"/>
  <c r="CU1006" i="2"/>
  <c r="CV1006" i="2" s="1"/>
  <c r="CX1006" i="2" s="1"/>
  <c r="CW1006" i="2" s="1"/>
  <c r="CZ1006" i="2" s="1"/>
  <c r="CO884" i="2"/>
  <c r="CP884" i="2" s="1"/>
  <c r="CR884" i="2" s="1"/>
  <c r="CQ884" i="2" s="1"/>
  <c r="CT884" i="2" s="1"/>
  <c r="DA677" i="2"/>
  <c r="DB677" i="2" s="1"/>
  <c r="BO898" i="2"/>
  <c r="CI185" i="2"/>
  <c r="CJ185" i="2" s="1"/>
  <c r="CU397" i="2"/>
  <c r="DA401" i="2"/>
  <c r="CI228" i="2"/>
  <c r="CO530" i="2"/>
  <c r="CP530" i="2" s="1"/>
  <c r="CR530" i="2" s="1"/>
  <c r="CQ530" i="2" s="1"/>
  <c r="CT530" i="2" s="1"/>
  <c r="CR528" i="2"/>
  <c r="CQ528" i="2" s="1"/>
  <c r="CT528" i="2" s="1"/>
  <c r="DV528" i="2"/>
  <c r="DU528" i="2" s="1"/>
  <c r="DX528" i="2" s="1"/>
  <c r="DV525" i="2"/>
  <c r="DU525" i="2" s="1"/>
  <c r="DX525" i="2" s="1"/>
  <c r="DV524" i="2"/>
  <c r="DU524" i="2" s="1"/>
  <c r="DX524" i="2" s="1"/>
  <c r="CO521" i="2"/>
  <c r="CP521" i="2" s="1"/>
  <c r="CR521" i="2" s="1"/>
  <c r="CQ521" i="2" s="1"/>
  <c r="CT521" i="2" s="1"/>
  <c r="CO520" i="2"/>
  <c r="CP520" i="2" s="1"/>
  <c r="CR520" i="2" s="1"/>
  <c r="CQ520" i="2" s="1"/>
  <c r="CT520" i="2" s="1"/>
  <c r="BO882" i="2"/>
  <c r="DV420" i="2"/>
  <c r="DU420" i="2" s="1"/>
  <c r="DX420" i="2" s="1"/>
  <c r="DV604" i="2"/>
  <c r="DU604" i="2" s="1"/>
  <c r="DX604" i="2" s="1"/>
  <c r="EP655" i="2"/>
  <c r="CU655" i="2" s="1"/>
  <c r="CV655" i="2" s="1"/>
  <c r="BO713" i="2"/>
  <c r="DP318" i="2"/>
  <c r="DO318" i="2" s="1"/>
  <c r="DR318" i="2" s="1"/>
  <c r="BJ53" i="2"/>
  <c r="DM787" i="2"/>
  <c r="DP787" i="2" s="1"/>
  <c r="DO787" i="2" s="1"/>
  <c r="DR787" i="2" s="1"/>
  <c r="CI925" i="2"/>
  <c r="CJ925" i="2" s="1"/>
  <c r="DA653" i="2"/>
  <c r="DB653" i="2" s="1"/>
  <c r="DD653" i="2" s="1"/>
  <c r="DC653" i="2" s="1"/>
  <c r="BY607" i="2"/>
  <c r="CB607" i="2" s="1"/>
  <c r="DN761" i="2"/>
  <c r="DI684" i="2"/>
  <c r="DJ442" i="2"/>
  <c r="DK442" i="2" s="1"/>
  <c r="DI357" i="2"/>
  <c r="DO276" i="2"/>
  <c r="DK38" i="2"/>
  <c r="DQ378" i="2"/>
  <c r="DK378" i="2" s="1"/>
  <c r="BJ139" i="2"/>
  <c r="CJ7" i="2"/>
  <c r="CK7" i="2" s="1"/>
  <c r="CM7" i="2" s="1"/>
  <c r="CL7" i="2" s="1"/>
  <c r="CO7" i="2" s="1"/>
  <c r="CJ587" i="2"/>
  <c r="CK587" i="2" s="1"/>
  <c r="CM587" i="2" s="1"/>
  <c r="CL587" i="2" s="1"/>
  <c r="CO587" i="2" s="1"/>
  <c r="BT515" i="2"/>
  <c r="BW515" i="2" s="1"/>
  <c r="CP615" i="2"/>
  <c r="CQ615" i="2" s="1"/>
  <c r="CS615" i="2" s="1"/>
  <c r="CR615" i="2" s="1"/>
  <c r="CU615" i="2" s="1"/>
  <c r="CP301" i="2"/>
  <c r="CQ301" i="2" s="1"/>
  <c r="CD215" i="2"/>
  <c r="CE215" i="2" s="1"/>
  <c r="CG215" i="2" s="1"/>
  <c r="CF215" i="2" s="1"/>
  <c r="CI215" i="2" s="1"/>
  <c r="CD69" i="2"/>
  <c r="CP212" i="2"/>
  <c r="CQ212" i="2" s="1"/>
  <c r="CS212" i="2" s="1"/>
  <c r="CR212" i="2" s="1"/>
  <c r="CU212" i="2" s="1"/>
  <c r="CV488" i="2"/>
  <c r="CJ238" i="2"/>
  <c r="CK238" i="2" s="1"/>
  <c r="CV59" i="2"/>
  <c r="CY59" i="2" s="1"/>
  <c r="CD624" i="2"/>
  <c r="CE624" i="2" s="1"/>
  <c r="CG624" i="2" s="1"/>
  <c r="CF624" i="2" s="1"/>
  <c r="CI624" i="2" s="1"/>
  <c r="BJ1017" i="2"/>
  <c r="BJ339" i="2"/>
  <c r="BX792" i="2"/>
  <c r="BJ354" i="2"/>
  <c r="CJ733" i="2"/>
  <c r="CK733" i="2" s="1"/>
  <c r="CM733" i="2" s="1"/>
  <c r="CL733" i="2" s="1"/>
  <c r="CO733" i="2" s="1"/>
  <c r="CO216" i="2"/>
  <c r="CP216" i="2" s="1"/>
  <c r="CR216" i="2" s="1"/>
  <c r="CQ216" i="2" s="1"/>
  <c r="CT216" i="2" s="1"/>
  <c r="DO620" i="2"/>
  <c r="DA1019" i="2"/>
  <c r="DD1019" i="2" s="1"/>
  <c r="BO1019" i="2"/>
  <c r="BJ736" i="2"/>
  <c r="DO615" i="2"/>
  <c r="DQ615" i="2" s="1"/>
  <c r="CV1002" i="2"/>
  <c r="DA1002" i="2" s="1"/>
  <c r="CD1002" i="2"/>
  <c r="CE1002" i="2" s="1"/>
  <c r="DX839" i="2"/>
  <c r="BO839" i="2" s="1"/>
  <c r="DI444" i="2"/>
  <c r="CD422" i="2"/>
  <c r="CE422" i="2" s="1"/>
  <c r="CG422" i="2" s="1"/>
  <c r="CF422" i="2" s="1"/>
  <c r="CI422" i="2" s="1"/>
  <c r="CJ736" i="2"/>
  <c r="CK736" i="2" s="1"/>
  <c r="CM736" i="2" s="1"/>
  <c r="CL736" i="2" s="1"/>
  <c r="CO736" i="2" s="1"/>
  <c r="CD190" i="2"/>
  <c r="CP190" i="2" s="1"/>
  <c r="DO355" i="2"/>
  <c r="DQ355" i="2" s="1"/>
  <c r="CV792" i="2"/>
  <c r="BR897" i="2"/>
  <c r="BU897" i="2" s="1"/>
  <c r="DA390" i="2"/>
  <c r="CI425" i="2"/>
  <c r="CJ425" i="2" s="1"/>
  <c r="BO478" i="2"/>
  <c r="DA478" i="2"/>
  <c r="DF478" i="2" s="1"/>
  <c r="CD872" i="2"/>
  <c r="CE872" i="2" s="1"/>
  <c r="CD927" i="2"/>
  <c r="CE927" i="2" s="1"/>
  <c r="BJ899" i="2"/>
  <c r="DA586" i="2"/>
  <c r="DA704" i="2"/>
  <c r="BO704" i="2"/>
  <c r="CJ56" i="2"/>
  <c r="CL56" i="2" s="1"/>
  <c r="CK56" i="2" s="1"/>
  <c r="CN56" i="2" s="1"/>
  <c r="DA56" i="2"/>
  <c r="DQ612" i="2"/>
  <c r="DK612" i="2" s="1"/>
  <c r="CJ492" i="2"/>
  <c r="CK492" i="2" s="1"/>
  <c r="CM492" i="2" s="1"/>
  <c r="CL492" i="2" s="1"/>
  <c r="CO492" i="2" s="1"/>
  <c r="BJ261" i="2"/>
  <c r="BZ560" i="2"/>
  <c r="CC560" i="2" s="1"/>
  <c r="CD261" i="2"/>
  <c r="CE261" i="2" s="1"/>
  <c r="BJ975" i="2"/>
  <c r="CP899" i="2"/>
  <c r="BJ624" i="2"/>
  <c r="DQ829" i="2"/>
  <c r="DA382" i="2"/>
  <c r="DA218" i="2"/>
  <c r="CI507" i="2"/>
  <c r="CJ507" i="2" s="1"/>
  <c r="CU507" i="2"/>
  <c r="CV507" i="2" s="1"/>
  <c r="CJ601" i="2"/>
  <c r="CL601" i="2" s="1"/>
  <c r="CK601" i="2" s="1"/>
  <c r="CN601" i="2" s="1"/>
  <c r="DA601" i="2"/>
  <c r="DK282" i="2"/>
  <c r="DL282" i="2" s="1"/>
  <c r="CP1002" i="2"/>
  <c r="CQ1002" i="2" s="1"/>
  <c r="CS1002" i="2" s="1"/>
  <c r="CR1002" i="2" s="1"/>
  <c r="CU1002" i="2" s="1"/>
  <c r="CV246" i="2"/>
  <c r="CP1043" i="2"/>
  <c r="CR1043" i="2" s="1"/>
  <c r="CQ1043" i="2" s="1"/>
  <c r="CT1043" i="2" s="1"/>
  <c r="BJ844" i="2"/>
  <c r="CP624" i="2"/>
  <c r="CQ624" i="2" s="1"/>
  <c r="CS624" i="2" s="1"/>
  <c r="CR624" i="2" s="1"/>
  <c r="CJ792" i="2"/>
  <c r="CK792" i="2" s="1"/>
  <c r="CI923" i="2"/>
  <c r="CJ923" i="2" s="1"/>
  <c r="CL923" i="2" s="1"/>
  <c r="CK923" i="2" s="1"/>
  <c r="CN923" i="2" s="1"/>
  <c r="CO125" i="2"/>
  <c r="CP125" i="2" s="1"/>
  <c r="CL502" i="2"/>
  <c r="CK502" i="2" s="1"/>
  <c r="CN502" i="2" s="1"/>
  <c r="CU122" i="2"/>
  <c r="CV122" i="2" s="1"/>
  <c r="CX122" i="2" s="1"/>
  <c r="CW122" i="2" s="1"/>
  <c r="CZ122" i="2" s="1"/>
  <c r="CU226" i="2"/>
  <c r="CV226" i="2" s="1"/>
  <c r="CX226" i="2" s="1"/>
  <c r="CW226" i="2" s="1"/>
  <c r="CZ226" i="2" s="1"/>
  <c r="DM11" i="2"/>
  <c r="DP11" i="2" s="1"/>
  <c r="DA11" i="2"/>
  <c r="DB11" i="2" s="1"/>
  <c r="DD11" i="2" s="1"/>
  <c r="DC11" i="2" s="1"/>
  <c r="DF11" i="2" s="1"/>
  <c r="DA1025" i="2"/>
  <c r="DB1025" i="2" s="1"/>
  <c r="BO1025" i="2"/>
  <c r="DG1025" i="2"/>
  <c r="DJ1025" i="2" s="1"/>
  <c r="DB862" i="2"/>
  <c r="DD862" i="2" s="1"/>
  <c r="DC862" i="2" s="1"/>
  <c r="DF862" i="2" s="1"/>
  <c r="DD553" i="2"/>
  <c r="DA206" i="2"/>
  <c r="DA125" i="2"/>
  <c r="DA158" i="2"/>
  <c r="DB158" i="2" s="1"/>
  <c r="CU656" i="2"/>
  <c r="CV656" i="2" s="1"/>
  <c r="DA121" i="2"/>
  <c r="DB121" i="2" s="1"/>
  <c r="DD121" i="2" s="1"/>
  <c r="DC121" i="2" s="1"/>
  <c r="DF121" i="2" s="1"/>
  <c r="BO394" i="2"/>
  <c r="DG394" i="2"/>
  <c r="DH394" i="2" s="1"/>
  <c r="DJ394" i="2" s="1"/>
  <c r="DI394" i="2" s="1"/>
  <c r="DL394" i="2" s="1"/>
  <c r="CP834" i="2"/>
  <c r="CR834" i="2" s="1"/>
  <c r="CQ834" i="2" s="1"/>
  <c r="CT834" i="2" s="1"/>
  <c r="CD862" i="2"/>
  <c r="CF862" i="2" s="1"/>
  <c r="CE862" i="2" s="1"/>
  <c r="CH862" i="2" s="1"/>
  <c r="BO396" i="2"/>
  <c r="DG396" i="2"/>
  <c r="DH396" i="2" s="1"/>
  <c r="DA224" i="2"/>
  <c r="DB224" i="2" s="1"/>
  <c r="DD224" i="2" s="1"/>
  <c r="DC224" i="2" s="1"/>
  <c r="DF224" i="2" s="1"/>
  <c r="DM224" i="2"/>
  <c r="DA622" i="2"/>
  <c r="DM622" i="2" s="1"/>
  <c r="BO167" i="2"/>
  <c r="BW850" i="2"/>
  <c r="BX850" i="2" s="1"/>
  <c r="BZ850" i="2" s="1"/>
  <c r="BY850" i="2" s="1"/>
  <c r="CB850" i="2" s="1"/>
  <c r="CX945" i="2"/>
  <c r="DA523" i="2"/>
  <c r="BO523" i="2"/>
  <c r="DM523" i="2"/>
  <c r="DG523" i="2"/>
  <c r="DH523" i="2" s="1"/>
  <c r="DJ523" i="2" s="1"/>
  <c r="DI523" i="2" s="1"/>
  <c r="DL523" i="2" s="1"/>
  <c r="CE101" i="2"/>
  <c r="CH101" i="2" s="1"/>
  <c r="CU850" i="2"/>
  <c r="CV850" i="2" s="1"/>
  <c r="CU374" i="2"/>
  <c r="CV374" i="2" s="1"/>
  <c r="CU648" i="2"/>
  <c r="CV648" i="2" s="1"/>
  <c r="BO231" i="2"/>
  <c r="DG122" i="2"/>
  <c r="DH122" i="2" s="1"/>
  <c r="DJ122" i="2" s="1"/>
  <c r="DI122" i="2" s="1"/>
  <c r="DL122" i="2" s="1"/>
  <c r="DA725" i="2"/>
  <c r="DG725" i="2"/>
  <c r="DH725" i="2" s="1"/>
  <c r="DJ725" i="2" s="1"/>
  <c r="DI725" i="2" s="1"/>
  <c r="DL725" i="2" s="1"/>
  <c r="CU401" i="2"/>
  <c r="CC850" i="2"/>
  <c r="CD850" i="2" s="1"/>
  <c r="CF850" i="2" s="1"/>
  <c r="CE850" i="2" s="1"/>
  <c r="CH850" i="2" s="1"/>
  <c r="DA726" i="2"/>
  <c r="DB726" i="2" s="1"/>
  <c r="DD726" i="2" s="1"/>
  <c r="DC726" i="2" s="1"/>
  <c r="DF726" i="2" s="1"/>
  <c r="BO726" i="2"/>
  <c r="DM493" i="2"/>
  <c r="DR493" i="2" s="1"/>
  <c r="DG493" i="2"/>
  <c r="DH493" i="2" s="1"/>
  <c r="DA500" i="2"/>
  <c r="DB500" i="2" s="1"/>
  <c r="DD500" i="2" s="1"/>
  <c r="DC500" i="2" s="1"/>
  <c r="DF500" i="2" s="1"/>
  <c r="DA1006" i="2"/>
  <c r="DB1006" i="2" s="1"/>
  <c r="DD1006" i="2" s="1"/>
  <c r="DC1006" i="2" s="1"/>
  <c r="DF1006" i="2" s="1"/>
  <c r="DL377" i="2"/>
  <c r="CU677" i="2"/>
  <c r="CV677" i="2" s="1"/>
  <c r="CX677" i="2" s="1"/>
  <c r="CW677" i="2" s="1"/>
  <c r="CZ677" i="2" s="1"/>
  <c r="CI621" i="2"/>
  <c r="CJ621" i="2" s="1"/>
  <c r="CU153" i="2"/>
  <c r="CV153" i="2" s="1"/>
  <c r="CX153" i="2" s="1"/>
  <c r="CW153" i="2" s="1"/>
  <c r="CZ153" i="2" s="1"/>
  <c r="BO57" i="2"/>
  <c r="CO12" i="2"/>
  <c r="CP12" i="2" s="1"/>
  <c r="CU12" i="2"/>
  <c r="CI812" i="2"/>
  <c r="CJ812" i="2" s="1"/>
  <c r="CL812" i="2" s="1"/>
  <c r="CK812" i="2" s="1"/>
  <c r="CN812" i="2" s="1"/>
  <c r="BO11" i="2"/>
  <c r="DG224" i="2"/>
  <c r="DH224" i="2" s="1"/>
  <c r="DJ224" i="2" s="1"/>
  <c r="DI224" i="2" s="1"/>
  <c r="DL224" i="2" s="1"/>
  <c r="CO399" i="2"/>
  <c r="BO371" i="2"/>
  <c r="CU704" i="2"/>
  <c r="DM1040" i="2"/>
  <c r="CR478" i="2"/>
  <c r="CQ478" i="2" s="1"/>
  <c r="CT478" i="2" s="1"/>
  <c r="BO502" i="2"/>
  <c r="CI123" i="2"/>
  <c r="CJ123" i="2" s="1"/>
  <c r="CX590" i="2"/>
  <c r="CW590" i="2" s="1"/>
  <c r="CZ590" i="2" s="1"/>
  <c r="BO140" i="2"/>
  <c r="DA75" i="2"/>
  <c r="DB75" i="2" s="1"/>
  <c r="CU67" i="2"/>
  <c r="CV67" i="2" s="1"/>
  <c r="CX67" i="2" s="1"/>
  <c r="CW67" i="2" s="1"/>
  <c r="CZ67" i="2" s="1"/>
  <c r="DG866" i="2"/>
  <c r="DH866" i="2" s="1"/>
  <c r="BO121" i="2"/>
  <c r="EG510" i="2"/>
  <c r="BO725" i="2"/>
  <c r="DG679" i="2"/>
  <c r="CU724" i="2"/>
  <c r="CV724" i="2" s="1"/>
  <c r="DG724" i="2"/>
  <c r="DG11" i="2"/>
  <c r="DH11" i="2" s="1"/>
  <c r="DJ11" i="2" s="1"/>
  <c r="DI11" i="2" s="1"/>
  <c r="DL11" i="2" s="1"/>
  <c r="DG235" i="2"/>
  <c r="DH235" i="2" s="1"/>
  <c r="DJ235" i="2" s="1"/>
  <c r="DI235" i="2" s="1"/>
  <c r="DL235" i="2" s="1"/>
  <c r="BO235" i="2"/>
  <c r="DG1000" i="2"/>
  <c r="DH1000" i="2" s="1"/>
  <c r="DV1000" i="2"/>
  <c r="DU1000" i="2" s="1"/>
  <c r="DX1000" i="2" s="1"/>
  <c r="DM803" i="2"/>
  <c r="DA882" i="2"/>
  <c r="DB882" i="2" s="1"/>
  <c r="DD882" i="2" s="1"/>
  <c r="DC882" i="2" s="1"/>
  <c r="DF882" i="2" s="1"/>
  <c r="CU882" i="2"/>
  <c r="CV882" i="2" s="1"/>
  <c r="CL393" i="2"/>
  <c r="CK393" i="2" s="1"/>
  <c r="CN393" i="2" s="1"/>
  <c r="BY163" i="2"/>
  <c r="CB163" i="2" s="1"/>
  <c r="DP1028" i="2"/>
  <c r="DO1028" i="2" s="1"/>
  <c r="DR1028" i="2" s="1"/>
  <c r="BT862" i="2"/>
  <c r="BS862" i="2" s="1"/>
  <c r="BS698" i="2"/>
  <c r="BV698" i="2" s="1"/>
  <c r="CC115" i="2"/>
  <c r="CD115" i="2" s="1"/>
  <c r="DG862" i="2"/>
  <c r="CI862" i="2"/>
  <c r="DV223" i="2"/>
  <c r="DU223" i="2" s="1"/>
  <c r="DX223" i="2" s="1"/>
  <c r="DM536" i="2"/>
  <c r="DP536" i="2" s="1"/>
  <c r="DV279" i="2"/>
  <c r="DU279" i="2" s="1"/>
  <c r="DX279" i="2" s="1"/>
  <c r="EV217" i="2"/>
  <c r="DM217" i="2" s="1"/>
  <c r="DR217" i="2" s="1"/>
  <c r="BO573" i="2"/>
  <c r="CI49" i="2"/>
  <c r="CJ49" i="2" s="1"/>
  <c r="CI834" i="2"/>
  <c r="CC925" i="2"/>
  <c r="DG607" i="2"/>
  <c r="DH607" i="2" s="1"/>
  <c r="CK397" i="2"/>
  <c r="CN397" i="2" s="1"/>
  <c r="DM531" i="2"/>
  <c r="DR531" i="2" s="1"/>
  <c r="DA536" i="2"/>
  <c r="DB536" i="2" s="1"/>
  <c r="DD536" i="2" s="1"/>
  <c r="DC536" i="2" s="1"/>
  <c r="DF536" i="2" s="1"/>
  <c r="DV534" i="2"/>
  <c r="DU534" i="2" s="1"/>
  <c r="DX534" i="2" s="1"/>
  <c r="BS534" i="2"/>
  <c r="BV534" i="2" s="1"/>
  <c r="DV523" i="2"/>
  <c r="DU523" i="2" s="1"/>
  <c r="DX523" i="2" s="1"/>
  <c r="DV280" i="2"/>
  <c r="DU280" i="2" s="1"/>
  <c r="DX280" i="2" s="1"/>
  <c r="BO604" i="2"/>
  <c r="DP1023" i="2"/>
  <c r="DO1023" i="2" s="1"/>
  <c r="DR1023" i="2" s="1"/>
  <c r="DP938" i="2"/>
  <c r="DO938" i="2" s="1"/>
  <c r="DR938" i="2" s="1"/>
  <c r="BY5" i="2"/>
  <c r="CB5" i="2" s="1"/>
  <c r="CU309" i="2"/>
  <c r="DA37" i="2"/>
  <c r="DB37" i="2" s="1"/>
  <c r="DD37" i="2" s="1"/>
  <c r="DC37" i="2" s="1"/>
  <c r="DF37" i="2" s="1"/>
  <c r="CO862" i="2"/>
  <c r="DA607" i="2"/>
  <c r="DB607" i="2" s="1"/>
  <c r="DD607" i="2" s="1"/>
  <c r="DC607" i="2" s="1"/>
  <c r="BO862" i="2"/>
  <c r="EJ410" i="2"/>
  <c r="DA410" i="2" s="1"/>
  <c r="DB410" i="2" s="1"/>
  <c r="CU228" i="2"/>
  <c r="CE397" i="2"/>
  <c r="CH397" i="2" s="1"/>
  <c r="DG522" i="2"/>
  <c r="DG520" i="2"/>
  <c r="DH520" i="2" s="1"/>
  <c r="CU235" i="2"/>
  <c r="DV536" i="2"/>
  <c r="DU536" i="2" s="1"/>
  <c r="DX536" i="2" s="1"/>
  <c r="DV532" i="2"/>
  <c r="DU532" i="2" s="1"/>
  <c r="DX532" i="2" s="1"/>
  <c r="DV529" i="2"/>
  <c r="DU529" i="2" s="1"/>
  <c r="DX529" i="2" s="1"/>
  <c r="DG803" i="2"/>
  <c r="DH803" i="2" s="1"/>
  <c r="DJ803" i="2" s="1"/>
  <c r="DI803" i="2" s="1"/>
  <c r="DL803" i="2" s="1"/>
  <c r="DV667" i="2"/>
  <c r="DU667" i="2" s="1"/>
  <c r="DX667" i="2" s="1"/>
  <c r="DA604" i="2"/>
  <c r="DB604" i="2" s="1"/>
  <c r="BY466" i="2"/>
  <c r="CB466" i="2" s="1"/>
  <c r="CI1026" i="2"/>
  <c r="CJ1026" i="2" s="1"/>
  <c r="BO309" i="2"/>
  <c r="BO37" i="2"/>
  <c r="EG15" i="2"/>
  <c r="CU862" i="2"/>
  <c r="BW862" i="2"/>
  <c r="CU279" i="2"/>
  <c r="DG604" i="2"/>
  <c r="DH604" i="2" s="1"/>
  <c r="DJ604" i="2" s="1"/>
  <c r="DI604" i="2" s="1"/>
  <c r="DL604" i="2" s="1"/>
  <c r="CO115" i="2"/>
  <c r="CP115" i="2" s="1"/>
  <c r="DA309" i="2"/>
  <c r="DB309" i="2" s="1"/>
  <c r="CQ607" i="2"/>
  <c r="CT607" i="2" s="1"/>
  <c r="BS401" i="2"/>
  <c r="BV401" i="2" s="1"/>
  <c r="DV531" i="2"/>
  <c r="DU531" i="2" s="1"/>
  <c r="DX531" i="2" s="1"/>
  <c r="DV235" i="2"/>
  <c r="DU235" i="2" s="1"/>
  <c r="DX235" i="2" s="1"/>
  <c r="BO1026" i="2"/>
  <c r="BO1032" i="2"/>
  <c r="BO789" i="2"/>
  <c r="EM655" i="2"/>
  <c r="CC655" i="2" s="1"/>
  <c r="CD655" i="2" s="1"/>
  <c r="CF655" i="2" s="1"/>
  <c r="CE655" i="2" s="1"/>
  <c r="CH655" i="2" s="1"/>
  <c r="DJ1029" i="2"/>
  <c r="DP1035" i="2"/>
  <c r="DO1035" i="2" s="1"/>
  <c r="DR1035" i="2" s="1"/>
  <c r="DP1011" i="2"/>
  <c r="DO1011" i="2" s="1"/>
  <c r="DR1011" i="2" s="1"/>
  <c r="CI1005" i="2"/>
  <c r="CN309" i="2"/>
  <c r="CC653" i="2"/>
  <c r="CU37" i="2"/>
  <c r="CV37" i="2" s="1"/>
  <c r="CX37" i="2" s="1"/>
  <c r="CW37" i="2" s="1"/>
  <c r="CZ37" i="2" s="1"/>
  <c r="EG676" i="2"/>
  <c r="CE607" i="2"/>
  <c r="CH607" i="2" s="1"/>
  <c r="BS607" i="2"/>
  <c r="BV607" i="2" s="1"/>
  <c r="CD651" i="2"/>
  <c r="CE651" i="2" s="1"/>
  <c r="CG651" i="2" s="1"/>
  <c r="CF651" i="2" s="1"/>
  <c r="CI651" i="2" s="1"/>
  <c r="CJ651" i="2"/>
  <c r="CK651" i="2" s="1"/>
  <c r="BJ201" i="2"/>
  <c r="CV201" i="2"/>
  <c r="CY201" i="2" s="1"/>
  <c r="CJ487" i="2"/>
  <c r="CK487" i="2" s="1"/>
  <c r="CV487" i="2"/>
  <c r="CY487" i="2" s="1"/>
  <c r="CP765" i="2"/>
  <c r="CR765" i="2" s="1"/>
  <c r="CQ765" i="2" s="1"/>
  <c r="CT765" i="2" s="1"/>
  <c r="DA765" i="2"/>
  <c r="CP823" i="2"/>
  <c r="CR823" i="2" s="1"/>
  <c r="CQ823" i="2" s="1"/>
  <c r="CT823" i="2" s="1"/>
  <c r="DA823" i="2"/>
  <c r="CO987" i="2"/>
  <c r="CP987" i="2" s="1"/>
  <c r="CR987" i="2" s="1"/>
  <c r="CQ987" i="2" s="1"/>
  <c r="CT987" i="2" s="1"/>
  <c r="CC987" i="2"/>
  <c r="CD987" i="2" s="1"/>
  <c r="CF987" i="2" s="1"/>
  <c r="CE987" i="2" s="1"/>
  <c r="CH987" i="2" s="1"/>
  <c r="CU987" i="2"/>
  <c r="CV987" i="2" s="1"/>
  <c r="CX987" i="2" s="1"/>
  <c r="CW987" i="2" s="1"/>
  <c r="CZ987" i="2" s="1"/>
  <c r="CI987" i="2"/>
  <c r="CJ987" i="2" s="1"/>
  <c r="DO922" i="2"/>
  <c r="CJ638" i="2"/>
  <c r="CP638" i="2" s="1"/>
  <c r="BZ7" i="2"/>
  <c r="CC7" i="2" s="1"/>
  <c r="BX150" i="2"/>
  <c r="CP150" i="2"/>
  <c r="CQ150" i="2" s="1"/>
  <c r="CJ150" i="2"/>
  <c r="CP749" i="2"/>
  <c r="DB749" i="2" s="1"/>
  <c r="DA749" i="2"/>
  <c r="DD985" i="2"/>
  <c r="DF985" i="2"/>
  <c r="BZ265" i="2"/>
  <c r="CC265" i="2" s="1"/>
  <c r="BJ871" i="2"/>
  <c r="BX870" i="2"/>
  <c r="BJ974" i="2"/>
  <c r="CD871" i="2"/>
  <c r="CE871" i="2" s="1"/>
  <c r="CG871" i="2" s="1"/>
  <c r="CF871" i="2" s="1"/>
  <c r="BN927" i="2"/>
  <c r="BQ927" i="2" s="1"/>
  <c r="CJ515" i="2"/>
  <c r="CK515" i="2" s="1"/>
  <c r="BJ436" i="2"/>
  <c r="CJ214" i="2"/>
  <c r="CK214" i="2" s="1"/>
  <c r="CM214" i="2" s="1"/>
  <c r="CL214" i="2" s="1"/>
  <c r="CO214" i="2" s="1"/>
  <c r="BT353" i="2"/>
  <c r="BW353" i="2" s="1"/>
  <c r="BT408" i="2"/>
  <c r="BW408" i="2" s="1"/>
  <c r="BN504" i="2"/>
  <c r="BQ504" i="2" s="1"/>
  <c r="BT356" i="2"/>
  <c r="BW356" i="2" s="1"/>
  <c r="DA354" i="2"/>
  <c r="CY354" i="2"/>
  <c r="CJ504" i="2"/>
  <c r="CK504" i="2" s="1"/>
  <c r="CM504" i="2" s="1"/>
  <c r="CL504" i="2" s="1"/>
  <c r="CO504" i="2" s="1"/>
  <c r="CV504" i="2"/>
  <c r="CY504" i="2" s="1"/>
  <c r="BJ829" i="2"/>
  <c r="CD829" i="2"/>
  <c r="CP447" i="2"/>
  <c r="CR447" i="2" s="1"/>
  <c r="CQ447" i="2" s="1"/>
  <c r="CT447" i="2" s="1"/>
  <c r="BJ304" i="2"/>
  <c r="CD388" i="2"/>
  <c r="CE388" i="2" s="1"/>
  <c r="CD436" i="2"/>
  <c r="CE436" i="2" s="1"/>
  <c r="CR436" i="2" s="1"/>
  <c r="BZ321" i="2"/>
  <c r="CC321" i="2" s="1"/>
  <c r="BZ388" i="2"/>
  <c r="CC388" i="2" s="1"/>
  <c r="CJ201" i="2"/>
  <c r="CK201" i="2" s="1"/>
  <c r="BJ246" i="2"/>
  <c r="CJ246" i="2"/>
  <c r="CK246" i="2" s="1"/>
  <c r="CM246" i="2" s="1"/>
  <c r="CL246" i="2" s="1"/>
  <c r="CO246" i="2" s="1"/>
  <c r="CD246" i="2"/>
  <c r="CE246" i="2" s="1"/>
  <c r="BJ499" i="2"/>
  <c r="CP499" i="2"/>
  <c r="CQ499" i="2" s="1"/>
  <c r="CS499" i="2" s="1"/>
  <c r="CR499" i="2" s="1"/>
  <c r="CU499" i="2" s="1"/>
  <c r="BR499" i="2"/>
  <c r="BS499" i="2" s="1"/>
  <c r="BU499" i="2" s="1"/>
  <c r="BT499" i="2" s="1"/>
  <c r="BW499" i="2" s="1"/>
  <c r="CD499" i="2"/>
  <c r="CE499" i="2" s="1"/>
  <c r="CG499" i="2" s="1"/>
  <c r="CF499" i="2" s="1"/>
  <c r="CI499" i="2" s="1"/>
  <c r="BX499" i="2"/>
  <c r="BY499" i="2" s="1"/>
  <c r="CV216" i="2"/>
  <c r="CP319" i="2"/>
  <c r="CR319" i="2" s="1"/>
  <c r="CQ319" i="2" s="1"/>
  <c r="CT319" i="2" s="1"/>
  <c r="DA319" i="2"/>
  <c r="DJ81" i="2"/>
  <c r="DP81" i="2" s="1"/>
  <c r="DJ391" i="2"/>
  <c r="DP391" i="2" s="1"/>
  <c r="DQ984" i="2"/>
  <c r="DK984" i="2" s="1"/>
  <c r="DI457" i="2"/>
  <c r="DI551" i="2"/>
  <c r="DQ3" i="2"/>
  <c r="DK3" i="2" s="1"/>
  <c r="BN492" i="2"/>
  <c r="BQ492" i="2" s="1"/>
  <c r="BT151" i="2"/>
  <c r="BW151" i="2" s="1"/>
  <c r="CJ118" i="2"/>
  <c r="CK118" i="2" s="1"/>
  <c r="CJ974" i="2"/>
  <c r="CP974" i="2" s="1"/>
  <c r="BJ408" i="2"/>
  <c r="CD353" i="2"/>
  <c r="CP436" i="2"/>
  <c r="CP201" i="2"/>
  <c r="CQ201" i="2" s="1"/>
  <c r="BJ150" i="2"/>
  <c r="CD150" i="2"/>
  <c r="CE150" i="2" s="1"/>
  <c r="DO861" i="2"/>
  <c r="DQ171" i="2"/>
  <c r="DK171" i="2" s="1"/>
  <c r="DQ801" i="2"/>
  <c r="DK801" i="2" s="1"/>
  <c r="BJ160" i="2"/>
  <c r="CJ245" i="2"/>
  <c r="CK245" i="2" s="1"/>
  <c r="CM245" i="2" s="1"/>
  <c r="CL245" i="2" s="1"/>
  <c r="CO245" i="2" s="1"/>
  <c r="DI267" i="2"/>
  <c r="DN457" i="2"/>
  <c r="DN551" i="2"/>
  <c r="DQ613" i="2"/>
  <c r="DK613" i="2" s="1"/>
  <c r="DQ463" i="2"/>
  <c r="DK463" i="2" s="1"/>
  <c r="CM205" i="2"/>
  <c r="CL205" i="2" s="1"/>
  <c r="CO205" i="2" s="1"/>
  <c r="CJ308" i="2"/>
  <c r="CK308" i="2" s="1"/>
  <c r="CM308" i="2" s="1"/>
  <c r="CL308" i="2" s="1"/>
  <c r="CO308" i="2" s="1"/>
  <c r="BJ205" i="2"/>
  <c r="BJ887" i="2"/>
  <c r="CD887" i="2"/>
  <c r="CE887" i="2" s="1"/>
  <c r="BJ404" i="2"/>
  <c r="CD636" i="2"/>
  <c r="CE636" i="2" s="1"/>
  <c r="CR636" i="2" s="1"/>
  <c r="CG844" i="2"/>
  <c r="CF844" i="2" s="1"/>
  <c r="BZ636" i="2"/>
  <c r="CC636" i="2" s="1"/>
  <c r="CJ386" i="2"/>
  <c r="CK386" i="2" s="1"/>
  <c r="CM386" i="2" s="1"/>
  <c r="CL386" i="2" s="1"/>
  <c r="BJ386" i="2"/>
  <c r="CP386" i="2"/>
  <c r="CQ386" i="2" s="1"/>
  <c r="CS386" i="2" s="1"/>
  <c r="CR386" i="2" s="1"/>
  <c r="CU386" i="2" s="1"/>
  <c r="CP559" i="2"/>
  <c r="CR559" i="2" s="1"/>
  <c r="CQ559" i="2" s="1"/>
  <c r="CT559" i="2" s="1"/>
  <c r="DA559" i="2"/>
  <c r="DN554" i="2"/>
  <c r="DQ979" i="2"/>
  <c r="DK979" i="2" s="1"/>
  <c r="CD498" i="2"/>
  <c r="CE498" i="2" s="1"/>
  <c r="BN645" i="2"/>
  <c r="BQ645" i="2" s="1"/>
  <c r="CD203" i="2"/>
  <c r="CE203" i="2" s="1"/>
  <c r="CJ927" i="2"/>
  <c r="CK927" i="2" s="1"/>
  <c r="BJ353" i="2"/>
  <c r="CP636" i="2"/>
  <c r="BN509" i="2"/>
  <c r="BQ509" i="2" s="1"/>
  <c r="BZ662" i="2"/>
  <c r="CC662" i="2" s="1"/>
  <c r="BZ146" i="2"/>
  <c r="CC146" i="2" s="1"/>
  <c r="BN358" i="2"/>
  <c r="BQ358" i="2" s="1"/>
  <c r="DO504" i="2"/>
  <c r="DQ504" i="2" s="1"/>
  <c r="CP504" i="2"/>
  <c r="CQ504" i="2" s="1"/>
  <c r="CS504" i="2" s="1"/>
  <c r="CR504" i="2" s="1"/>
  <c r="CU504" i="2" s="1"/>
  <c r="CV829" i="2"/>
  <c r="CP237" i="2"/>
  <c r="CQ237" i="2" s="1"/>
  <c r="CS237" i="2" s="1"/>
  <c r="CR237" i="2" s="1"/>
  <c r="CU237" i="2" s="1"/>
  <c r="CJ237" i="2"/>
  <c r="CK237" i="2" s="1"/>
  <c r="CD237" i="2"/>
  <c r="CE237" i="2" s="1"/>
  <c r="CG237" i="2" s="1"/>
  <c r="CF237" i="2" s="1"/>
  <c r="CI237" i="2" s="1"/>
  <c r="BJ237" i="2"/>
  <c r="CJ1039" i="2"/>
  <c r="CL1039" i="2" s="1"/>
  <c r="CK1039" i="2" s="1"/>
  <c r="CN1039" i="2" s="1"/>
  <c r="DA1039" i="2"/>
  <c r="CJ253" i="2"/>
  <c r="CL253" i="2" s="1"/>
  <c r="CK253" i="2" s="1"/>
  <c r="CN253" i="2" s="1"/>
  <c r="CI454" i="2"/>
  <c r="CJ454" i="2" s="1"/>
  <c r="CU454" i="2"/>
  <c r="CV454" i="2" s="1"/>
  <c r="CX454" i="2" s="1"/>
  <c r="CW454" i="2" s="1"/>
  <c r="CZ454" i="2" s="1"/>
  <c r="DD303" i="2"/>
  <c r="DF303" i="2"/>
  <c r="DM303" i="2"/>
  <c r="CU116" i="2"/>
  <c r="CV116" i="2" s="1"/>
  <c r="CX116" i="2" s="1"/>
  <c r="CW116" i="2" s="1"/>
  <c r="CZ116" i="2" s="1"/>
  <c r="CO507" i="2"/>
  <c r="DN985" i="2"/>
  <c r="CU620" i="2"/>
  <c r="CL1008" i="2"/>
  <c r="CK1008" i="2" s="1"/>
  <c r="CN1008" i="2" s="1"/>
  <c r="CX1043" i="2"/>
  <c r="CW1043" i="2" s="1"/>
  <c r="CZ1043" i="2" s="1"/>
  <c r="DN620" i="2"/>
  <c r="BO878" i="2"/>
  <c r="DM926" i="2"/>
  <c r="CO200" i="2"/>
  <c r="CP200" i="2" s="1"/>
  <c r="CI710" i="2"/>
  <c r="CJ710" i="2" s="1"/>
  <c r="BS24" i="2"/>
  <c r="BV24" i="2" s="1"/>
  <c r="DA691" i="2"/>
  <c r="DB691" i="2" s="1"/>
  <c r="DD691" i="2" s="1"/>
  <c r="DC691" i="2" s="1"/>
  <c r="DF691" i="2" s="1"/>
  <c r="CN900" i="2"/>
  <c r="CO207" i="2"/>
  <c r="CP207" i="2" s="1"/>
  <c r="CU207" i="2"/>
  <c r="CV207" i="2" s="1"/>
  <c r="CX207" i="2" s="1"/>
  <c r="CW207" i="2" s="1"/>
  <c r="CZ207" i="2" s="1"/>
  <c r="DB831" i="2"/>
  <c r="DD831" i="2" s="1"/>
  <c r="DC831" i="2" s="1"/>
  <c r="DF831" i="2" s="1"/>
  <c r="DA646" i="2"/>
  <c r="DB646" i="2" s="1"/>
  <c r="DD646" i="2" s="1"/>
  <c r="DC646" i="2" s="1"/>
  <c r="DF646" i="2" s="1"/>
  <c r="BO646" i="2"/>
  <c r="DG646" i="2"/>
  <c r="DH646" i="2" s="1"/>
  <c r="CF487" i="2"/>
  <c r="CI487" i="2" s="1"/>
  <c r="CF489" i="2"/>
  <c r="CI489" i="2" s="1"/>
  <c r="BZ1017" i="2"/>
  <c r="CC1017" i="2" s="1"/>
  <c r="BZ380" i="2"/>
  <c r="CC380" i="2" s="1"/>
  <c r="CR1039" i="2"/>
  <c r="CQ1039" i="2" s="1"/>
  <c r="CT1039" i="2" s="1"/>
  <c r="DA417" i="2"/>
  <c r="BS749" i="2"/>
  <c r="BV749" i="2" s="1"/>
  <c r="DA472" i="2"/>
  <c r="BS472" i="2"/>
  <c r="BV472" i="2" s="1"/>
  <c r="CJ206" i="2"/>
  <c r="CL206" i="2" s="1"/>
  <c r="CK206" i="2" s="1"/>
  <c r="CN206" i="2" s="1"/>
  <c r="CO383" i="2"/>
  <c r="CP383" i="2" s="1"/>
  <c r="DD16" i="2"/>
  <c r="DN592" i="2"/>
  <c r="DA592" i="2"/>
  <c r="DF592" i="2" s="1"/>
  <c r="DA379" i="2"/>
  <c r="CX330" i="2"/>
  <c r="CW330" i="2" s="1"/>
  <c r="CZ330" i="2" s="1"/>
  <c r="DA414" i="2"/>
  <c r="DA912" i="2"/>
  <c r="DA970" i="2"/>
  <c r="CR553" i="2"/>
  <c r="CQ553" i="2" s="1"/>
  <c r="CT553" i="2" s="1"/>
  <c r="CL985" i="2"/>
  <c r="CK985" i="2" s="1"/>
  <c r="CN985" i="2" s="1"/>
  <c r="CX686" i="2"/>
  <c r="CW686" i="2" s="1"/>
  <c r="CZ686" i="2" s="1"/>
  <c r="DN478" i="2"/>
  <c r="BO20" i="2"/>
  <c r="CL75" i="2"/>
  <c r="CK75" i="2" s="1"/>
  <c r="CN75" i="2" s="1"/>
  <c r="CP726" i="2"/>
  <c r="CR726" i="2" s="1"/>
  <c r="CQ726" i="2" s="1"/>
  <c r="CT726" i="2" s="1"/>
  <c r="BS1039" i="2"/>
  <c r="BV1039" i="2" s="1"/>
  <c r="CE414" i="2"/>
  <c r="CH414" i="2" s="1"/>
  <c r="CR257" i="2"/>
  <c r="CQ257" i="2" s="1"/>
  <c r="CT257" i="2" s="1"/>
  <c r="CL625" i="2"/>
  <c r="CK625" i="2" s="1"/>
  <c r="CN625" i="2" s="1"/>
  <c r="CX200" i="2"/>
  <c r="CW200" i="2" s="1"/>
  <c r="CZ200" i="2" s="1"/>
  <c r="CC908" i="2"/>
  <c r="CD908" i="2" s="1"/>
  <c r="CO908" i="2"/>
  <c r="CP908" i="2" s="1"/>
  <c r="CR908" i="2" s="1"/>
  <c r="CQ908" i="2" s="1"/>
  <c r="CT908" i="2" s="1"/>
  <c r="CJ223" i="2"/>
  <c r="BJ59" i="2"/>
  <c r="CV355" i="2"/>
  <c r="DB355" i="2" s="1"/>
  <c r="CR40" i="2"/>
  <c r="CQ40" i="2" s="1"/>
  <c r="CT40" i="2" s="1"/>
  <c r="CP904" i="2"/>
  <c r="CR904" i="2" s="1"/>
  <c r="CQ904" i="2" s="1"/>
  <c r="CT904" i="2" s="1"/>
  <c r="CE199" i="2"/>
  <c r="CH199" i="2" s="1"/>
  <c r="CE326" i="2"/>
  <c r="CH326" i="2" s="1"/>
  <c r="CR455" i="2"/>
  <c r="CQ455" i="2" s="1"/>
  <c r="CT455" i="2" s="1"/>
  <c r="CR107" i="2"/>
  <c r="CQ107" i="2" s="1"/>
  <c r="CT107" i="2" s="1"/>
  <c r="CI383" i="2"/>
  <c r="CJ383" i="2" s="1"/>
  <c r="CX625" i="2"/>
  <c r="CW625" i="2" s="1"/>
  <c r="CZ625" i="2" s="1"/>
  <c r="CU123" i="2"/>
  <c r="CV123" i="2" s="1"/>
  <c r="DA225" i="2"/>
  <c r="CX878" i="2"/>
  <c r="CW878" i="2" s="1"/>
  <c r="CZ878" i="2" s="1"/>
  <c r="DN926" i="2"/>
  <c r="EA567" i="2"/>
  <c r="DH534" i="2"/>
  <c r="DJ534" i="2" s="1"/>
  <c r="DI534" i="2" s="1"/>
  <c r="DL534" i="2" s="1"/>
  <c r="CV521" i="2"/>
  <c r="CX521" i="2" s="1"/>
  <c r="CW521" i="2" s="1"/>
  <c r="CZ521" i="2" s="1"/>
  <c r="CV520" i="2"/>
  <c r="CX520" i="2" s="1"/>
  <c r="CW520" i="2" s="1"/>
  <c r="CZ520" i="2" s="1"/>
  <c r="BT488" i="2"/>
  <c r="BW488" i="2" s="1"/>
  <c r="BZ624" i="2"/>
  <c r="CC624" i="2" s="1"/>
  <c r="BZ829" i="2"/>
  <c r="CC829" i="2" s="1"/>
  <c r="CL355" i="2"/>
  <c r="CO355" i="2" s="1"/>
  <c r="CR427" i="2"/>
  <c r="CQ427" i="2" s="1"/>
  <c r="CT427" i="2" s="1"/>
  <c r="BY919" i="2"/>
  <c r="CB919" i="2" s="1"/>
  <c r="CX1042" i="2"/>
  <c r="CW1042" i="2" s="1"/>
  <c r="CZ1042" i="2" s="1"/>
  <c r="CR143" i="2"/>
  <c r="CQ143" i="2" s="1"/>
  <c r="CT143" i="2" s="1"/>
  <c r="CU383" i="2"/>
  <c r="CV383" i="2" s="1"/>
  <c r="DN1040" i="2"/>
  <c r="CE387" i="2"/>
  <c r="CH387" i="2" s="1"/>
  <c r="CL167" i="2"/>
  <c r="CK167" i="2" s="1"/>
  <c r="CC992" i="2"/>
  <c r="CI992" i="2"/>
  <c r="CJ992" i="2" s="1"/>
  <c r="CV352" i="2"/>
  <c r="CX352" i="2" s="1"/>
  <c r="CW352" i="2" s="1"/>
  <c r="CZ352" i="2" s="1"/>
  <c r="CX231" i="2"/>
  <c r="CW231" i="2" s="1"/>
  <c r="CZ231" i="2" s="1"/>
  <c r="CA980" i="2"/>
  <c r="BZ980" i="2" s="1"/>
  <c r="CC980" i="2" s="1"/>
  <c r="DA610" i="2"/>
  <c r="DB610" i="2" s="1"/>
  <c r="DG610" i="2"/>
  <c r="CO231" i="2"/>
  <c r="CP231" i="2" s="1"/>
  <c r="CR231" i="2" s="1"/>
  <c r="CQ231" i="2" s="1"/>
  <c r="CT231" i="2" s="1"/>
  <c r="CC231" i="2"/>
  <c r="CD231" i="2" s="1"/>
  <c r="BT237" i="2"/>
  <c r="BW237" i="2" s="1"/>
  <c r="CX382" i="2"/>
  <c r="CW382" i="2" s="1"/>
  <c r="CZ382" i="2" s="1"/>
  <c r="CR116" i="2"/>
  <c r="CQ116" i="2" s="1"/>
  <c r="CT116" i="2" s="1"/>
  <c r="CL1040" i="2"/>
  <c r="CK1040" i="2" s="1"/>
  <c r="CN1040" i="2" s="1"/>
  <c r="BO16" i="2"/>
  <c r="DM371" i="2"/>
  <c r="DA467" i="2"/>
  <c r="DN622" i="2"/>
  <c r="BO387" i="2"/>
  <c r="DA992" i="2"/>
  <c r="DB992" i="2" s="1"/>
  <c r="BS474" i="2"/>
  <c r="BV474" i="2" s="1"/>
  <c r="CG39" i="2"/>
  <c r="CF39" i="2" s="1"/>
  <c r="CI39" i="2" s="1"/>
  <c r="CX39" i="2"/>
  <c r="CU908" i="2"/>
  <c r="CV908" i="2" s="1"/>
  <c r="CX908" i="2" s="1"/>
  <c r="CW908" i="2" s="1"/>
  <c r="CZ908" i="2" s="1"/>
  <c r="BJ238" i="2"/>
  <c r="CE839" i="2"/>
  <c r="CH839" i="2" s="1"/>
  <c r="CO846" i="2"/>
  <c r="CP846" i="2" s="1"/>
  <c r="CR846" i="2" s="1"/>
  <c r="CQ846" i="2" s="1"/>
  <c r="CT846" i="2" s="1"/>
  <c r="CX107" i="2"/>
  <c r="CW107" i="2" s="1"/>
  <c r="CZ107" i="2" s="1"/>
  <c r="CU923" i="2"/>
  <c r="CV923" i="2" s="1"/>
  <c r="CX923" i="2" s="1"/>
  <c r="CW923" i="2" s="1"/>
  <c r="CZ923" i="2" s="1"/>
  <c r="CL392" i="2"/>
  <c r="CK392" i="2" s="1"/>
  <c r="CN392" i="2" s="1"/>
  <c r="CX598" i="2"/>
  <c r="CW598" i="2" s="1"/>
  <c r="CZ598" i="2" s="1"/>
  <c r="DM686" i="2"/>
  <c r="CI956" i="2"/>
  <c r="CJ956" i="2" s="1"/>
  <c r="DM167" i="2"/>
  <c r="BS225" i="2"/>
  <c r="BV225" i="2" s="1"/>
  <c r="DM878" i="2"/>
  <c r="CC691" i="2"/>
  <c r="CD691" i="2" s="1"/>
  <c r="CP75" i="2"/>
  <c r="CR75" i="2" s="1"/>
  <c r="CQ75" i="2" s="1"/>
  <c r="CT75" i="2" s="1"/>
  <c r="CE297" i="2"/>
  <c r="CH297" i="2" s="1"/>
  <c r="CI231" i="2"/>
  <c r="CJ231" i="2" s="1"/>
  <c r="CL231" i="2" s="1"/>
  <c r="CK231" i="2" s="1"/>
  <c r="CN231" i="2" s="1"/>
  <c r="DA54" i="2"/>
  <c r="DB54" i="2" s="1"/>
  <c r="DD54" i="2" s="1"/>
  <c r="DC54" i="2" s="1"/>
  <c r="DF54" i="2" s="1"/>
  <c r="DG54" i="2"/>
  <c r="DH54" i="2" s="1"/>
  <c r="DJ54" i="2" s="1"/>
  <c r="DI54" i="2" s="1"/>
  <c r="DL54" i="2" s="1"/>
  <c r="BO54" i="2"/>
  <c r="CU152" i="2"/>
  <c r="CV152" i="2" s="1"/>
  <c r="CX152" i="2" s="1"/>
  <c r="CW152" i="2" s="1"/>
  <c r="CZ152" i="2" s="1"/>
  <c r="CO152" i="2"/>
  <c r="CP152" i="2" s="1"/>
  <c r="CR152" i="2" s="1"/>
  <c r="CQ152" i="2" s="1"/>
  <c r="CT152" i="2" s="1"/>
  <c r="BY677" i="2"/>
  <c r="CB677" i="2" s="1"/>
  <c r="BS269" i="2"/>
  <c r="BV269" i="2" s="1"/>
  <c r="DG908" i="2"/>
  <c r="DH908" i="2" s="1"/>
  <c r="DJ908" i="2" s="1"/>
  <c r="DI908" i="2" s="1"/>
  <c r="DL908" i="2" s="1"/>
  <c r="DG207" i="2"/>
  <c r="DH207" i="2" s="1"/>
  <c r="DJ207" i="2" s="1"/>
  <c r="DI207" i="2" s="1"/>
  <c r="DL207" i="2" s="1"/>
  <c r="BS152" i="2"/>
  <c r="BV152" i="2" s="1"/>
  <c r="CI127" i="2"/>
  <c r="CU582" i="2"/>
  <c r="DA394" i="2"/>
  <c r="BO224" i="2"/>
  <c r="CU524" i="2"/>
  <c r="CR524" i="2"/>
  <c r="CQ524" i="2" s="1"/>
  <c r="CT524" i="2" s="1"/>
  <c r="CO529" i="2"/>
  <c r="CP529" i="2" s="1"/>
  <c r="CR529" i="2" s="1"/>
  <c r="CQ529" i="2" s="1"/>
  <c r="CT529" i="2" s="1"/>
  <c r="DA516" i="2"/>
  <c r="DG535" i="2"/>
  <c r="DH535" i="2" s="1"/>
  <c r="DV535" i="2"/>
  <c r="DU535" i="2" s="1"/>
  <c r="DX535" i="2" s="1"/>
  <c r="DV797" i="2"/>
  <c r="DU797" i="2" s="1"/>
  <c r="DX797" i="2" s="1"/>
  <c r="BO493" i="2"/>
  <c r="DV907" i="2"/>
  <c r="DU907" i="2" s="1"/>
  <c r="DX907" i="2" s="1"/>
  <c r="CE148" i="2"/>
  <c r="CH148" i="2" s="1"/>
  <c r="EA231" i="2"/>
  <c r="BO656" i="2"/>
  <c r="DA152" i="2"/>
  <c r="DB152" i="2" s="1"/>
  <c r="DD152" i="2" s="1"/>
  <c r="DC152" i="2" s="1"/>
  <c r="DF152" i="2" s="1"/>
  <c r="BO193" i="2"/>
  <c r="DA92" i="2"/>
  <c r="DB92" i="2" s="1"/>
  <c r="DD92" i="2" s="1"/>
  <c r="DC92" i="2" s="1"/>
  <c r="DF92" i="2" s="1"/>
  <c r="BO127" i="2"/>
  <c r="BO306" i="2"/>
  <c r="BO126" i="2"/>
  <c r="DA986" i="2"/>
  <c r="DB986" i="2" s="1"/>
  <c r="DD986" i="2" s="1"/>
  <c r="DC986" i="2" s="1"/>
  <c r="DF986" i="2" s="1"/>
  <c r="BO668" i="2"/>
  <c r="BO400" i="2"/>
  <c r="BO398" i="2"/>
  <c r="CU528" i="2"/>
  <c r="CV528" i="2" s="1"/>
  <c r="DA529" i="2"/>
  <c r="DB529" i="2" s="1"/>
  <c r="DD529" i="2" s="1"/>
  <c r="DC529" i="2" s="1"/>
  <c r="DF529" i="2" s="1"/>
  <c r="DA534" i="2"/>
  <c r="DB534" i="2" s="1"/>
  <c r="BO534" i="2"/>
  <c r="BO80" i="2"/>
  <c r="DM80" i="2"/>
  <c r="BO280" i="2"/>
  <c r="DA280" i="2"/>
  <c r="DB280" i="2" s="1"/>
  <c r="DG280" i="2"/>
  <c r="DH280" i="2" s="1"/>
  <c r="DJ280" i="2" s="1"/>
  <c r="DI280" i="2" s="1"/>
  <c r="DL280" i="2" s="1"/>
  <c r="CI121" i="2"/>
  <c r="CU532" i="2"/>
  <c r="CV532" i="2" s="1"/>
  <c r="CX532" i="2" s="1"/>
  <c r="CW532" i="2" s="1"/>
  <c r="CZ532" i="2" s="1"/>
  <c r="CO532" i="2"/>
  <c r="CP532" i="2" s="1"/>
  <c r="DA437" i="2"/>
  <c r="DB437" i="2" s="1"/>
  <c r="DD437" i="2" s="1"/>
  <c r="DC437" i="2" s="1"/>
  <c r="DF437" i="2" s="1"/>
  <c r="DG437" i="2"/>
  <c r="DH437" i="2" s="1"/>
  <c r="DJ437" i="2" s="1"/>
  <c r="DI437" i="2" s="1"/>
  <c r="DL437" i="2" s="1"/>
  <c r="DM437" i="2"/>
  <c r="DP437" i="2" s="1"/>
  <c r="CW734" i="2"/>
  <c r="CZ734" i="2" s="1"/>
  <c r="CC648" i="2"/>
  <c r="CD648" i="2" s="1"/>
  <c r="CU866" i="2"/>
  <c r="CV866" i="2" s="1"/>
  <c r="CO883" i="2"/>
  <c r="CP883" i="2" s="1"/>
  <c r="CR883" i="2" s="1"/>
  <c r="CQ883" i="2" s="1"/>
  <c r="CL269" i="2"/>
  <c r="CK269" i="2" s="1"/>
  <c r="CN269" i="2" s="1"/>
  <c r="BO207" i="2"/>
  <c r="BO122" i="2"/>
  <c r="CI193" i="2"/>
  <c r="DA57" i="2"/>
  <c r="DB57" i="2" s="1"/>
  <c r="DD57" i="2" s="1"/>
  <c r="DC57" i="2" s="1"/>
  <c r="DF57" i="2" s="1"/>
  <c r="DG193" i="2"/>
  <c r="DG127" i="2"/>
  <c r="CU701" i="2"/>
  <c r="CV701" i="2" s="1"/>
  <c r="CX701" i="2" s="1"/>
  <c r="CW701" i="2" s="1"/>
  <c r="CZ701" i="2" s="1"/>
  <c r="DG185" i="2"/>
  <c r="DH185" i="2" s="1"/>
  <c r="DJ185" i="2" s="1"/>
  <c r="DI185" i="2" s="1"/>
  <c r="DL185" i="2" s="1"/>
  <c r="CU127" i="2"/>
  <c r="CV127" i="2" s="1"/>
  <c r="CX127" i="2" s="1"/>
  <c r="CW127" i="2" s="1"/>
  <c r="CZ127" i="2" s="1"/>
  <c r="DA701" i="2"/>
  <c r="CU223" i="2"/>
  <c r="CV223" i="2" s="1"/>
  <c r="CX223" i="2" s="1"/>
  <c r="CW223" i="2" s="1"/>
  <c r="CZ223" i="2" s="1"/>
  <c r="CO223" i="2"/>
  <c r="DA395" i="2"/>
  <c r="DG400" i="2"/>
  <c r="DG398" i="2"/>
  <c r="CI224" i="2"/>
  <c r="DV530" i="2"/>
  <c r="DU530" i="2" s="1"/>
  <c r="DX530" i="2" s="1"/>
  <c r="DV516" i="2"/>
  <c r="DU516" i="2" s="1"/>
  <c r="DX516" i="2" s="1"/>
  <c r="DG148" i="2"/>
  <c r="DH148" i="2" s="1"/>
  <c r="DA148" i="2"/>
  <c r="DB148" i="2" s="1"/>
  <c r="DD148" i="2" s="1"/>
  <c r="DC148" i="2" s="1"/>
  <c r="DF148" i="2" s="1"/>
  <c r="CU804" i="2"/>
  <c r="CO804" i="2"/>
  <c r="CO1027" i="2"/>
  <c r="CP1027" i="2" s="1"/>
  <c r="CI1027" i="2"/>
  <c r="CJ1027" i="2" s="1"/>
  <c r="CL1027" i="2" s="1"/>
  <c r="CK1027" i="2" s="1"/>
  <c r="CN1027" i="2" s="1"/>
  <c r="CU185" i="2"/>
  <c r="CV185" i="2" s="1"/>
  <c r="CX185" i="2" s="1"/>
  <c r="CW185" i="2" s="1"/>
  <c r="CZ185" i="2" s="1"/>
  <c r="DV85" i="2"/>
  <c r="DU85" i="2" s="1"/>
  <c r="DX85" i="2" s="1"/>
  <c r="DV79" i="2"/>
  <c r="DU79" i="2" s="1"/>
  <c r="DX79" i="2" s="1"/>
  <c r="DG531" i="2"/>
  <c r="DH531" i="2" s="1"/>
  <c r="DJ531" i="2" s="1"/>
  <c r="DI531" i="2" s="1"/>
  <c r="DL531" i="2" s="1"/>
  <c r="DM530" i="2"/>
  <c r="BO530" i="2"/>
  <c r="CK516" i="2"/>
  <c r="CN516" i="2" s="1"/>
  <c r="CO1000" i="2"/>
  <c r="CU1000" i="2"/>
  <c r="CP96" i="2"/>
  <c r="CR96" i="2" s="1"/>
  <c r="CQ96" i="2" s="1"/>
  <c r="CT96" i="2" s="1"/>
  <c r="DD48" i="2"/>
  <c r="DC48" i="2" s="1"/>
  <c r="DF48" i="2" s="1"/>
  <c r="DD72" i="2"/>
  <c r="DC72" i="2" s="1"/>
  <c r="DF72" i="2" s="1"/>
  <c r="CO122" i="2"/>
  <c r="CP122" i="2" s="1"/>
  <c r="BS92" i="2"/>
  <c r="BV92" i="2" s="1"/>
  <c r="DG188" i="2"/>
  <c r="BO185" i="2"/>
  <c r="CI128" i="2"/>
  <c r="BO72" i="2"/>
  <c r="DG92" i="2"/>
  <c r="DH92" i="2" s="1"/>
  <c r="BS11" i="2"/>
  <c r="BV11" i="2" s="1"/>
  <c r="CU531" i="2"/>
  <c r="CV531" i="2" s="1"/>
  <c r="CO531" i="2"/>
  <c r="CP531" i="2" s="1"/>
  <c r="CR531" i="2" s="1"/>
  <c r="CQ531" i="2" s="1"/>
  <c r="CT531" i="2" s="1"/>
  <c r="CU148" i="2"/>
  <c r="CO714" i="2"/>
  <c r="CP714" i="2" s="1"/>
  <c r="CR714" i="2" s="1"/>
  <c r="CQ714" i="2" s="1"/>
  <c r="CT714" i="2" s="1"/>
  <c r="CC714" i="2"/>
  <c r="CD714" i="2" s="1"/>
  <c r="CI714" i="2"/>
  <c r="DP607" i="2"/>
  <c r="DO607" i="2" s="1"/>
  <c r="DR607" i="2" s="1"/>
  <c r="DR279" i="2"/>
  <c r="DJ573" i="2"/>
  <c r="DI573" i="2" s="1"/>
  <c r="DL573" i="2" s="1"/>
  <c r="DM573" i="2"/>
  <c r="DP573" i="2" s="1"/>
  <c r="CI713" i="2"/>
  <c r="CJ713" i="2" s="1"/>
  <c r="CL713" i="2" s="1"/>
  <c r="CK713" i="2" s="1"/>
  <c r="CN713" i="2" s="1"/>
  <c r="CO1025" i="2"/>
  <c r="DD1029" i="2"/>
  <c r="DC1029" i="2" s="1"/>
  <c r="DF1029" i="2" s="1"/>
  <c r="CU348" i="2"/>
  <c r="DA348" i="2"/>
  <c r="DB348" i="2" s="1"/>
  <c r="DP713" i="2"/>
  <c r="DO713" i="2" s="1"/>
  <c r="DR713" i="2" s="1"/>
  <c r="BY714" i="2"/>
  <c r="CB714" i="2" s="1"/>
  <c r="BS1028" i="2"/>
  <c r="BV1028" i="2" s="1"/>
  <c r="BS465" i="2"/>
  <c r="BV465" i="2" s="1"/>
  <c r="DP865" i="2"/>
  <c r="DO865" i="2" s="1"/>
  <c r="DR865" i="2" s="1"/>
  <c r="DA429" i="2"/>
  <c r="DP429" i="2"/>
  <c r="DO429" i="2" s="1"/>
  <c r="DR429" i="2" s="1"/>
  <c r="CC48" i="2"/>
  <c r="CE288" i="2"/>
  <c r="CH288" i="2" s="1"/>
  <c r="CK465" i="2"/>
  <c r="CN465" i="2" s="1"/>
  <c r="CU607" i="2"/>
  <c r="CL607" i="2"/>
  <c r="CK607" i="2" s="1"/>
  <c r="DA573" i="2"/>
  <c r="DB573" i="2" s="1"/>
  <c r="DD573" i="2" s="1"/>
  <c r="DC573" i="2" s="1"/>
  <c r="DF573" i="2" s="1"/>
  <c r="CU1025" i="2"/>
  <c r="CV1025" i="2" s="1"/>
  <c r="CX1025" i="2" s="1"/>
  <c r="CW1025" i="2" s="1"/>
  <c r="CZ1025" i="2" s="1"/>
  <c r="BS789" i="2"/>
  <c r="BV789" i="2" s="1"/>
  <c r="DG1005" i="2"/>
  <c r="DH1005" i="2" s="1"/>
  <c r="DJ1005" i="2" s="1"/>
  <c r="DI1005" i="2" s="1"/>
  <c r="DL1005" i="2" s="1"/>
  <c r="DR609" i="2"/>
  <c r="BY882" i="2"/>
  <c r="CB882" i="2" s="1"/>
  <c r="BO163" i="2"/>
  <c r="CF713" i="2"/>
  <c r="CE713" i="2" s="1"/>
  <c r="CH713" i="2" s="1"/>
  <c r="DS1029" i="2"/>
  <c r="CE840" i="2"/>
  <c r="CH840" i="2" s="1"/>
  <c r="BS516" i="2"/>
  <c r="BV516" i="2" s="1"/>
  <c r="DV298" i="2"/>
  <c r="DU298" i="2" s="1"/>
  <c r="DX298" i="2" s="1"/>
  <c r="DV217" i="2"/>
  <c r="DU217" i="2" s="1"/>
  <c r="DX217" i="2" s="1"/>
  <c r="DG1024" i="2"/>
  <c r="BO840" i="2"/>
  <c r="DG144" i="2"/>
  <c r="CU132" i="2"/>
  <c r="CV132" i="2" s="1"/>
  <c r="CX132" i="2" s="1"/>
  <c r="CW132" i="2" s="1"/>
  <c r="CZ132" i="2" s="1"/>
  <c r="DP389" i="2"/>
  <c r="DO389" i="2" s="1"/>
  <c r="DR389" i="2" s="1"/>
  <c r="BY1026" i="2"/>
  <c r="CB1026" i="2" s="1"/>
  <c r="CE465" i="2"/>
  <c r="CH465" i="2" s="1"/>
  <c r="DM1005" i="2"/>
  <c r="DP1005" i="2" s="1"/>
  <c r="DO1005" i="2" s="1"/>
  <c r="DR1005" i="2" s="1"/>
  <c r="BO115" i="2"/>
  <c r="BO607" i="2"/>
  <c r="CE80" i="2"/>
  <c r="CH80" i="2" s="1"/>
  <c r="CU604" i="2"/>
  <c r="CU163" i="2"/>
  <c r="CV163" i="2" s="1"/>
  <c r="CX163" i="2" s="1"/>
  <c r="CW163" i="2" s="1"/>
  <c r="CZ163" i="2" s="1"/>
  <c r="CE210" i="2"/>
  <c r="CH210" i="2" s="1"/>
  <c r="DP163" i="2"/>
  <c r="DO163" i="2" s="1"/>
  <c r="DR163" i="2" s="1"/>
  <c r="CQ217" i="2"/>
  <c r="CT217" i="2" s="1"/>
  <c r="CK466" i="2"/>
  <c r="CN466" i="2" s="1"/>
  <c r="BS1025" i="2"/>
  <c r="BV1025" i="2" s="1"/>
  <c r="BY751" i="2"/>
  <c r="CB751" i="2" s="1"/>
  <c r="BO429" i="2"/>
  <c r="BY11" i="2"/>
  <c r="CB11" i="2" s="1"/>
  <c r="BS797" i="2"/>
  <c r="BV797" i="2" s="1"/>
  <c r="CU803" i="2"/>
  <c r="CV803" i="2" s="1"/>
  <c r="CX803" i="2" s="1"/>
  <c r="CW803" i="2" s="1"/>
  <c r="CZ803" i="2" s="1"/>
  <c r="CO466" i="2"/>
  <c r="CP466" i="2" s="1"/>
  <c r="CO713" i="2"/>
  <c r="DA1026" i="2"/>
  <c r="DB1026" i="2" s="1"/>
  <c r="DD1026" i="2" s="1"/>
  <c r="DC1026" i="2" s="1"/>
  <c r="DF1026" i="2" s="1"/>
  <c r="CI937" i="2"/>
  <c r="CJ937" i="2" s="1"/>
  <c r="BO144" i="2"/>
  <c r="DA132" i="2"/>
  <c r="DB132" i="2" s="1"/>
  <c r="DD132" i="2" s="1"/>
  <c r="DC132" i="2" s="1"/>
  <c r="DF132" i="2" s="1"/>
  <c r="DG132" i="2"/>
  <c r="DJ132" i="2" s="1"/>
  <c r="BY389" i="2"/>
  <c r="CB389" i="2" s="1"/>
  <c r="DP714" i="2"/>
  <c r="DO714" i="2" s="1"/>
  <c r="DR714" i="2" s="1"/>
  <c r="CI1033" i="2"/>
  <c r="CJ1033" i="2" s="1"/>
  <c r="BS1026" i="2"/>
  <c r="BV1026" i="2" s="1"/>
  <c r="BY821" i="2"/>
  <c r="CB821" i="2" s="1"/>
  <c r="DG429" i="2"/>
  <c r="DH429" i="2" s="1"/>
  <c r="DJ429" i="2" s="1"/>
  <c r="DI429" i="2" s="1"/>
  <c r="DL429" i="2" s="1"/>
  <c r="BO1005" i="2"/>
  <c r="DP815" i="2"/>
  <c r="DO815" i="2" s="1"/>
  <c r="DR815" i="2" s="1"/>
  <c r="DM835" i="2"/>
  <c r="DP835" i="2" s="1"/>
  <c r="DO835" i="2" s="1"/>
  <c r="DR835" i="2" s="1"/>
  <c r="DM37" i="2"/>
  <c r="DP37" i="2" s="1"/>
  <c r="DO37" i="2" s="1"/>
  <c r="DR37" i="2" s="1"/>
  <c r="CO787" i="2"/>
  <c r="CP787" i="2" s="1"/>
  <c r="CR787" i="2" s="1"/>
  <c r="CQ787" i="2" s="1"/>
  <c r="CT787" i="2" s="1"/>
  <c r="EP1034" i="2"/>
  <c r="CU1034" i="2" s="1"/>
  <c r="BY835" i="2"/>
  <c r="CB835" i="2" s="1"/>
  <c r="BY288" i="2"/>
  <c r="CB288" i="2" s="1"/>
  <c r="CE492" i="2"/>
  <c r="CG492" i="2" s="1"/>
  <c r="CF492" i="2" s="1"/>
  <c r="BZ486" i="2"/>
  <c r="CC486" i="2" s="1"/>
  <c r="CD308" i="2"/>
  <c r="CE308" i="2" s="1"/>
  <c r="BT261" i="2"/>
  <c r="BW261" i="2" s="1"/>
  <c r="DO277" i="2"/>
  <c r="DO275" i="2"/>
  <c r="DO273" i="2"/>
  <c r="CJ254" i="2"/>
  <c r="BT492" i="2"/>
  <c r="BW492" i="2" s="1"/>
  <c r="CJ151" i="2"/>
  <c r="CE321" i="2"/>
  <c r="CG321" i="2" s="1"/>
  <c r="CF321" i="2" s="1"/>
  <c r="CI321" i="2" s="1"/>
  <c r="CS829" i="2"/>
  <c r="CR829" i="2" s="1"/>
  <c r="CU829" i="2" s="1"/>
  <c r="DJ243" i="2"/>
  <c r="DP243" i="2" s="1"/>
  <c r="CJ486" i="2"/>
  <c r="CK486" i="2" s="1"/>
  <c r="CM486" i="2" s="1"/>
  <c r="CL486" i="2" s="1"/>
  <c r="CO486" i="2" s="1"/>
  <c r="BJ486" i="2"/>
  <c r="BJ805" i="2"/>
  <c r="CJ805" i="2"/>
  <c r="CK805" i="2" s="1"/>
  <c r="CM805" i="2" s="1"/>
  <c r="CL805" i="2" s="1"/>
  <c r="CO805" i="2" s="1"/>
  <c r="CE638" i="2"/>
  <c r="CG638" i="2" s="1"/>
  <c r="CF638" i="2" s="1"/>
  <c r="CI638" i="2" s="1"/>
  <c r="DJ98" i="2"/>
  <c r="DK98" i="2" s="1"/>
  <c r="DQ949" i="2"/>
  <c r="DK949" i="2" s="1"/>
  <c r="DQ595" i="2"/>
  <c r="DK595" i="2" s="1"/>
  <c r="CD976" i="2"/>
  <c r="CJ976" i="2"/>
  <c r="CE404" i="2"/>
  <c r="CG404" i="2" s="1"/>
  <c r="CF404" i="2" s="1"/>
  <c r="CI404" i="2" s="1"/>
  <c r="CJ375" i="2"/>
  <c r="CD375" i="2"/>
  <c r="CP375" i="2"/>
  <c r="BJ375" i="2"/>
  <c r="CK213" i="2"/>
  <c r="CM213" i="2" s="1"/>
  <c r="CL213" i="2" s="1"/>
  <c r="DN684" i="2"/>
  <c r="DQ813" i="2"/>
  <c r="DK813" i="2" s="1"/>
  <c r="DQ952" i="2"/>
  <c r="DK952" i="2" s="1"/>
  <c r="CG266" i="2"/>
  <c r="CF266" i="2" s="1"/>
  <c r="CI266" i="2" s="1"/>
  <c r="CK624" i="2"/>
  <c r="CM624" i="2" s="1"/>
  <c r="CL624" i="2" s="1"/>
  <c r="CO624" i="2" s="1"/>
  <c r="CE792" i="2"/>
  <c r="CG792" i="2" s="1"/>
  <c r="CF792" i="2" s="1"/>
  <c r="CI792" i="2" s="1"/>
  <c r="BT245" i="2"/>
  <c r="BW245" i="2" s="1"/>
  <c r="BJ976" i="2"/>
  <c r="BY59" i="2"/>
  <c r="DN267" i="2"/>
  <c r="DQ944" i="2"/>
  <c r="DK944" i="2" s="1"/>
  <c r="DQ361" i="2"/>
  <c r="DK361" i="2" s="1"/>
  <c r="DQ546" i="2"/>
  <c r="DK546" i="2" s="1"/>
  <c r="DQ627" i="2"/>
  <c r="DK627" i="2" s="1"/>
  <c r="BJ492" i="2"/>
  <c r="BJ149" i="2"/>
  <c r="CJ159" i="2"/>
  <c r="CP159" i="2" s="1"/>
  <c r="CK190" i="2"/>
  <c r="CM190" i="2" s="1"/>
  <c r="CL190" i="2" s="1"/>
  <c r="CS246" i="2"/>
  <c r="CR246" i="2" s="1"/>
  <c r="CU246" i="2" s="1"/>
  <c r="BZ638" i="2"/>
  <c r="CC638" i="2" s="1"/>
  <c r="BZ903" i="2"/>
  <c r="CC903" i="2" s="1"/>
  <c r="BZ190" i="2"/>
  <c r="CC190" i="2" s="1"/>
  <c r="BT332" i="2"/>
  <c r="BW332" i="2" s="1"/>
  <c r="BT214" i="2"/>
  <c r="BW214" i="2" s="1"/>
  <c r="BT213" i="2"/>
  <c r="BW213" i="2" s="1"/>
  <c r="CF511" i="2"/>
  <c r="CI511" i="2" s="1"/>
  <c r="BS112" i="2"/>
  <c r="BV112" i="2" s="1"/>
  <c r="BY825" i="2"/>
  <c r="CB825" i="2" s="1"/>
  <c r="DB989" i="2"/>
  <c r="DB392" i="2"/>
  <c r="CP472" i="2"/>
  <c r="CR472" i="2" s="1"/>
  <c r="CQ472" i="2" s="1"/>
  <c r="CT472" i="2" s="1"/>
  <c r="CJ340" i="2"/>
  <c r="CL340" i="2" s="1"/>
  <c r="CK340" i="2" s="1"/>
  <c r="CN340" i="2" s="1"/>
  <c r="DA340" i="2"/>
  <c r="DB502" i="2"/>
  <c r="DD502" i="2" s="1"/>
  <c r="DC502" i="2" s="1"/>
  <c r="BT859" i="2"/>
  <c r="BW859" i="2" s="1"/>
  <c r="BT161" i="2"/>
  <c r="BW161" i="2" s="1"/>
  <c r="BN872" i="2"/>
  <c r="BQ872" i="2" s="1"/>
  <c r="BN867" i="2"/>
  <c r="BQ867" i="2" s="1"/>
  <c r="BZ888" i="2"/>
  <c r="CC888" i="2" s="1"/>
  <c r="BN147" i="2"/>
  <c r="BQ147" i="2" s="1"/>
  <c r="BJ638" i="2"/>
  <c r="BJ190" i="2"/>
  <c r="BN404" i="2"/>
  <c r="BQ404" i="2" s="1"/>
  <c r="BT509" i="2"/>
  <c r="BW509" i="2" s="1"/>
  <c r="BN662" i="2"/>
  <c r="BQ662" i="2" s="1"/>
  <c r="BJ146" i="2"/>
  <c r="BT358" i="2"/>
  <c r="BW358" i="2" s="1"/>
  <c r="BN283" i="2"/>
  <c r="BQ283" i="2" s="1"/>
  <c r="DO386" i="2"/>
  <c r="DQ386" i="2" s="1"/>
  <c r="DQ473" i="2"/>
  <c r="BZ339" i="2"/>
  <c r="CC339" i="2" s="1"/>
  <c r="BS102" i="2"/>
  <c r="BV102" i="2" s="1"/>
  <c r="DA989" i="2"/>
  <c r="BS447" i="2"/>
  <c r="BV447" i="2" s="1"/>
  <c r="CX392" i="2"/>
  <c r="CW392" i="2" s="1"/>
  <c r="CZ392" i="2" s="1"/>
  <c r="BS326" i="2"/>
  <c r="BV326" i="2" s="1"/>
  <c r="CE559" i="2"/>
  <c r="CH559" i="2" s="1"/>
  <c r="CR1013" i="2"/>
  <c r="CQ1013" i="2" s="1"/>
  <c r="CT1013" i="2" s="1"/>
  <c r="CW319" i="2"/>
  <c r="CZ319" i="2" s="1"/>
  <c r="CG477" i="2"/>
  <c r="CF477" i="2" s="1"/>
  <c r="CI477" i="2" s="1"/>
  <c r="BJ587" i="2"/>
  <c r="CV614" i="2"/>
  <c r="BN614" i="2"/>
  <c r="BQ614" i="2" s="1"/>
  <c r="BN69" i="2"/>
  <c r="BQ69" i="2" s="1"/>
  <c r="CJ489" i="2"/>
  <c r="BN246" i="2"/>
  <c r="BQ246" i="2" s="1"/>
  <c r="DO792" i="2"/>
  <c r="DQ792" i="2" s="1"/>
  <c r="BT354" i="2"/>
  <c r="BW354" i="2" s="1"/>
  <c r="BN499" i="2"/>
  <c r="BQ499" i="2" s="1"/>
  <c r="BT380" i="2"/>
  <c r="BW380" i="2" s="1"/>
  <c r="CQ382" i="2"/>
  <c r="CT382" i="2" s="1"/>
  <c r="BY382" i="2"/>
  <c r="CB382" i="2" s="1"/>
  <c r="DA199" i="2"/>
  <c r="DA825" i="2"/>
  <c r="BS904" i="2"/>
  <c r="BV904" i="2" s="1"/>
  <c r="DB816" i="2"/>
  <c r="BS116" i="2"/>
  <c r="BV116" i="2" s="1"/>
  <c r="CX558" i="2"/>
  <c r="CW558" i="2" s="1"/>
  <c r="CZ558" i="2" s="1"/>
  <c r="DN558" i="2"/>
  <c r="DN303" i="2"/>
  <c r="CR303" i="2"/>
  <c r="CQ303" i="2" s="1"/>
  <c r="CT303" i="2" s="1"/>
  <c r="CD659" i="2"/>
  <c r="CE659" i="2" s="1"/>
  <c r="CD408" i="2"/>
  <c r="CP408" i="2" s="1"/>
  <c r="CD146" i="2"/>
  <c r="DI863" i="2"/>
  <c r="DK863" i="2" s="1"/>
  <c r="DA237" i="2"/>
  <c r="CD614" i="2"/>
  <c r="CE614" i="2" s="1"/>
  <c r="CG614" i="2" s="1"/>
  <c r="CF614" i="2" s="1"/>
  <c r="CI614" i="2" s="1"/>
  <c r="CL102" i="2"/>
  <c r="CK102" i="2" s="1"/>
  <c r="CN102" i="2" s="1"/>
  <c r="DB599" i="2"/>
  <c r="DD605" i="2"/>
  <c r="DF605" i="2"/>
  <c r="BZ867" i="2"/>
  <c r="CC867" i="2" s="1"/>
  <c r="BT736" i="2"/>
  <c r="BW736" i="2" s="1"/>
  <c r="CE339" i="2"/>
  <c r="BJ614" i="2"/>
  <c r="CD386" i="2"/>
  <c r="CE386" i="2" s="1"/>
  <c r="CG386" i="2" s="1"/>
  <c r="CF386" i="2" s="1"/>
  <c r="CI386" i="2" s="1"/>
  <c r="CG527" i="2"/>
  <c r="CM488" i="2"/>
  <c r="CL488" i="2" s="1"/>
  <c r="CO488" i="2" s="1"/>
  <c r="BN355" i="2"/>
  <c r="BQ355" i="2" s="1"/>
  <c r="BT150" i="2"/>
  <c r="BW150" i="2" s="1"/>
  <c r="BS382" i="2"/>
  <c r="BV382" i="2" s="1"/>
  <c r="DA392" i="2"/>
  <c r="BY989" i="2"/>
  <c r="CB989" i="2" s="1"/>
  <c r="CP123" i="2"/>
  <c r="CR123" i="2" s="1"/>
  <c r="CQ123" i="2" s="1"/>
  <c r="CT123" i="2" s="1"/>
  <c r="BJ203" i="2"/>
  <c r="DO694" i="2"/>
  <c r="DI761" i="2"/>
  <c r="BZ160" i="2"/>
  <c r="CC160" i="2" s="1"/>
  <c r="CM161" i="2"/>
  <c r="CL161" i="2" s="1"/>
  <c r="CO161" i="2" s="1"/>
  <c r="CJ203" i="2"/>
  <c r="CK203" i="2" s="1"/>
  <c r="BX872" i="2"/>
  <c r="BY872" i="2" s="1"/>
  <c r="CA872" i="2" s="1"/>
  <c r="BZ872" i="2" s="1"/>
  <c r="BZ147" i="2"/>
  <c r="CC147" i="2" s="1"/>
  <c r="CJ843" i="2"/>
  <c r="CP843" i="2" s="1"/>
  <c r="CJ321" i="2"/>
  <c r="CK321" i="2" s="1"/>
  <c r="CJ146" i="2"/>
  <c r="CK146" i="2" s="1"/>
  <c r="CJ283" i="2"/>
  <c r="CK283" i="2" s="1"/>
  <c r="BZ477" i="2"/>
  <c r="CC477" i="2" s="1"/>
  <c r="CV640" i="2"/>
  <c r="DO614" i="2"/>
  <c r="DQ614" i="2" s="1"/>
  <c r="BX301" i="2"/>
  <c r="BY301" i="2" s="1"/>
  <c r="BX1002" i="2"/>
  <c r="CD504" i="2"/>
  <c r="CD799" i="2"/>
  <c r="CJ69" i="2"/>
  <c r="BZ489" i="2"/>
  <c r="CC489" i="2" s="1"/>
  <c r="BT511" i="2"/>
  <c r="BW511" i="2" s="1"/>
  <c r="CF733" i="2"/>
  <c r="CI733" i="2" s="1"/>
  <c r="BN83" i="2"/>
  <c r="BQ83" i="2" s="1"/>
  <c r="CL382" i="2"/>
  <c r="CK382" i="2" s="1"/>
  <c r="CN382" i="2" s="1"/>
  <c r="CC112" i="2"/>
  <c r="CD112" i="2" s="1"/>
  <c r="CF112" i="2" s="1"/>
  <c r="CE112" i="2" s="1"/>
  <c r="CH112" i="2" s="1"/>
  <c r="CO923" i="2"/>
  <c r="CP923" i="2" s="1"/>
  <c r="CR923" i="2" s="1"/>
  <c r="CQ923" i="2" s="1"/>
  <c r="CT923" i="2" s="1"/>
  <c r="DA68" i="2"/>
  <c r="DA427" i="2"/>
  <c r="CX1039" i="2"/>
  <c r="CW1039" i="2" s="1"/>
  <c r="CZ1039" i="2" s="1"/>
  <c r="DB199" i="2"/>
  <c r="CX68" i="2"/>
  <c r="CW68" i="2" s="1"/>
  <c r="DB427" i="2"/>
  <c r="DD744" i="2"/>
  <c r="DF744" i="2"/>
  <c r="DN444" i="2"/>
  <c r="BK308" i="2"/>
  <c r="BJ245" i="2"/>
  <c r="BT205" i="2"/>
  <c r="BW205" i="2" s="1"/>
  <c r="BZ254" i="2"/>
  <c r="CC254" i="2" s="1"/>
  <c r="CG139" i="2"/>
  <c r="CF139" i="2" s="1"/>
  <c r="CI139" i="2" s="1"/>
  <c r="BJ147" i="2"/>
  <c r="BN118" i="2"/>
  <c r="BQ118" i="2" s="1"/>
  <c r="BT1044" i="2"/>
  <c r="BW1044" i="2" s="1"/>
  <c r="CJ404" i="2"/>
  <c r="CP404" i="2" s="1"/>
  <c r="BJ213" i="2"/>
  <c r="CD283" i="2"/>
  <c r="BT662" i="2"/>
  <c r="BW662" i="2" s="1"/>
  <c r="BT650" i="2"/>
  <c r="BW650" i="2" s="1"/>
  <c r="BZ332" i="2"/>
  <c r="CC332" i="2" s="1"/>
  <c r="BT436" i="2"/>
  <c r="BW436" i="2" s="1"/>
  <c r="BN587" i="2"/>
  <c r="BQ587" i="2" s="1"/>
  <c r="CJ615" i="2"/>
  <c r="CK615" i="2" s="1"/>
  <c r="CJ1002" i="2"/>
  <c r="CP236" i="2"/>
  <c r="CQ236" i="2" s="1"/>
  <c r="BN237" i="2"/>
  <c r="BQ237" i="2" s="1"/>
  <c r="BT624" i="2"/>
  <c r="BW624" i="2" s="1"/>
  <c r="CD236" i="2"/>
  <c r="CF355" i="2"/>
  <c r="CI355" i="2" s="1"/>
  <c r="CO719" i="2"/>
  <c r="CP719" i="2" s="1"/>
  <c r="CR719" i="2" s="1"/>
  <c r="CQ719" i="2" s="1"/>
  <c r="CT719" i="2" s="1"/>
  <c r="CR891" i="2"/>
  <c r="CQ891" i="2" s="1"/>
  <c r="CT891" i="2" s="1"/>
  <c r="DA326" i="2"/>
  <c r="BY816" i="2"/>
  <c r="CB816" i="2" s="1"/>
  <c r="DB455" i="2"/>
  <c r="BN498" i="2"/>
  <c r="BQ498" i="2" s="1"/>
  <c r="BJ651" i="2"/>
  <c r="BJ1041" i="2"/>
  <c r="BJ903" i="2"/>
  <c r="BZ408" i="2"/>
  <c r="CC408" i="2" s="1"/>
  <c r="CF640" i="2"/>
  <c r="CI640" i="2" s="1"/>
  <c r="DC640" i="2"/>
  <c r="BN616" i="2"/>
  <c r="BQ616" i="2" s="1"/>
  <c r="CQ839" i="2"/>
  <c r="CE846" i="2"/>
  <c r="CH846" i="2" s="1"/>
  <c r="BS989" i="2"/>
  <c r="BV989" i="2" s="1"/>
  <c r="BT392" i="2"/>
  <c r="BS392" i="2" s="1"/>
  <c r="BV392" i="2" s="1"/>
  <c r="DA1042" i="2"/>
  <c r="DB326" i="2"/>
  <c r="DB143" i="2"/>
  <c r="CE823" i="2"/>
  <c r="CH823" i="2" s="1"/>
  <c r="CP253" i="2"/>
  <c r="CR253" i="2" s="1"/>
  <c r="CQ253" i="2" s="1"/>
  <c r="CT253" i="2" s="1"/>
  <c r="DA253" i="2"/>
  <c r="BY495" i="2"/>
  <c r="CB495" i="2" s="1"/>
  <c r="DA330" i="2"/>
  <c r="CW601" i="2"/>
  <c r="CZ601" i="2" s="1"/>
  <c r="CE598" i="2"/>
  <c r="CH598" i="2" s="1"/>
  <c r="BY330" i="2"/>
  <c r="CB330" i="2" s="1"/>
  <c r="CQ912" i="2"/>
  <c r="CT912" i="2" s="1"/>
  <c r="CJ970" i="2"/>
  <c r="DB970" i="2" s="1"/>
  <c r="BS970" i="2"/>
  <c r="BV970" i="2" s="1"/>
  <c r="CE342" i="2"/>
  <c r="CH342" i="2" s="1"/>
  <c r="CE257" i="2"/>
  <c r="CH257" i="2" s="1"/>
  <c r="CK1019" i="2"/>
  <c r="CN1019" i="2" s="1"/>
  <c r="BS1019" i="2"/>
  <c r="BV1019" i="2" s="1"/>
  <c r="BS686" i="2"/>
  <c r="BV686" i="2" s="1"/>
  <c r="CR962" i="2"/>
  <c r="CQ962" i="2" s="1"/>
  <c r="CT962" i="2" s="1"/>
  <c r="BS625" i="2"/>
  <c r="BV625" i="2" s="1"/>
  <c r="BS303" i="2"/>
  <c r="BV303" i="2" s="1"/>
  <c r="CQ747" i="2"/>
  <c r="CT747" i="2" s="1"/>
  <c r="DD926" i="2"/>
  <c r="DC926" i="2" s="1"/>
  <c r="DF926" i="2" s="1"/>
  <c r="BO956" i="2"/>
  <c r="BW123" i="2"/>
  <c r="BO926" i="2"/>
  <c r="CV605" i="2"/>
  <c r="CX605" i="2" s="1"/>
  <c r="CW605" i="2" s="1"/>
  <c r="CZ605" i="2" s="1"/>
  <c r="CC123" i="2"/>
  <c r="CD123" i="2" s="1"/>
  <c r="CL24" i="2"/>
  <c r="CK24" i="2" s="1"/>
  <c r="CN24" i="2" s="1"/>
  <c r="BO721" i="2"/>
  <c r="DB706" i="2"/>
  <c r="DB606" i="2"/>
  <c r="DD606" i="2" s="1"/>
  <c r="DC606" i="2" s="1"/>
  <c r="DF606" i="2" s="1"/>
  <c r="CW295" i="2"/>
  <c r="CZ295" i="2" s="1"/>
  <c r="BS295" i="2"/>
  <c r="BV295" i="2" s="1"/>
  <c r="CE553" i="2"/>
  <c r="CH553" i="2" s="1"/>
  <c r="BS622" i="2"/>
  <c r="BV622" i="2" s="1"/>
  <c r="CK686" i="2"/>
  <c r="CN686" i="2" s="1"/>
  <c r="BS962" i="2"/>
  <c r="BV962" i="2" s="1"/>
  <c r="BO605" i="2"/>
  <c r="CC579" i="2"/>
  <c r="CI579" i="2"/>
  <c r="CJ579" i="2" s="1"/>
  <c r="CL579" i="2" s="1"/>
  <c r="CK579" i="2" s="1"/>
  <c r="CN579" i="2" s="1"/>
  <c r="CO579" i="2"/>
  <c r="CC507" i="2"/>
  <c r="CJ467" i="2"/>
  <c r="CL467" i="2" s="1"/>
  <c r="CK467" i="2" s="1"/>
  <c r="CN467" i="2" s="1"/>
  <c r="DN686" i="2"/>
  <c r="DN962" i="2"/>
  <c r="CK997" i="2"/>
  <c r="CN997" i="2" s="1"/>
  <c r="CE467" i="2"/>
  <c r="CH467" i="2" s="1"/>
  <c r="BY598" i="2"/>
  <c r="CB598" i="2" s="1"/>
  <c r="CE970" i="2"/>
  <c r="CH970" i="2" s="1"/>
  <c r="BS744" i="2"/>
  <c r="BV744" i="2" s="1"/>
  <c r="CE1040" i="2"/>
  <c r="CH1040" i="2" s="1"/>
  <c r="BS478" i="2"/>
  <c r="BV478" i="2" s="1"/>
  <c r="CN926" i="2"/>
  <c r="BY605" i="2"/>
  <c r="CB605" i="2" s="1"/>
  <c r="CE502" i="2"/>
  <c r="CH502" i="2" s="1"/>
  <c r="DD721" i="2"/>
  <c r="DC721" i="2" s="1"/>
  <c r="DF721" i="2" s="1"/>
  <c r="CQ24" i="2"/>
  <c r="CT24" i="2" s="1"/>
  <c r="CX278" i="2"/>
  <c r="CW278" i="2" s="1"/>
  <c r="CZ278" i="2" s="1"/>
  <c r="DA474" i="2"/>
  <c r="DB474" i="2" s="1"/>
  <c r="DD474" i="2" s="1"/>
  <c r="DC474" i="2" s="1"/>
  <c r="DG474" i="2"/>
  <c r="BO474" i="2"/>
  <c r="CI30" i="2"/>
  <c r="CJ30" i="2" s="1"/>
  <c r="CL30" i="2" s="1"/>
  <c r="CK30" i="2" s="1"/>
  <c r="CN30" i="2" s="1"/>
  <c r="CO30" i="2"/>
  <c r="CP30" i="2" s="1"/>
  <c r="BY319" i="2"/>
  <c r="CB319" i="2" s="1"/>
  <c r="BS997" i="2"/>
  <c r="BV997" i="2" s="1"/>
  <c r="DA295" i="2"/>
  <c r="BY985" i="2"/>
  <c r="CB985" i="2" s="1"/>
  <c r="CX1019" i="2"/>
  <c r="CW1019" i="2" s="1"/>
  <c r="CZ1019" i="2" s="1"/>
  <c r="CX962" i="2"/>
  <c r="CW962" i="2" s="1"/>
  <c r="CZ962" i="2" s="1"/>
  <c r="BK620" i="2"/>
  <c r="BO293" i="2"/>
  <c r="DA293" i="2"/>
  <c r="DB293" i="2" s="1"/>
  <c r="DD293" i="2" s="1"/>
  <c r="DC293" i="2" s="1"/>
  <c r="DF293" i="2" s="1"/>
  <c r="CQ199" i="2"/>
  <c r="CT199" i="2" s="1"/>
  <c r="BS1042" i="2"/>
  <c r="BV1042" i="2" s="1"/>
  <c r="DA1013" i="2"/>
  <c r="CI116" i="2"/>
  <c r="CJ116" i="2" s="1"/>
  <c r="CL472" i="2"/>
  <c r="CK472" i="2" s="1"/>
  <c r="CN472" i="2" s="1"/>
  <c r="BS252" i="2"/>
  <c r="BV252" i="2" s="1"/>
  <c r="CV340" i="2"/>
  <c r="CX340" i="2" s="1"/>
  <c r="CW340" i="2" s="1"/>
  <c r="CW56" i="2"/>
  <c r="CZ56" i="2" s="1"/>
  <c r="CR218" i="2"/>
  <c r="CQ218" i="2" s="1"/>
  <c r="CT218" i="2" s="1"/>
  <c r="DD1021" i="2"/>
  <c r="CV206" i="2"/>
  <c r="CX206" i="2" s="1"/>
  <c r="CW206" i="2" s="1"/>
  <c r="CZ206" i="2" s="1"/>
  <c r="CK598" i="2"/>
  <c r="CN598" i="2" s="1"/>
  <c r="BY16" i="2"/>
  <c r="CB16" i="2" s="1"/>
  <c r="CQ1021" i="2"/>
  <c r="CT1021" i="2" s="1"/>
  <c r="BY1021" i="2"/>
  <c r="CB1021" i="2" s="1"/>
  <c r="CE590" i="2"/>
  <c r="CH590" i="2" s="1"/>
  <c r="CJ1006" i="2"/>
  <c r="CL1006" i="2" s="1"/>
  <c r="CK1006" i="2" s="1"/>
  <c r="CN1006" i="2" s="1"/>
  <c r="EA1006" i="2"/>
  <c r="DA892" i="2"/>
  <c r="DB892" i="2" s="1"/>
  <c r="DD892" i="2" s="1"/>
  <c r="DC892" i="2" s="1"/>
  <c r="DF892" i="2" s="1"/>
  <c r="BO892" i="2"/>
  <c r="CV892" i="2"/>
  <c r="CX892" i="2" s="1"/>
  <c r="CW892" i="2" s="1"/>
  <c r="CZ892" i="2" s="1"/>
  <c r="DB29" i="2"/>
  <c r="DD29" i="2" s="1"/>
  <c r="DC29" i="2" s="1"/>
  <c r="DF29" i="2" s="1"/>
  <c r="CO175" i="2"/>
  <c r="CU175" i="2"/>
  <c r="DH121" i="2"/>
  <c r="DJ121" i="2" s="1"/>
  <c r="DI121" i="2" s="1"/>
  <c r="DL121" i="2" s="1"/>
  <c r="BS987" i="2"/>
  <c r="BV987" i="2" s="1"/>
  <c r="BY253" i="2"/>
  <c r="CB253" i="2" s="1"/>
  <c r="BS1008" i="2"/>
  <c r="BV1008" i="2" s="1"/>
  <c r="CE330" i="2"/>
  <c r="CH330" i="2" s="1"/>
  <c r="CQ414" i="2"/>
  <c r="CT414" i="2" s="1"/>
  <c r="BY383" i="2"/>
  <c r="CB383" i="2" s="1"/>
  <c r="BY827" i="2"/>
  <c r="CB827" i="2" s="1"/>
  <c r="BY371" i="2"/>
  <c r="CB371" i="2" s="1"/>
  <c r="BY1043" i="2"/>
  <c r="CB1043" i="2" s="1"/>
  <c r="BZ620" i="2"/>
  <c r="CC620" i="2" s="1"/>
  <c r="CJ225" i="2"/>
  <c r="CK387" i="2"/>
  <c r="CN387" i="2" s="1"/>
  <c r="BS387" i="2"/>
  <c r="BV387" i="2" s="1"/>
  <c r="BY956" i="2"/>
  <c r="CB956" i="2" s="1"/>
  <c r="CJ496" i="2"/>
  <c r="DN496" i="2" s="1"/>
  <c r="DM496" i="2"/>
  <c r="BO710" i="2"/>
  <c r="DA710" i="2"/>
  <c r="DB710" i="2" s="1"/>
  <c r="DD710" i="2" s="1"/>
  <c r="DP350" i="2" s="1"/>
  <c r="DM140" i="2"/>
  <c r="CJ140" i="2"/>
  <c r="CL140" i="2" s="1"/>
  <c r="CK140" i="2" s="1"/>
  <c r="CN140" i="2" s="1"/>
  <c r="DG67" i="2"/>
  <c r="BO67" i="2"/>
  <c r="DA67" i="2"/>
  <c r="DB67" i="2" s="1"/>
  <c r="DD67" i="2" s="1"/>
  <c r="DC67" i="2" s="1"/>
  <c r="DF67" i="2" s="1"/>
  <c r="CI29" i="2"/>
  <c r="CJ29" i="2" s="1"/>
  <c r="CL29" i="2" s="1"/>
  <c r="CK29" i="2" s="1"/>
  <c r="CN29" i="2" s="1"/>
  <c r="CU29" i="2"/>
  <c r="CV29" i="2" s="1"/>
  <c r="CX29" i="2" s="1"/>
  <c r="CW29" i="2" s="1"/>
  <c r="CZ29" i="2" s="1"/>
  <c r="CO29" i="2"/>
  <c r="BS40" i="2"/>
  <c r="BV40" i="2" s="1"/>
  <c r="BY1039" i="2"/>
  <c r="CB1039" i="2" s="1"/>
  <c r="DB405" i="2"/>
  <c r="BS218" i="2"/>
  <c r="BV218" i="2" s="1"/>
  <c r="DA747" i="2"/>
  <c r="DM747" i="2" s="1"/>
  <c r="CE912" i="2"/>
  <c r="CH912" i="2" s="1"/>
  <c r="BY962" i="2"/>
  <c r="CB962" i="2" s="1"/>
  <c r="DN625" i="2"/>
  <c r="CE704" i="2"/>
  <c r="CH704" i="2" s="1"/>
  <c r="CU965" i="2"/>
  <c r="CV965" i="2" s="1"/>
  <c r="CX965" i="2" s="1"/>
  <c r="CW965" i="2" s="1"/>
  <c r="CZ965" i="2" s="1"/>
  <c r="CE225" i="2"/>
  <c r="CH225" i="2" s="1"/>
  <c r="BO642" i="2"/>
  <c r="DA642" i="2"/>
  <c r="DB642" i="2" s="1"/>
  <c r="DD642" i="2" s="1"/>
  <c r="DC642" i="2" s="1"/>
  <c r="DF642" i="2" s="1"/>
  <c r="BS691" i="2"/>
  <c r="BV691" i="2" s="1"/>
  <c r="CE315" i="2"/>
  <c r="CH315" i="2" s="1"/>
  <c r="DG892" i="2"/>
  <c r="DJ892" i="2" s="1"/>
  <c r="CL252" i="2"/>
  <c r="CK252" i="2" s="1"/>
  <c r="CN252" i="2" s="1"/>
  <c r="BS206" i="2"/>
  <c r="BV206" i="2" s="1"/>
  <c r="BS601" i="2"/>
  <c r="BV601" i="2" s="1"/>
  <c r="BY747" i="2"/>
  <c r="CB747" i="2" s="1"/>
  <c r="CJ878" i="2"/>
  <c r="CL878" i="2" s="1"/>
  <c r="CK878" i="2" s="1"/>
  <c r="CN878" i="2" s="1"/>
  <c r="CE605" i="2"/>
  <c r="CH605" i="2" s="1"/>
  <c r="CO642" i="2"/>
  <c r="CC642" i="2"/>
  <c r="CO20" i="2"/>
  <c r="CP20" i="2" s="1"/>
  <c r="CU20" i="2"/>
  <c r="CV20" i="2" s="1"/>
  <c r="CX20" i="2" s="1"/>
  <c r="CW20" i="2" s="1"/>
  <c r="CZ20" i="2" s="1"/>
  <c r="CJ352" i="2"/>
  <c r="CL352" i="2" s="1"/>
  <c r="CK352" i="2" s="1"/>
  <c r="DB154" i="2"/>
  <c r="DD154" i="2" s="1"/>
  <c r="DC154" i="2" s="1"/>
  <c r="DF154" i="2" s="1"/>
  <c r="CP646" i="2"/>
  <c r="CR646" i="2" s="1"/>
  <c r="CQ646" i="2" s="1"/>
  <c r="CT646" i="2" s="1"/>
  <c r="CV54" i="2"/>
  <c r="CX54" i="2" s="1"/>
  <c r="CW54" i="2" s="1"/>
  <c r="CZ54" i="2" s="1"/>
  <c r="CJ92" i="2"/>
  <c r="CL92" i="2" s="1"/>
  <c r="CK92" i="2" s="1"/>
  <c r="CN92" i="2" s="1"/>
  <c r="DH131" i="2"/>
  <c r="DJ131" i="2" s="1"/>
  <c r="DI131" i="2" s="1"/>
  <c r="BY734" i="2"/>
  <c r="CB734" i="2" s="1"/>
  <c r="BY847" i="2"/>
  <c r="CB847" i="2" s="1"/>
  <c r="BS1006" i="2"/>
  <c r="BV1006" i="2" s="1"/>
  <c r="DA873" i="2"/>
  <c r="DG567" i="2"/>
  <c r="DL567" i="2" s="1"/>
  <c r="CO374" i="2"/>
  <c r="CP374" i="2" s="1"/>
  <c r="CY814" i="2"/>
  <c r="CQ957" i="2"/>
  <c r="CT957" i="2" s="1"/>
  <c r="CU621" i="2"/>
  <c r="CV621" i="2" s="1"/>
  <c r="CO606" i="2"/>
  <c r="CP606" i="2" s="1"/>
  <c r="BS207" i="2"/>
  <c r="BV207" i="2" s="1"/>
  <c r="CO54" i="2"/>
  <c r="CL175" i="2"/>
  <c r="CK175" i="2" s="1"/>
  <c r="CN175" i="2" s="1"/>
  <c r="EJ510" i="2"/>
  <c r="BO510" i="2" s="1"/>
  <c r="CE152" i="2"/>
  <c r="CH152" i="2" s="1"/>
  <c r="CI57" i="2"/>
  <c r="CX234" i="2"/>
  <c r="CW234" i="2" s="1"/>
  <c r="CZ234" i="2" s="1"/>
  <c r="DP535" i="2"/>
  <c r="DR535" i="2"/>
  <c r="DM137" i="2"/>
  <c r="BS278" i="2"/>
  <c r="BV278" i="2" s="1"/>
  <c r="BY67" i="2"/>
  <c r="CB67" i="2" s="1"/>
  <c r="DG26" i="2"/>
  <c r="BO377" i="2"/>
  <c r="DA377" i="2"/>
  <c r="CB873" i="2"/>
  <c r="CK567" i="2"/>
  <c r="CN567" i="2" s="1"/>
  <c r="BS866" i="2"/>
  <c r="BV866" i="2" s="1"/>
  <c r="BY957" i="2"/>
  <c r="CB957" i="2" s="1"/>
  <c r="BY191" i="2"/>
  <c r="CB191" i="2" s="1"/>
  <c r="BS510" i="2"/>
  <c r="BV510" i="2" s="1"/>
  <c r="BO131" i="2"/>
  <c r="DD568" i="2"/>
  <c r="DC568" i="2" s="1"/>
  <c r="DF568" i="2" s="1"/>
  <c r="DB400" i="2"/>
  <c r="DD400" i="2" s="1"/>
  <c r="DC400" i="2" s="1"/>
  <c r="DF400" i="2" s="1"/>
  <c r="DR524" i="2"/>
  <c r="DP524" i="2"/>
  <c r="CI153" i="2"/>
  <c r="CE153" i="2"/>
  <c r="CH153" i="2" s="1"/>
  <c r="CP711" i="2"/>
  <c r="CR711" i="2" s="1"/>
  <c r="CQ711" i="2" s="1"/>
  <c r="CT711" i="2" s="1"/>
  <c r="CE711" i="2"/>
  <c r="CH711" i="2" s="1"/>
  <c r="CP522" i="2"/>
  <c r="CR522" i="2" s="1"/>
  <c r="CQ522" i="2" s="1"/>
  <c r="CT522" i="2" s="1"/>
  <c r="BS500" i="2"/>
  <c r="BV500" i="2" s="1"/>
  <c r="CN785" i="2"/>
  <c r="CU297" i="2"/>
  <c r="CV297" i="2" s="1"/>
  <c r="CX297" i="2" s="1"/>
  <c r="CW297" i="2" s="1"/>
  <c r="CZ297" i="2" s="1"/>
  <c r="DG873" i="2"/>
  <c r="CE374" i="2"/>
  <c r="CH374" i="2" s="1"/>
  <c r="BS883" i="2"/>
  <c r="BV883" i="2" s="1"/>
  <c r="BY706" i="2"/>
  <c r="CB706" i="2" s="1"/>
  <c r="BY908" i="2"/>
  <c r="CB908" i="2" s="1"/>
  <c r="BS831" i="2"/>
  <c r="BV831" i="2" s="1"/>
  <c r="BS701" i="2"/>
  <c r="BV701" i="2" s="1"/>
  <c r="CY628" i="2"/>
  <c r="DC191" i="2"/>
  <c r="DF191" i="2" s="1"/>
  <c r="CO656" i="2"/>
  <c r="CP656" i="2" s="1"/>
  <c r="CR656" i="2" s="1"/>
  <c r="CQ656" i="2" s="1"/>
  <c r="CT656" i="2" s="1"/>
  <c r="CE621" i="2"/>
  <c r="CH621" i="2" s="1"/>
  <c r="DA153" i="2"/>
  <c r="DB153" i="2" s="1"/>
  <c r="DD153" i="2" s="1"/>
  <c r="DC153" i="2" s="1"/>
  <c r="DF153" i="2" s="1"/>
  <c r="CO57" i="2"/>
  <c r="DA131" i="2"/>
  <c r="CI232" i="2"/>
  <c r="CO232" i="2"/>
  <c r="CU232" i="2"/>
  <c r="BO182" i="2"/>
  <c r="DG182" i="2"/>
  <c r="DH182" i="2" s="1"/>
  <c r="DJ182" i="2" s="1"/>
  <c r="DI182" i="2" s="1"/>
  <c r="DL182" i="2" s="1"/>
  <c r="DM605" i="2"/>
  <c r="BS123" i="2"/>
  <c r="BV123" i="2" s="1"/>
  <c r="CQ590" i="2"/>
  <c r="CT590" i="2" s="1"/>
  <c r="CK721" i="2"/>
  <c r="CN721" i="2" s="1"/>
  <c r="BS721" i="2"/>
  <c r="BV721" i="2" s="1"/>
  <c r="CI691" i="2"/>
  <c r="CX75" i="2"/>
  <c r="CW75" i="2" s="1"/>
  <c r="BY374" i="2"/>
  <c r="CB374" i="2" s="1"/>
  <c r="BY567" i="2"/>
  <c r="CB567" i="2" s="1"/>
  <c r="DL547" i="2"/>
  <c r="CE29" i="2"/>
  <c r="CH29" i="2" s="1"/>
  <c r="BY153" i="2"/>
  <c r="CB153" i="2" s="1"/>
  <c r="CR121" i="2"/>
  <c r="CQ121" i="2" s="1"/>
  <c r="CT121" i="2" s="1"/>
  <c r="BO226" i="2"/>
  <c r="DA226" i="2"/>
  <c r="DA94" i="2"/>
  <c r="DG94" i="2"/>
  <c r="DH94" i="2" s="1"/>
  <c r="DJ94" i="2" s="1"/>
  <c r="DI94" i="2" s="1"/>
  <c r="DL94" i="2" s="1"/>
  <c r="CE30" i="2"/>
  <c r="CH30" i="2" s="1"/>
  <c r="BS648" i="2"/>
  <c r="BV648" i="2" s="1"/>
  <c r="DN191" i="2"/>
  <c r="DA908" i="2"/>
  <c r="DB908" i="2" s="1"/>
  <c r="DD908" i="2" s="1"/>
  <c r="DC908" i="2" s="1"/>
  <c r="DF908" i="2" s="1"/>
  <c r="CI831" i="2"/>
  <c r="CJ831" i="2" s="1"/>
  <c r="DG152" i="2"/>
  <c r="DG153" i="2"/>
  <c r="DH153" i="2" s="1"/>
  <c r="DJ153" i="2" s="1"/>
  <c r="DI153" i="2" s="1"/>
  <c r="DL153" i="2" s="1"/>
  <c r="BY510" i="2"/>
  <c r="CB510" i="2" s="1"/>
  <c r="CI711" i="2"/>
  <c r="CJ711" i="2" s="1"/>
  <c r="DG986" i="2"/>
  <c r="DH986" i="2" s="1"/>
  <c r="DJ986" i="2" s="1"/>
  <c r="DI986" i="2" s="1"/>
  <c r="DL986" i="2" s="1"/>
  <c r="CO182" i="2"/>
  <c r="CO188" i="2"/>
  <c r="CP188" i="2" s="1"/>
  <c r="CO226" i="2"/>
  <c r="CP226" i="2" s="1"/>
  <c r="CR226" i="2" s="1"/>
  <c r="CQ226" i="2" s="1"/>
  <c r="CT226" i="2" s="1"/>
  <c r="DB1003" i="2"/>
  <c r="DB531" i="2"/>
  <c r="BS496" i="2"/>
  <c r="BV496" i="2" s="1"/>
  <c r="DN785" i="2"/>
  <c r="BY992" i="2"/>
  <c r="CB992" i="2" s="1"/>
  <c r="BU945" i="2"/>
  <c r="BT945" i="2" s="1"/>
  <c r="BW945" i="2" s="1"/>
  <c r="CI908" i="2"/>
  <c r="CJ908" i="2" s="1"/>
  <c r="CL908" i="2" s="1"/>
  <c r="CK908" i="2" s="1"/>
  <c r="CN908" i="2" s="1"/>
  <c r="CI646" i="2"/>
  <c r="CJ646" i="2" s="1"/>
  <c r="CI606" i="2"/>
  <c r="CJ606" i="2" s="1"/>
  <c r="BY121" i="2"/>
  <c r="CB121" i="2" s="1"/>
  <c r="BY193" i="2"/>
  <c r="CB193" i="2" s="1"/>
  <c r="CU711" i="2"/>
  <c r="BY410" i="2"/>
  <c r="CB410" i="2" s="1"/>
  <c r="CE182" i="2"/>
  <c r="CH182" i="2" s="1"/>
  <c r="DA306" i="2"/>
  <c r="DP528" i="2"/>
  <c r="DR528" i="2"/>
  <c r="DG228" i="2"/>
  <c r="BO528" i="2"/>
  <c r="DM516" i="2"/>
  <c r="CU522" i="2"/>
  <c r="DB235" i="2"/>
  <c r="CK532" i="2"/>
  <c r="CN532" i="2" s="1"/>
  <c r="CE529" i="2"/>
  <c r="CH529" i="2" s="1"/>
  <c r="DG528" i="2"/>
  <c r="DA521" i="2"/>
  <c r="CK148" i="2"/>
  <c r="CN148" i="2" s="1"/>
  <c r="DM298" i="2"/>
  <c r="DL1026" i="2"/>
  <c r="DJ1026" i="2"/>
  <c r="CO82" i="2"/>
  <c r="CP82" i="2" s="1"/>
  <c r="CO582" i="2"/>
  <c r="CP582" i="2" s="1"/>
  <c r="CR582" i="2" s="1"/>
  <c r="CQ582" i="2" s="1"/>
  <c r="CT582" i="2" s="1"/>
  <c r="CE394" i="2"/>
  <c r="CH394" i="2" s="1"/>
  <c r="CE398" i="2"/>
  <c r="CH398" i="2" s="1"/>
  <c r="CE401" i="2"/>
  <c r="CH401" i="2" s="1"/>
  <c r="BY224" i="2"/>
  <c r="CB224" i="2" s="1"/>
  <c r="BY524" i="2"/>
  <c r="CB524" i="2" s="1"/>
  <c r="CE797" i="2"/>
  <c r="CH797" i="2" s="1"/>
  <c r="BS531" i="2"/>
  <c r="BV531" i="2" s="1"/>
  <c r="DA279" i="2"/>
  <c r="DG279" i="2"/>
  <c r="DH279" i="2" s="1"/>
  <c r="DJ279" i="2" s="1"/>
  <c r="DI279" i="2" s="1"/>
  <c r="DL279" i="2" s="1"/>
  <c r="BO279" i="2"/>
  <c r="CR1028" i="2"/>
  <c r="CQ1028" i="2" s="1"/>
  <c r="CT1028" i="2" s="1"/>
  <c r="BS126" i="2"/>
  <c r="BV126" i="2" s="1"/>
  <c r="BY232" i="2"/>
  <c r="CB232" i="2" s="1"/>
  <c r="CE724" i="2"/>
  <c r="CH724" i="2" s="1"/>
  <c r="CK12" i="2"/>
  <c r="CN12" i="2" s="1"/>
  <c r="CU396" i="2"/>
  <c r="DG397" i="2"/>
  <c r="BO228" i="2"/>
  <c r="DA397" i="2"/>
  <c r="BY491" i="2"/>
  <c r="CB491" i="2" s="1"/>
  <c r="CK424" i="2"/>
  <c r="CN424" i="2" s="1"/>
  <c r="CE94" i="2"/>
  <c r="CH94" i="2" s="1"/>
  <c r="BS223" i="2"/>
  <c r="BV223" i="2" s="1"/>
  <c r="CK11" i="2"/>
  <c r="CN11" i="2" s="1"/>
  <c r="BO533" i="2"/>
  <c r="CK530" i="2"/>
  <c r="CN530" i="2" s="1"/>
  <c r="DA493" i="2"/>
  <c r="DB493" i="2" s="1"/>
  <c r="DD493" i="2" s="1"/>
  <c r="DC493" i="2" s="1"/>
  <c r="DF493" i="2" s="1"/>
  <c r="DG797" i="2"/>
  <c r="DH797" i="2" s="1"/>
  <c r="DJ797" i="2" s="1"/>
  <c r="DI797" i="2" s="1"/>
  <c r="DL797" i="2" s="1"/>
  <c r="DM797" i="2"/>
  <c r="BO907" i="2"/>
  <c r="DM907" i="2"/>
  <c r="DV437" i="2"/>
  <c r="DU437" i="2" s="1"/>
  <c r="DX437" i="2" s="1"/>
  <c r="DV960" i="2"/>
  <c r="DU960" i="2" s="1"/>
  <c r="DX960" i="2" s="1"/>
  <c r="CI882" i="2"/>
  <c r="CJ882" i="2" s="1"/>
  <c r="CO882" i="2"/>
  <c r="CP389" i="2"/>
  <c r="CR389" i="2" s="1"/>
  <c r="CQ389" i="2" s="1"/>
  <c r="CT389" i="2" s="1"/>
  <c r="DA1033" i="2"/>
  <c r="DG1033" i="2"/>
  <c r="BO1033" i="2"/>
  <c r="BY679" i="2"/>
  <c r="CB679" i="2" s="1"/>
  <c r="CU82" i="2"/>
  <c r="CV82" i="2" s="1"/>
  <c r="CU400" i="2"/>
  <c r="CU395" i="2"/>
  <c r="CE1003" i="2"/>
  <c r="CH1003" i="2" s="1"/>
  <c r="DM521" i="2"/>
  <c r="CX530" i="2"/>
  <c r="CW530" i="2" s="1"/>
  <c r="CZ530" i="2" s="1"/>
  <c r="DA520" i="2"/>
  <c r="DM520" i="2"/>
  <c r="CU535" i="2"/>
  <c r="CV535" i="2" s="1"/>
  <c r="BY528" i="2"/>
  <c r="CB528" i="2" s="1"/>
  <c r="DB80" i="2"/>
  <c r="DD80" i="2" s="1"/>
  <c r="DC80" i="2" s="1"/>
  <c r="DF80" i="2" s="1"/>
  <c r="CE932" i="2"/>
  <c r="CH932" i="2" s="1"/>
  <c r="CO573" i="2"/>
  <c r="CI573" i="2"/>
  <c r="DP604" i="2"/>
  <c r="DR604" i="2"/>
  <c r="CQ679" i="2"/>
  <c r="CT679" i="2" s="1"/>
  <c r="CE988" i="2"/>
  <c r="CH988" i="2" s="1"/>
  <c r="CK403" i="2"/>
  <c r="CN403" i="2" s="1"/>
  <c r="BS228" i="2"/>
  <c r="BV228" i="2" s="1"/>
  <c r="BY536" i="2"/>
  <c r="CB536" i="2" s="1"/>
  <c r="BO667" i="2"/>
  <c r="DM667" i="2"/>
  <c r="DY667" i="2" s="1"/>
  <c r="BY131" i="2"/>
  <c r="CB131" i="2" s="1"/>
  <c r="CE22" i="2"/>
  <c r="CH22" i="2" s="1"/>
  <c r="BS232" i="2"/>
  <c r="BV232" i="2" s="1"/>
  <c r="BO582" i="2"/>
  <c r="DA399" i="2"/>
  <c r="BS398" i="2"/>
  <c r="BV398" i="2" s="1"/>
  <c r="CE11" i="2"/>
  <c r="CH11" i="2" s="1"/>
  <c r="DG536" i="2"/>
  <c r="DH536" i="2" s="1"/>
  <c r="DJ536" i="2" s="1"/>
  <c r="DI536" i="2" s="1"/>
  <c r="DL536" i="2" s="1"/>
  <c r="BO535" i="2"/>
  <c r="CO525" i="2"/>
  <c r="DV416" i="2"/>
  <c r="DU416" i="2" s="1"/>
  <c r="DX416" i="2" s="1"/>
  <c r="CE535" i="2"/>
  <c r="CH535" i="2" s="1"/>
  <c r="CR533" i="2"/>
  <c r="CQ533" i="2" s="1"/>
  <c r="CT533" i="2" s="1"/>
  <c r="DV533" i="2"/>
  <c r="DU533" i="2" s="1"/>
  <c r="DX533" i="2" s="1"/>
  <c r="CK523" i="2"/>
  <c r="CN523" i="2" s="1"/>
  <c r="DG907" i="2"/>
  <c r="BO797" i="2"/>
  <c r="BS148" i="2"/>
  <c r="BV148" i="2" s="1"/>
  <c r="CV667" i="2"/>
  <c r="CX667" i="2" s="1"/>
  <c r="CW667" i="2" s="1"/>
  <c r="CZ667" i="2" s="1"/>
  <c r="DA466" i="2"/>
  <c r="DM466" i="2"/>
  <c r="BO466" i="2"/>
  <c r="DG466" i="2"/>
  <c r="CR1030" i="2"/>
  <c r="CQ1030" i="2" s="1"/>
  <c r="CT1030" i="2" s="1"/>
  <c r="BY986" i="2"/>
  <c r="CB986" i="2" s="1"/>
  <c r="BS82" i="2"/>
  <c r="BV82" i="2" s="1"/>
  <c r="CK398" i="2"/>
  <c r="CN398" i="2" s="1"/>
  <c r="BY1003" i="2"/>
  <c r="CB1003" i="2" s="1"/>
  <c r="DM533" i="2"/>
  <c r="DR533" i="2" s="1"/>
  <c r="DM804" i="2"/>
  <c r="DA804" i="2"/>
  <c r="CK804" i="2"/>
  <c r="CN804" i="2" s="1"/>
  <c r="BY932" i="2"/>
  <c r="CB932" i="2" s="1"/>
  <c r="DL882" i="2"/>
  <c r="CU1028" i="2"/>
  <c r="CV1028" i="2" s="1"/>
  <c r="CX1028" i="2" s="1"/>
  <c r="CW1028" i="2" s="1"/>
  <c r="CZ1028" i="2" s="1"/>
  <c r="DP1029" i="2"/>
  <c r="DO1029" i="2" s="1"/>
  <c r="DR1029" i="2" s="1"/>
  <c r="BY655" i="2"/>
  <c r="CB655" i="2" s="1"/>
  <c r="BS163" i="2"/>
  <c r="BV163" i="2" s="1"/>
  <c r="DL1030" i="2"/>
  <c r="CU1030" i="2"/>
  <c r="DH115" i="2"/>
  <c r="DJ115" i="2" s="1"/>
  <c r="DI115" i="2" s="1"/>
  <c r="DL115" i="2" s="1"/>
  <c r="DV932" i="2"/>
  <c r="DU932" i="2" s="1"/>
  <c r="DX932" i="2" s="1"/>
  <c r="CE882" i="2"/>
  <c r="CH882" i="2" s="1"/>
  <c r="BS545" i="2"/>
  <c r="BV545" i="2" s="1"/>
  <c r="CP609" i="2"/>
  <c r="CR609" i="2" s="1"/>
  <c r="CQ609" i="2" s="1"/>
  <c r="CT609" i="2" s="1"/>
  <c r="CJ835" i="2"/>
  <c r="CL835" i="2" s="1"/>
  <c r="CK835" i="2" s="1"/>
  <c r="CN835" i="2" s="1"/>
  <c r="DM148" i="2"/>
  <c r="BO148" i="2"/>
  <c r="BS1000" i="2"/>
  <c r="BV1000" i="2" s="1"/>
  <c r="CE907" i="2"/>
  <c r="CH907" i="2" s="1"/>
  <c r="CU80" i="2"/>
  <c r="BY960" i="2"/>
  <c r="CB960" i="2" s="1"/>
  <c r="BS804" i="2"/>
  <c r="BV804" i="2" s="1"/>
  <c r="BY803" i="2"/>
  <c r="CB803" i="2" s="1"/>
  <c r="DA713" i="2"/>
  <c r="DB713" i="2" s="1"/>
  <c r="BO1030" i="2"/>
  <c r="DA1030" i="2"/>
  <c r="DB1030" i="2" s="1"/>
  <c r="DD1030" i="2" s="1"/>
  <c r="DC1030" i="2" s="1"/>
  <c r="DF1030" i="2" s="1"/>
  <c r="BS1033" i="2"/>
  <c r="BV1033" i="2" s="1"/>
  <c r="DP465" i="2"/>
  <c r="DO465" i="2" s="1"/>
  <c r="DR465" i="2" s="1"/>
  <c r="DG937" i="2"/>
  <c r="DA937" i="2"/>
  <c r="DB937" i="2" s="1"/>
  <c r="DD937" i="2" s="1"/>
  <c r="DC937" i="2" s="1"/>
  <c r="DF937" i="2" s="1"/>
  <c r="CP617" i="2"/>
  <c r="CR617" i="2" s="1"/>
  <c r="CQ617" i="2" s="1"/>
  <c r="CT617" i="2" s="1"/>
  <c r="DH37" i="2"/>
  <c r="DJ37" i="2" s="1"/>
  <c r="DI37" i="2" s="1"/>
  <c r="DL37" i="2" s="1"/>
  <c r="CP653" i="2"/>
  <c r="CR653" i="2" s="1"/>
  <c r="CQ653" i="2" s="1"/>
  <c r="CU714" i="2"/>
  <c r="CV714" i="2" s="1"/>
  <c r="CX714" i="2" s="1"/>
  <c r="CW714" i="2" s="1"/>
  <c r="CZ714" i="2" s="1"/>
  <c r="BO714" i="2"/>
  <c r="BY1024" i="2"/>
  <c r="CB1024" i="2" s="1"/>
  <c r="DP288" i="2"/>
  <c r="DO288" i="2" s="1"/>
  <c r="DR288" i="2" s="1"/>
  <c r="DV466" i="2"/>
  <c r="DU466" i="2" s="1"/>
  <c r="DX466" i="2" s="1"/>
  <c r="CO1024" i="2"/>
  <c r="CP1024" i="2" s="1"/>
  <c r="DP210" i="2"/>
  <c r="DO210" i="2" s="1"/>
  <c r="DR210" i="2" s="1"/>
  <c r="DA389" i="2"/>
  <c r="DB389" i="2" s="1"/>
  <c r="DL713" i="2"/>
  <c r="DP1030" i="2"/>
  <c r="DO1030" i="2" s="1"/>
  <c r="DR1030" i="2" s="1"/>
  <c r="EM1035" i="2"/>
  <c r="DA318" i="2"/>
  <c r="DB318" i="2" s="1"/>
  <c r="DD318" i="2" s="1"/>
  <c r="DC318" i="2" s="1"/>
  <c r="DF318" i="2" s="1"/>
  <c r="DG318" i="2"/>
  <c r="DJ318" i="2" s="1"/>
  <c r="CP288" i="2"/>
  <c r="CR288" i="2" s="1"/>
  <c r="CQ288" i="2" s="1"/>
  <c r="CT288" i="2" s="1"/>
  <c r="CQ667" i="2"/>
  <c r="CT667" i="2" s="1"/>
  <c r="BS960" i="2"/>
  <c r="BV960" i="2" s="1"/>
  <c r="DV803" i="2"/>
  <c r="DU803" i="2" s="1"/>
  <c r="DX803" i="2" s="1"/>
  <c r="CR604" i="2"/>
  <c r="CQ604" i="2" s="1"/>
  <c r="CT604" i="2" s="1"/>
  <c r="DG714" i="2"/>
  <c r="DA1028" i="2"/>
  <c r="DB1028" i="2" s="1"/>
  <c r="DD1028" i="2" s="1"/>
  <c r="DC1028" i="2" s="1"/>
  <c r="DF1028" i="2" s="1"/>
  <c r="CU1027" i="2"/>
  <c r="CV1027" i="2" s="1"/>
  <c r="BO1027" i="2"/>
  <c r="BY713" i="2"/>
  <c r="CB713" i="2" s="1"/>
  <c r="CE1011" i="2"/>
  <c r="CH1011" i="2" s="1"/>
  <c r="BS667" i="2"/>
  <c r="BV667" i="2" s="1"/>
  <c r="DG389" i="2"/>
  <c r="DL389" i="2" s="1"/>
  <c r="DG1028" i="2"/>
  <c r="DG1027" i="2"/>
  <c r="CI1031" i="2"/>
  <c r="CJ1031" i="2" s="1"/>
  <c r="DP655" i="2"/>
  <c r="DO655" i="2" s="1"/>
  <c r="DR655" i="2" s="1"/>
  <c r="CO210" i="2"/>
  <c r="CP210" i="2" s="1"/>
  <c r="CE389" i="2"/>
  <c r="CH389" i="2" s="1"/>
  <c r="BY1030" i="2"/>
  <c r="CB1030" i="2" s="1"/>
  <c r="CP49" i="2"/>
  <c r="CR49" i="2" s="1"/>
  <c r="CQ49" i="2" s="1"/>
  <c r="CT49" i="2" s="1"/>
  <c r="CD787" i="2"/>
  <c r="CF787" i="2" s="1"/>
  <c r="CE787" i="2" s="1"/>
  <c r="CH787" i="2" s="1"/>
  <c r="BY318" i="2"/>
  <c r="CB318" i="2" s="1"/>
  <c r="BY141" i="2"/>
  <c r="CB141" i="2" s="1"/>
  <c r="BS144" i="2"/>
  <c r="BV144" i="2" s="1"/>
  <c r="BY198" i="2"/>
  <c r="CB198" i="2" s="1"/>
  <c r="BY96" i="2"/>
  <c r="CB96" i="2" s="1"/>
  <c r="DA49" i="2"/>
  <c r="DB49" i="2" s="1"/>
  <c r="CU288" i="2"/>
  <c r="BT288" i="2"/>
  <c r="BS288" i="2" s="1"/>
  <c r="CE393" i="2"/>
  <c r="CH393" i="2" s="1"/>
  <c r="CC617" i="2"/>
  <c r="DP48" i="2"/>
  <c r="DO48" i="2" s="1"/>
  <c r="DR48" i="2" s="1"/>
  <c r="CE1005" i="2"/>
  <c r="CH1005" i="2" s="1"/>
  <c r="CI787" i="2"/>
  <c r="CR15" i="2"/>
  <c r="CQ15" i="2" s="1"/>
  <c r="CT15" i="2" s="1"/>
  <c r="CU115" i="2"/>
  <c r="CV115" i="2" s="1"/>
  <c r="CX115" i="2" s="1"/>
  <c r="CW115" i="2" s="1"/>
  <c r="CZ115" i="2" s="1"/>
  <c r="BS925" i="2"/>
  <c r="BV925" i="2" s="1"/>
  <c r="CL288" i="2"/>
  <c r="CK288" i="2" s="1"/>
  <c r="CN288" i="2" s="1"/>
  <c r="BS865" i="2"/>
  <c r="BV865" i="2" s="1"/>
  <c r="CK329" i="2"/>
  <c r="CN329" i="2" s="1"/>
  <c r="DA288" i="2"/>
  <c r="BY840" i="2"/>
  <c r="CB840" i="2" s="1"/>
  <c r="BS1045" i="2"/>
  <c r="BV1045" i="2" s="1"/>
  <c r="BS141" i="2"/>
  <c r="BV141" i="2" s="1"/>
  <c r="BY348" i="2"/>
  <c r="CB348" i="2" s="1"/>
  <c r="DC468" i="2"/>
  <c r="DF468" i="2" s="1"/>
  <c r="BY715" i="2"/>
  <c r="CB715" i="2" s="1"/>
  <c r="CE65" i="2"/>
  <c r="CH65" i="2" s="1"/>
  <c r="DA329" i="2"/>
  <c r="DB329" i="2" s="1"/>
  <c r="DD329" i="2" s="1"/>
  <c r="DC329" i="2" s="1"/>
  <c r="DF329" i="2" s="1"/>
  <c r="DP609" i="2"/>
  <c r="DM602" i="2"/>
  <c r="DS602" i="2" s="1"/>
  <c r="CU1005" i="2"/>
  <c r="BO835" i="2"/>
  <c r="DA835" i="2"/>
  <c r="CO835" i="2"/>
  <c r="CE727" i="2"/>
  <c r="CH727" i="2" s="1"/>
  <c r="BS751" i="2"/>
  <c r="BV751" i="2" s="1"/>
  <c r="CE429" i="2"/>
  <c r="CH429" i="2" s="1"/>
  <c r="CU329" i="2"/>
  <c r="CI617" i="2"/>
  <c r="CJ617" i="2" s="1"/>
  <c r="BY617" i="2"/>
  <c r="CB617" i="2" s="1"/>
  <c r="CE815" i="2"/>
  <c r="CH815" i="2" s="1"/>
  <c r="CD15" i="2"/>
  <c r="CF15" i="2" s="1"/>
  <c r="CE15" i="2" s="1"/>
  <c r="CH15" i="2" s="1"/>
  <c r="DG288" i="2"/>
  <c r="BO288" i="2"/>
  <c r="CE1026" i="2"/>
  <c r="CH1026" i="2" s="1"/>
  <c r="BS840" i="2"/>
  <c r="BV840" i="2" s="1"/>
  <c r="BY545" i="2"/>
  <c r="CB545" i="2" s="1"/>
  <c r="BY938" i="2"/>
  <c r="CB938" i="2" s="1"/>
  <c r="CW468" i="2"/>
  <c r="CZ468" i="2" s="1"/>
  <c r="CE468" i="2"/>
  <c r="CH468" i="2" s="1"/>
  <c r="CC49" i="2"/>
  <c r="DD925" i="2"/>
  <c r="DC925" i="2" s="1"/>
  <c r="DF925" i="2" s="1"/>
  <c r="DK53" i="2"/>
  <c r="CW602" i="2"/>
  <c r="CZ602" i="2" s="1"/>
  <c r="DD787" i="2"/>
  <c r="DC787" i="2" s="1"/>
  <c r="DF787" i="2" s="1"/>
  <c r="BY105" i="2"/>
  <c r="CB105" i="2" s="1"/>
  <c r="BY602" i="2"/>
  <c r="CB602" i="2" s="1"/>
  <c r="BY815" i="2"/>
  <c r="CB815" i="2" s="1"/>
  <c r="BY309" i="2"/>
  <c r="CB309" i="2" s="1"/>
  <c r="BS655" i="2"/>
  <c r="BV655" i="2" s="1"/>
  <c r="BS1030" i="2"/>
  <c r="BV1030" i="2" s="1"/>
  <c r="BY1033" i="2"/>
  <c r="CB1033" i="2" s="1"/>
  <c r="CE1025" i="2"/>
  <c r="CH1025" i="2" s="1"/>
  <c r="BY465" i="2"/>
  <c r="CB465" i="2" s="1"/>
  <c r="BY937" i="2"/>
  <c r="CB937" i="2" s="1"/>
  <c r="BS1011" i="2"/>
  <c r="BV1011" i="2" s="1"/>
  <c r="BY789" i="2"/>
  <c r="CB789" i="2" s="1"/>
  <c r="BS931" i="2"/>
  <c r="BV931" i="2" s="1"/>
  <c r="BY132" i="2"/>
  <c r="CB132" i="2" s="1"/>
  <c r="CU48" i="2"/>
  <c r="CV48" i="2" s="1"/>
  <c r="CQ602" i="2"/>
  <c r="CT602" i="2" s="1"/>
  <c r="BW115" i="2"/>
  <c r="DG309" i="2"/>
  <c r="BY676" i="2"/>
  <c r="CB676" i="2" s="1"/>
  <c r="DI811" i="2"/>
  <c r="BZ308" i="2"/>
  <c r="CC308" i="2" s="1"/>
  <c r="BZ261" i="2"/>
  <c r="CC261" i="2" s="1"/>
  <c r="CE974" i="2"/>
  <c r="CE843" i="2"/>
  <c r="CG843" i="2" s="1"/>
  <c r="CF843" i="2" s="1"/>
  <c r="CI843" i="2" s="1"/>
  <c r="CF560" i="2"/>
  <c r="CI560" i="2" s="1"/>
  <c r="CK261" i="2"/>
  <c r="CM261" i="2" s="1"/>
  <c r="CL261" i="2" s="1"/>
  <c r="CO261" i="2" s="1"/>
  <c r="CF149" i="2"/>
  <c r="CI149" i="2" s="1"/>
  <c r="BZ422" i="2"/>
  <c r="CC422" i="2" s="1"/>
  <c r="CK659" i="2"/>
  <c r="CM659" i="2" s="1"/>
  <c r="CL659" i="2" s="1"/>
  <c r="CO659" i="2" s="1"/>
  <c r="CE1038" i="2"/>
  <c r="CG1038" i="2" s="1"/>
  <c r="CF1038" i="2" s="1"/>
  <c r="CI1038" i="2" s="1"/>
  <c r="CE587" i="2"/>
  <c r="CG587" i="2" s="1"/>
  <c r="CF587" i="2" s="1"/>
  <c r="DJ114" i="2"/>
  <c r="DO114" i="2"/>
  <c r="CF23" i="2"/>
  <c r="CI23" i="2" s="1"/>
  <c r="BT498" i="2"/>
  <c r="BW498" i="2" s="1"/>
  <c r="BO859" i="2"/>
  <c r="BN859" i="2" s="1"/>
  <c r="CK304" i="2"/>
  <c r="CM304" i="2" s="1"/>
  <c r="CL304" i="2" s="1"/>
  <c r="CO304" i="2" s="1"/>
  <c r="BO304" i="2"/>
  <c r="BN304" i="2" s="1"/>
  <c r="BQ304" i="2" s="1"/>
  <c r="BO308" i="2"/>
  <c r="BN308" i="2" s="1"/>
  <c r="BQ308" i="2" s="1"/>
  <c r="BO261" i="2"/>
  <c r="BN261" i="2" s="1"/>
  <c r="BQ261" i="2" s="1"/>
  <c r="BO151" i="2"/>
  <c r="BN151" i="2" s="1"/>
  <c r="BQ151" i="2" s="1"/>
  <c r="DN244" i="2"/>
  <c r="DI244" i="2"/>
  <c r="CE645" i="2"/>
  <c r="BO205" i="2"/>
  <c r="BN205" i="2" s="1"/>
  <c r="BQ205" i="2" s="1"/>
  <c r="CE870" i="2"/>
  <c r="CG870" i="2" s="1"/>
  <c r="CF870" i="2" s="1"/>
  <c r="CI870" i="2" s="1"/>
  <c r="DN357" i="2"/>
  <c r="CK149" i="2"/>
  <c r="CQ149" i="2" s="1"/>
  <c r="CP149" i="2"/>
  <c r="CP160" i="2"/>
  <c r="DO274" i="2"/>
  <c r="CM265" i="2"/>
  <c r="CL265" i="2" s="1"/>
  <c r="CO265" i="2" s="1"/>
  <c r="CK160" i="2"/>
  <c r="CM160" i="2" s="1"/>
  <c r="CL160" i="2" s="1"/>
  <c r="CE245" i="2"/>
  <c r="CG245" i="2" s="1"/>
  <c r="CF245" i="2" s="1"/>
  <c r="BN149" i="2"/>
  <c r="BQ149" i="2" s="1"/>
  <c r="CM888" i="2"/>
  <c r="CL888" i="2" s="1"/>
  <c r="CO888" i="2" s="1"/>
  <c r="BZ304" i="2"/>
  <c r="CC304" i="2" s="1"/>
  <c r="DN811" i="2"/>
  <c r="BX805" i="2"/>
  <c r="BJ265" i="2"/>
  <c r="CJ859" i="2"/>
  <c r="BT159" i="2"/>
  <c r="BW159" i="2" s="1"/>
  <c r="BT266" i="2"/>
  <c r="BW266" i="2" s="1"/>
  <c r="BN245" i="2"/>
  <c r="BQ245" i="2" s="1"/>
  <c r="BJ161" i="2"/>
  <c r="BN203" i="2"/>
  <c r="BQ203" i="2" s="1"/>
  <c r="BT869" i="2"/>
  <c r="BW869" i="2" s="1"/>
  <c r="BU975" i="2"/>
  <c r="BT975" i="2" s="1"/>
  <c r="BT974" i="2"/>
  <c r="BW974" i="2" s="1"/>
  <c r="BT139" i="2"/>
  <c r="BW139" i="2" s="1"/>
  <c r="CG736" i="2"/>
  <c r="CF736" i="2" s="1"/>
  <c r="CD515" i="2"/>
  <c r="CP587" i="2"/>
  <c r="CA843" i="2"/>
  <c r="BZ843" i="2" s="1"/>
  <c r="CC843" i="2" s="1"/>
  <c r="BT7" i="2"/>
  <c r="BW7" i="2" s="1"/>
  <c r="BN353" i="2"/>
  <c r="BQ353" i="2" s="1"/>
  <c r="CA650" i="2"/>
  <c r="BZ650" i="2" s="1"/>
  <c r="CC650" i="2" s="1"/>
  <c r="BU146" i="2"/>
  <c r="BT146" i="2" s="1"/>
  <c r="BZ587" i="2"/>
  <c r="CC587" i="2" s="1"/>
  <c r="BT899" i="2"/>
  <c r="BW899" i="2" s="1"/>
  <c r="BN863" i="2"/>
  <c r="BQ863" i="2" s="1"/>
  <c r="CK616" i="2"/>
  <c r="CM616" i="2" s="1"/>
  <c r="CL616" i="2" s="1"/>
  <c r="CO616" i="2" s="1"/>
  <c r="BZ386" i="2"/>
  <c r="CC386" i="2" s="1"/>
  <c r="CK678" i="2"/>
  <c r="CM678" i="2" s="1"/>
  <c r="CL678" i="2" s="1"/>
  <c r="BY238" i="2"/>
  <c r="CL1044" i="2"/>
  <c r="CO1044" i="2" s="1"/>
  <c r="CD867" i="2"/>
  <c r="BJ867" i="2"/>
  <c r="BT867" i="2"/>
  <c r="BW867" i="2" s="1"/>
  <c r="BN887" i="2"/>
  <c r="BQ887" i="2" s="1"/>
  <c r="CF147" i="2"/>
  <c r="CI147" i="2" s="1"/>
  <c r="BT404" i="2"/>
  <c r="BW404" i="2" s="1"/>
  <c r="DI554" i="2"/>
  <c r="CE859" i="2"/>
  <c r="CG859" i="2" s="1"/>
  <c r="CF859" i="2" s="1"/>
  <c r="CI859" i="2" s="1"/>
  <c r="CJ560" i="2"/>
  <c r="BN560" i="2"/>
  <c r="BQ560" i="2" s="1"/>
  <c r="BN486" i="2"/>
  <c r="BQ486" i="2" s="1"/>
  <c r="CD805" i="2"/>
  <c r="CJ23" i="2"/>
  <c r="BT645" i="2"/>
  <c r="BW645" i="2" s="1"/>
  <c r="BZ245" i="2"/>
  <c r="CC245" i="2" s="1"/>
  <c r="BZ859" i="2"/>
  <c r="CC859" i="2" s="1"/>
  <c r="BZ151" i="2"/>
  <c r="CC151" i="2" s="1"/>
  <c r="CQ161" i="2"/>
  <c r="CJ867" i="2"/>
  <c r="CK147" i="2"/>
  <c r="CQ147" i="2" s="1"/>
  <c r="BT871" i="2"/>
  <c r="BW871" i="2" s="1"/>
  <c r="CD869" i="2"/>
  <c r="BN869" i="2"/>
  <c r="BQ869" i="2" s="1"/>
  <c r="BN659" i="2"/>
  <c r="BQ659" i="2" s="1"/>
  <c r="CL975" i="2"/>
  <c r="CO975" i="2" s="1"/>
  <c r="BN975" i="2"/>
  <c r="BQ975" i="2" s="1"/>
  <c r="BJ1038" i="2"/>
  <c r="BU844" i="2"/>
  <c r="BT844" i="2" s="1"/>
  <c r="BW844" i="2" s="1"/>
  <c r="BT1041" i="2"/>
  <c r="BW1041" i="2" s="1"/>
  <c r="BT843" i="2"/>
  <c r="BW843" i="2" s="1"/>
  <c r="BO638" i="2"/>
  <c r="BN638" i="2" s="1"/>
  <c r="CK903" i="2"/>
  <c r="CM903" i="2" s="1"/>
  <c r="CL903" i="2" s="1"/>
  <c r="CO903" i="2" s="1"/>
  <c r="BU651" i="2"/>
  <c r="BT651" i="2" s="1"/>
  <c r="BW651" i="2" s="1"/>
  <c r="CF332" i="2"/>
  <c r="CI332" i="2" s="1"/>
  <c r="DB511" i="2"/>
  <c r="CY511" i="2"/>
  <c r="DA511" i="2"/>
  <c r="DN906" i="2"/>
  <c r="CE486" i="2"/>
  <c r="CF159" i="2"/>
  <c r="CI159" i="2" s="1"/>
  <c r="BN159" i="2"/>
  <c r="BQ159" i="2" s="1"/>
  <c r="BT160" i="2"/>
  <c r="BW160" i="2" s="1"/>
  <c r="BT805" i="2"/>
  <c r="BW805" i="2" s="1"/>
  <c r="BO265" i="2"/>
  <c r="BN265" i="2" s="1"/>
  <c r="BN266" i="2"/>
  <c r="BQ266" i="2" s="1"/>
  <c r="CD205" i="2"/>
  <c r="CD254" i="2"/>
  <c r="CD151" i="2"/>
  <c r="BZ161" i="2"/>
  <c r="CC161" i="2" s="1"/>
  <c r="CO871" i="2"/>
  <c r="BZ118" i="2"/>
  <c r="CC118" i="2" s="1"/>
  <c r="CD1044" i="2"/>
  <c r="BT868" i="2"/>
  <c r="BW868" i="2" s="1"/>
  <c r="BN888" i="2"/>
  <c r="BQ888" i="2" s="1"/>
  <c r="BO976" i="2"/>
  <c r="BN976" i="2" s="1"/>
  <c r="BQ976" i="2" s="1"/>
  <c r="BN974" i="2"/>
  <c r="BQ974" i="2" s="1"/>
  <c r="BZ927" i="2"/>
  <c r="CC927" i="2" s="1"/>
  <c r="CJ1038" i="2"/>
  <c r="BJ332" i="2"/>
  <c r="BO7" i="2"/>
  <c r="BN7" i="2" s="1"/>
  <c r="BQ7" i="2" s="1"/>
  <c r="BN321" i="2"/>
  <c r="BQ321" i="2" s="1"/>
  <c r="BZ353" i="2"/>
  <c r="CC353" i="2" s="1"/>
  <c r="BO477" i="2"/>
  <c r="BN477" i="2" s="1"/>
  <c r="BT903" i="2"/>
  <c r="BW903" i="2" s="1"/>
  <c r="BN190" i="2"/>
  <c r="BQ190" i="2" s="1"/>
  <c r="BN174" i="2"/>
  <c r="BQ174" i="2" s="1"/>
  <c r="CA436" i="2"/>
  <c r="BZ436" i="2" s="1"/>
  <c r="CC436" i="2" s="1"/>
  <c r="BN911" i="2"/>
  <c r="BQ911" i="2" s="1"/>
  <c r="CL358" i="2"/>
  <c r="CO358" i="2" s="1"/>
  <c r="CS511" i="2"/>
  <c r="CR511" i="2" s="1"/>
  <c r="DC511" i="2"/>
  <c r="BT422" i="2"/>
  <c r="BW422" i="2" s="1"/>
  <c r="BT304" i="2"/>
  <c r="BW304" i="2" s="1"/>
  <c r="BN871" i="2"/>
  <c r="BQ871" i="2" s="1"/>
  <c r="BT870" i="2"/>
  <c r="BW870" i="2" s="1"/>
  <c r="BZ887" i="2"/>
  <c r="CC887" i="2" s="1"/>
  <c r="CQ614" i="2"/>
  <c r="CS614" i="2" s="1"/>
  <c r="CR614" i="2" s="1"/>
  <c r="CU614" i="2" s="1"/>
  <c r="BZ23" i="2"/>
  <c r="CC23" i="2" s="1"/>
  <c r="BX205" i="2"/>
  <c r="BJ859" i="2"/>
  <c r="CJ422" i="2"/>
  <c r="CA203" i="2"/>
  <c r="BZ203" i="2" s="1"/>
  <c r="CC203" i="2" s="1"/>
  <c r="BX868" i="2"/>
  <c r="CD868" i="2"/>
  <c r="BZ976" i="2"/>
  <c r="CC976" i="2" s="1"/>
  <c r="BZ974" i="2"/>
  <c r="CC974" i="2" s="1"/>
  <c r="BZ139" i="2"/>
  <c r="CC139" i="2" s="1"/>
  <c r="CK332" i="2"/>
  <c r="CR332" i="2" s="1"/>
  <c r="BN1041" i="2"/>
  <c r="BQ1041" i="2" s="1"/>
  <c r="CF174" i="2"/>
  <c r="CI174" i="2" s="1"/>
  <c r="BO213" i="2"/>
  <c r="BN213" i="2" s="1"/>
  <c r="BQ213" i="2" s="1"/>
  <c r="CF358" i="2"/>
  <c r="CI358" i="2" s="1"/>
  <c r="CM236" i="2"/>
  <c r="CL236" i="2" s="1"/>
  <c r="CO236" i="2" s="1"/>
  <c r="CM212" i="2"/>
  <c r="CL212" i="2" s="1"/>
  <c r="CK799" i="2"/>
  <c r="CM799" i="2" s="1"/>
  <c r="CL799" i="2" s="1"/>
  <c r="CO799" i="2" s="1"/>
  <c r="BZ159" i="2"/>
  <c r="CC159" i="2" s="1"/>
  <c r="BZ492" i="2"/>
  <c r="CC492" i="2" s="1"/>
  <c r="CF160" i="2"/>
  <c r="CI160" i="2" s="1"/>
  <c r="BN160" i="2"/>
  <c r="BQ160" i="2" s="1"/>
  <c r="BN805" i="2"/>
  <c r="BQ805" i="2" s="1"/>
  <c r="BT23" i="2"/>
  <c r="BW23" i="2" s="1"/>
  <c r="BZ498" i="2"/>
  <c r="CC498" i="2" s="1"/>
  <c r="BT149" i="2"/>
  <c r="BW149" i="2" s="1"/>
  <c r="BJ1044" i="2"/>
  <c r="CJ872" i="2"/>
  <c r="BN1044" i="2"/>
  <c r="BQ1044" i="2" s="1"/>
  <c r="BT872" i="2"/>
  <c r="BW872" i="2" s="1"/>
  <c r="BN868" i="2"/>
  <c r="BQ868" i="2" s="1"/>
  <c r="BT927" i="2"/>
  <c r="BW927" i="2" s="1"/>
  <c r="CD903" i="2"/>
  <c r="CJ509" i="2"/>
  <c r="CQ863" i="2"/>
  <c r="CS863" i="2" s="1"/>
  <c r="CR863" i="2" s="1"/>
  <c r="CU863" i="2" s="1"/>
  <c r="CM353" i="2"/>
  <c r="CL353" i="2" s="1"/>
  <c r="CO353" i="2" s="1"/>
  <c r="BN388" i="2"/>
  <c r="BQ388" i="2" s="1"/>
  <c r="BJ662" i="2"/>
  <c r="CJ662" i="2"/>
  <c r="CP662" i="2" s="1"/>
  <c r="CM899" i="2"/>
  <c r="CL899" i="2" s="1"/>
  <c r="CO899" i="2" s="1"/>
  <c r="CM499" i="2"/>
  <c r="CL499" i="2" s="1"/>
  <c r="CO499" i="2" s="1"/>
  <c r="BZ149" i="2"/>
  <c r="CC149" i="2" s="1"/>
  <c r="BT560" i="2"/>
  <c r="BW560" i="2" s="1"/>
  <c r="BT486" i="2"/>
  <c r="BW486" i="2" s="1"/>
  <c r="BT265" i="2"/>
  <c r="BW265" i="2" s="1"/>
  <c r="BZ645" i="2"/>
  <c r="CC645" i="2" s="1"/>
  <c r="BT254" i="2"/>
  <c r="BW254" i="2" s="1"/>
  <c r="BX1044" i="2"/>
  <c r="CJ869" i="2"/>
  <c r="BX869" i="2"/>
  <c r="BN422" i="2"/>
  <c r="BQ422" i="2" s="1"/>
  <c r="BN870" i="2"/>
  <c r="BQ870" i="2" s="1"/>
  <c r="BT887" i="2"/>
  <c r="BW887" i="2" s="1"/>
  <c r="BT659" i="2"/>
  <c r="BW659" i="2" s="1"/>
  <c r="BT976" i="2"/>
  <c r="BW976" i="2" s="1"/>
  <c r="BJ843" i="2"/>
  <c r="CD509" i="2"/>
  <c r="CM436" i="2"/>
  <c r="CL436" i="2" s="1"/>
  <c r="CO436" i="2" s="1"/>
  <c r="BZ404" i="2"/>
  <c r="CC404" i="2" s="1"/>
  <c r="CD1041" i="2"/>
  <c r="BZ1041" i="2"/>
  <c r="CC1041" i="2" s="1"/>
  <c r="CD7" i="2"/>
  <c r="BT638" i="2"/>
  <c r="BW638" i="2" s="1"/>
  <c r="BZ509" i="2"/>
  <c r="CC509" i="2" s="1"/>
  <c r="BZ1038" i="2"/>
  <c r="CC1038" i="2" s="1"/>
  <c r="CD650" i="2"/>
  <c r="CL636" i="2"/>
  <c r="CO636" i="2" s="1"/>
  <c r="BN636" i="2"/>
  <c r="BQ636" i="2" s="1"/>
  <c r="BJ214" i="2"/>
  <c r="CD214" i="2"/>
  <c r="BZ213" i="2"/>
  <c r="CC213" i="2" s="1"/>
  <c r="CQ355" i="2"/>
  <c r="CS355" i="2" s="1"/>
  <c r="CR355" i="2" s="1"/>
  <c r="CU355" i="2" s="1"/>
  <c r="CK1017" i="2"/>
  <c r="BO386" i="2"/>
  <c r="BN386" i="2" s="1"/>
  <c r="BQ386" i="2" s="1"/>
  <c r="BZ616" i="2"/>
  <c r="CC616" i="2" s="1"/>
  <c r="BN615" i="2"/>
  <c r="BQ615" i="2" s="1"/>
  <c r="BT215" i="2"/>
  <c r="BW215" i="2" s="1"/>
  <c r="CF678" i="2"/>
  <c r="CI678" i="2" s="1"/>
  <c r="BN678" i="2"/>
  <c r="BQ678" i="2" s="1"/>
  <c r="BZ487" i="2"/>
  <c r="CC487" i="2" s="1"/>
  <c r="CR489" i="2"/>
  <c r="CU489" i="2" s="1"/>
  <c r="BN511" i="2"/>
  <c r="BQ511" i="2" s="1"/>
  <c r="CG897" i="2"/>
  <c r="BL897" i="2"/>
  <c r="BL527" i="2"/>
  <c r="BO527" i="2" s="1"/>
  <c r="CI112" i="2"/>
  <c r="CF719" i="2"/>
  <c r="CE719" i="2" s="1"/>
  <c r="CH719" i="2" s="1"/>
  <c r="CJ863" i="2"/>
  <c r="CU640" i="2"/>
  <c r="BO640" i="2"/>
  <c r="BN640" i="2" s="1"/>
  <c r="BQ640" i="2" s="1"/>
  <c r="DO616" i="2"/>
  <c r="DQ616" i="2" s="1"/>
  <c r="CE201" i="2"/>
  <c r="BT386" i="2"/>
  <c r="BW386" i="2" s="1"/>
  <c r="CD615" i="2"/>
  <c r="BT83" i="2"/>
  <c r="BW83" i="2" s="1"/>
  <c r="BT355" i="2"/>
  <c r="BW355" i="2" s="1"/>
  <c r="BO150" i="2"/>
  <c r="BN150" i="2" s="1"/>
  <c r="BQ150" i="2" s="1"/>
  <c r="CL816" i="2"/>
  <c r="CK816" i="2" s="1"/>
  <c r="CN816" i="2" s="1"/>
  <c r="BY891" i="2"/>
  <c r="CB891" i="2" s="1"/>
  <c r="CR206" i="2"/>
  <c r="CQ206" i="2" s="1"/>
  <c r="CT206" i="2" s="1"/>
  <c r="BZ863" i="2"/>
  <c r="CC863" i="2" s="1"/>
  <c r="BZ640" i="2"/>
  <c r="CC640" i="2" s="1"/>
  <c r="BZ615" i="2"/>
  <c r="CC615" i="2" s="1"/>
  <c r="BZ678" i="2"/>
  <c r="CC678" i="2" s="1"/>
  <c r="BZ212" i="2"/>
  <c r="CC212" i="2" s="1"/>
  <c r="CK380" i="2"/>
  <c r="CM380" i="2" s="1"/>
  <c r="CL380" i="2" s="1"/>
  <c r="CO380" i="2" s="1"/>
  <c r="CV102" i="2"/>
  <c r="CX102" i="2" s="1"/>
  <c r="CW102" i="2" s="1"/>
  <c r="CZ102" i="2" s="1"/>
  <c r="CD919" i="2"/>
  <c r="CF919" i="2" s="1"/>
  <c r="CE919" i="2" s="1"/>
  <c r="CV891" i="2"/>
  <c r="CX891" i="2" s="1"/>
  <c r="CW891" i="2" s="1"/>
  <c r="CF904" i="2"/>
  <c r="CE904" i="2" s="1"/>
  <c r="BT477" i="2"/>
  <c r="BW477" i="2" s="1"/>
  <c r="BN736" i="2"/>
  <c r="BQ736" i="2" s="1"/>
  <c r="BN903" i="2"/>
  <c r="BQ903" i="2" s="1"/>
  <c r="BT190" i="2"/>
  <c r="BW190" i="2" s="1"/>
  <c r="BZ174" i="2"/>
  <c r="CC174" i="2" s="1"/>
  <c r="BT636" i="2"/>
  <c r="BW636" i="2" s="1"/>
  <c r="CJ911" i="2"/>
  <c r="BN214" i="2"/>
  <c r="BQ214" i="2" s="1"/>
  <c r="BZ358" i="2"/>
  <c r="CC358" i="2" s="1"/>
  <c r="BJ863" i="2"/>
  <c r="CV386" i="2"/>
  <c r="CV616" i="2"/>
  <c r="CV615" i="2"/>
  <c r="CJ473" i="2"/>
  <c r="BT616" i="2"/>
  <c r="BW616" i="2" s="1"/>
  <c r="CJ614" i="2"/>
  <c r="BN215" i="2"/>
  <c r="BQ215" i="2" s="1"/>
  <c r="BN488" i="2"/>
  <c r="BQ488" i="2" s="1"/>
  <c r="DA102" i="2"/>
  <c r="CD380" i="2"/>
  <c r="CP380" i="2"/>
  <c r="CV112" i="2"/>
  <c r="CX112" i="2" s="1"/>
  <c r="CW112" i="2" s="1"/>
  <c r="CZ112" i="2" s="1"/>
  <c r="DA891" i="2"/>
  <c r="CI919" i="2"/>
  <c r="CU919" i="2"/>
  <c r="CO919" i="2"/>
  <c r="CW199" i="2"/>
  <c r="CZ199" i="2" s="1"/>
  <c r="DB702" i="2"/>
  <c r="BN332" i="2"/>
  <c r="BQ332" i="2" s="1"/>
  <c r="BZ911" i="2"/>
  <c r="CC911" i="2" s="1"/>
  <c r="BZ375" i="2"/>
  <c r="CC375" i="2" s="1"/>
  <c r="BZ614" i="2"/>
  <c r="CC614" i="2" s="1"/>
  <c r="BT301" i="2"/>
  <c r="BW301" i="2" s="1"/>
  <c r="BN201" i="2"/>
  <c r="BQ201" i="2" s="1"/>
  <c r="BZ69" i="2"/>
  <c r="CC69" i="2" s="1"/>
  <c r="CF488" i="2"/>
  <c r="CI488" i="2" s="1"/>
  <c r="BN624" i="2"/>
  <c r="BQ624" i="2" s="1"/>
  <c r="BZ733" i="2"/>
  <c r="CC733" i="2" s="1"/>
  <c r="CI839" i="2"/>
  <c r="CU839" i="2"/>
  <c r="CR326" i="2"/>
  <c r="CQ326" i="2" s="1"/>
  <c r="CT326" i="2" s="1"/>
  <c r="CL989" i="2"/>
  <c r="CK989" i="2" s="1"/>
  <c r="CN989" i="2" s="1"/>
  <c r="CR825" i="2"/>
  <c r="CQ825" i="2" s="1"/>
  <c r="CT825" i="2" s="1"/>
  <c r="CO242" i="2"/>
  <c r="CI242" i="2"/>
  <c r="BW242" i="2"/>
  <c r="CU242" i="2"/>
  <c r="CC242" i="2"/>
  <c r="BN844" i="2"/>
  <c r="BQ844" i="2" s="1"/>
  <c r="BT388" i="2"/>
  <c r="BW388" i="2" s="1"/>
  <c r="BN515" i="2"/>
  <c r="BQ515" i="2" s="1"/>
  <c r="CF662" i="2"/>
  <c r="CI662" i="2" s="1"/>
  <c r="BZ736" i="2"/>
  <c r="CC736" i="2" s="1"/>
  <c r="BN650" i="2"/>
  <c r="BQ650" i="2" s="1"/>
  <c r="BN651" i="2"/>
  <c r="BQ651" i="2" s="1"/>
  <c r="BN436" i="2"/>
  <c r="BQ436" i="2" s="1"/>
  <c r="BT587" i="2"/>
  <c r="BW587" i="2" s="1"/>
  <c r="BZ214" i="2"/>
  <c r="CC214" i="2" s="1"/>
  <c r="BN899" i="2"/>
  <c r="BQ899" i="2" s="1"/>
  <c r="BT283" i="2"/>
  <c r="BW283" i="2" s="1"/>
  <c r="BT863" i="2"/>
  <c r="BW863" i="2" s="1"/>
  <c r="CL640" i="2"/>
  <c r="CO640" i="2" s="1"/>
  <c r="BT640" i="2"/>
  <c r="BW640" i="2" s="1"/>
  <c r="CP616" i="2"/>
  <c r="BJ678" i="2"/>
  <c r="DO212" i="2"/>
  <c r="DQ212" i="2" s="1"/>
  <c r="CM527" i="2"/>
  <c r="CP799" i="2"/>
  <c r="DO354" i="2"/>
  <c r="DQ354" i="2" s="1"/>
  <c r="CP406" i="2"/>
  <c r="BT615" i="2"/>
  <c r="BW615" i="2" s="1"/>
  <c r="BT678" i="2"/>
  <c r="BW678" i="2" s="1"/>
  <c r="BT212" i="2"/>
  <c r="BW212" i="2" s="1"/>
  <c r="CA897" i="2"/>
  <c r="BR527" i="2"/>
  <c r="BU527" i="2" s="1"/>
  <c r="BZ799" i="2"/>
  <c r="CC799" i="2" s="1"/>
  <c r="CL83" i="2"/>
  <c r="CO83" i="2" s="1"/>
  <c r="BN406" i="2"/>
  <c r="BQ406" i="2" s="1"/>
  <c r="CV380" i="2"/>
  <c r="BT473" i="2"/>
  <c r="BW473" i="2" s="1"/>
  <c r="BT1002" i="2"/>
  <c r="BW1002" i="2" s="1"/>
  <c r="BZ201" i="2"/>
  <c r="CC201" i="2" s="1"/>
  <c r="BT489" i="2"/>
  <c r="BW489" i="2" s="1"/>
  <c r="CL511" i="2"/>
  <c r="CO511" i="2" s="1"/>
  <c r="DB417" i="2"/>
  <c r="CD958" i="2"/>
  <c r="CF958" i="2" s="1"/>
  <c r="CE958" i="2" s="1"/>
  <c r="CH958" i="2" s="1"/>
  <c r="BN254" i="2"/>
  <c r="BQ254" i="2" s="1"/>
  <c r="CF161" i="2"/>
  <c r="CI161" i="2" s="1"/>
  <c r="BN161" i="2"/>
  <c r="BQ161" i="2" s="1"/>
  <c r="BT118" i="2"/>
  <c r="BW118" i="2" s="1"/>
  <c r="BT203" i="2"/>
  <c r="BW203" i="2" s="1"/>
  <c r="BT888" i="2"/>
  <c r="BW888" i="2" s="1"/>
  <c r="BT147" i="2"/>
  <c r="BW147" i="2" s="1"/>
  <c r="BZ975" i="2"/>
  <c r="CC975" i="2" s="1"/>
  <c r="BN139" i="2"/>
  <c r="BQ139" i="2" s="1"/>
  <c r="BZ844" i="2"/>
  <c r="CC844" i="2" s="1"/>
  <c r="BN843" i="2"/>
  <c r="BQ843" i="2" s="1"/>
  <c r="BT321" i="2"/>
  <c r="BW321" i="2" s="1"/>
  <c r="CL408" i="2"/>
  <c r="CO408" i="2" s="1"/>
  <c r="BN408" i="2"/>
  <c r="BQ408" i="2" s="1"/>
  <c r="BZ515" i="2"/>
  <c r="CC515" i="2" s="1"/>
  <c r="BT1038" i="2"/>
  <c r="BW1038" i="2" s="1"/>
  <c r="BZ651" i="2"/>
  <c r="CC651" i="2" s="1"/>
  <c r="BT911" i="2"/>
  <c r="BW911" i="2" s="1"/>
  <c r="BT375" i="2"/>
  <c r="BW375" i="2" s="1"/>
  <c r="BZ899" i="2"/>
  <c r="CC899" i="2" s="1"/>
  <c r="CF863" i="2"/>
  <c r="CI863" i="2" s="1"/>
  <c r="BJ616" i="2"/>
  <c r="CD616" i="2"/>
  <c r="CD473" i="2"/>
  <c r="CV678" i="2"/>
  <c r="BJ488" i="2"/>
  <c r="CV1017" i="2"/>
  <c r="BT614" i="2"/>
  <c r="BW614" i="2" s="1"/>
  <c r="BN301" i="2"/>
  <c r="BQ301" i="2" s="1"/>
  <c r="BT69" i="2"/>
  <c r="BW69" i="2" s="1"/>
  <c r="BN212" i="2"/>
  <c r="BQ212" i="2" s="1"/>
  <c r="BZ488" i="2"/>
  <c r="CC488" i="2" s="1"/>
  <c r="BZ354" i="2"/>
  <c r="CC354" i="2" s="1"/>
  <c r="CO112" i="2"/>
  <c r="CL417" i="2"/>
  <c r="CK417" i="2" s="1"/>
  <c r="CD923" i="2"/>
  <c r="CF923" i="2" s="1"/>
  <c r="CE923" i="2" s="1"/>
  <c r="CH923" i="2" s="1"/>
  <c r="CK846" i="2"/>
  <c r="CN846" i="2" s="1"/>
  <c r="CX253" i="2"/>
  <c r="CW253" i="2" s="1"/>
  <c r="CZ253" i="2" s="1"/>
  <c r="BN473" i="2"/>
  <c r="BQ473" i="2" s="1"/>
  <c r="BN1002" i="2"/>
  <c r="BQ1002" i="2" s="1"/>
  <c r="BT201" i="2"/>
  <c r="BW201" i="2" s="1"/>
  <c r="BZ504" i="2"/>
  <c r="CC504" i="2" s="1"/>
  <c r="BT487" i="2"/>
  <c r="BW487" i="2" s="1"/>
  <c r="BN489" i="2"/>
  <c r="BQ489" i="2" s="1"/>
  <c r="BZ246" i="2"/>
  <c r="CC246" i="2" s="1"/>
  <c r="BT799" i="2"/>
  <c r="BW799" i="2" s="1"/>
  <c r="BT59" i="2"/>
  <c r="BW59" i="2" s="1"/>
  <c r="BT1017" i="2"/>
  <c r="BW1017" i="2" s="1"/>
  <c r="CL356" i="2"/>
  <c r="CO356" i="2" s="1"/>
  <c r="BN356" i="2"/>
  <c r="BQ356" i="2" s="1"/>
  <c r="BT339" i="2"/>
  <c r="BW339" i="2" s="1"/>
  <c r="CP102" i="2"/>
  <c r="CV846" i="2"/>
  <c r="CL586" i="2"/>
  <c r="CK586" i="2" s="1"/>
  <c r="CN586" i="2" s="1"/>
  <c r="CU447" i="2"/>
  <c r="DA143" i="2"/>
  <c r="CL390" i="2"/>
  <c r="CK390" i="2" s="1"/>
  <c r="CN390" i="2" s="1"/>
  <c r="CJ825" i="2"/>
  <c r="DB825" i="2" s="1"/>
  <c r="BS825" i="2"/>
  <c r="BV825" i="2" s="1"/>
  <c r="CK68" i="2"/>
  <c r="CN68" i="2" s="1"/>
  <c r="CK1042" i="2"/>
  <c r="CN1042" i="2" s="1"/>
  <c r="CQ390" i="2"/>
  <c r="CT390" i="2" s="1"/>
  <c r="CE1014" i="2"/>
  <c r="CH1014" i="2" s="1"/>
  <c r="BY40" i="2"/>
  <c r="CB40" i="2" s="1"/>
  <c r="DA249" i="2"/>
  <c r="CR702" i="2"/>
  <c r="CQ702" i="2" s="1"/>
  <c r="CT702" i="2" s="1"/>
  <c r="CV699" i="2"/>
  <c r="CX699" i="2" s="1"/>
  <c r="CW699" i="2" s="1"/>
  <c r="CZ699" i="2" s="1"/>
  <c r="CE249" i="2"/>
  <c r="CH249" i="2" s="1"/>
  <c r="CJ218" i="2"/>
  <c r="DB218" i="2" s="1"/>
  <c r="CX425" i="2"/>
  <c r="CW425" i="2" s="1"/>
  <c r="CZ425" i="2" s="1"/>
  <c r="CC425" i="2"/>
  <c r="DA997" i="2"/>
  <c r="CC1008" i="2"/>
  <c r="CO1008" i="2"/>
  <c r="CW342" i="2"/>
  <c r="CZ342" i="2" s="1"/>
  <c r="DA342" i="2"/>
  <c r="DN101" i="2"/>
  <c r="CG439" i="2"/>
  <c r="CJ439" i="2" s="1"/>
  <c r="DB68" i="2"/>
  <c r="CR392" i="2"/>
  <c r="CQ392" i="2" s="1"/>
  <c r="CT392" i="2" s="1"/>
  <c r="CC447" i="2"/>
  <c r="CI447" i="2"/>
  <c r="BS919" i="2"/>
  <c r="BV919" i="2" s="1"/>
  <c r="CK891" i="2"/>
  <c r="CN891" i="2" s="1"/>
  <c r="BS891" i="2"/>
  <c r="BV891" i="2" s="1"/>
  <c r="CQ989" i="2"/>
  <c r="CT989" i="2" s="1"/>
  <c r="BS68" i="2"/>
  <c r="BV68" i="2" s="1"/>
  <c r="CQ816" i="2"/>
  <c r="CT816" i="2" s="1"/>
  <c r="BY390" i="2"/>
  <c r="CB390" i="2" s="1"/>
  <c r="BY350" i="2"/>
  <c r="CB350" i="2" s="1"/>
  <c r="BY143" i="2"/>
  <c r="CB143" i="2" s="1"/>
  <c r="BY1013" i="2"/>
  <c r="CB1013" i="2" s="1"/>
  <c r="CQ417" i="2"/>
  <c r="CT417" i="2" s="1"/>
  <c r="CQ1014" i="2"/>
  <c r="CT1014" i="2" s="1"/>
  <c r="BS319" i="2"/>
  <c r="BV319" i="2" s="1"/>
  <c r="DA702" i="2"/>
  <c r="BS699" i="2"/>
  <c r="BV699" i="2" s="1"/>
  <c r="CV249" i="2"/>
  <c r="CX249" i="2" s="1"/>
  <c r="CW249" i="2" s="1"/>
  <c r="CZ249" i="2" s="1"/>
  <c r="CE340" i="2"/>
  <c r="CH340" i="2" s="1"/>
  <c r="CW599" i="2"/>
  <c r="CZ599" i="2" s="1"/>
  <c r="CE599" i="2"/>
  <c r="CH599" i="2" s="1"/>
  <c r="CC454" i="2"/>
  <c r="BY454" i="2"/>
  <c r="CB454" i="2" s="1"/>
  <c r="BY702" i="2"/>
  <c r="CB702" i="2" s="1"/>
  <c r="CR405" i="2"/>
  <c r="CQ405" i="2" s="1"/>
  <c r="CT405" i="2" s="1"/>
  <c r="DA405" i="2"/>
  <c r="BY218" i="2"/>
  <c r="CB218" i="2" s="1"/>
  <c r="BY507" i="2"/>
  <c r="CB507" i="2" s="1"/>
  <c r="BY425" i="2"/>
  <c r="CB425" i="2" s="1"/>
  <c r="CP601" i="2"/>
  <c r="DA598" i="2"/>
  <c r="CR598" i="2"/>
  <c r="CQ598" i="2" s="1"/>
  <c r="CT598" i="2" s="1"/>
  <c r="CJ257" i="2"/>
  <c r="DN257" i="2" s="1"/>
  <c r="CP1019" i="2"/>
  <c r="CR1019" i="2" s="1"/>
  <c r="CQ1019" i="2" s="1"/>
  <c r="CT1019" i="2" s="1"/>
  <c r="DN387" i="2"/>
  <c r="DB200" i="2"/>
  <c r="DD200" i="2" s="1"/>
  <c r="DC200" i="2" s="1"/>
  <c r="DF200" i="2" s="1"/>
  <c r="BN733" i="2"/>
  <c r="BQ733" i="2" s="1"/>
  <c r="BN236" i="2"/>
  <c r="BQ236" i="2" s="1"/>
  <c r="BN238" i="2"/>
  <c r="BQ238" i="2" s="1"/>
  <c r="BN792" i="2"/>
  <c r="BQ792" i="2" s="1"/>
  <c r="BZ356" i="2"/>
  <c r="CC356" i="2" s="1"/>
  <c r="BN490" i="2"/>
  <c r="BQ490" i="2" s="1"/>
  <c r="BT406" i="2"/>
  <c r="BW406" i="2" s="1"/>
  <c r="BS719" i="2"/>
  <c r="BV719" i="2" s="1"/>
  <c r="DB390" i="2"/>
  <c r="DA455" i="2"/>
  <c r="CX143" i="2"/>
  <c r="CW143" i="2" s="1"/>
  <c r="CZ143" i="2" s="1"/>
  <c r="CX989" i="2"/>
  <c r="CW989" i="2" s="1"/>
  <c r="CZ989" i="2" s="1"/>
  <c r="CW825" i="2"/>
  <c r="CZ825" i="2" s="1"/>
  <c r="CE825" i="2"/>
  <c r="CH825" i="2" s="1"/>
  <c r="BS923" i="2"/>
  <c r="BV923" i="2" s="1"/>
  <c r="CV904" i="2"/>
  <c r="CX904" i="2" s="1"/>
  <c r="CW904" i="2" s="1"/>
  <c r="CZ904" i="2" s="1"/>
  <c r="CW326" i="2"/>
  <c r="CZ326" i="2" s="1"/>
  <c r="CP586" i="2"/>
  <c r="DB586" i="2" s="1"/>
  <c r="BY586" i="2"/>
  <c r="CB586" i="2" s="1"/>
  <c r="BY455" i="2"/>
  <c r="CB455" i="2" s="1"/>
  <c r="BY417" i="2"/>
  <c r="CB417" i="2" s="1"/>
  <c r="BY765" i="2"/>
  <c r="CB765" i="2" s="1"/>
  <c r="CR454" i="2"/>
  <c r="CQ454" i="2" s="1"/>
  <c r="CT454" i="2" s="1"/>
  <c r="CR249" i="2"/>
  <c r="CQ249" i="2" s="1"/>
  <c r="CT249" i="2" s="1"/>
  <c r="CV997" i="2"/>
  <c r="DB997" i="2" s="1"/>
  <c r="BZ601" i="2"/>
  <c r="BY601" i="2" s="1"/>
  <c r="CB601" i="2" s="1"/>
  <c r="CL330" i="2"/>
  <c r="CK330" i="2" s="1"/>
  <c r="CN330" i="2" s="1"/>
  <c r="BT330" i="2"/>
  <c r="BS330" i="2" s="1"/>
  <c r="DB330" i="2"/>
  <c r="CX414" i="2"/>
  <c r="CW414" i="2" s="1"/>
  <c r="CZ414" i="2" s="1"/>
  <c r="CJ553" i="2"/>
  <c r="CL553" i="2" s="1"/>
  <c r="CK553" i="2" s="1"/>
  <c r="CN553" i="2" s="1"/>
  <c r="DM553" i="2"/>
  <c r="DM16" i="2"/>
  <c r="CP744" i="2"/>
  <c r="DF705" i="2"/>
  <c r="DM705" i="2"/>
  <c r="DB965" i="2"/>
  <c r="DD965" i="2" s="1"/>
  <c r="DC965" i="2" s="1"/>
  <c r="DF965" i="2" s="1"/>
  <c r="BT504" i="2"/>
  <c r="BW504" i="2" s="1"/>
  <c r="BN487" i="2"/>
  <c r="BQ487" i="2" s="1"/>
  <c r="BZ237" i="2"/>
  <c r="CC237" i="2" s="1"/>
  <c r="BT246" i="2"/>
  <c r="BW246" i="2" s="1"/>
  <c r="BN799" i="2"/>
  <c r="BQ799" i="2" s="1"/>
  <c r="BN59" i="2"/>
  <c r="BQ59" i="2" s="1"/>
  <c r="BZ83" i="2"/>
  <c r="CC83" i="2" s="1"/>
  <c r="BN1017" i="2"/>
  <c r="BQ1017" i="2" s="1"/>
  <c r="BZ355" i="2"/>
  <c r="CC355" i="2" s="1"/>
  <c r="BN339" i="2"/>
  <c r="BQ339" i="2" s="1"/>
  <c r="BU439" i="2"/>
  <c r="BX439" i="2" s="1"/>
  <c r="DB382" i="2"/>
  <c r="CE382" i="2"/>
  <c r="CH382" i="2" s="1"/>
  <c r="DB1042" i="2"/>
  <c r="DA816" i="2"/>
  <c r="CL216" i="2"/>
  <c r="CK216" i="2" s="1"/>
  <c r="CN216" i="2" s="1"/>
  <c r="DB107" i="2"/>
  <c r="CL107" i="2"/>
  <c r="CK107" i="2" s="1"/>
  <c r="CN107" i="2" s="1"/>
  <c r="DA350" i="2"/>
  <c r="CE891" i="2"/>
  <c r="CH891" i="2" s="1"/>
  <c r="BY846" i="2"/>
  <c r="CB846" i="2" s="1"/>
  <c r="BY199" i="2"/>
  <c r="CB199" i="2" s="1"/>
  <c r="CE392" i="2"/>
  <c r="CH392" i="2" s="1"/>
  <c r="CE68" i="2"/>
  <c r="CH68" i="2" s="1"/>
  <c r="BY559" i="2"/>
  <c r="CB559" i="2" s="1"/>
  <c r="CL350" i="2"/>
  <c r="CK350" i="2" s="1"/>
  <c r="CN350" i="2" s="1"/>
  <c r="CL143" i="2"/>
  <c r="CK143" i="2" s="1"/>
  <c r="CN143" i="2" s="1"/>
  <c r="BY749" i="2"/>
  <c r="CB749" i="2" s="1"/>
  <c r="BY823" i="2"/>
  <c r="CB823" i="2" s="1"/>
  <c r="BY1014" i="2"/>
  <c r="CB1014" i="2" s="1"/>
  <c r="BS216" i="2"/>
  <c r="BV216" i="2" s="1"/>
  <c r="CE1039" i="2"/>
  <c r="CH1039" i="2" s="1"/>
  <c r="CE319" i="2"/>
  <c r="CH319" i="2" s="1"/>
  <c r="DA252" i="2"/>
  <c r="CL699" i="2"/>
  <c r="CK699" i="2" s="1"/>
  <c r="BY249" i="2"/>
  <c r="CB249" i="2" s="1"/>
  <c r="BY340" i="2"/>
  <c r="CB340" i="2" s="1"/>
  <c r="CR467" i="2"/>
  <c r="CQ467" i="2" s="1"/>
  <c r="CT467" i="2" s="1"/>
  <c r="DD962" i="2"/>
  <c r="DF962" i="2"/>
  <c r="CP965" i="2"/>
  <c r="CR965" i="2" s="1"/>
  <c r="CQ965" i="2" s="1"/>
  <c r="CT965" i="2" s="1"/>
  <c r="BT829" i="2"/>
  <c r="BW829" i="2" s="1"/>
  <c r="BN354" i="2"/>
  <c r="BQ354" i="2" s="1"/>
  <c r="BZ490" i="2"/>
  <c r="CC490" i="2" s="1"/>
  <c r="CE102" i="2"/>
  <c r="CH102" i="2" s="1"/>
  <c r="BY839" i="2"/>
  <c r="CB839" i="2" s="1"/>
  <c r="DA107" i="2"/>
  <c r="CX40" i="2"/>
  <c r="CW40" i="2" s="1"/>
  <c r="CZ40" i="2" s="1"/>
  <c r="CL427" i="2"/>
  <c r="CK427" i="2" s="1"/>
  <c r="CK199" i="2"/>
  <c r="CN199" i="2" s="1"/>
  <c r="CE1042" i="2"/>
  <c r="CH1042" i="2" s="1"/>
  <c r="BS390" i="2"/>
  <c r="BV390" i="2" s="1"/>
  <c r="BS143" i="2"/>
  <c r="BV143" i="2" s="1"/>
  <c r="CJ1013" i="2"/>
  <c r="BS1013" i="2"/>
  <c r="BV1013" i="2" s="1"/>
  <c r="CW749" i="2"/>
  <c r="CZ749" i="2" s="1"/>
  <c r="CK749" i="2"/>
  <c r="CN749" i="2" s="1"/>
  <c r="CL455" i="2"/>
  <c r="CK455" i="2" s="1"/>
  <c r="CN455" i="2" s="1"/>
  <c r="CL765" i="2"/>
  <c r="CK765" i="2" s="1"/>
  <c r="CN765" i="2" s="1"/>
  <c r="CK823" i="2"/>
  <c r="CN823" i="2" s="1"/>
  <c r="BY958" i="2"/>
  <c r="CB958" i="2" s="1"/>
  <c r="BS107" i="2"/>
  <c r="BV107" i="2" s="1"/>
  <c r="CE699" i="2"/>
  <c r="CH699" i="2" s="1"/>
  <c r="BY56" i="2"/>
  <c r="CB56" i="2" s="1"/>
  <c r="CQ599" i="2"/>
  <c r="CT599" i="2" s="1"/>
  <c r="BY599" i="2"/>
  <c r="CB599" i="2" s="1"/>
  <c r="BT702" i="2"/>
  <c r="BS702" i="2" s="1"/>
  <c r="BV702" i="2" s="1"/>
  <c r="BY997" i="2"/>
  <c r="CB997" i="2" s="1"/>
  <c r="BS467" i="2"/>
  <c r="BV467" i="2" s="1"/>
  <c r="CK295" i="2"/>
  <c r="CN295" i="2" s="1"/>
  <c r="DB295" i="2"/>
  <c r="BT598" i="2"/>
  <c r="BS598" i="2" s="1"/>
  <c r="DB598" i="2"/>
  <c r="CJ912" i="2"/>
  <c r="CL912" i="2" s="1"/>
  <c r="CK912" i="2" s="1"/>
  <c r="CV553" i="2"/>
  <c r="CX553" i="2" s="1"/>
  <c r="CW553" i="2" s="1"/>
  <c r="CZ553" i="2" s="1"/>
  <c r="CD383" i="2"/>
  <c r="CW16" i="2"/>
  <c r="CZ16" i="2" s="1"/>
  <c r="DF686" i="2"/>
  <c r="DD686" i="2"/>
  <c r="CP704" i="2"/>
  <c r="BY447" i="2"/>
  <c r="CB447" i="2" s="1"/>
  <c r="CQ68" i="2"/>
  <c r="CT68" i="2" s="1"/>
  <c r="CQ1042" i="2"/>
  <c r="CT1042" i="2" s="1"/>
  <c r="BY326" i="2"/>
  <c r="CB326" i="2" s="1"/>
  <c r="CK559" i="2"/>
  <c r="CN559" i="2" s="1"/>
  <c r="BS816" i="2"/>
  <c r="BV816" i="2" s="1"/>
  <c r="CW586" i="2"/>
  <c r="CZ586" i="2" s="1"/>
  <c r="BS586" i="2"/>
  <c r="BV586" i="2" s="1"/>
  <c r="CW390" i="2"/>
  <c r="CZ390" i="2" s="1"/>
  <c r="CV350" i="2"/>
  <c r="DB350" i="2" s="1"/>
  <c r="BT350" i="2"/>
  <c r="BS350" i="2" s="1"/>
  <c r="BV350" i="2" s="1"/>
  <c r="CV1013" i="2"/>
  <c r="CX1013" i="2" s="1"/>
  <c r="CW1013" i="2" s="1"/>
  <c r="CZ1013" i="2" s="1"/>
  <c r="CW455" i="2"/>
  <c r="CZ455" i="2" s="1"/>
  <c r="BS455" i="2"/>
  <c r="BV455" i="2" s="1"/>
  <c r="CW417" i="2"/>
  <c r="CZ417" i="2" s="1"/>
  <c r="BS417" i="2"/>
  <c r="BV417" i="2" s="1"/>
  <c r="CW765" i="2"/>
  <c r="CZ765" i="2" s="1"/>
  <c r="BS765" i="2"/>
  <c r="BV765" i="2" s="1"/>
  <c r="CW823" i="2"/>
  <c r="CZ823" i="2" s="1"/>
  <c r="BS427" i="2"/>
  <c r="BV427" i="2" s="1"/>
  <c r="CE40" i="2"/>
  <c r="CH40" i="2" s="1"/>
  <c r="CW472" i="2"/>
  <c r="CZ472" i="2" s="1"/>
  <c r="CL702" i="2"/>
  <c r="CK702" i="2" s="1"/>
  <c r="CN702" i="2" s="1"/>
  <c r="CR997" i="2"/>
  <c r="CQ997" i="2" s="1"/>
  <c r="CT997" i="2" s="1"/>
  <c r="CQ330" i="2"/>
  <c r="CT330" i="2" s="1"/>
  <c r="CU293" i="2"/>
  <c r="CO293" i="2"/>
  <c r="CI293" i="2"/>
  <c r="BY904" i="2"/>
  <c r="CB904" i="2" s="1"/>
  <c r="BS846" i="2"/>
  <c r="BV846" i="2" s="1"/>
  <c r="BS199" i="2"/>
  <c r="BV199" i="2" s="1"/>
  <c r="BY392" i="2"/>
  <c r="CB392" i="2" s="1"/>
  <c r="BY68" i="2"/>
  <c r="CB68" i="2" s="1"/>
  <c r="BS559" i="2"/>
  <c r="BV559" i="2" s="1"/>
  <c r="CW816" i="2"/>
  <c r="CZ816" i="2" s="1"/>
  <c r="CE390" i="2"/>
  <c r="CH390" i="2" s="1"/>
  <c r="CE350" i="2"/>
  <c r="CH350" i="2" s="1"/>
  <c r="CE143" i="2"/>
  <c r="CH143" i="2" s="1"/>
  <c r="CE1013" i="2"/>
  <c r="CH1013" i="2" s="1"/>
  <c r="BS823" i="2"/>
  <c r="BV823" i="2" s="1"/>
  <c r="CW1014" i="2"/>
  <c r="CZ1014" i="2" s="1"/>
  <c r="BS1014" i="2"/>
  <c r="BV1014" i="2" s="1"/>
  <c r="CE107" i="2"/>
  <c r="CH107" i="2" s="1"/>
  <c r="CE216" i="2"/>
  <c r="CH216" i="2" s="1"/>
  <c r="DA699" i="2"/>
  <c r="BY252" i="2"/>
  <c r="CB252" i="2" s="1"/>
  <c r="BS340" i="2"/>
  <c r="BV340" i="2" s="1"/>
  <c r="CE702" i="2"/>
  <c r="CH702" i="2" s="1"/>
  <c r="CU495" i="2"/>
  <c r="CO495" i="2"/>
  <c r="CL495" i="2"/>
  <c r="CK495" i="2" s="1"/>
  <c r="CN495" i="2" s="1"/>
  <c r="BY206" i="2"/>
  <c r="CB206" i="2" s="1"/>
  <c r="CX912" i="2"/>
  <c r="CW912" i="2" s="1"/>
  <c r="CZ912" i="2" s="1"/>
  <c r="CV827" i="2"/>
  <c r="DN827" i="2" s="1"/>
  <c r="CV371" i="2"/>
  <c r="CX371" i="2" s="1"/>
  <c r="CW371" i="2" s="1"/>
  <c r="CZ371" i="2" s="1"/>
  <c r="DD1043" i="2"/>
  <c r="DF1043" i="2"/>
  <c r="DM1043" i="2"/>
  <c r="DF387" i="2"/>
  <c r="DM387" i="2"/>
  <c r="DD387" i="2"/>
  <c r="CR733" i="2"/>
  <c r="CU733" i="2" s="1"/>
  <c r="BT733" i="2"/>
  <c r="BW733" i="2" s="1"/>
  <c r="BT236" i="2"/>
  <c r="BW236" i="2" s="1"/>
  <c r="BT238" i="2"/>
  <c r="BW238" i="2" s="1"/>
  <c r="BN829" i="2"/>
  <c r="BQ829" i="2" s="1"/>
  <c r="BT792" i="2"/>
  <c r="BW792" i="2" s="1"/>
  <c r="BT490" i="2"/>
  <c r="BW490" i="2" s="1"/>
  <c r="BY719" i="2"/>
  <c r="CB719" i="2" s="1"/>
  <c r="BY102" i="2"/>
  <c r="CB102" i="2" s="1"/>
  <c r="BS839" i="2"/>
  <c r="BV839" i="2" s="1"/>
  <c r="BY112" i="2"/>
  <c r="CB112" i="2" s="1"/>
  <c r="DB40" i="2"/>
  <c r="BY923" i="2"/>
  <c r="CB923" i="2" s="1"/>
  <c r="CK904" i="2"/>
  <c r="CN904" i="2" s="1"/>
  <c r="CE989" i="2"/>
  <c r="CH989" i="2" s="1"/>
  <c r="BY1042" i="2"/>
  <c r="CB1042" i="2" s="1"/>
  <c r="CK326" i="2"/>
  <c r="CN326" i="2" s="1"/>
  <c r="CE816" i="2"/>
  <c r="CH816" i="2" s="1"/>
  <c r="CE586" i="2"/>
  <c r="CH586" i="2" s="1"/>
  <c r="CQ350" i="2"/>
  <c r="CT350" i="2" s="1"/>
  <c r="CE455" i="2"/>
  <c r="CH455" i="2" s="1"/>
  <c r="CE417" i="2"/>
  <c r="CH417" i="2" s="1"/>
  <c r="CE765" i="2"/>
  <c r="CH765" i="2" s="1"/>
  <c r="BS958" i="2"/>
  <c r="BV958" i="2" s="1"/>
  <c r="CW427" i="2"/>
  <c r="CZ427" i="2" s="1"/>
  <c r="CE427" i="2"/>
  <c r="CH427" i="2" s="1"/>
  <c r="BW116" i="2"/>
  <c r="DB252" i="2"/>
  <c r="CC116" i="2"/>
  <c r="CR699" i="2"/>
  <c r="CQ699" i="2" s="1"/>
  <c r="CT699" i="2" s="1"/>
  <c r="CE472" i="2"/>
  <c r="CH472" i="2" s="1"/>
  <c r="BY699" i="2"/>
  <c r="CB699" i="2" s="1"/>
  <c r="BT249" i="2"/>
  <c r="BS249" i="2" s="1"/>
  <c r="BV249" i="2" s="1"/>
  <c r="CQ252" i="2"/>
  <c r="CT252" i="2" s="1"/>
  <c r="BS56" i="2"/>
  <c r="BV56" i="2" s="1"/>
  <c r="CE253" i="2"/>
  <c r="CH253" i="2" s="1"/>
  <c r="CO425" i="2"/>
  <c r="CE495" i="2"/>
  <c r="CH495" i="2" s="1"/>
  <c r="BY405" i="2"/>
  <c r="CB405" i="2" s="1"/>
  <c r="CU1008" i="2"/>
  <c r="DM985" i="2"/>
  <c r="CX379" i="2"/>
  <c r="CW379" i="2" s="1"/>
  <c r="DO379" i="2" s="1"/>
  <c r="CJ414" i="2"/>
  <c r="CL414" i="2" s="1"/>
  <c r="CK414" i="2" s="1"/>
  <c r="CJ342" i="2"/>
  <c r="CL342" i="2" s="1"/>
  <c r="CK342" i="2" s="1"/>
  <c r="CN342" i="2" s="1"/>
  <c r="BS342" i="2"/>
  <c r="BV342" i="2" s="1"/>
  <c r="CR137" i="2"/>
  <c r="CQ137" i="2" s="1"/>
  <c r="DN137" i="2"/>
  <c r="DB24" i="2"/>
  <c r="DD24" i="2" s="1"/>
  <c r="DC24" i="2" s="1"/>
  <c r="DF24" i="2" s="1"/>
  <c r="CE985" i="2"/>
  <c r="CH985" i="2" s="1"/>
  <c r="BS16" i="2"/>
  <c r="BV16" i="2" s="1"/>
  <c r="DA827" i="2"/>
  <c r="DM827" i="2" s="1"/>
  <c r="BS827" i="2"/>
  <c r="BV827" i="2" s="1"/>
  <c r="CJ371" i="2"/>
  <c r="BS371" i="2"/>
  <c r="BV371" i="2" s="1"/>
  <c r="CQ686" i="2"/>
  <c r="CT686" i="2" s="1"/>
  <c r="CJ1021" i="2"/>
  <c r="DN1021" i="2" s="1"/>
  <c r="BS1021" i="2"/>
  <c r="BV1021" i="2" s="1"/>
  <c r="BY625" i="2"/>
  <c r="CB625" i="2" s="1"/>
  <c r="BY303" i="2"/>
  <c r="CB303" i="2" s="1"/>
  <c r="CF620" i="2"/>
  <c r="CI620" i="2" s="1"/>
  <c r="BS592" i="2"/>
  <c r="BV592" i="2" s="1"/>
  <c r="BS704" i="2"/>
  <c r="BV704" i="2" s="1"/>
  <c r="CW747" i="2"/>
  <c r="CZ747" i="2" s="1"/>
  <c r="CE747" i="2"/>
  <c r="CH747" i="2" s="1"/>
  <c r="BS1040" i="2"/>
  <c r="BV1040" i="2" s="1"/>
  <c r="BY478" i="2"/>
  <c r="CB478" i="2" s="1"/>
  <c r="DM431" i="2"/>
  <c r="CC125" i="2"/>
  <c r="CI125" i="2"/>
  <c r="BS125" i="2"/>
  <c r="BV125" i="2" s="1"/>
  <c r="CE956" i="2"/>
  <c r="CH956" i="2" s="1"/>
  <c r="CW431" i="2"/>
  <c r="CZ431" i="2" s="1"/>
  <c r="CL431" i="2"/>
  <c r="CK431" i="2" s="1"/>
  <c r="CN431" i="2" s="1"/>
  <c r="CX496" i="2"/>
  <c r="CW496" i="2" s="1"/>
  <c r="CZ496" i="2" s="1"/>
  <c r="DM24" i="2"/>
  <c r="BY278" i="2"/>
  <c r="CB278" i="2" s="1"/>
  <c r="CK20" i="2"/>
  <c r="CN20" i="2" s="1"/>
  <c r="DL850" i="2"/>
  <c r="DJ850" i="2"/>
  <c r="CF474" i="2"/>
  <c r="CE474" i="2" s="1"/>
  <c r="CJ850" i="2"/>
  <c r="CL850" i="2" s="1"/>
  <c r="CK850" i="2" s="1"/>
  <c r="CN850" i="2" s="1"/>
  <c r="DB374" i="2"/>
  <c r="BY1008" i="2"/>
  <c r="CB1008" i="2" s="1"/>
  <c r="BY295" i="2"/>
  <c r="CB295" i="2" s="1"/>
  <c r="BS414" i="2"/>
  <c r="BV414" i="2" s="1"/>
  <c r="BS912" i="2"/>
  <c r="BV912" i="2" s="1"/>
  <c r="CW970" i="2"/>
  <c r="CZ970" i="2" s="1"/>
  <c r="DA257" i="2"/>
  <c r="DM257" i="2" s="1"/>
  <c r="BY622" i="2"/>
  <c r="CB622" i="2" s="1"/>
  <c r="BY686" i="2"/>
  <c r="CB686" i="2" s="1"/>
  <c r="CF1043" i="2"/>
  <c r="CE1043" i="2" s="1"/>
  <c r="CH1043" i="2" s="1"/>
  <c r="DA625" i="2"/>
  <c r="CE558" i="2"/>
  <c r="CH558" i="2" s="1"/>
  <c r="BN620" i="2"/>
  <c r="BQ620" i="2" s="1"/>
  <c r="CW592" i="2"/>
  <c r="CZ592" i="2" s="1"/>
  <c r="CK744" i="2"/>
  <c r="CN744" i="2" s="1"/>
  <c r="CE705" i="2"/>
  <c r="CH705" i="2" s="1"/>
  <c r="CF158" i="2"/>
  <c r="CE158" i="2" s="1"/>
  <c r="CH158" i="2" s="1"/>
  <c r="BO137" i="2"/>
  <c r="CJ605" i="2"/>
  <c r="CL605" i="2" s="1"/>
  <c r="CK605" i="2" s="1"/>
  <c r="CN605" i="2" s="1"/>
  <c r="BS605" i="2"/>
  <c r="BV605" i="2" s="1"/>
  <c r="BZ225" i="2"/>
  <c r="BY225" i="2" s="1"/>
  <c r="CB225" i="2" s="1"/>
  <c r="BZ387" i="2"/>
  <c r="BY387" i="2" s="1"/>
  <c r="CB387" i="2" s="1"/>
  <c r="CQ878" i="2"/>
  <c r="CT878" i="2" s="1"/>
  <c r="BS101" i="2"/>
  <c r="BV101" i="2" s="1"/>
  <c r="BT965" i="2"/>
  <c r="BS965" i="2" s="1"/>
  <c r="BV965" i="2" s="1"/>
  <c r="BS502" i="2"/>
  <c r="BV502" i="2" s="1"/>
  <c r="CR926" i="2"/>
  <c r="CQ926" i="2" s="1"/>
  <c r="CT926" i="2" s="1"/>
  <c r="BY926" i="2"/>
  <c r="CB926" i="2" s="1"/>
  <c r="DC137" i="2"/>
  <c r="DF137" i="2" s="1"/>
  <c r="CE137" i="2"/>
  <c r="CH137" i="2" s="1"/>
  <c r="BO200" i="2"/>
  <c r="BY200" i="2"/>
  <c r="CB200" i="2" s="1"/>
  <c r="BO24" i="2"/>
  <c r="DA590" i="2"/>
  <c r="BT642" i="2"/>
  <c r="BS642" i="2" s="1"/>
  <c r="BV642" i="2" s="1"/>
  <c r="BY496" i="2"/>
  <c r="CB496" i="2" s="1"/>
  <c r="BS710" i="2"/>
  <c r="BV710" i="2" s="1"/>
  <c r="DB140" i="2"/>
  <c r="CW992" i="2"/>
  <c r="CZ992" i="2" s="1"/>
  <c r="CJ847" i="2"/>
  <c r="CL847" i="2" s="1"/>
  <c r="CK847" i="2" s="1"/>
  <c r="DA47" i="2"/>
  <c r="BO47" i="2"/>
  <c r="DG47" i="2"/>
  <c r="BS553" i="2"/>
  <c r="BV553" i="2" s="1"/>
  <c r="CW257" i="2"/>
  <c r="CZ257" i="2" s="1"/>
  <c r="BS257" i="2"/>
  <c r="BV257" i="2" s="1"/>
  <c r="CE16" i="2"/>
  <c r="CH16" i="2" s="1"/>
  <c r="BY1019" i="2"/>
  <c r="CB1019" i="2" s="1"/>
  <c r="CE827" i="2"/>
  <c r="CH827" i="2" s="1"/>
  <c r="CK622" i="2"/>
  <c r="CN622" i="2" s="1"/>
  <c r="CE371" i="2"/>
  <c r="CH371" i="2" s="1"/>
  <c r="CE1021" i="2"/>
  <c r="CH1021" i="2" s="1"/>
  <c r="CK303" i="2"/>
  <c r="CN303" i="2" s="1"/>
  <c r="CE592" i="2"/>
  <c r="CH592" i="2" s="1"/>
  <c r="CW1040" i="2"/>
  <c r="CZ1040" i="2" s="1"/>
  <c r="CW705" i="2"/>
  <c r="CZ705" i="2" s="1"/>
  <c r="CK478" i="2"/>
  <c r="CN478" i="2" s="1"/>
  <c r="BY878" i="2"/>
  <c r="CB878" i="2" s="1"/>
  <c r="CW101" i="2"/>
  <c r="CZ101" i="2" s="1"/>
  <c r="CW137" i="2"/>
  <c r="CZ137" i="2" s="1"/>
  <c r="CQ496" i="2"/>
  <c r="CT496" i="2" s="1"/>
  <c r="DD20" i="2"/>
  <c r="DC20" i="2" s="1"/>
  <c r="CE20" i="2"/>
  <c r="CH20" i="2" s="1"/>
  <c r="DM900" i="2"/>
  <c r="DL900" i="2"/>
  <c r="CR297" i="2"/>
  <c r="CT297" i="2"/>
  <c r="CV474" i="2"/>
  <c r="CX474" i="2" s="1"/>
  <c r="CW474" i="2" s="1"/>
  <c r="CI47" i="2"/>
  <c r="CU47" i="2"/>
  <c r="CO47" i="2"/>
  <c r="CW303" i="2"/>
  <c r="CZ303" i="2" s="1"/>
  <c r="CE965" i="2"/>
  <c r="CH965" i="2" s="1"/>
  <c r="DD956" i="2"/>
  <c r="DC956" i="2" s="1"/>
  <c r="DF956" i="2" s="1"/>
  <c r="DD167" i="2"/>
  <c r="DC167" i="2" s="1"/>
  <c r="DF167" i="2" s="1"/>
  <c r="BS167" i="2"/>
  <c r="BV167" i="2" s="1"/>
  <c r="BS158" i="2"/>
  <c r="BV158" i="2" s="1"/>
  <c r="CV24" i="2"/>
  <c r="CX24" i="2" s="1"/>
  <c r="CW24" i="2" s="1"/>
  <c r="CF293" i="2"/>
  <c r="CE293" i="2" s="1"/>
  <c r="CH293" i="2" s="1"/>
  <c r="CQ140" i="2"/>
  <c r="CT140" i="2" s="1"/>
  <c r="BS785" i="2"/>
  <c r="BV785" i="2" s="1"/>
  <c r="DA847" i="2"/>
  <c r="DG847" i="2"/>
  <c r="BO847" i="2"/>
  <c r="CC39" i="2"/>
  <c r="BW362" i="2"/>
  <c r="CY362" i="2"/>
  <c r="CQ827" i="2"/>
  <c r="CT827" i="2" s="1"/>
  <c r="CQ371" i="2"/>
  <c r="CT371" i="2" s="1"/>
  <c r="CK962" i="2"/>
  <c r="CN962" i="2" s="1"/>
  <c r="BY558" i="2"/>
  <c r="CB558" i="2" s="1"/>
  <c r="CQ592" i="2"/>
  <c r="CT592" i="2" s="1"/>
  <c r="CE744" i="2"/>
  <c r="CH744" i="2" s="1"/>
  <c r="CQ1040" i="2"/>
  <c r="CT1040" i="2" s="1"/>
  <c r="BY705" i="2"/>
  <c r="CB705" i="2" s="1"/>
  <c r="CW478" i="2"/>
  <c r="CZ478" i="2" s="1"/>
  <c r="BY137" i="2"/>
  <c r="CB137" i="2" s="1"/>
  <c r="CV710" i="2"/>
  <c r="CX710" i="2" s="1"/>
  <c r="CW710" i="2" s="1"/>
  <c r="CZ710" i="2" s="1"/>
  <c r="CC500" i="2"/>
  <c r="CU500" i="2"/>
  <c r="BZ75" i="2"/>
  <c r="BY75" i="2" s="1"/>
  <c r="CB75" i="2" s="1"/>
  <c r="DA734" i="2"/>
  <c r="DG734" i="2"/>
  <c r="CL734" i="2"/>
  <c r="CK734" i="2" s="1"/>
  <c r="CN734" i="2" s="1"/>
  <c r="BZ1006" i="2"/>
  <c r="BY1006" i="2" s="1"/>
  <c r="CB1006" i="2" s="1"/>
  <c r="CK405" i="2"/>
  <c r="CN405" i="2" s="1"/>
  <c r="BS405" i="2"/>
  <c r="BV405" i="2" s="1"/>
  <c r="CW218" i="2"/>
  <c r="CZ218" i="2" s="1"/>
  <c r="CE218" i="2"/>
  <c r="CH218" i="2" s="1"/>
  <c r="BS507" i="2"/>
  <c r="BV507" i="2" s="1"/>
  <c r="CW467" i="2"/>
  <c r="CZ467" i="2" s="1"/>
  <c r="CQ342" i="2"/>
  <c r="CT342" i="2" s="1"/>
  <c r="CQ16" i="2"/>
  <c r="CT16" i="2" s="1"/>
  <c r="CE625" i="2"/>
  <c r="CH625" i="2" s="1"/>
  <c r="CE303" i="2"/>
  <c r="CH303" i="2" s="1"/>
  <c r="CL620" i="2"/>
  <c r="CO620" i="2" s="1"/>
  <c r="BY592" i="2"/>
  <c r="CB592" i="2" s="1"/>
  <c r="BY704" i="2"/>
  <c r="CB704" i="2" s="1"/>
  <c r="BY1040" i="2"/>
  <c r="CB1040" i="2" s="1"/>
  <c r="CE478" i="2"/>
  <c r="CH478" i="2" s="1"/>
  <c r="CV125" i="2"/>
  <c r="CX125" i="2" s="1"/>
  <c r="CW125" i="2" s="1"/>
  <c r="CZ125" i="2" s="1"/>
  <c r="CQ605" i="2"/>
  <c r="CT605" i="2" s="1"/>
  <c r="BY125" i="2"/>
  <c r="CB125" i="2" s="1"/>
  <c r="BY965" i="2"/>
  <c r="CB965" i="2" s="1"/>
  <c r="CQ502" i="2"/>
  <c r="CT502" i="2" s="1"/>
  <c r="CV167" i="2"/>
  <c r="CX167" i="2" s="1"/>
  <c r="CW167" i="2" s="1"/>
  <c r="CZ167" i="2" s="1"/>
  <c r="CP431" i="2"/>
  <c r="CR431" i="2" s="1"/>
  <c r="CQ431" i="2" s="1"/>
  <c r="CT431" i="2" s="1"/>
  <c r="CO500" i="2"/>
  <c r="CL278" i="2"/>
  <c r="CK278" i="2" s="1"/>
  <c r="CN278" i="2" s="1"/>
  <c r="BO579" i="2"/>
  <c r="DA579" i="2"/>
  <c r="BS579" i="2"/>
  <c r="BV579" i="2" s="1"/>
  <c r="BS140" i="2"/>
  <c r="BV140" i="2" s="1"/>
  <c r="CP691" i="2"/>
  <c r="CR691" i="2" s="1"/>
  <c r="CQ691" i="2" s="1"/>
  <c r="CT691" i="2" s="1"/>
  <c r="BT315" i="2"/>
  <c r="BS315" i="2" s="1"/>
  <c r="BV315" i="2" s="1"/>
  <c r="CC945" i="2"/>
  <c r="BY427" i="2"/>
  <c r="CB427" i="2" s="1"/>
  <c r="BY107" i="2"/>
  <c r="CB107" i="2" s="1"/>
  <c r="BY216" i="2"/>
  <c r="CB216" i="2" s="1"/>
  <c r="CK319" i="2"/>
  <c r="CN319" i="2" s="1"/>
  <c r="BY987" i="2"/>
  <c r="CB987" i="2" s="1"/>
  <c r="BY472" i="2"/>
  <c r="CB472" i="2" s="1"/>
  <c r="CK249" i="2"/>
  <c r="CN249" i="2" s="1"/>
  <c r="CE252" i="2"/>
  <c r="CH252" i="2" s="1"/>
  <c r="CK599" i="2"/>
  <c r="CN599" i="2" s="1"/>
  <c r="BS253" i="2"/>
  <c r="BV253" i="2" s="1"/>
  <c r="BS425" i="2"/>
  <c r="BV425" i="2" s="1"/>
  <c r="DM1021" i="2"/>
  <c r="BS242" i="2"/>
  <c r="BV242" i="2" s="1"/>
  <c r="CE295" i="2"/>
  <c r="CH295" i="2" s="1"/>
  <c r="BY414" i="2"/>
  <c r="CB414" i="2" s="1"/>
  <c r="BY912" i="2"/>
  <c r="CB912" i="2" s="1"/>
  <c r="CR970" i="2"/>
  <c r="CQ970" i="2" s="1"/>
  <c r="CT970" i="2" s="1"/>
  <c r="CW985" i="2"/>
  <c r="CZ985" i="2" s="1"/>
  <c r="BS985" i="2"/>
  <c r="BV985" i="2" s="1"/>
  <c r="CE622" i="2"/>
  <c r="CH622" i="2" s="1"/>
  <c r="CE686" i="2"/>
  <c r="CH686" i="2" s="1"/>
  <c r="CK1043" i="2"/>
  <c r="CN1043" i="2" s="1"/>
  <c r="BS1043" i="2"/>
  <c r="BV1043" i="2" s="1"/>
  <c r="CR625" i="2"/>
  <c r="CQ625" i="2" s="1"/>
  <c r="CT625" i="2" s="1"/>
  <c r="CL558" i="2"/>
  <c r="CK558" i="2" s="1"/>
  <c r="CN558" i="2" s="1"/>
  <c r="BT620" i="2"/>
  <c r="BW620" i="2" s="1"/>
  <c r="CK747" i="2"/>
  <c r="CN747" i="2" s="1"/>
  <c r="BS747" i="2"/>
  <c r="BV747" i="2" s="1"/>
  <c r="CX387" i="2"/>
  <c r="CW387" i="2" s="1"/>
  <c r="CQ101" i="2"/>
  <c r="CT101" i="2" s="1"/>
  <c r="BY101" i="2"/>
  <c r="CB101" i="2" s="1"/>
  <c r="BS956" i="2"/>
  <c r="BV956" i="2" s="1"/>
  <c r="BY502" i="2"/>
  <c r="CB502" i="2" s="1"/>
  <c r="CE167" i="2"/>
  <c r="CH167" i="2" s="1"/>
  <c r="CE926" i="2"/>
  <c r="CH926" i="2" s="1"/>
  <c r="DD431" i="2"/>
  <c r="DC431" i="2" s="1"/>
  <c r="DF431" i="2" s="1"/>
  <c r="BZ431" i="2"/>
  <c r="BY431" i="2" s="1"/>
  <c r="CB431" i="2" s="1"/>
  <c r="CJ500" i="2"/>
  <c r="CL500" i="2" s="1"/>
  <c r="CK500" i="2" s="1"/>
  <c r="CN500" i="2" s="1"/>
  <c r="CV721" i="2"/>
  <c r="CX721" i="2" s="1"/>
  <c r="CW721" i="2" s="1"/>
  <c r="DM721" i="2"/>
  <c r="BZ352" i="2"/>
  <c r="BY352" i="2" s="1"/>
  <c r="CB352" i="2" s="1"/>
  <c r="CQ56" i="2"/>
  <c r="CT56" i="2" s="1"/>
  <c r="CE56" i="2"/>
  <c r="CH56" i="2" s="1"/>
  <c r="BS599" i="2"/>
  <c r="BV599" i="2" s="1"/>
  <c r="BS454" i="2"/>
  <c r="BV454" i="2" s="1"/>
  <c r="CW702" i="2"/>
  <c r="CZ702" i="2" s="1"/>
  <c r="BS495" i="2"/>
  <c r="BV495" i="2" s="1"/>
  <c r="CW405" i="2"/>
  <c r="CZ405" i="2" s="1"/>
  <c r="CE405" i="2"/>
  <c r="CH405" i="2" s="1"/>
  <c r="CE206" i="2"/>
  <c r="CH206" i="2" s="1"/>
  <c r="CE997" i="2"/>
  <c r="CH997" i="2" s="1"/>
  <c r="BY467" i="2"/>
  <c r="CB467" i="2" s="1"/>
  <c r="CQ295" i="2"/>
  <c r="CT295" i="2" s="1"/>
  <c r="CE601" i="2"/>
  <c r="CH601" i="2" s="1"/>
  <c r="BY970" i="2"/>
  <c r="CB970" i="2" s="1"/>
  <c r="BY342" i="2"/>
  <c r="CB342" i="2" s="1"/>
  <c r="BY553" i="2"/>
  <c r="CB553" i="2" s="1"/>
  <c r="BY257" i="2"/>
  <c r="CB257" i="2" s="1"/>
  <c r="BS383" i="2"/>
  <c r="BV383" i="2" s="1"/>
  <c r="CE1019" i="2"/>
  <c r="CH1019" i="2" s="1"/>
  <c r="CK827" i="2"/>
  <c r="CN827" i="2" s="1"/>
  <c r="CQ622" i="2"/>
  <c r="CT622" i="2" s="1"/>
  <c r="CE962" i="2"/>
  <c r="CH962" i="2" s="1"/>
  <c r="BS558" i="2"/>
  <c r="BV558" i="2" s="1"/>
  <c r="CK592" i="2"/>
  <c r="CN592" i="2" s="1"/>
  <c r="BY744" i="2"/>
  <c r="CB744" i="2" s="1"/>
  <c r="CK705" i="2"/>
  <c r="CN705" i="2" s="1"/>
  <c r="BS705" i="2"/>
  <c r="BV705" i="2" s="1"/>
  <c r="DF878" i="2"/>
  <c r="DM502" i="2"/>
  <c r="CE878" i="2"/>
  <c r="CH878" i="2" s="1"/>
  <c r="CQ167" i="2"/>
  <c r="CT167" i="2" s="1"/>
  <c r="BS431" i="2"/>
  <c r="BV431" i="2" s="1"/>
  <c r="CK590" i="2"/>
  <c r="CN590" i="2" s="1"/>
  <c r="BO496" i="2"/>
  <c r="DC496" i="2"/>
  <c r="DF496" i="2" s="1"/>
  <c r="CC710" i="2"/>
  <c r="CO710" i="2"/>
  <c r="BY710" i="2"/>
  <c r="CB710" i="2" s="1"/>
  <c r="CQ721" i="2"/>
  <c r="CT721" i="2" s="1"/>
  <c r="CV315" i="2"/>
  <c r="CX315" i="2" s="1"/>
  <c r="CW315" i="2" s="1"/>
  <c r="CZ315" i="2" s="1"/>
  <c r="DB352" i="2"/>
  <c r="DD352" i="2" s="1"/>
  <c r="DC352" i="2" s="1"/>
  <c r="DF352" i="2" s="1"/>
  <c r="CP352" i="2"/>
  <c r="CR352" i="2" s="1"/>
  <c r="CQ352" i="2" s="1"/>
  <c r="CT352" i="2" s="1"/>
  <c r="BO850" i="2"/>
  <c r="DA850" i="2"/>
  <c r="CY596" i="2"/>
  <c r="BS47" i="2"/>
  <c r="BV47" i="2" s="1"/>
  <c r="CD743" i="2"/>
  <c r="CF743" i="2" s="1"/>
  <c r="CE743" i="2" s="1"/>
  <c r="CH743" i="2" s="1"/>
  <c r="CQ387" i="2"/>
  <c r="CT387" i="2" s="1"/>
  <c r="BS878" i="2"/>
  <c r="BV878" i="2" s="1"/>
  <c r="BY167" i="2"/>
  <c r="CB167" i="2" s="1"/>
  <c r="BS926" i="2"/>
  <c r="BV926" i="2" s="1"/>
  <c r="CE431" i="2"/>
  <c r="CH431" i="2" s="1"/>
  <c r="CK137" i="2"/>
  <c r="CN137" i="2" s="1"/>
  <c r="BS137" i="2"/>
  <c r="BV137" i="2" s="1"/>
  <c r="CI642" i="2"/>
  <c r="BY24" i="2"/>
  <c r="CB24" i="2" s="1"/>
  <c r="BS590" i="2"/>
  <c r="BV590" i="2" s="1"/>
  <c r="CW579" i="2"/>
  <c r="CZ579" i="2" s="1"/>
  <c r="CU691" i="2"/>
  <c r="BS20" i="2"/>
  <c r="BV20" i="2" s="1"/>
  <c r="CX140" i="2"/>
  <c r="CW140" i="2" s="1"/>
  <c r="CZ140" i="2" s="1"/>
  <c r="BY691" i="2"/>
  <c r="CB691" i="2" s="1"/>
  <c r="DA315" i="2"/>
  <c r="DM315" i="2" s="1"/>
  <c r="BS75" i="2"/>
  <c r="BV75" i="2" s="1"/>
  <c r="DN900" i="2"/>
  <c r="CQ900" i="2"/>
  <c r="CT900" i="2" s="1"/>
  <c r="CJ67" i="2"/>
  <c r="EA297" i="2"/>
  <c r="CK297" i="2"/>
  <c r="CN297" i="2" s="1"/>
  <c r="BY474" i="2"/>
  <c r="CB474" i="2" s="1"/>
  <c r="CP873" i="2"/>
  <c r="CR873" i="2" s="1"/>
  <c r="CQ873" i="2" s="1"/>
  <c r="DG374" i="2"/>
  <c r="CN873" i="2"/>
  <c r="CQ567" i="2"/>
  <c r="CT567" i="2" s="1"/>
  <c r="CX802" i="2"/>
  <c r="CI950" i="2"/>
  <c r="CX596" i="2"/>
  <c r="CI172" i="2"/>
  <c r="CI980" i="2"/>
  <c r="CY549" i="2"/>
  <c r="DB207" i="2"/>
  <c r="BY158" i="2"/>
  <c r="CB158" i="2" s="1"/>
  <c r="CU642" i="2"/>
  <c r="BY642" i="2"/>
  <c r="CB642" i="2" s="1"/>
  <c r="CE721" i="2"/>
  <c r="CH721" i="2" s="1"/>
  <c r="CE140" i="2"/>
  <c r="CH140" i="2" s="1"/>
  <c r="CK315" i="2"/>
  <c r="CN315" i="2" s="1"/>
  <c r="BY900" i="2"/>
  <c r="CB900" i="2" s="1"/>
  <c r="BT297" i="2"/>
  <c r="BS297" i="2" s="1"/>
  <c r="CO67" i="2"/>
  <c r="DG30" i="2"/>
  <c r="CC377" i="2"/>
  <c r="BW377" i="2"/>
  <c r="BS374" i="2"/>
  <c r="BV374" i="2" s="1"/>
  <c r="CX362" i="2"/>
  <c r="CX814" i="2"/>
  <c r="CX172" i="2"/>
  <c r="CC950" i="2"/>
  <c r="DD866" i="2"/>
  <c r="DC866" i="2" s="1"/>
  <c r="DF866" i="2" s="1"/>
  <c r="CU72" i="2"/>
  <c r="CO72" i="2"/>
  <c r="CI72" i="2"/>
  <c r="DJ226" i="2"/>
  <c r="DI226" i="2" s="1"/>
  <c r="DL226" i="2" s="1"/>
  <c r="BS293" i="2"/>
  <c r="BV293" i="2" s="1"/>
  <c r="CW785" i="2"/>
  <c r="CZ785" i="2" s="1"/>
  <c r="CE785" i="2"/>
  <c r="CH785" i="2" s="1"/>
  <c r="CE75" i="2"/>
  <c r="CH75" i="2" s="1"/>
  <c r="BS734" i="2"/>
  <c r="BV734" i="2" s="1"/>
  <c r="CL892" i="2"/>
  <c r="CK892" i="2" s="1"/>
  <c r="CN892" i="2" s="1"/>
  <c r="CW847" i="2"/>
  <c r="CZ847" i="2" s="1"/>
  <c r="BS847" i="2"/>
  <c r="BV847" i="2" s="1"/>
  <c r="CQ892" i="2"/>
  <c r="CT892" i="2" s="1"/>
  <c r="BY892" i="2"/>
  <c r="CB892" i="2" s="1"/>
  <c r="CE47" i="2"/>
  <c r="CH47" i="2" s="1"/>
  <c r="BY30" i="2"/>
  <c r="CB30" i="2" s="1"/>
  <c r="CU26" i="2"/>
  <c r="DC26" i="2"/>
  <c r="DF26" i="2" s="1"/>
  <c r="BS567" i="2"/>
  <c r="BV567" i="2" s="1"/>
  <c r="BU950" i="2"/>
  <c r="BT950" i="2" s="1"/>
  <c r="CY950" i="2" s="1"/>
  <c r="CX950" i="2"/>
  <c r="CP269" i="2"/>
  <c r="CR269" i="2" s="1"/>
  <c r="CQ269" i="2" s="1"/>
  <c r="CT269" i="2" s="1"/>
  <c r="DM269" i="2"/>
  <c r="DB898" i="2"/>
  <c r="DD898" i="2" s="1"/>
  <c r="DC898" i="2" s="1"/>
  <c r="DF898" i="2" s="1"/>
  <c r="DC30" i="2"/>
  <c r="DF30" i="2" s="1"/>
  <c r="CK374" i="2"/>
  <c r="CN374" i="2" s="1"/>
  <c r="CC172" i="2"/>
  <c r="CY172" i="2"/>
  <c r="CI78" i="2"/>
  <c r="CI547" i="2"/>
  <c r="CE278" i="2"/>
  <c r="CH278" i="2" s="1"/>
  <c r="BY579" i="2"/>
  <c r="CB579" i="2" s="1"/>
  <c r="CE496" i="2"/>
  <c r="CH496" i="2" s="1"/>
  <c r="BY721" i="2"/>
  <c r="CB721" i="2" s="1"/>
  <c r="BY140" i="2"/>
  <c r="CB140" i="2" s="1"/>
  <c r="CQ785" i="2"/>
  <c r="CT785" i="2" s="1"/>
  <c r="BY785" i="2"/>
  <c r="CB785" i="2" s="1"/>
  <c r="BO352" i="2"/>
  <c r="BS900" i="2"/>
  <c r="BV900" i="2" s="1"/>
  <c r="CE734" i="2"/>
  <c r="CH734" i="2" s="1"/>
  <c r="BS352" i="2"/>
  <c r="BV352" i="2" s="1"/>
  <c r="CE67" i="2"/>
  <c r="CH67" i="2" s="1"/>
  <c r="CI26" i="2"/>
  <c r="BY47" i="2"/>
  <c r="CB47" i="2" s="1"/>
  <c r="CQ26" i="2"/>
  <c r="CT26" i="2" s="1"/>
  <c r="BS26" i="2"/>
  <c r="BV26" i="2" s="1"/>
  <c r="BW549" i="2"/>
  <c r="CX549" i="2"/>
  <c r="CX78" i="2"/>
  <c r="CI549" i="2"/>
  <c r="CV606" i="2"/>
  <c r="CJ122" i="2"/>
  <c r="BS200" i="2"/>
  <c r="BV200" i="2" s="1"/>
  <c r="CE24" i="2"/>
  <c r="CH24" i="2" s="1"/>
  <c r="BY590" i="2"/>
  <c r="CB590" i="2" s="1"/>
  <c r="CQ278" i="2"/>
  <c r="CT278" i="2" s="1"/>
  <c r="BY20" i="2"/>
  <c r="CB20" i="2" s="1"/>
  <c r="DG352" i="2"/>
  <c r="DD297" i="2"/>
  <c r="DC297" i="2" s="1"/>
  <c r="DF297" i="2" s="1"/>
  <c r="CW900" i="2"/>
  <c r="CZ900" i="2" s="1"/>
  <c r="DG1006" i="2"/>
  <c r="CX377" i="2"/>
  <c r="CW377" i="2" s="1"/>
  <c r="CZ377" i="2" s="1"/>
  <c r="CQ847" i="2"/>
  <c r="CT847" i="2" s="1"/>
  <c r="BY297" i="2"/>
  <c r="CB297" i="2" s="1"/>
  <c r="BS850" i="2"/>
  <c r="BV850" i="2" s="1"/>
  <c r="BS892" i="2"/>
  <c r="BV892" i="2" s="1"/>
  <c r="BO30" i="2"/>
  <c r="CI377" i="2"/>
  <c r="BS30" i="2"/>
  <c r="BV30" i="2" s="1"/>
  <c r="CX628" i="2"/>
  <c r="CC628" i="2"/>
  <c r="CI802" i="2"/>
  <c r="CA78" i="2"/>
  <c r="BZ78" i="2" s="1"/>
  <c r="CY78" i="2" s="1"/>
  <c r="CC547" i="2"/>
  <c r="CC549" i="2"/>
  <c r="DJ677" i="2"/>
  <c r="DI677" i="2" s="1"/>
  <c r="DL677" i="2" s="1"/>
  <c r="DH656" i="2"/>
  <c r="DB621" i="2"/>
  <c r="DD621" i="2" s="1"/>
  <c r="DC621" i="2" s="1"/>
  <c r="DF621" i="2" s="1"/>
  <c r="CP831" i="2"/>
  <c r="CR831" i="2" s="1"/>
  <c r="CQ831" i="2" s="1"/>
  <c r="CT831" i="2" s="1"/>
  <c r="BS992" i="2"/>
  <c r="BV992" i="2" s="1"/>
  <c r="CQ315" i="2"/>
  <c r="CT315" i="2" s="1"/>
  <c r="BY315" i="2"/>
  <c r="CB315" i="2" s="1"/>
  <c r="CQ734" i="2"/>
  <c r="CT734" i="2" s="1"/>
  <c r="CE352" i="2"/>
  <c r="CH352" i="2" s="1"/>
  <c r="CV30" i="2"/>
  <c r="CX30" i="2" s="1"/>
  <c r="CW30" i="2" s="1"/>
  <c r="CZ30" i="2" s="1"/>
  <c r="BO374" i="2"/>
  <c r="CE26" i="2"/>
  <c r="CH26" i="2" s="1"/>
  <c r="BS377" i="2"/>
  <c r="BV377" i="2" s="1"/>
  <c r="CV873" i="2"/>
  <c r="CX873" i="2" s="1"/>
  <c r="CW873" i="2" s="1"/>
  <c r="CH873" i="2"/>
  <c r="CF567" i="2"/>
  <c r="CE567" i="2" s="1"/>
  <c r="CH567" i="2" s="1"/>
  <c r="DN567" i="2"/>
  <c r="CX547" i="2"/>
  <c r="CF649" i="2"/>
  <c r="CE649" i="2" s="1"/>
  <c r="CH649" i="2" s="1"/>
  <c r="CI814" i="2"/>
  <c r="CA802" i="2"/>
  <c r="BZ802" i="2" s="1"/>
  <c r="CY802" i="2" s="1"/>
  <c r="BW596" i="2"/>
  <c r="BU547" i="2"/>
  <c r="BT547" i="2" s="1"/>
  <c r="CY547" i="2" s="1"/>
  <c r="DH743" i="2"/>
  <c r="DJ743" i="2" s="1"/>
  <c r="DI743" i="2" s="1"/>
  <c r="DL743" i="2" s="1"/>
  <c r="CP621" i="2"/>
  <c r="CR621" i="2" s="1"/>
  <c r="CQ621" i="2" s="1"/>
  <c r="CT621" i="2" s="1"/>
  <c r="DC567" i="2"/>
  <c r="DF567" i="2" s="1"/>
  <c r="CO649" i="2"/>
  <c r="BY866" i="2"/>
  <c r="CB866" i="2" s="1"/>
  <c r="CW957" i="2"/>
  <c r="CZ957" i="2" s="1"/>
  <c r="CE957" i="2"/>
  <c r="CH957" i="2" s="1"/>
  <c r="BY648" i="2"/>
  <c r="CB648" i="2" s="1"/>
  <c r="BS649" i="2"/>
  <c r="BV649" i="2" s="1"/>
  <c r="CC884" i="2"/>
  <c r="CE831" i="2"/>
  <c r="CH831" i="2" s="1"/>
  <c r="CE646" i="2"/>
  <c r="CH646" i="2" s="1"/>
  <c r="BS54" i="2"/>
  <c r="BV54" i="2" s="1"/>
  <c r="BO175" i="2"/>
  <c r="CI152" i="2"/>
  <c r="DG72" i="2"/>
  <c r="DD188" i="2"/>
  <c r="DC188" i="2" s="1"/>
  <c r="DF188" i="2" s="1"/>
  <c r="BZ128" i="2"/>
  <c r="BY128" i="2" s="1"/>
  <c r="CB128" i="2" s="1"/>
  <c r="CP127" i="2"/>
  <c r="CR127" i="2" s="1"/>
  <c r="CQ127" i="2" s="1"/>
  <c r="CT127" i="2" s="1"/>
  <c r="CQ610" i="2"/>
  <c r="CT610" i="2" s="1"/>
  <c r="DC269" i="2"/>
  <c r="DF269" i="2" s="1"/>
  <c r="CE606" i="2"/>
  <c r="CH606" i="2" s="1"/>
  <c r="DD122" i="2"/>
  <c r="DC122" i="2" s="1"/>
  <c r="DF122" i="2" s="1"/>
  <c r="DA128" i="2"/>
  <c r="DG128" i="2"/>
  <c r="DI648" i="2"/>
  <c r="DL648" i="2" s="1"/>
  <c r="BY883" i="2"/>
  <c r="CB883" i="2" s="1"/>
  <c r="CK706" i="2"/>
  <c r="CN706" i="2" s="1"/>
  <c r="BY610" i="2"/>
  <c r="CB610" i="2" s="1"/>
  <c r="CK191" i="2"/>
  <c r="CN191" i="2" s="1"/>
  <c r="CO743" i="2"/>
  <c r="BS656" i="2"/>
  <c r="BV656" i="2" s="1"/>
  <c r="BT606" i="2"/>
  <c r="BS606" i="2" s="1"/>
  <c r="BV606" i="2" s="1"/>
  <c r="BY646" i="2"/>
  <c r="CB646" i="2" s="1"/>
  <c r="BY898" i="2"/>
  <c r="CB898" i="2" s="1"/>
  <c r="BO128" i="2"/>
  <c r="CU22" i="2"/>
  <c r="BS873" i="2"/>
  <c r="BV873" i="2" s="1"/>
  <c r="CW567" i="2"/>
  <c r="CZ567" i="2" s="1"/>
  <c r="BY231" i="2"/>
  <c r="CB231" i="2" s="1"/>
  <c r="CQ866" i="2"/>
  <c r="CT866" i="2" s="1"/>
  <c r="DG29" i="2"/>
  <c r="CL207" i="2"/>
  <c r="CK207" i="2" s="1"/>
  <c r="BY29" i="2"/>
  <c r="CB29" i="2" s="1"/>
  <c r="BS191" i="2"/>
  <c r="BV191" i="2" s="1"/>
  <c r="DA743" i="2"/>
  <c r="BY743" i="2"/>
  <c r="CB743" i="2" s="1"/>
  <c r="CE269" i="2"/>
  <c r="CH269" i="2" s="1"/>
  <c r="CU831" i="2"/>
  <c r="CE54" i="2"/>
  <c r="CH54" i="2" s="1"/>
  <c r="CE122" i="2"/>
  <c r="CH122" i="2" s="1"/>
  <c r="CR193" i="2"/>
  <c r="CQ193" i="2" s="1"/>
  <c r="CT193" i="2" s="1"/>
  <c r="CO22" i="2"/>
  <c r="CP128" i="2"/>
  <c r="BO22" i="2"/>
  <c r="DG22" i="2"/>
  <c r="DA22" i="2"/>
  <c r="CE847" i="2"/>
  <c r="CH847" i="2" s="1"/>
  <c r="BS67" i="2"/>
  <c r="BV67" i="2" s="1"/>
  <c r="CK474" i="2"/>
  <c r="CE892" i="2"/>
  <c r="CH892" i="2" s="1"/>
  <c r="BY26" i="2"/>
  <c r="CB26" i="2" s="1"/>
  <c r="BS677" i="2"/>
  <c r="BV677" i="2" s="1"/>
  <c r="DI883" i="2"/>
  <c r="DL883" i="2" s="1"/>
  <c r="CX706" i="2"/>
  <c r="CW706" i="2" s="1"/>
  <c r="BS706" i="2"/>
  <c r="BV706" i="2" s="1"/>
  <c r="CK610" i="2"/>
  <c r="CN610" i="2" s="1"/>
  <c r="BO29" i="2"/>
  <c r="CW191" i="2"/>
  <c r="CZ191" i="2" s="1"/>
  <c r="CL656" i="2"/>
  <c r="CK656" i="2" s="1"/>
  <c r="CE656" i="2"/>
  <c r="CH656" i="2" s="1"/>
  <c r="CW269" i="2"/>
  <c r="CZ269" i="2" s="1"/>
  <c r="DG621" i="2"/>
  <c r="BY621" i="2"/>
  <c r="CB621" i="2" s="1"/>
  <c r="BY606" i="2"/>
  <c r="CB606" i="2" s="1"/>
  <c r="BS908" i="2"/>
  <c r="BV908" i="2" s="1"/>
  <c r="CE154" i="2"/>
  <c r="CH154" i="2" s="1"/>
  <c r="CE175" i="2"/>
  <c r="CH175" i="2" s="1"/>
  <c r="CP131" i="2"/>
  <c r="CP986" i="2"/>
  <c r="CJ22" i="2"/>
  <c r="CE866" i="2"/>
  <c r="CH866" i="2" s="1"/>
  <c r="CK957" i="2"/>
  <c r="CN957" i="2" s="1"/>
  <c r="BY649" i="2"/>
  <c r="CB649" i="2" s="1"/>
  <c r="BS610" i="2"/>
  <c r="BV610" i="2" s="1"/>
  <c r="CE191" i="2"/>
  <c r="CH191" i="2" s="1"/>
  <c r="CU743" i="2"/>
  <c r="BO743" i="2"/>
  <c r="BS646" i="2"/>
  <c r="BV646" i="2" s="1"/>
  <c r="CQ898" i="2"/>
  <c r="CT898" i="2" s="1"/>
  <c r="BS898" i="2"/>
  <c r="BV898" i="2" s="1"/>
  <c r="DI57" i="2"/>
  <c r="DL57" i="2" s="1"/>
  <c r="BY57" i="2"/>
  <c r="CB57" i="2" s="1"/>
  <c r="CO126" i="2"/>
  <c r="CU126" i="2"/>
  <c r="CI126" i="2"/>
  <c r="DC231" i="2"/>
  <c r="DF231" i="2" s="1"/>
  <c r="BS231" i="2"/>
  <c r="BV231" i="2" s="1"/>
  <c r="BS957" i="2"/>
  <c r="BV957" i="2" s="1"/>
  <c r="CK648" i="2"/>
  <c r="CN648" i="2" s="1"/>
  <c r="BS884" i="2"/>
  <c r="BV884" i="2" s="1"/>
  <c r="CE706" i="2"/>
  <c r="CH706" i="2" s="1"/>
  <c r="BS29" i="2"/>
  <c r="BV29" i="2" s="1"/>
  <c r="BS743" i="2"/>
  <c r="BV743" i="2" s="1"/>
  <c r="DJ269" i="2"/>
  <c r="DI269" i="2" s="1"/>
  <c r="DL269" i="2" s="1"/>
  <c r="BY269" i="2"/>
  <c r="CB269" i="2" s="1"/>
  <c r="BY207" i="2"/>
  <c r="CB207" i="2" s="1"/>
  <c r="DC175" i="2"/>
  <c r="DF175" i="2" s="1"/>
  <c r="CL188" i="2"/>
  <c r="CK188" i="2" s="1"/>
  <c r="CK677" i="2"/>
  <c r="CN677" i="2" s="1"/>
  <c r="DC957" i="2"/>
  <c r="DF957" i="2" s="1"/>
  <c r="CQ706" i="2"/>
  <c r="CT706" i="2" s="1"/>
  <c r="CW610" i="2"/>
  <c r="CZ610" i="2" s="1"/>
  <c r="CE610" i="2"/>
  <c r="CH610" i="2" s="1"/>
  <c r="CQ191" i="2"/>
  <c r="CT191" i="2" s="1"/>
  <c r="CI743" i="2"/>
  <c r="BY656" i="2"/>
  <c r="CB656" i="2" s="1"/>
  <c r="BS621" i="2"/>
  <c r="BV621" i="2" s="1"/>
  <c r="BY154" i="2"/>
  <c r="CB154" i="2" s="1"/>
  <c r="CE898" i="2"/>
  <c r="CH898" i="2" s="1"/>
  <c r="BS122" i="2"/>
  <c r="BV122" i="2" s="1"/>
  <c r="DD182" i="2"/>
  <c r="DC182" i="2" s="1"/>
  <c r="DF182" i="2" s="1"/>
  <c r="DB127" i="2"/>
  <c r="DD127" i="2" s="1"/>
  <c r="DC127" i="2" s="1"/>
  <c r="DF127" i="2" s="1"/>
  <c r="CR701" i="2"/>
  <c r="CQ701" i="2" s="1"/>
  <c r="CT701" i="2" s="1"/>
  <c r="BS121" i="2"/>
  <c r="BV121" i="2" s="1"/>
  <c r="CW57" i="2"/>
  <c r="CZ57" i="2" s="1"/>
  <c r="CE72" i="2"/>
  <c r="CH72" i="2" s="1"/>
  <c r="CE128" i="2"/>
  <c r="CH128" i="2" s="1"/>
  <c r="BS131" i="2"/>
  <c r="BV131" i="2" s="1"/>
  <c r="CE188" i="2"/>
  <c r="CH188" i="2" s="1"/>
  <c r="DI711" i="2"/>
  <c r="DL711" i="2" s="1"/>
  <c r="BY711" i="2"/>
  <c r="CB711" i="2" s="1"/>
  <c r="BS986" i="2"/>
  <c r="BV986" i="2" s="1"/>
  <c r="DH82" i="2"/>
  <c r="DJ82" i="2" s="1"/>
  <c r="DI82" i="2" s="1"/>
  <c r="DL82" i="2" s="1"/>
  <c r="CV812" i="2"/>
  <c r="CX812" i="2" s="1"/>
  <c r="CW812" i="2" s="1"/>
  <c r="CZ812" i="2" s="1"/>
  <c r="DH424" i="2"/>
  <c r="DJ424" i="2" s="1"/>
  <c r="DI424" i="2" s="1"/>
  <c r="DL424" i="2" s="1"/>
  <c r="CO94" i="2"/>
  <c r="CU94" i="2"/>
  <c r="BY122" i="2"/>
  <c r="CB122" i="2" s="1"/>
  <c r="BS193" i="2"/>
  <c r="BV193" i="2" s="1"/>
  <c r="BS57" i="2"/>
  <c r="BV57" i="2" s="1"/>
  <c r="CE92" i="2"/>
  <c r="CH92" i="2" s="1"/>
  <c r="CU128" i="2"/>
  <c r="DG126" i="2"/>
  <c r="BY126" i="2"/>
  <c r="CB126" i="2" s="1"/>
  <c r="CE410" i="2"/>
  <c r="CH410" i="2" s="1"/>
  <c r="BY226" i="2"/>
  <c r="CB226" i="2" s="1"/>
  <c r="CI182" i="2"/>
  <c r="CW182" i="2"/>
  <c r="CZ182" i="2" s="1"/>
  <c r="CV424" i="2"/>
  <c r="BS175" i="2"/>
  <c r="BV175" i="2" s="1"/>
  <c r="CE510" i="2"/>
  <c r="CH510" i="2" s="1"/>
  <c r="CE121" i="2"/>
  <c r="CH121" i="2" s="1"/>
  <c r="BO188" i="2"/>
  <c r="DC126" i="2"/>
  <c r="DF126" i="2" s="1"/>
  <c r="BS127" i="2"/>
  <c r="BV127" i="2" s="1"/>
  <c r="CE131" i="2"/>
  <c r="CH131" i="2" s="1"/>
  <c r="CE986" i="2"/>
  <c r="CH986" i="2" s="1"/>
  <c r="BY701" i="2"/>
  <c r="CB701" i="2" s="1"/>
  <c r="BS182" i="2"/>
  <c r="BV182" i="2" s="1"/>
  <c r="CE185" i="2"/>
  <c r="CH185" i="2" s="1"/>
  <c r="CP396" i="2"/>
  <c r="CR396" i="2" s="1"/>
  <c r="CQ396" i="2" s="1"/>
  <c r="CT396" i="2" s="1"/>
  <c r="CP400" i="2"/>
  <c r="CR400" i="2" s="1"/>
  <c r="CQ400" i="2" s="1"/>
  <c r="CT400" i="2" s="1"/>
  <c r="BY152" i="2"/>
  <c r="CB152" i="2" s="1"/>
  <c r="CQ153" i="2"/>
  <c r="CT153" i="2" s="1"/>
  <c r="BS153" i="2"/>
  <c r="BV153" i="2" s="1"/>
  <c r="CE193" i="2"/>
  <c r="CH193" i="2" s="1"/>
  <c r="CE57" i="2"/>
  <c r="CH57" i="2" s="1"/>
  <c r="BY92" i="2"/>
  <c r="CB92" i="2" s="1"/>
  <c r="BY72" i="2"/>
  <c r="CB72" i="2" s="1"/>
  <c r="CI701" i="2"/>
  <c r="BY188" i="2"/>
  <c r="CB188" i="2" s="1"/>
  <c r="BS711" i="2"/>
  <c r="BS226" i="2"/>
  <c r="BV226" i="2" s="1"/>
  <c r="DG234" i="2"/>
  <c r="DA234" i="2"/>
  <c r="BO234" i="2"/>
  <c r="CP397" i="2"/>
  <c r="CE127" i="2"/>
  <c r="CH127" i="2" s="1"/>
  <c r="BS306" i="2"/>
  <c r="CK226" i="2"/>
  <c r="CN226" i="2" s="1"/>
  <c r="BS72" i="2"/>
  <c r="BV72" i="2" s="1"/>
  <c r="BS128" i="2"/>
  <c r="BV128" i="2" s="1"/>
  <c r="CE126" i="2"/>
  <c r="CH126" i="2" s="1"/>
  <c r="BS188" i="2"/>
  <c r="BV188" i="2" s="1"/>
  <c r="CQ306" i="2"/>
  <c r="CT306" i="2" s="1"/>
  <c r="DC185" i="2"/>
  <c r="DF185" i="2" s="1"/>
  <c r="DB668" i="2"/>
  <c r="DD668" i="2" s="1"/>
  <c r="DC668" i="2" s="1"/>
  <c r="DF668" i="2" s="1"/>
  <c r="CE207" i="2"/>
  <c r="CH207" i="2" s="1"/>
  <c r="BY831" i="2"/>
  <c r="CB831" i="2" s="1"/>
  <c r="CQ154" i="2"/>
  <c r="CT154" i="2" s="1"/>
  <c r="BS154" i="2"/>
  <c r="BV154" i="2" s="1"/>
  <c r="BY175" i="2"/>
  <c r="CB175" i="2" s="1"/>
  <c r="DC193" i="2"/>
  <c r="DF193" i="2" s="1"/>
  <c r="BY127" i="2"/>
  <c r="CB127" i="2" s="1"/>
  <c r="CE701" i="2"/>
  <c r="CH701" i="2" s="1"/>
  <c r="BS410" i="2"/>
  <c r="BV410" i="2" s="1"/>
  <c r="CP398" i="2"/>
  <c r="CR398" i="2" s="1"/>
  <c r="CQ398" i="2" s="1"/>
  <c r="CT398" i="2" s="1"/>
  <c r="DI306" i="2"/>
  <c r="DL306" i="2" s="1"/>
  <c r="BY306" i="2"/>
  <c r="CB306" i="2" s="1"/>
  <c r="CP724" i="2"/>
  <c r="CR724" i="2" s="1"/>
  <c r="CQ724" i="2" s="1"/>
  <c r="CT724" i="2" s="1"/>
  <c r="CQ725" i="2"/>
  <c r="CT725" i="2" s="1"/>
  <c r="BS725" i="2"/>
  <c r="BV725" i="2" s="1"/>
  <c r="CE568" i="2"/>
  <c r="CH568" i="2" s="1"/>
  <c r="BS679" i="2"/>
  <c r="BV679" i="2" s="1"/>
  <c r="BO424" i="2"/>
  <c r="DG668" i="2"/>
  <c r="CO812" i="2"/>
  <c r="CU398" i="2"/>
  <c r="DG988" i="2"/>
  <c r="CJ668" i="2"/>
  <c r="BS491" i="2"/>
  <c r="BV491" i="2" s="1"/>
  <c r="DA988" i="2"/>
  <c r="BY988" i="2"/>
  <c r="CB988" i="2" s="1"/>
  <c r="CE582" i="2"/>
  <c r="CH582" i="2" s="1"/>
  <c r="CJ234" i="2"/>
  <c r="CL234" i="2" s="1"/>
  <c r="CK234" i="2" s="1"/>
  <c r="CN234" i="2" s="1"/>
  <c r="DA424" i="2"/>
  <c r="CE424" i="2"/>
  <c r="CH424" i="2" s="1"/>
  <c r="BO94" i="2"/>
  <c r="BY394" i="2"/>
  <c r="CB394" i="2" s="1"/>
  <c r="CK396" i="2"/>
  <c r="CN396" i="2" s="1"/>
  <c r="BY397" i="2"/>
  <c r="CB397" i="2" s="1"/>
  <c r="CK399" i="2"/>
  <c r="CN399" i="2" s="1"/>
  <c r="BY401" i="2"/>
  <c r="CB401" i="2" s="1"/>
  <c r="CE224" i="2"/>
  <c r="CH224" i="2" s="1"/>
  <c r="CO536" i="2"/>
  <c r="CU536" i="2"/>
  <c r="BS22" i="2"/>
  <c r="BV22" i="2" s="1"/>
  <c r="CE232" i="2"/>
  <c r="CH232" i="2" s="1"/>
  <c r="CQ185" i="2"/>
  <c r="CT185" i="2" s="1"/>
  <c r="BS185" i="2"/>
  <c r="BV185" i="2" s="1"/>
  <c r="CW568" i="2"/>
  <c r="CZ568" i="2" s="1"/>
  <c r="CO234" i="2"/>
  <c r="DA491" i="2"/>
  <c r="BS812" i="2"/>
  <c r="BV812" i="2" s="1"/>
  <c r="CE403" i="2"/>
  <c r="CH403" i="2" s="1"/>
  <c r="DC398" i="2"/>
  <c r="DF398" i="2" s="1"/>
  <c r="BY398" i="2"/>
  <c r="CB398" i="2" s="1"/>
  <c r="BO79" i="2"/>
  <c r="DA79" i="2"/>
  <c r="CE533" i="2"/>
  <c r="CH533" i="2" s="1"/>
  <c r="CX529" i="2"/>
  <c r="CW529" i="2" s="1"/>
  <c r="CZ529" i="2" s="1"/>
  <c r="DP1000" i="2"/>
  <c r="DR1000" i="2"/>
  <c r="CE226" i="2"/>
  <c r="CH226" i="2" s="1"/>
  <c r="BY182" i="2"/>
  <c r="CB182" i="2" s="1"/>
  <c r="BS724" i="2"/>
  <c r="BV724" i="2" s="1"/>
  <c r="CE725" i="2"/>
  <c r="CH725" i="2" s="1"/>
  <c r="DI726" i="2"/>
  <c r="BY726" i="2"/>
  <c r="CB726" i="2" s="1"/>
  <c r="BY12" i="2"/>
  <c r="CB12" i="2" s="1"/>
  <c r="CQ568" i="2"/>
  <c r="CT568" i="2" s="1"/>
  <c r="DC679" i="2"/>
  <c r="DF679" i="2" s="1"/>
  <c r="CE679" i="2"/>
  <c r="CH679" i="2" s="1"/>
  <c r="DG403" i="2"/>
  <c r="CU988" i="2"/>
  <c r="CE491" i="2"/>
  <c r="CH491" i="2" s="1"/>
  <c r="DA82" i="2"/>
  <c r="BY82" i="2"/>
  <c r="CB82" i="2" s="1"/>
  <c r="CO988" i="2"/>
  <c r="CE234" i="2"/>
  <c r="CH234" i="2" s="1"/>
  <c r="BY668" i="2"/>
  <c r="CB668" i="2" s="1"/>
  <c r="CQ424" i="2"/>
  <c r="CT424" i="2" s="1"/>
  <c r="CO394" i="2"/>
  <c r="CW394" i="2"/>
  <c r="CZ394" i="2" s="1"/>
  <c r="CE396" i="2"/>
  <c r="CH396" i="2" s="1"/>
  <c r="CE399" i="2"/>
  <c r="CH399" i="2" s="1"/>
  <c r="CK400" i="2"/>
  <c r="CN400" i="2" s="1"/>
  <c r="BS400" i="2"/>
  <c r="BV400" i="2" s="1"/>
  <c r="DM79" i="2"/>
  <c r="CP797" i="2"/>
  <c r="CR797" i="2" s="1"/>
  <c r="CQ797" i="2" s="1"/>
  <c r="CP148" i="2"/>
  <c r="CP80" i="2"/>
  <c r="CR80" i="2" s="1"/>
  <c r="CQ80" i="2" s="1"/>
  <c r="CT80" i="2" s="1"/>
  <c r="BY568" i="2"/>
  <c r="CB568" i="2" s="1"/>
  <c r="CW679" i="2"/>
  <c r="CZ679" i="2" s="1"/>
  <c r="DG491" i="2"/>
  <c r="BS988" i="2"/>
  <c r="BV988" i="2" s="1"/>
  <c r="CE812" i="2"/>
  <c r="CH812" i="2" s="1"/>
  <c r="DA582" i="2"/>
  <c r="DI582" i="2"/>
  <c r="DL582" i="2" s="1"/>
  <c r="BY582" i="2"/>
  <c r="CB582" i="2" s="1"/>
  <c r="BY424" i="2"/>
  <c r="CB424" i="2" s="1"/>
  <c r="BY94" i="2"/>
  <c r="CO403" i="2"/>
  <c r="DC403" i="2"/>
  <c r="DF403" i="2" s="1"/>
  <c r="CQ401" i="2"/>
  <c r="CT401" i="2" s="1"/>
  <c r="BS1003" i="2"/>
  <c r="BV1003" i="2" s="1"/>
  <c r="DG79" i="2"/>
  <c r="DG570" i="2"/>
  <c r="BO570" i="2"/>
  <c r="CK988" i="2"/>
  <c r="CN988" i="2" s="1"/>
  <c r="CW403" i="2"/>
  <c r="CZ403" i="2" s="1"/>
  <c r="BY396" i="2"/>
  <c r="CB396" i="2" s="1"/>
  <c r="BY399" i="2"/>
  <c r="CB399" i="2" s="1"/>
  <c r="CK401" i="2"/>
  <c r="CN401" i="2" s="1"/>
  <c r="DC228" i="2"/>
  <c r="DF228" i="2" s="1"/>
  <c r="CR535" i="2"/>
  <c r="CQ535" i="2" s="1"/>
  <c r="CE306" i="2"/>
  <c r="CH306" i="2" s="1"/>
  <c r="BY725" i="2"/>
  <c r="CB725" i="2" s="1"/>
  <c r="BS726" i="2"/>
  <c r="BV726" i="2" s="1"/>
  <c r="BS12" i="2"/>
  <c r="CK568" i="2"/>
  <c r="CN568" i="2" s="1"/>
  <c r="BS424" i="2"/>
  <c r="BV424" i="2" s="1"/>
  <c r="CW224" i="2"/>
  <c r="CZ224" i="2" s="1"/>
  <c r="DM416" i="2"/>
  <c r="DA416" i="2"/>
  <c r="CP437" i="2"/>
  <c r="BY22" i="2"/>
  <c r="CB22" i="2" s="1"/>
  <c r="BY185" i="2"/>
  <c r="CB185" i="2" s="1"/>
  <c r="BS568" i="2"/>
  <c r="DJ223" i="2"/>
  <c r="DI223" i="2" s="1"/>
  <c r="DL223" i="2" s="1"/>
  <c r="CQ491" i="2"/>
  <c r="CT491" i="2" s="1"/>
  <c r="CK82" i="2"/>
  <c r="CN82" i="2" s="1"/>
  <c r="BY812" i="2"/>
  <c r="CB812" i="2" s="1"/>
  <c r="BS582" i="2"/>
  <c r="CK94" i="2"/>
  <c r="CN94" i="2" s="1"/>
  <c r="BS94" i="2"/>
  <c r="BV94" i="2" s="1"/>
  <c r="BS403" i="2"/>
  <c r="BV403" i="2" s="1"/>
  <c r="CQ395" i="2"/>
  <c r="CT395" i="2" s="1"/>
  <c r="CQ228" i="2"/>
  <c r="CT228" i="2" s="1"/>
  <c r="CX570" i="2"/>
  <c r="CW570" i="2" s="1"/>
  <c r="CZ570" i="2" s="1"/>
  <c r="DD522" i="2"/>
  <c r="DC522" i="2" s="1"/>
  <c r="DF522" i="2" s="1"/>
  <c r="CV416" i="2"/>
  <c r="CX416" i="2" s="1"/>
  <c r="CW416" i="2" s="1"/>
  <c r="CZ416" i="2" s="1"/>
  <c r="CU534" i="2"/>
  <c r="CO534" i="2"/>
  <c r="BY724" i="2"/>
  <c r="CB724" i="2" s="1"/>
  <c r="CE726" i="2"/>
  <c r="CH726" i="2" s="1"/>
  <c r="CE12" i="2"/>
  <c r="CH12" i="2" s="1"/>
  <c r="CK679" i="2"/>
  <c r="CN679" i="2" s="1"/>
  <c r="BO82" i="2"/>
  <c r="BO403" i="2"/>
  <c r="DA396" i="2"/>
  <c r="CK491" i="2"/>
  <c r="CN491" i="2" s="1"/>
  <c r="CE82" i="2"/>
  <c r="CH82" i="2" s="1"/>
  <c r="BS234" i="2"/>
  <c r="CE668" i="2"/>
  <c r="CH668" i="2" s="1"/>
  <c r="CK395" i="2"/>
  <c r="CN395" i="2" s="1"/>
  <c r="DA570" i="2"/>
  <c r="DM570" i="2"/>
  <c r="CQ79" i="2"/>
  <c r="CT79" i="2" s="1"/>
  <c r="BS536" i="2"/>
  <c r="BV536" i="2" s="1"/>
  <c r="CV525" i="2"/>
  <c r="CX525" i="2" s="1"/>
  <c r="CW525" i="2" s="1"/>
  <c r="CZ525" i="2" s="1"/>
  <c r="BS570" i="2"/>
  <c r="BV570" i="2" s="1"/>
  <c r="CK535" i="2"/>
  <c r="CN535" i="2" s="1"/>
  <c r="BS535" i="2"/>
  <c r="BV535" i="2" s="1"/>
  <c r="CE534" i="2"/>
  <c r="CH534" i="2" s="1"/>
  <c r="DC533" i="2"/>
  <c r="DF533" i="2" s="1"/>
  <c r="BS532" i="2"/>
  <c r="BV532" i="2" s="1"/>
  <c r="CE531" i="2"/>
  <c r="CH531" i="2" s="1"/>
  <c r="DG530" i="2"/>
  <c r="BY530" i="2"/>
  <c r="CB530" i="2" s="1"/>
  <c r="BS529" i="2"/>
  <c r="BV529" i="2" s="1"/>
  <c r="DG516" i="2"/>
  <c r="CW516" i="2"/>
  <c r="CZ516" i="2" s="1"/>
  <c r="CQ523" i="2"/>
  <c r="CT523" i="2" s="1"/>
  <c r="BY271" i="2"/>
  <c r="CB271" i="2" s="1"/>
  <c r="CK235" i="2"/>
  <c r="CN235" i="2" s="1"/>
  <c r="CU797" i="2"/>
  <c r="DP280" i="2"/>
  <c r="CK797" i="2"/>
  <c r="CN797" i="2" s="1"/>
  <c r="CE493" i="2"/>
  <c r="CH493" i="2" s="1"/>
  <c r="CQ907" i="2"/>
  <c r="CT907" i="2" s="1"/>
  <c r="BY907" i="2"/>
  <c r="CB907" i="2" s="1"/>
  <c r="BY148" i="2"/>
  <c r="CR279" i="2"/>
  <c r="CQ279" i="2" s="1"/>
  <c r="CT279" i="2" s="1"/>
  <c r="DM932" i="2"/>
  <c r="BS298" i="2"/>
  <c r="BV298" i="2" s="1"/>
  <c r="CE437" i="2"/>
  <c r="CH437" i="2" s="1"/>
  <c r="CK667" i="2"/>
  <c r="CN667" i="2" s="1"/>
  <c r="CQ280" i="2"/>
  <c r="CT280" i="2" s="1"/>
  <c r="BS224" i="2"/>
  <c r="BV224" i="2" s="1"/>
  <c r="CQ1003" i="2"/>
  <c r="CT1003" i="2" s="1"/>
  <c r="CW11" i="2"/>
  <c r="CZ11" i="2" s="1"/>
  <c r="BO525" i="2"/>
  <c r="CK79" i="2"/>
  <c r="CN79" i="2" s="1"/>
  <c r="CE416" i="2"/>
  <c r="CH416" i="2" s="1"/>
  <c r="DG533" i="2"/>
  <c r="BY533" i="2"/>
  <c r="CB533" i="2" s="1"/>
  <c r="CE522" i="2"/>
  <c r="CH522" i="2" s="1"/>
  <c r="BY521" i="2"/>
  <c r="CB521" i="2" s="1"/>
  <c r="CK520" i="2"/>
  <c r="CN520" i="2" s="1"/>
  <c r="BS235" i="2"/>
  <c r="BV235" i="2" s="1"/>
  <c r="DD667" i="2"/>
  <c r="DC667" i="2" s="1"/>
  <c r="DF667" i="2" s="1"/>
  <c r="CV466" i="2"/>
  <c r="CX466" i="2" s="1"/>
  <c r="CW466" i="2" s="1"/>
  <c r="CZ466" i="2" s="1"/>
  <c r="BS395" i="2"/>
  <c r="CK85" i="2"/>
  <c r="CN85" i="2" s="1"/>
  <c r="BS85" i="2"/>
  <c r="BV85" i="2" s="1"/>
  <c r="BY223" i="2"/>
  <c r="BY228" i="2"/>
  <c r="CB228" i="2" s="1"/>
  <c r="CK1003" i="2"/>
  <c r="CQ11" i="2"/>
  <c r="CT11" i="2" s="1"/>
  <c r="DM529" i="2"/>
  <c r="BS79" i="2"/>
  <c r="BV79" i="2" s="1"/>
  <c r="CE570" i="2"/>
  <c r="CH570" i="2" s="1"/>
  <c r="CK536" i="2"/>
  <c r="CN536" i="2" s="1"/>
  <c r="CE525" i="2"/>
  <c r="CH525" i="2" s="1"/>
  <c r="BS523" i="2"/>
  <c r="BV523" i="2" s="1"/>
  <c r="BS520" i="2"/>
  <c r="BV520" i="2" s="1"/>
  <c r="CK271" i="2"/>
  <c r="CN271" i="2" s="1"/>
  <c r="CJ298" i="2"/>
  <c r="BY493" i="2"/>
  <c r="CB493" i="2" s="1"/>
  <c r="CU437" i="2"/>
  <c r="CU932" i="2"/>
  <c r="BY534" i="2"/>
  <c r="CK533" i="2"/>
  <c r="CN533" i="2" s="1"/>
  <c r="CE532" i="2"/>
  <c r="CH532" i="2" s="1"/>
  <c r="BY531" i="2"/>
  <c r="CB531" i="2" s="1"/>
  <c r="BS530" i="2"/>
  <c r="BV530" i="2" s="1"/>
  <c r="CK521" i="2"/>
  <c r="CN521" i="2" s="1"/>
  <c r="BS271" i="2"/>
  <c r="BV271" i="2" s="1"/>
  <c r="CE235" i="2"/>
  <c r="CH235" i="2" s="1"/>
  <c r="CU493" i="2"/>
  <c r="CK1000" i="2"/>
  <c r="CN1000" i="2" s="1"/>
  <c r="CK907" i="2"/>
  <c r="CN907" i="2" s="1"/>
  <c r="BS907" i="2"/>
  <c r="CR932" i="2"/>
  <c r="CQ932" i="2" s="1"/>
  <c r="CT932" i="2" s="1"/>
  <c r="BY437" i="2"/>
  <c r="CB437" i="2" s="1"/>
  <c r="CK394" i="2"/>
  <c r="CN394" i="2" s="1"/>
  <c r="BS394" i="2"/>
  <c r="BS396" i="2"/>
  <c r="BV396" i="2" s="1"/>
  <c r="BS397" i="2"/>
  <c r="BV397" i="2" s="1"/>
  <c r="BS399" i="2"/>
  <c r="CE400" i="2"/>
  <c r="CH400" i="2" s="1"/>
  <c r="CE395" i="2"/>
  <c r="CH395" i="2" s="1"/>
  <c r="CE85" i="2"/>
  <c r="CH85" i="2" s="1"/>
  <c r="CE79" i="2"/>
  <c r="CH79" i="2" s="1"/>
  <c r="CQ416" i="2"/>
  <c r="CT416" i="2" s="1"/>
  <c r="BY416" i="2"/>
  <c r="CB416" i="2" s="1"/>
  <c r="BS533" i="2"/>
  <c r="BV533" i="2" s="1"/>
  <c r="DI532" i="2"/>
  <c r="DL532" i="2" s="1"/>
  <c r="CK528" i="2"/>
  <c r="CN528" i="2" s="1"/>
  <c r="DC525" i="2"/>
  <c r="DF525" i="2" s="1"/>
  <c r="BY525" i="2"/>
  <c r="CB525" i="2" s="1"/>
  <c r="CK524" i="2"/>
  <c r="CN524" i="2" s="1"/>
  <c r="CE523" i="2"/>
  <c r="CH523" i="2" s="1"/>
  <c r="BY522" i="2"/>
  <c r="CB522" i="2" s="1"/>
  <c r="BS521" i="2"/>
  <c r="BV521" i="2" s="1"/>
  <c r="CE520" i="2"/>
  <c r="CH520" i="2" s="1"/>
  <c r="DC907" i="2"/>
  <c r="DF907" i="2" s="1"/>
  <c r="CU960" i="2"/>
  <c r="DJ804" i="2"/>
  <c r="DI804" i="2" s="1"/>
  <c r="DL804" i="2" s="1"/>
  <c r="BO932" i="2"/>
  <c r="CE804" i="2"/>
  <c r="CH804" i="2" s="1"/>
  <c r="CQ803" i="2"/>
  <c r="CT803" i="2" s="1"/>
  <c r="CX389" i="2"/>
  <c r="CW389" i="2" s="1"/>
  <c r="CZ389" i="2" s="1"/>
  <c r="BY570" i="2"/>
  <c r="CB570" i="2" s="1"/>
  <c r="CE536" i="2"/>
  <c r="CH536" i="2" s="1"/>
  <c r="BY535" i="2"/>
  <c r="CB535" i="2" s="1"/>
  <c r="CK534" i="2"/>
  <c r="CN534" i="2" s="1"/>
  <c r="BY532" i="2"/>
  <c r="CB532" i="2" s="1"/>
  <c r="CK531" i="2"/>
  <c r="CN531" i="2" s="1"/>
  <c r="CE530" i="2"/>
  <c r="CH530" i="2" s="1"/>
  <c r="DG529" i="2"/>
  <c r="BY529" i="2"/>
  <c r="CB529" i="2" s="1"/>
  <c r="BS528" i="2"/>
  <c r="BV528" i="2" s="1"/>
  <c r="CE516" i="2"/>
  <c r="CH516" i="2" s="1"/>
  <c r="DG525" i="2"/>
  <c r="BS524" i="2"/>
  <c r="BV524" i="2" s="1"/>
  <c r="CE271" i="2"/>
  <c r="CH271" i="2" s="1"/>
  <c r="DC797" i="2"/>
  <c r="DF797" i="2" s="1"/>
  <c r="CK493" i="2"/>
  <c r="CN493" i="2" s="1"/>
  <c r="BS493" i="2"/>
  <c r="BV493" i="2" s="1"/>
  <c r="CE1000" i="2"/>
  <c r="CH1000" i="2" s="1"/>
  <c r="CR960" i="2"/>
  <c r="CQ960" i="2" s="1"/>
  <c r="CT960" i="2" s="1"/>
  <c r="BY298" i="2"/>
  <c r="CB298" i="2" s="1"/>
  <c r="CK437" i="2"/>
  <c r="CN437" i="2" s="1"/>
  <c r="CK522" i="2"/>
  <c r="CN522" i="2" s="1"/>
  <c r="CE521" i="2"/>
  <c r="BY235" i="2"/>
  <c r="CB235" i="2" s="1"/>
  <c r="BY797" i="2"/>
  <c r="CB797" i="2" s="1"/>
  <c r="DC298" i="2"/>
  <c r="DF298" i="2" s="1"/>
  <c r="BS932" i="2"/>
  <c r="BV932" i="2" s="1"/>
  <c r="BS668" i="2"/>
  <c r="BV668" i="2" s="1"/>
  <c r="BY400" i="2"/>
  <c r="CB400" i="2" s="1"/>
  <c r="BY395" i="2"/>
  <c r="CB395" i="2" s="1"/>
  <c r="BY85" i="2"/>
  <c r="CE223" i="2"/>
  <c r="CH223" i="2" s="1"/>
  <c r="CE228" i="2"/>
  <c r="CH228" i="2" s="1"/>
  <c r="BY79" i="2"/>
  <c r="CB79" i="2" s="1"/>
  <c r="CK570" i="2"/>
  <c r="CN570" i="2" s="1"/>
  <c r="CK416" i="2"/>
  <c r="CN416" i="2" s="1"/>
  <c r="BS416" i="2"/>
  <c r="BV416" i="2" s="1"/>
  <c r="DC530" i="2"/>
  <c r="DF530" i="2" s="1"/>
  <c r="CK529" i="2"/>
  <c r="CN529" i="2" s="1"/>
  <c r="CE528" i="2"/>
  <c r="CH528" i="2" s="1"/>
  <c r="BY516" i="2"/>
  <c r="CB516" i="2" s="1"/>
  <c r="CK525" i="2"/>
  <c r="CN525" i="2" s="1"/>
  <c r="BS525" i="2"/>
  <c r="BV525" i="2" s="1"/>
  <c r="CE524" i="2"/>
  <c r="CH524" i="2" s="1"/>
  <c r="BY523" i="2"/>
  <c r="CB523" i="2" s="1"/>
  <c r="BS522" i="2"/>
  <c r="BV522" i="2" s="1"/>
  <c r="BY520" i="2"/>
  <c r="CB520" i="2" s="1"/>
  <c r="BO298" i="2"/>
  <c r="DG298" i="2"/>
  <c r="DJ667" i="2"/>
  <c r="DI667" i="2" s="1"/>
  <c r="DL667" i="2" s="1"/>
  <c r="CE803" i="2"/>
  <c r="CJ217" i="2"/>
  <c r="CV420" i="2"/>
  <c r="BY279" i="2"/>
  <c r="CB279" i="2" s="1"/>
  <c r="CW217" i="2"/>
  <c r="CZ217" i="2" s="1"/>
  <c r="BS882" i="2"/>
  <c r="BV882" i="2" s="1"/>
  <c r="BO210" i="2"/>
  <c r="DB65" i="2"/>
  <c r="BS714" i="2"/>
  <c r="BV714" i="2" s="1"/>
  <c r="BY573" i="2"/>
  <c r="CB573" i="2" s="1"/>
  <c r="CK420" i="2"/>
  <c r="CN420" i="2" s="1"/>
  <c r="CE604" i="2"/>
  <c r="CH604" i="2" s="1"/>
  <c r="CT348" i="2"/>
  <c r="CQ1033" i="2"/>
  <c r="CT1033" i="2" s="1"/>
  <c r="CE298" i="2"/>
  <c r="CH298" i="2" s="1"/>
  <c r="BY667" i="2"/>
  <c r="CB667" i="2" s="1"/>
  <c r="CK932" i="2"/>
  <c r="CN932" i="2" s="1"/>
  <c r="CE960" i="2"/>
  <c r="CH960" i="2" s="1"/>
  <c r="BY280" i="2"/>
  <c r="CK279" i="2"/>
  <c r="CN279" i="2" s="1"/>
  <c r="BY217" i="2"/>
  <c r="CB217" i="2" s="1"/>
  <c r="BS420" i="2"/>
  <c r="BV420" i="2" s="1"/>
  <c r="DD210" i="2"/>
  <c r="DC210" i="2" s="1"/>
  <c r="DF210" i="2" s="1"/>
  <c r="DG1032" i="2"/>
  <c r="DA1032" i="2"/>
  <c r="BS279" i="2"/>
  <c r="BV279" i="2" s="1"/>
  <c r="DD698" i="2"/>
  <c r="DC698" i="2" s="1"/>
  <c r="DF698" i="2" s="1"/>
  <c r="DB163" i="2"/>
  <c r="BY80" i="2"/>
  <c r="CB80" i="2" s="1"/>
  <c r="CK280" i="2"/>
  <c r="CN280" i="2" s="1"/>
  <c r="BS466" i="2"/>
  <c r="BV466" i="2" s="1"/>
  <c r="BS573" i="2"/>
  <c r="BV573" i="2" s="1"/>
  <c r="CE420" i="2"/>
  <c r="CH420" i="2" s="1"/>
  <c r="BY604" i="2"/>
  <c r="CL545" i="2"/>
  <c r="CK545" i="2" s="1"/>
  <c r="CN545" i="2" s="1"/>
  <c r="DG210" i="2"/>
  <c r="BS280" i="2"/>
  <c r="BV280" i="2" s="1"/>
  <c r="CE279" i="2"/>
  <c r="CH279" i="2" s="1"/>
  <c r="BS217" i="2"/>
  <c r="BV217" i="2" s="1"/>
  <c r="CU573" i="2"/>
  <c r="DA420" i="2"/>
  <c r="DD714" i="2"/>
  <c r="DC714" i="2" s="1"/>
  <c r="DF714" i="2" s="1"/>
  <c r="CL210" i="2"/>
  <c r="CK210" i="2" s="1"/>
  <c r="CN210" i="2" s="1"/>
  <c r="BY804" i="2"/>
  <c r="CB804" i="2" s="1"/>
  <c r="CK803" i="2"/>
  <c r="CN803" i="2" s="1"/>
  <c r="CK80" i="2"/>
  <c r="CN80" i="2" s="1"/>
  <c r="DJ882" i="2"/>
  <c r="CE466" i="2"/>
  <c r="CH466" i="2" s="1"/>
  <c r="CE573" i="2"/>
  <c r="CH573" i="2" s="1"/>
  <c r="CQ420" i="2"/>
  <c r="CT420" i="2" s="1"/>
  <c r="CK604" i="2"/>
  <c r="CN604" i="2" s="1"/>
  <c r="CJ1032" i="2"/>
  <c r="DD1027" i="2"/>
  <c r="DC1027" i="2" s="1"/>
  <c r="DF1027" i="2" s="1"/>
  <c r="CU210" i="2"/>
  <c r="DT141" i="2"/>
  <c r="BY1000" i="2"/>
  <c r="CB1000" i="2" s="1"/>
  <c r="CW907" i="2"/>
  <c r="CZ907" i="2" s="1"/>
  <c r="CE667" i="2"/>
  <c r="CH667" i="2" s="1"/>
  <c r="DC932" i="2"/>
  <c r="DF932" i="2" s="1"/>
  <c r="CK960" i="2"/>
  <c r="CN960" i="2" s="1"/>
  <c r="BS803" i="2"/>
  <c r="BV803" i="2" s="1"/>
  <c r="BS80" i="2"/>
  <c r="BV80" i="2" s="1"/>
  <c r="CE280" i="2"/>
  <c r="CH280" i="2" s="1"/>
  <c r="CE217" i="2"/>
  <c r="CH217" i="2" s="1"/>
  <c r="BY420" i="2"/>
  <c r="CB420" i="2" s="1"/>
  <c r="BS604" i="2"/>
  <c r="BV604" i="2" s="1"/>
  <c r="CX751" i="2"/>
  <c r="CW751" i="2" s="1"/>
  <c r="CZ751" i="2" s="1"/>
  <c r="CF163" i="2"/>
  <c r="CE163" i="2" s="1"/>
  <c r="CH163" i="2" s="1"/>
  <c r="CL1024" i="2"/>
  <c r="CK1024" i="2" s="1"/>
  <c r="CN1024" i="2" s="1"/>
  <c r="CQ1029" i="2"/>
  <c r="CT1029" i="2" s="1"/>
  <c r="CQ1026" i="2"/>
  <c r="CT1026" i="2" s="1"/>
  <c r="DG1023" i="2"/>
  <c r="CU1023" i="2"/>
  <c r="CE1023" i="2"/>
  <c r="CH1023" i="2" s="1"/>
  <c r="BY1031" i="2"/>
  <c r="CB1031" i="2" s="1"/>
  <c r="CW840" i="2"/>
  <c r="CZ840" i="2" s="1"/>
  <c r="CO789" i="2"/>
  <c r="CI789" i="2"/>
  <c r="DC1024" i="2"/>
  <c r="DF1024" i="2" s="1"/>
  <c r="DC1031" i="2"/>
  <c r="DF1031" i="2" s="1"/>
  <c r="CQ144" i="2"/>
  <c r="CT144" i="2" s="1"/>
  <c r="BS1032" i="2"/>
  <c r="BV1032" i="2" s="1"/>
  <c r="CJ1029" i="2"/>
  <c r="CL1029" i="2" s="1"/>
  <c r="CK1029" i="2" s="1"/>
  <c r="CN1029" i="2" s="1"/>
  <c r="CE1030" i="2"/>
  <c r="CH1030" i="2" s="1"/>
  <c r="CW1032" i="2"/>
  <c r="CZ1032" i="2" s="1"/>
  <c r="BS210" i="2"/>
  <c r="BV210" i="2" s="1"/>
  <c r="CQ163" i="2"/>
  <c r="CT163" i="2" s="1"/>
  <c r="CK163" i="2"/>
  <c r="CN163" i="2" s="1"/>
  <c r="CI1028" i="2"/>
  <c r="CE1028" i="2"/>
  <c r="CH1028" i="2" s="1"/>
  <c r="CQ1023" i="2"/>
  <c r="CT1023" i="2" s="1"/>
  <c r="CX1029" i="2"/>
  <c r="CW1029" i="2" s="1"/>
  <c r="CZ1029" i="2" s="1"/>
  <c r="BY1025" i="2"/>
  <c r="CB1025" i="2" s="1"/>
  <c r="CQ937" i="2"/>
  <c r="CT937" i="2" s="1"/>
  <c r="BS318" i="2"/>
  <c r="CQ931" i="2"/>
  <c r="CT931" i="2" s="1"/>
  <c r="DC727" i="2"/>
  <c r="DF727" i="2" s="1"/>
  <c r="CQ751" i="2"/>
  <c r="CT751" i="2" s="1"/>
  <c r="CE1029" i="2"/>
  <c r="CH1029" i="2" s="1"/>
  <c r="BY1027" i="2"/>
  <c r="CB1027" i="2" s="1"/>
  <c r="CE1035" i="2"/>
  <c r="CH1035" i="2" s="1"/>
  <c r="CQ465" i="2"/>
  <c r="CT465" i="2" s="1"/>
  <c r="CQ318" i="2"/>
  <c r="CT318" i="2" s="1"/>
  <c r="DC1045" i="2"/>
  <c r="DF1045" i="2" s="1"/>
  <c r="DC141" i="2"/>
  <c r="DF141" i="2" s="1"/>
  <c r="CK144" i="2"/>
  <c r="CN144" i="2" s="1"/>
  <c r="CF348" i="2"/>
  <c r="CE348" i="2" s="1"/>
  <c r="CH348" i="2" s="1"/>
  <c r="BY695" i="2"/>
  <c r="CB695" i="2" s="1"/>
  <c r="CE132" i="2"/>
  <c r="CH132" i="2" s="1"/>
  <c r="DO972" i="2"/>
  <c r="DR972" i="2" s="1"/>
  <c r="CW141" i="2"/>
  <c r="CZ141" i="2" s="1"/>
  <c r="CQ727" i="2"/>
  <c r="CT727" i="2" s="1"/>
  <c r="BS727" i="2"/>
  <c r="DC695" i="2"/>
  <c r="DF695" i="2" s="1"/>
  <c r="CE198" i="2"/>
  <c r="CH198" i="2" s="1"/>
  <c r="CP329" i="2"/>
  <c r="CR329" i="2" s="1"/>
  <c r="CQ329" i="2" s="1"/>
  <c r="CP48" i="2"/>
  <c r="CR48" i="2" s="1"/>
  <c r="CQ48" i="2" s="1"/>
  <c r="CT48" i="2" s="1"/>
  <c r="CE1032" i="2"/>
  <c r="CH1032" i="2" s="1"/>
  <c r="CQ840" i="2"/>
  <c r="CT840" i="2" s="1"/>
  <c r="DC545" i="2"/>
  <c r="DF545" i="2" s="1"/>
  <c r="CE318" i="2"/>
  <c r="CH318" i="2" s="1"/>
  <c r="CQ1045" i="2"/>
  <c r="CT1045" i="2" s="1"/>
  <c r="CF698" i="2"/>
  <c r="CE698" i="2" s="1"/>
  <c r="CH698" i="2" s="1"/>
  <c r="CU1033" i="2"/>
  <c r="BY210" i="2"/>
  <c r="CB210" i="2" s="1"/>
  <c r="CK389" i="2"/>
  <c r="CN389" i="2" s="1"/>
  <c r="BS389" i="2"/>
  <c r="BV389" i="2" s="1"/>
  <c r="BS713" i="2"/>
  <c r="BV713" i="2" s="1"/>
  <c r="BS1024" i="2"/>
  <c r="BV1024" i="2" s="1"/>
  <c r="BY1023" i="2"/>
  <c r="CB1023" i="2" s="1"/>
  <c r="CQ1031" i="2"/>
  <c r="CT1031" i="2" s="1"/>
  <c r="BS1031" i="2"/>
  <c r="BV1031" i="2" s="1"/>
  <c r="BY1029" i="2"/>
  <c r="CB1029" i="2" s="1"/>
  <c r="BS1027" i="2"/>
  <c r="CK1025" i="2"/>
  <c r="CN1025" i="2" s="1"/>
  <c r="BY1035" i="2"/>
  <c r="CB1035" i="2" s="1"/>
  <c r="BS937" i="2"/>
  <c r="BV937" i="2" s="1"/>
  <c r="BY1011" i="2"/>
  <c r="CB1011" i="2" s="1"/>
  <c r="DC865" i="2"/>
  <c r="DF865" i="2" s="1"/>
  <c r="DC105" i="2"/>
  <c r="DF105" i="2" s="1"/>
  <c r="DH617" i="2"/>
  <c r="DJ617" i="2" s="1"/>
  <c r="DI617" i="2" s="1"/>
  <c r="DL617" i="2" s="1"/>
  <c r="BY53" i="2"/>
  <c r="CA53" i="2" s="1"/>
  <c r="BZ53" i="2" s="1"/>
  <c r="DB815" i="2"/>
  <c r="DD815" i="2" s="1"/>
  <c r="DC815" i="2" s="1"/>
  <c r="BY1028" i="2"/>
  <c r="CB1028" i="2" s="1"/>
  <c r="CE1024" i="2"/>
  <c r="CH1024" i="2" s="1"/>
  <c r="BY1032" i="2"/>
  <c r="CB1032" i="2" s="1"/>
  <c r="CE1031" i="2"/>
  <c r="CH1031" i="2" s="1"/>
  <c r="CE1027" i="2"/>
  <c r="CH1027" i="2" s="1"/>
  <c r="BS1035" i="2"/>
  <c r="BV1035" i="2" s="1"/>
  <c r="DC144" i="2"/>
  <c r="DF144" i="2" s="1"/>
  <c r="DC931" i="2"/>
  <c r="DF931" i="2" s="1"/>
  <c r="BS1023" i="2"/>
  <c r="BV1023" i="2" s="1"/>
  <c r="CE1033" i="2"/>
  <c r="CH1033" i="2" s="1"/>
  <c r="BS1029" i="2"/>
  <c r="BV1029" i="2" s="1"/>
  <c r="DC465" i="2"/>
  <c r="DF465" i="2" s="1"/>
  <c r="CE937" i="2"/>
  <c r="BY1045" i="2"/>
  <c r="CB1045" i="2" s="1"/>
  <c r="CK1011" i="2"/>
  <c r="CN1011" i="2" s="1"/>
  <c r="CE141" i="2"/>
  <c r="CH141" i="2" s="1"/>
  <c r="BY144" i="2"/>
  <c r="CB144" i="2" s="1"/>
  <c r="CQ865" i="2"/>
  <c r="CT865" i="2" s="1"/>
  <c r="DO105" i="2"/>
  <c r="DR105" i="2" s="1"/>
  <c r="CE545" i="2"/>
  <c r="CH545" i="2" s="1"/>
  <c r="DC1011" i="2"/>
  <c r="DF1011" i="2" s="1"/>
  <c r="CK141" i="2"/>
  <c r="CN141" i="2" s="1"/>
  <c r="CE144" i="2"/>
  <c r="CH144" i="2" s="1"/>
  <c r="BY767" i="2"/>
  <c r="CB767" i="2" s="1"/>
  <c r="CE865" i="2"/>
  <c r="CH865" i="2" s="1"/>
  <c r="BS348" i="2"/>
  <c r="BV348" i="2" s="1"/>
  <c r="CE931" i="2"/>
  <c r="CQ468" i="2"/>
  <c r="CT468" i="2" s="1"/>
  <c r="BY972" i="2"/>
  <c r="CB972" i="2" s="1"/>
  <c r="BS105" i="2"/>
  <c r="BV105" i="2" s="1"/>
  <c r="CW715" i="2"/>
  <c r="CZ715" i="2" s="1"/>
  <c r="DI65" i="2"/>
  <c r="DL65" i="2" s="1"/>
  <c r="BY65" i="2"/>
  <c r="CB65" i="2" s="1"/>
  <c r="BY393" i="2"/>
  <c r="CB393" i="2" s="1"/>
  <c r="CR429" i="2"/>
  <c r="CQ429" i="2" s="1"/>
  <c r="CT429" i="2" s="1"/>
  <c r="CE329" i="2"/>
  <c r="CH329" i="2" s="1"/>
  <c r="CD53" i="2"/>
  <c r="CP1005" i="2"/>
  <c r="DP49" i="2"/>
  <c r="DO49" i="2" s="1"/>
  <c r="DR49" i="2" s="1"/>
  <c r="DI5" i="2"/>
  <c r="DL5" i="2" s="1"/>
  <c r="BS5" i="2"/>
  <c r="BV5" i="2" s="1"/>
  <c r="CR925" i="2"/>
  <c r="CQ925" i="2" s="1"/>
  <c r="CT925" i="2" s="1"/>
  <c r="BW1034" i="2"/>
  <c r="BQ1034" i="2"/>
  <c r="CI1034" i="2"/>
  <c r="CC1034" i="2"/>
  <c r="CO1034" i="2"/>
  <c r="CQ938" i="2"/>
  <c r="CT938" i="2" s="1"/>
  <c r="BS938" i="2"/>
  <c r="BV938" i="2" s="1"/>
  <c r="BY727" i="2"/>
  <c r="CB727" i="2" s="1"/>
  <c r="CE695" i="2"/>
  <c r="CH695" i="2" s="1"/>
  <c r="BS198" i="2"/>
  <c r="BV198" i="2" s="1"/>
  <c r="BS132" i="2"/>
  <c r="BV132" i="2" s="1"/>
  <c r="BY468" i="2"/>
  <c r="CQ715" i="2"/>
  <c r="CT715" i="2" s="1"/>
  <c r="CW183" i="2"/>
  <c r="CZ183" i="2" s="1"/>
  <c r="CW429" i="2"/>
  <c r="CZ429" i="2" s="1"/>
  <c r="BY429" i="2"/>
  <c r="CB429" i="2" s="1"/>
  <c r="DG48" i="2"/>
  <c r="BO617" i="2"/>
  <c r="CJ53" i="2"/>
  <c r="BY49" i="2"/>
  <c r="CB49" i="2" s="1"/>
  <c r="DA609" i="2"/>
  <c r="BY609" i="2"/>
  <c r="CB609" i="2" s="1"/>
  <c r="CE602" i="2"/>
  <c r="CH602" i="2" s="1"/>
  <c r="BY1005" i="2"/>
  <c r="CB1005" i="2" s="1"/>
  <c r="BO834" i="2"/>
  <c r="CU834" i="2"/>
  <c r="DG834" i="2"/>
  <c r="DA834" i="2"/>
  <c r="CE105" i="2"/>
  <c r="CH105" i="2" s="1"/>
  <c r="CQ821" i="2"/>
  <c r="CT821" i="2" s="1"/>
  <c r="BS821" i="2"/>
  <c r="BV821" i="2" s="1"/>
  <c r="BS96" i="2"/>
  <c r="BV96" i="2" s="1"/>
  <c r="CQ183" i="2"/>
  <c r="CT183" i="2" s="1"/>
  <c r="BS183" i="2"/>
  <c r="BV183" i="2" s="1"/>
  <c r="CW393" i="2"/>
  <c r="CZ393" i="2" s="1"/>
  <c r="DD1005" i="2"/>
  <c r="DC1005" i="2" s="1"/>
  <c r="DF1005" i="2" s="1"/>
  <c r="BO815" i="2"/>
  <c r="DG815" i="2"/>
  <c r="DB676" i="2"/>
  <c r="DD676" i="2" s="1"/>
  <c r="DC676" i="2" s="1"/>
  <c r="DF676" i="2" s="1"/>
  <c r="CE789" i="2"/>
  <c r="CH789" i="2" s="1"/>
  <c r="BS767" i="2"/>
  <c r="BV767" i="2" s="1"/>
  <c r="BY865" i="2"/>
  <c r="CB865" i="2" s="1"/>
  <c r="BY931" i="2"/>
  <c r="CB931" i="2" s="1"/>
  <c r="CE938" i="2"/>
  <c r="CW727" i="2"/>
  <c r="CZ727" i="2" s="1"/>
  <c r="DC751" i="2"/>
  <c r="DF751" i="2" s="1"/>
  <c r="CK468" i="2"/>
  <c r="CN468" i="2" s="1"/>
  <c r="BS972" i="2"/>
  <c r="BV972" i="2" s="1"/>
  <c r="CW96" i="2"/>
  <c r="CZ96" i="2" s="1"/>
  <c r="CQ65" i="2"/>
  <c r="CT65" i="2" s="1"/>
  <c r="BS65" i="2"/>
  <c r="BV65" i="2" s="1"/>
  <c r="CQ393" i="2"/>
  <c r="CT393" i="2" s="1"/>
  <c r="BS393" i="2"/>
  <c r="BV393" i="2" s="1"/>
  <c r="CK429" i="2"/>
  <c r="CN429" i="2" s="1"/>
  <c r="BY329" i="2"/>
  <c r="CB329" i="2" s="1"/>
  <c r="CI48" i="2"/>
  <c r="CU49" i="2"/>
  <c r="CP53" i="2"/>
  <c r="DT602" i="2"/>
  <c r="BO48" i="2"/>
  <c r="BS49" i="2"/>
  <c r="BV49" i="2" s="1"/>
  <c r="BN53" i="2"/>
  <c r="BQ53" i="2" s="1"/>
  <c r="BS609" i="2"/>
  <c r="BV609" i="2" s="1"/>
  <c r="CW5" i="2"/>
  <c r="CZ5" i="2" s="1"/>
  <c r="CP676" i="2"/>
  <c r="CR676" i="2" s="1"/>
  <c r="CQ676" i="2" s="1"/>
  <c r="CE821" i="2"/>
  <c r="CE183" i="2"/>
  <c r="CH183" i="2" s="1"/>
  <c r="BO609" i="2"/>
  <c r="CU609" i="2"/>
  <c r="CK96" i="2"/>
  <c r="CN96" i="2" s="1"/>
  <c r="BS329" i="2"/>
  <c r="BV329" i="2" s="1"/>
  <c r="DA617" i="2"/>
  <c r="DT5" i="2"/>
  <c r="DG49" i="2"/>
  <c r="CN609" i="2"/>
  <c r="DI602" i="2"/>
  <c r="DL602" i="2" s="1"/>
  <c r="DM834" i="2"/>
  <c r="CR309" i="2"/>
  <c r="CQ309" i="2" s="1"/>
  <c r="CT309" i="2" s="1"/>
  <c r="DN15" i="2"/>
  <c r="DP15" i="2" s="1"/>
  <c r="DO15" i="2" s="1"/>
  <c r="CQ105" i="2"/>
  <c r="CT105" i="2" s="1"/>
  <c r="DO96" i="2"/>
  <c r="DR96" i="2" s="1"/>
  <c r="DG609" i="2"/>
  <c r="CU787" i="2"/>
  <c r="DG787" i="2"/>
  <c r="DN309" i="2"/>
  <c r="DP309" i="2" s="1"/>
  <c r="DO309" i="2" s="1"/>
  <c r="CQ141" i="2"/>
  <c r="DC789" i="2"/>
  <c r="DF789" i="2" s="1"/>
  <c r="CE767" i="2"/>
  <c r="CH767" i="2" s="1"/>
  <c r="DC938" i="2"/>
  <c r="DF938" i="2" s="1"/>
  <c r="CQ695" i="2"/>
  <c r="CT695" i="2" s="1"/>
  <c r="BS695" i="2"/>
  <c r="BV695" i="2" s="1"/>
  <c r="CE751" i="2"/>
  <c r="BY698" i="2"/>
  <c r="CB698" i="2" s="1"/>
  <c r="CE972" i="2"/>
  <c r="CH972" i="2" s="1"/>
  <c r="CK105" i="2"/>
  <c r="CN105" i="2" s="1"/>
  <c r="BS715" i="2"/>
  <c r="BV715" i="2" s="1"/>
  <c r="DI821" i="2"/>
  <c r="DL821" i="2" s="1"/>
  <c r="BY183" i="2"/>
  <c r="CB183" i="2" s="1"/>
  <c r="BY48" i="2"/>
  <c r="CB48" i="2" s="1"/>
  <c r="DH653" i="2"/>
  <c r="BS48" i="2"/>
  <c r="BV48" i="2" s="1"/>
  <c r="BS617" i="2"/>
  <c r="BV617" i="2" s="1"/>
  <c r="BT53" i="2"/>
  <c r="BW53" i="2" s="1"/>
  <c r="CE609" i="2"/>
  <c r="CH609" i="2" s="1"/>
  <c r="CE5" i="2"/>
  <c r="CH5" i="2" s="1"/>
  <c r="CK815" i="2"/>
  <c r="CN815" i="2" s="1"/>
  <c r="BS787" i="2"/>
  <c r="BV787" i="2" s="1"/>
  <c r="CE835" i="2"/>
  <c r="CH835" i="2" s="1"/>
  <c r="BS834" i="2"/>
  <c r="BV834" i="2" s="1"/>
  <c r="CJ15" i="2"/>
  <c r="CQ37" i="2"/>
  <c r="CT37" i="2" s="1"/>
  <c r="BS37" i="2"/>
  <c r="BV37" i="2" s="1"/>
  <c r="DG676" i="2"/>
  <c r="BT676" i="2"/>
  <c r="BS676" i="2" s="1"/>
  <c r="BV676" i="2" s="1"/>
  <c r="BS815" i="2"/>
  <c r="BV815" i="2" s="1"/>
  <c r="BS309" i="2"/>
  <c r="BV309" i="2" s="1"/>
  <c r="CQ5" i="2"/>
  <c r="CE37" i="2"/>
  <c r="CH37" i="2" s="1"/>
  <c r="BS653" i="2"/>
  <c r="BV653" i="2" s="1"/>
  <c r="CU676" i="2"/>
  <c r="BY925" i="2"/>
  <c r="CB925" i="2" s="1"/>
  <c r="DG15" i="2"/>
  <c r="DM676" i="2"/>
  <c r="DC602" i="2"/>
  <c r="DF602" i="2" s="1"/>
  <c r="BS1005" i="2"/>
  <c r="DC5" i="2"/>
  <c r="DF5" i="2" s="1"/>
  <c r="BY15" i="2"/>
  <c r="CB15" i="2" s="1"/>
  <c r="CI676" i="2"/>
  <c r="BO676" i="2"/>
  <c r="CK602" i="2"/>
  <c r="CN602" i="2" s="1"/>
  <c r="BS602" i="2"/>
  <c r="BV602" i="2" s="1"/>
  <c r="CK5" i="2"/>
  <c r="CN5" i="2" s="1"/>
  <c r="BY787" i="2"/>
  <c r="CB787" i="2" s="1"/>
  <c r="BY834" i="2"/>
  <c r="CB834" i="2" s="1"/>
  <c r="BY37" i="2"/>
  <c r="CB37" i="2" s="1"/>
  <c r="CH676" i="2"/>
  <c r="BS835" i="2"/>
  <c r="BV835" i="2" s="1"/>
  <c r="CQ815" i="2"/>
  <c r="CT815" i="2" s="1"/>
  <c r="BS115" i="2"/>
  <c r="BV115" i="2" s="1"/>
  <c r="BS15" i="2"/>
  <c r="BV15" i="2" s="1"/>
  <c r="BO12" i="14"/>
  <c r="DG12" i="14"/>
  <c r="DH12" i="14" s="1"/>
  <c r="CU10" i="14"/>
  <c r="CV10" i="14" s="1"/>
  <c r="CU9" i="14"/>
  <c r="CV9" i="14" s="1"/>
  <c r="BO2" i="14"/>
  <c r="BO14" i="14"/>
  <c r="CU12" i="14"/>
  <c r="CV12" i="14" s="1"/>
  <c r="DG3" i="14"/>
  <c r="DH3" i="14" s="1"/>
  <c r="CI10" i="14"/>
  <c r="CJ10" i="14" s="1"/>
  <c r="CO14" i="14"/>
  <c r="CP14" i="14" s="1"/>
  <c r="DG7" i="14"/>
  <c r="DH7" i="14" s="1"/>
  <c r="CU11" i="14"/>
  <c r="CV11" i="14" s="1"/>
  <c r="DA7" i="14"/>
  <c r="DB7" i="14" s="1"/>
  <c r="DD7" i="14" s="1"/>
  <c r="DC7" i="14" s="1"/>
  <c r="DF7" i="14" s="1"/>
  <c r="EE8" i="14"/>
  <c r="EG8" i="14" s="1"/>
  <c r="EE7" i="14"/>
  <c r="EG7" i="14" s="1"/>
  <c r="EE6" i="14"/>
  <c r="EE5" i="14"/>
  <c r="EG5" i="14" s="1"/>
  <c r="EE11" i="14"/>
  <c r="EG11" i="14" s="1"/>
  <c r="EE2" i="14"/>
  <c r="EG2" i="14" s="1"/>
  <c r="EE3" i="14"/>
  <c r="EG3" i="14" s="1"/>
  <c r="EE10" i="14"/>
  <c r="EG10" i="14" s="1"/>
  <c r="EE9" i="14"/>
  <c r="EG9" i="14" s="1"/>
  <c r="DM8" i="14"/>
  <c r="DN8" i="14" s="1"/>
  <c r="DP8" i="14" s="1"/>
  <c r="CU13" i="14"/>
  <c r="CV13" i="14" s="1"/>
  <c r="CX13" i="14" s="1"/>
  <c r="CW13" i="14" s="1"/>
  <c r="BO8" i="14"/>
  <c r="BO7" i="14"/>
  <c r="BS5" i="14"/>
  <c r="BV5" i="14" s="1"/>
  <c r="DN7" i="14"/>
  <c r="DR7" i="14" s="1"/>
  <c r="DM12" i="14"/>
  <c r="CU7" i="14"/>
  <c r="CV7" i="14" s="1"/>
  <c r="DA6" i="14"/>
  <c r="DB6" i="14" s="1"/>
  <c r="BO6" i="14"/>
  <c r="DG6" i="14"/>
  <c r="DM11" i="14"/>
  <c r="DN11" i="14" s="1"/>
  <c r="CI9" i="14"/>
  <c r="CJ9" i="14" s="1"/>
  <c r="CC14" i="14"/>
  <c r="CD14" i="14" s="1"/>
  <c r="BQ14" i="14"/>
  <c r="BR14" i="14" s="1"/>
  <c r="CU8" i="14"/>
  <c r="CV8" i="14" s="1"/>
  <c r="EM4" i="14"/>
  <c r="CI4" i="14" s="1"/>
  <c r="CJ4" i="14" s="1"/>
  <c r="CL4" i="14" s="1"/>
  <c r="CK4" i="14" s="1"/>
  <c r="BO11" i="14"/>
  <c r="DG2" i="14"/>
  <c r="DH2" i="14" s="1"/>
  <c r="BW14" i="14"/>
  <c r="BX14" i="14" s="1"/>
  <c r="EG4" i="14"/>
  <c r="DG5" i="14"/>
  <c r="DH5" i="14" s="1"/>
  <c r="CU14" i="14"/>
  <c r="CV14" i="14" s="1"/>
  <c r="BS11" i="14"/>
  <c r="BV11" i="14" s="1"/>
  <c r="BY3" i="14"/>
  <c r="CB3" i="14" s="1"/>
  <c r="DA3" i="14"/>
  <c r="DB3" i="14" s="1"/>
  <c r="DM14" i="14"/>
  <c r="DN14" i="14" s="1"/>
  <c r="DP14" i="14" s="1"/>
  <c r="DA13" i="14"/>
  <c r="DB13" i="14" s="1"/>
  <c r="DN12" i="14"/>
  <c r="DP12" i="14" s="1"/>
  <c r="DA12" i="14"/>
  <c r="DB12" i="14" s="1"/>
  <c r="CU6" i="14"/>
  <c r="CV6" i="14" s="1"/>
  <c r="CX6" i="14" s="1"/>
  <c r="CW6" i="14" s="1"/>
  <c r="CZ6" i="14" s="1"/>
  <c r="BO5" i="14"/>
  <c r="BO13" i="14"/>
  <c r="DA11" i="14"/>
  <c r="DB11" i="14" s="1"/>
  <c r="BY4" i="14"/>
  <c r="CB4" i="14" s="1"/>
  <c r="BO3" i="14"/>
  <c r="CO8" i="14"/>
  <c r="CP8" i="14" s="1"/>
  <c r="CJ8" i="14"/>
  <c r="CL8" i="14" s="1"/>
  <c r="CK8" i="14" s="1"/>
  <c r="CN8" i="14" s="1"/>
  <c r="DN3" i="14"/>
  <c r="DR3" i="14" s="1"/>
  <c r="DM10" i="14"/>
  <c r="DN10" i="14" s="1"/>
  <c r="DP10" i="14" s="1"/>
  <c r="DM13" i="14"/>
  <c r="DN13" i="14" s="1"/>
  <c r="DP13" i="14" s="1"/>
  <c r="EG6" i="14"/>
  <c r="CU3" i="14"/>
  <c r="CU2" i="14"/>
  <c r="CV2" i="14" s="1"/>
  <c r="DD8" i="14"/>
  <c r="DC8" i="14" s="1"/>
  <c r="DF8" i="14" s="1"/>
  <c r="BS8" i="14"/>
  <c r="BV8" i="14" s="1"/>
  <c r="BO10" i="14"/>
  <c r="BO9" i="14"/>
  <c r="DA10" i="14"/>
  <c r="BY11" i="14"/>
  <c r="CB11" i="14" s="1"/>
  <c r="BY9" i="14"/>
  <c r="CB9" i="14" s="1"/>
  <c r="DM5" i="14"/>
  <c r="BV4" i="13"/>
  <c r="DJ8" i="14"/>
  <c r="DI8" i="14" s="1"/>
  <c r="DL8" i="14" s="1"/>
  <c r="DH9" i="14"/>
  <c r="DJ9" i="14" s="1"/>
  <c r="DI9" i="14" s="1"/>
  <c r="CV5" i="14"/>
  <c r="CX5" i="14" s="1"/>
  <c r="CW5" i="14" s="1"/>
  <c r="DH13" i="14"/>
  <c r="DJ13" i="14" s="1"/>
  <c r="DI13" i="14" s="1"/>
  <c r="CX11" i="14"/>
  <c r="CW11" i="14" s="1"/>
  <c r="CZ11" i="14" s="1"/>
  <c r="CP10" i="14"/>
  <c r="CR10" i="14" s="1"/>
  <c r="CQ10" i="14" s="1"/>
  <c r="CX10" i="14"/>
  <c r="CW10" i="14" s="1"/>
  <c r="CZ10" i="14" s="1"/>
  <c r="CP11" i="14"/>
  <c r="CR11" i="14" s="1"/>
  <c r="CQ11" i="14" s="1"/>
  <c r="CJ14" i="14"/>
  <c r="CL14" i="14" s="1"/>
  <c r="CK14" i="14" s="1"/>
  <c r="CX9" i="14"/>
  <c r="CW9" i="14" s="1"/>
  <c r="CZ9" i="14" s="1"/>
  <c r="DN2" i="14"/>
  <c r="DR2" i="14" s="1"/>
  <c r="CX8" i="14"/>
  <c r="CW8" i="14" s="1"/>
  <c r="CZ8" i="14" s="1"/>
  <c r="CC12" i="14"/>
  <c r="BQ12" i="14"/>
  <c r="CI12" i="14"/>
  <c r="CO12" i="14"/>
  <c r="BW12" i="14"/>
  <c r="DH14" i="14"/>
  <c r="DJ14" i="14" s="1"/>
  <c r="DI14" i="14" s="1"/>
  <c r="DL14" i="14" s="1"/>
  <c r="DH11" i="14"/>
  <c r="DJ11" i="14" s="1"/>
  <c r="DI11" i="14" s="1"/>
  <c r="CP3" i="14"/>
  <c r="CP7" i="14"/>
  <c r="BO4" i="14"/>
  <c r="DA4" i="14"/>
  <c r="DG4" i="14"/>
  <c r="CU4" i="14"/>
  <c r="DM4" i="14"/>
  <c r="CP6" i="14"/>
  <c r="CR6" i="14" s="1"/>
  <c r="CQ6" i="14" s="1"/>
  <c r="CT6" i="14" s="1"/>
  <c r="CT2" i="14"/>
  <c r="DN6" i="14"/>
  <c r="DR6" i="14" s="1"/>
  <c r="CI13" i="14"/>
  <c r="CO13" i="14"/>
  <c r="BQ13" i="14"/>
  <c r="BW13" i="14"/>
  <c r="CC13" i="14"/>
  <c r="BY6" i="14"/>
  <c r="CB6" i="14" s="1"/>
  <c r="BS3" i="14"/>
  <c r="BV3" i="14" s="1"/>
  <c r="BY5" i="14"/>
  <c r="CB5" i="14" s="1"/>
  <c r="DA2" i="14"/>
  <c r="DA5" i="14"/>
  <c r="CI3" i="14"/>
  <c r="DJ10" i="14"/>
  <c r="DI10" i="14" s="1"/>
  <c r="DL10" i="14" s="1"/>
  <c r="CI6" i="14"/>
  <c r="CJ2" i="14"/>
  <c r="BS10" i="14"/>
  <c r="BV10" i="14" s="1"/>
  <c r="CN5" i="14"/>
  <c r="DJ12" i="14"/>
  <c r="DI12" i="14" s="1"/>
  <c r="DL12" i="14" s="1"/>
  <c r="BS2" i="14"/>
  <c r="BV2" i="14" s="1"/>
  <c r="DA9" i="14"/>
  <c r="BS7" i="14"/>
  <c r="BV7" i="14" s="1"/>
  <c r="CN7" i="14"/>
  <c r="BS9" i="14"/>
  <c r="BV9" i="14" s="1"/>
  <c r="CH3" i="14"/>
  <c r="BS4" i="14"/>
  <c r="BV4" i="14" s="1"/>
  <c r="BY8" i="14"/>
  <c r="CB8" i="14" s="1"/>
  <c r="BY10" i="14"/>
  <c r="CB10" i="14" s="1"/>
  <c r="DM9" i="14"/>
  <c r="DD14" i="14"/>
  <c r="DC14" i="14" s="1"/>
  <c r="DF14" i="14" s="1"/>
  <c r="BY2" i="14"/>
  <c r="CB2" i="14" s="1"/>
  <c r="BS6" i="14"/>
  <c r="BV6" i="14" s="1"/>
  <c r="BY7" i="14"/>
  <c r="CB7" i="14" s="1"/>
  <c r="DO3" i="13"/>
  <c r="DP3" i="13" s="1"/>
  <c r="EB3" i="13" s="1"/>
  <c r="BV3" i="13"/>
  <c r="DO6" i="13"/>
  <c r="DP6" i="13" s="1"/>
  <c r="EB6" i="13" s="1"/>
  <c r="BL6" i="13" s="1"/>
  <c r="BM6" i="13" s="1"/>
  <c r="BN6" i="13" s="1"/>
  <c r="BP6" i="13" s="1"/>
  <c r="BV6" i="13"/>
  <c r="DO7" i="13"/>
  <c r="DP7" i="13" s="1"/>
  <c r="EB7" i="13" s="1"/>
  <c r="CX2" i="6"/>
  <c r="CY2" i="6" s="1"/>
  <c r="DE2" i="6" s="1"/>
  <c r="BB2" i="6" s="1"/>
  <c r="BC2" i="6" s="1"/>
  <c r="BD2" i="6" s="1"/>
  <c r="CX13" i="6"/>
  <c r="CY13" i="6" s="1"/>
  <c r="DE13" i="6" s="1"/>
  <c r="BB13" i="6" s="1"/>
  <c r="BC13" i="6" s="1"/>
  <c r="BD13" i="6" s="1"/>
  <c r="CX7" i="6"/>
  <c r="CY7" i="6" s="1"/>
  <c r="DE7" i="6" s="1"/>
  <c r="BB7" i="6" s="1"/>
  <c r="BC7" i="6" s="1"/>
  <c r="BD7" i="6" s="1"/>
  <c r="CX14" i="6"/>
  <c r="CY14" i="6" s="1"/>
  <c r="DE14" i="6" s="1"/>
  <c r="HZ14" i="6" s="1"/>
  <c r="IJ14" i="6" s="1"/>
  <c r="DO8" i="13"/>
  <c r="DP8" i="13" s="1"/>
  <c r="EB8" i="13" s="1"/>
  <c r="BL8" i="13" s="1"/>
  <c r="BM8" i="13" s="1"/>
  <c r="BN8" i="13" s="1"/>
  <c r="BP8" i="13" s="1"/>
  <c r="BV8" i="13"/>
  <c r="BJ7" i="6"/>
  <c r="CX5" i="6"/>
  <c r="CY5" i="6" s="1"/>
  <c r="DE5" i="6" s="1"/>
  <c r="BJ5" i="6"/>
  <c r="CX11" i="6"/>
  <c r="CY11" i="6" s="1"/>
  <c r="DE11" i="6" s="1"/>
  <c r="BP11" i="6"/>
  <c r="BJ3" i="6"/>
  <c r="CX3" i="6"/>
  <c r="CY3" i="6" s="1"/>
  <c r="DE3" i="6" s="1"/>
  <c r="BB3" i="6" s="1"/>
  <c r="BC3" i="6" s="1"/>
  <c r="BD3" i="6" s="1"/>
  <c r="BP15" i="6"/>
  <c r="CX15" i="6"/>
  <c r="CY15" i="6" s="1"/>
  <c r="DE15" i="6" s="1"/>
  <c r="CX12" i="6"/>
  <c r="CY12" i="6" s="1"/>
  <c r="DE12" i="6" s="1"/>
  <c r="BJ12" i="6"/>
  <c r="CX17" i="6"/>
  <c r="CY17" i="6" s="1"/>
  <c r="DE17" i="6" s="1"/>
  <c r="BJ4" i="6"/>
  <c r="CX4" i="6"/>
  <c r="CY4" i="6" s="1"/>
  <c r="DE4" i="6" s="1"/>
  <c r="CX6" i="6"/>
  <c r="CY6" i="6" s="1"/>
  <c r="DE6" i="6" s="1"/>
  <c r="BJ6" i="6"/>
  <c r="CX9" i="6"/>
  <c r="BJ9" i="6"/>
  <c r="BJ16" i="6"/>
  <c r="CX16" i="6"/>
  <c r="CY16" i="6" s="1"/>
  <c r="DE16" i="6" s="1"/>
  <c r="BJ18" i="6"/>
  <c r="CX18" i="6"/>
  <c r="CY18" i="6" s="1"/>
  <c r="DE18" i="6" s="1"/>
  <c r="BJ2" i="6"/>
  <c r="BJ13" i="6"/>
  <c r="BJ14" i="6"/>
  <c r="BQ6" i="11"/>
  <c r="DQ4" i="13"/>
  <c r="EB4" i="13"/>
  <c r="BV5" i="13"/>
  <c r="DO5" i="13"/>
  <c r="DP5" i="13" s="1"/>
  <c r="BV2" i="13"/>
  <c r="DO2" i="13"/>
  <c r="DP2" i="13" s="1"/>
  <c r="BV9" i="13"/>
  <c r="DO9" i="13"/>
  <c r="DP9" i="13" s="1"/>
  <c r="CL972" i="2" l="1"/>
  <c r="CK972" i="2" s="1"/>
  <c r="CN972" i="2" s="1"/>
  <c r="DL698" i="2"/>
  <c r="CL65" i="2"/>
  <c r="CK65" i="2" s="1"/>
  <c r="CN65" i="2" s="1"/>
  <c r="DS96" i="2"/>
  <c r="CX767" i="2"/>
  <c r="CW767" i="2" s="1"/>
  <c r="CZ767" i="2" s="1"/>
  <c r="DT821" i="2"/>
  <c r="DR925" i="2"/>
  <c r="DD821" i="2"/>
  <c r="DC821" i="2" s="1"/>
  <c r="DF821" i="2" s="1"/>
  <c r="DS65" i="2"/>
  <c r="DJ751" i="2"/>
  <c r="CL724" i="2"/>
  <c r="CK724" i="2" s="1"/>
  <c r="CN724" i="2" s="1"/>
  <c r="DL105" i="2"/>
  <c r="EB435" i="2"/>
  <c r="BL435" i="2" s="1"/>
  <c r="BM435" i="2" s="1"/>
  <c r="BN435" i="2" s="1"/>
  <c r="BP435" i="2" s="1"/>
  <c r="CF715" i="2"/>
  <c r="CE715" i="2" s="1"/>
  <c r="CH715" i="2" s="1"/>
  <c r="DS938" i="2"/>
  <c r="CX198" i="2"/>
  <c r="CW198" i="2" s="1"/>
  <c r="CZ198" i="2" s="1"/>
  <c r="CX931" i="2"/>
  <c r="CW931" i="2" s="1"/>
  <c r="CZ931" i="2" s="1"/>
  <c r="DQ718" i="2"/>
  <c r="DT198" i="2"/>
  <c r="CL725" i="2"/>
  <c r="CK725" i="2" s="1"/>
  <c r="CN725" i="2" s="1"/>
  <c r="DJ96" i="2"/>
  <c r="DI96" i="2" s="1"/>
  <c r="DL96" i="2" s="1"/>
  <c r="DT727" i="2"/>
  <c r="DJ420" i="2"/>
  <c r="DI420" i="2" s="1"/>
  <c r="DL420" i="2" s="1"/>
  <c r="DP217" i="2"/>
  <c r="DQ556" i="2"/>
  <c r="EB556" i="2"/>
  <c r="BL556" i="2" s="1"/>
  <c r="BM556" i="2" s="1"/>
  <c r="BN556" i="2" s="1"/>
  <c r="BP556" i="2" s="1"/>
  <c r="DQ842" i="2"/>
  <c r="EB842" i="2"/>
  <c r="BL842" i="2" s="1"/>
  <c r="BM842" i="2" s="1"/>
  <c r="BN842" i="2" s="1"/>
  <c r="BP842" i="2" s="1"/>
  <c r="DT751" i="2"/>
  <c r="EB241" i="2"/>
  <c r="BL241" i="2" s="1"/>
  <c r="BM241" i="2" s="1"/>
  <c r="BN241" i="2" s="1"/>
  <c r="BP241" i="2" s="1"/>
  <c r="DT938" i="2"/>
  <c r="DN744" i="2"/>
  <c r="CX653" i="2"/>
  <c r="CW653" i="2" s="1"/>
  <c r="CZ653" i="2" s="1"/>
  <c r="CL704" i="2"/>
  <c r="CK704" i="2" s="1"/>
  <c r="CN704" i="2" s="1"/>
  <c r="DQ260" i="2"/>
  <c r="EB260" i="2"/>
  <c r="CL132" i="2"/>
  <c r="CK132" i="2" s="1"/>
  <c r="CN132" i="2" s="1"/>
  <c r="DS393" i="2"/>
  <c r="CX121" i="2"/>
  <c r="CW121" i="2" s="1"/>
  <c r="CZ121" i="2" s="1"/>
  <c r="DM957" i="2"/>
  <c r="CR198" i="2"/>
  <c r="CQ198" i="2" s="1"/>
  <c r="CT198" i="2" s="1"/>
  <c r="CR972" i="2"/>
  <c r="CQ972" i="2" s="1"/>
  <c r="CT972" i="2" s="1"/>
  <c r="CL726" i="2"/>
  <c r="CK726" i="2" s="1"/>
  <c r="CN726" i="2" s="1"/>
  <c r="EB70" i="2"/>
  <c r="BL70" i="2" s="1"/>
  <c r="BM70" i="2" s="1"/>
  <c r="BN70" i="2" s="1"/>
  <c r="BP70" i="2" s="1"/>
  <c r="BL471" i="2"/>
  <c r="BM471" i="2" s="1"/>
  <c r="BN471" i="2" s="1"/>
  <c r="BP471" i="2" s="1"/>
  <c r="IH471" i="2"/>
  <c r="EB169" i="2"/>
  <c r="BL169" i="2" s="1"/>
  <c r="BM169" i="2" s="1"/>
  <c r="BN169" i="2" s="1"/>
  <c r="BP169" i="2" s="1"/>
  <c r="DL972" i="2"/>
  <c r="DP58" i="2"/>
  <c r="DQ58" i="2" s="1"/>
  <c r="CX821" i="2"/>
  <c r="CW821" i="2" s="1"/>
  <c r="CZ821" i="2" s="1"/>
  <c r="CX938" i="2"/>
  <c r="CW938" i="2" s="1"/>
  <c r="CZ938" i="2" s="1"/>
  <c r="DN706" i="2"/>
  <c r="CR698" i="2"/>
  <c r="CQ698" i="2" s="1"/>
  <c r="CT698" i="2" s="1"/>
  <c r="DT695" i="2"/>
  <c r="DS821" i="2"/>
  <c r="CL715" i="2"/>
  <c r="CK715" i="2" s="1"/>
  <c r="CN715" i="2" s="1"/>
  <c r="CF96" i="2"/>
  <c r="CE96" i="2" s="1"/>
  <c r="CH96" i="2" s="1"/>
  <c r="CL751" i="2"/>
  <c r="CK751" i="2" s="1"/>
  <c r="CN751" i="2" s="1"/>
  <c r="CT434" i="2"/>
  <c r="DO739" i="2"/>
  <c r="DP739" i="2" s="1"/>
  <c r="DQ739" i="2" s="1"/>
  <c r="EB430" i="2"/>
  <c r="BL430" i="2" s="1"/>
  <c r="BM430" i="2" s="1"/>
  <c r="BN430" i="2" s="1"/>
  <c r="BP430" i="2" s="1"/>
  <c r="DQ430" i="2"/>
  <c r="DQ1007" i="2"/>
  <c r="EB1007" i="2"/>
  <c r="BL1007" i="2" s="1"/>
  <c r="BM1007" i="2" s="1"/>
  <c r="BN1007" i="2" s="1"/>
  <c r="BP1007" i="2" s="1"/>
  <c r="DF603" i="2"/>
  <c r="CS238" i="2"/>
  <c r="CR238" i="2" s="1"/>
  <c r="CU238" i="2" s="1"/>
  <c r="DD183" i="2"/>
  <c r="DC183" i="2" s="1"/>
  <c r="DF183" i="2" s="1"/>
  <c r="DM744" i="2"/>
  <c r="CS490" i="2"/>
  <c r="CR490" i="2" s="1"/>
  <c r="CU490" i="2" s="1"/>
  <c r="DQ434" i="2"/>
  <c r="EB434" i="2"/>
  <c r="DF879" i="2"/>
  <c r="DO879" i="2"/>
  <c r="DP879" i="2" s="1"/>
  <c r="DP537" i="2"/>
  <c r="EB537" i="2" s="1"/>
  <c r="DP97" i="2"/>
  <c r="EB97" i="2" s="1"/>
  <c r="DH568" i="2"/>
  <c r="DJ568" i="2" s="1"/>
  <c r="DI568" i="2" s="1"/>
  <c r="DL568" i="2" s="1"/>
  <c r="CY980" i="2"/>
  <c r="CZ980" i="2" s="1"/>
  <c r="EB980" i="2" s="1"/>
  <c r="IL980" i="2" s="1"/>
  <c r="DO1009" i="2"/>
  <c r="DP1009" i="2" s="1"/>
  <c r="EB1009" i="2" s="1"/>
  <c r="BL1009" i="2" s="1"/>
  <c r="BM1009" i="2" s="1"/>
  <c r="BN1009" i="2" s="1"/>
  <c r="BP1009" i="2" s="1"/>
  <c r="CT58" i="2"/>
  <c r="DO783" i="2"/>
  <c r="DP783" i="2" s="1"/>
  <c r="DQ783" i="2" s="1"/>
  <c r="DS715" i="2"/>
  <c r="DL938" i="2"/>
  <c r="CL37" i="2"/>
  <c r="CK37" i="2" s="1"/>
  <c r="CN37" i="2" s="1"/>
  <c r="DA212" i="2"/>
  <c r="DF653" i="2"/>
  <c r="DL348" i="2"/>
  <c r="CY733" i="2"/>
  <c r="DP5" i="2"/>
  <c r="DS15" i="2"/>
  <c r="DS751" i="2"/>
  <c r="CQ477" i="2"/>
  <c r="DG1035" i="2"/>
  <c r="DL1035" i="2" s="1"/>
  <c r="DD123" i="2"/>
  <c r="DC123" i="2" s="1"/>
  <c r="DF123" i="2" s="1"/>
  <c r="DD648" i="2"/>
  <c r="DC648" i="2" s="1"/>
  <c r="DF648" i="2" s="1"/>
  <c r="DJ646" i="2"/>
  <c r="DI646" i="2" s="1"/>
  <c r="DL646" i="2" s="1"/>
  <c r="CM388" i="2"/>
  <c r="CL388" i="2" s="1"/>
  <c r="CO388" i="2" s="1"/>
  <c r="CX545" i="2"/>
  <c r="CW545" i="2" s="1"/>
  <c r="CZ545" i="2" s="1"/>
  <c r="EB603" i="2"/>
  <c r="BL603" i="2" s="1"/>
  <c r="BM603" i="2" s="1"/>
  <c r="BN603" i="2" s="1"/>
  <c r="BP603" i="2" s="1"/>
  <c r="DQ603" i="2"/>
  <c r="CS339" i="2"/>
  <c r="CR339" i="2" s="1"/>
  <c r="CQ174" i="2"/>
  <c r="CX507" i="2"/>
  <c r="CW507" i="2" s="1"/>
  <c r="CZ507" i="2" s="1"/>
  <c r="DJ767" i="2"/>
  <c r="CG356" i="2"/>
  <c r="CF356" i="2" s="1"/>
  <c r="CI356" i="2" s="1"/>
  <c r="DO64" i="2"/>
  <c r="DP64" i="2" s="1"/>
  <c r="DN957" i="2"/>
  <c r="CP265" i="2"/>
  <c r="DL132" i="2"/>
  <c r="CY39" i="2"/>
  <c r="CZ39" i="2" s="1"/>
  <c r="EB39" i="2" s="1"/>
  <c r="IL39" i="2" s="1"/>
  <c r="IN39" i="2" s="1"/>
  <c r="CR992" i="2"/>
  <c r="CQ992" i="2" s="1"/>
  <c r="CT992" i="2" s="1"/>
  <c r="DD883" i="2"/>
  <c r="DC883" i="2" s="1"/>
  <c r="DF883" i="2" s="1"/>
  <c r="DS972" i="2"/>
  <c r="DO623" i="2"/>
  <c r="DP623" i="2" s="1"/>
  <c r="DL623" i="2"/>
  <c r="CM354" i="2"/>
  <c r="CL354" i="2" s="1"/>
  <c r="CO354" i="2" s="1"/>
  <c r="CZ15" i="2"/>
  <c r="CL698" i="2"/>
  <c r="CK698" i="2" s="1"/>
  <c r="CN698" i="2" s="1"/>
  <c r="CX648" i="2"/>
  <c r="CW648" i="2" s="1"/>
  <c r="CZ648" i="2" s="1"/>
  <c r="CS301" i="2"/>
  <c r="CR301" i="2" s="1"/>
  <c r="CU301" i="2" s="1"/>
  <c r="DA510" i="2"/>
  <c r="DB510" i="2" s="1"/>
  <c r="DT767" i="2"/>
  <c r="DD649" i="2"/>
  <c r="DC649" i="2" s="1"/>
  <c r="DF649" i="2" s="1"/>
  <c r="DS141" i="2"/>
  <c r="DL443" i="2"/>
  <c r="DO338" i="2"/>
  <c r="DP338" i="2" s="1"/>
  <c r="DP443" i="2"/>
  <c r="DQ443" i="2" s="1"/>
  <c r="DP930" i="2"/>
  <c r="DQ930" i="2" s="1"/>
  <c r="CX656" i="2"/>
  <c r="CW656" i="2" s="1"/>
  <c r="CZ656" i="2" s="1"/>
  <c r="DG217" i="2"/>
  <c r="DH217" i="2" s="1"/>
  <c r="DS727" i="2"/>
  <c r="CW358" i="2"/>
  <c r="CL123" i="2"/>
  <c r="CK123" i="2" s="1"/>
  <c r="CN123" i="2" s="1"/>
  <c r="DS695" i="2"/>
  <c r="CR377" i="2"/>
  <c r="CQ377" i="2" s="1"/>
  <c r="CT377" i="2" s="1"/>
  <c r="DM278" i="2"/>
  <c r="CY356" i="2"/>
  <c r="DJ231" i="2"/>
  <c r="DI231" i="2" s="1"/>
  <c r="DL231" i="2" s="1"/>
  <c r="CT930" i="2"/>
  <c r="DS465" i="2"/>
  <c r="BO217" i="2"/>
  <c r="DY960" i="2"/>
  <c r="CX649" i="2"/>
  <c r="CW649" i="2" s="1"/>
  <c r="CZ649" i="2" s="1"/>
  <c r="CM487" i="2"/>
  <c r="CL487" i="2" s="1"/>
  <c r="CO487" i="2" s="1"/>
  <c r="DK391" i="2"/>
  <c r="DL865" i="2"/>
  <c r="DQ857" i="2"/>
  <c r="EB857" i="2"/>
  <c r="BL857" i="2" s="1"/>
  <c r="BM857" i="2" s="1"/>
  <c r="BN857" i="2" s="1"/>
  <c r="BP857" i="2" s="1"/>
  <c r="EB936" i="2"/>
  <c r="BL936" i="2" s="1"/>
  <c r="BM936" i="2" s="1"/>
  <c r="BN936" i="2" s="1"/>
  <c r="BP936" i="2" s="1"/>
  <c r="DD49" i="2"/>
  <c r="DC49" i="2" s="1"/>
  <c r="DF49" i="2" s="1"/>
  <c r="CX884" i="2"/>
  <c r="CW884" i="2" s="1"/>
  <c r="CZ884" i="2" s="1"/>
  <c r="CL200" i="2"/>
  <c r="CK200" i="2" s="1"/>
  <c r="CN200" i="2" s="1"/>
  <c r="CM174" i="2"/>
  <c r="CL174" i="2" s="1"/>
  <c r="CS174" i="2" s="1"/>
  <c r="CL621" i="2"/>
  <c r="CK621" i="2" s="1"/>
  <c r="CN621" i="2" s="1"/>
  <c r="DM101" i="2"/>
  <c r="DS144" i="2"/>
  <c r="DT545" i="2"/>
  <c r="BO655" i="2"/>
  <c r="DS767" i="2"/>
  <c r="DN705" i="2"/>
  <c r="DJ1011" i="2"/>
  <c r="DD972" i="2"/>
  <c r="DC972" i="2" s="1"/>
  <c r="DF972" i="2" s="1"/>
  <c r="DP493" i="2"/>
  <c r="DO657" i="2"/>
  <c r="DP657" i="2" s="1"/>
  <c r="CG118" i="2"/>
  <c r="CF118" i="2" s="1"/>
  <c r="CI118" i="2" s="1"/>
  <c r="CY799" i="2"/>
  <c r="DF948" i="2"/>
  <c r="DO948" i="2"/>
  <c r="DP948" i="2" s="1"/>
  <c r="DM706" i="2"/>
  <c r="DT972" i="2"/>
  <c r="DN1043" i="2"/>
  <c r="DT698" i="2"/>
  <c r="DD309" i="2"/>
  <c r="DC309" i="2" s="1"/>
  <c r="DF309" i="2" s="1"/>
  <c r="CF115" i="2"/>
  <c r="CE115" i="2" s="1"/>
  <c r="CH115" i="2" s="1"/>
  <c r="CX1026" i="2"/>
  <c r="CW1026" i="2" s="1"/>
  <c r="CZ1026" i="2" s="1"/>
  <c r="DD1025" i="2"/>
  <c r="DC1025" i="2" s="1"/>
  <c r="DF1025" i="2" s="1"/>
  <c r="DJ1031" i="2"/>
  <c r="DJ545" i="2"/>
  <c r="DA217" i="2"/>
  <c r="DB217" i="2" s="1"/>
  <c r="DD217" i="2" s="1"/>
  <c r="DC217" i="2" s="1"/>
  <c r="DF217" i="2" s="1"/>
  <c r="CX1011" i="2"/>
  <c r="CW1011" i="2" s="1"/>
  <c r="CZ1011" i="2" s="1"/>
  <c r="DN278" i="2"/>
  <c r="CP844" i="2"/>
  <c r="CG213" i="2"/>
  <c r="CF213" i="2" s="1"/>
  <c r="CI213" i="2" s="1"/>
  <c r="CL727" i="2"/>
  <c r="CK727" i="2" s="1"/>
  <c r="CN727" i="2" s="1"/>
  <c r="DD280" i="2"/>
  <c r="DC280" i="2" s="1"/>
  <c r="DF280" i="2" s="1"/>
  <c r="CG406" i="2"/>
  <c r="CF406" i="2" s="1"/>
  <c r="CI406" i="2" s="1"/>
  <c r="CP304" i="2"/>
  <c r="CG261" i="2"/>
  <c r="CF261" i="2" s="1"/>
  <c r="CI261" i="2" s="1"/>
  <c r="CQ975" i="2"/>
  <c r="DS815" i="2"/>
  <c r="CU1035" i="2"/>
  <c r="CV1035" i="2" s="1"/>
  <c r="DL1025" i="2"/>
  <c r="CI655" i="2"/>
  <c r="CJ655" i="2" s="1"/>
  <c r="DS698" i="2"/>
  <c r="DJ396" i="2"/>
  <c r="DI396" i="2" s="1"/>
  <c r="DL396" i="2" s="1"/>
  <c r="CM238" i="2"/>
  <c r="CL238" i="2" s="1"/>
  <c r="CO238" i="2" s="1"/>
  <c r="DS198" i="2"/>
  <c r="DD656" i="2"/>
  <c r="DC656" i="2" s="1"/>
  <c r="DF656" i="2" s="1"/>
  <c r="DR653" i="2"/>
  <c r="DS183" i="2"/>
  <c r="CU271" i="2"/>
  <c r="CV271" i="2" s="1"/>
  <c r="CX271" i="2" s="1"/>
  <c r="CW271" i="2" s="1"/>
  <c r="CZ271" i="2" s="1"/>
  <c r="CS356" i="2"/>
  <c r="CR356" i="2" s="1"/>
  <c r="CU356" i="2" s="1"/>
  <c r="CX865" i="2"/>
  <c r="CW865" i="2" s="1"/>
  <c r="CZ865" i="2" s="1"/>
  <c r="CX883" i="2"/>
  <c r="CW883" i="2" s="1"/>
  <c r="CZ883" i="2" s="1"/>
  <c r="DL689" i="2"/>
  <c r="CS150" i="2"/>
  <c r="CR150" i="2" s="1"/>
  <c r="CU150" i="2" s="1"/>
  <c r="DY1000" i="2"/>
  <c r="CQ587" i="2"/>
  <c r="CP1000" i="2"/>
  <c r="CR1000" i="2" s="1"/>
  <c r="CQ1000" i="2" s="1"/>
  <c r="CX850" i="2"/>
  <c r="CW850" i="2" s="1"/>
  <c r="CZ850" i="2" s="1"/>
  <c r="DD101" i="2"/>
  <c r="CR958" i="2"/>
  <c r="CQ958" i="2" s="1"/>
  <c r="CT958" i="2" s="1"/>
  <c r="DT865" i="2"/>
  <c r="CX1031" i="2"/>
  <c r="CW1031" i="2" s="1"/>
  <c r="CZ1031" i="2" s="1"/>
  <c r="DS931" i="2"/>
  <c r="CL925" i="2"/>
  <c r="CK925" i="2" s="1"/>
  <c r="CN925" i="2" s="1"/>
  <c r="DM725" i="2"/>
  <c r="CM792" i="2"/>
  <c r="CL792" i="2" s="1"/>
  <c r="CO792" i="2" s="1"/>
  <c r="DO543" i="2"/>
  <c r="DP543" i="2" s="1"/>
  <c r="CO655" i="2"/>
  <c r="CP655" i="2" s="1"/>
  <c r="CR655" i="2" s="1"/>
  <c r="CQ655" i="2" s="1"/>
  <c r="CT655" i="2" s="1"/>
  <c r="DD348" i="2"/>
  <c r="DC348" i="2" s="1"/>
  <c r="DF348" i="2" s="1"/>
  <c r="DM724" i="2"/>
  <c r="CR158" i="2"/>
  <c r="CQ158" i="2" s="1"/>
  <c r="CT158" i="2" s="1"/>
  <c r="DL141" i="2"/>
  <c r="CQ388" i="2"/>
  <c r="DB488" i="2"/>
  <c r="EB689" i="2"/>
  <c r="DQ689" i="2"/>
  <c r="CL1033" i="2"/>
  <c r="CK1033" i="2" s="1"/>
  <c r="CN1033" i="2" s="1"/>
  <c r="DT1045" i="2"/>
  <c r="CX724" i="2"/>
  <c r="CW724" i="2" s="1"/>
  <c r="CZ724" i="2" s="1"/>
  <c r="CX523" i="2"/>
  <c r="CW523" i="2" s="1"/>
  <c r="CZ523" i="2" s="1"/>
  <c r="DN16" i="2"/>
  <c r="DJ1003" i="2"/>
  <c r="DI1003" i="2" s="1"/>
  <c r="DL1003" i="2" s="1"/>
  <c r="DS1027" i="2"/>
  <c r="DS115" i="2"/>
  <c r="DJ706" i="2"/>
  <c r="DI706" i="2" s="1"/>
  <c r="DL706" i="2" s="1"/>
  <c r="DL931" i="2"/>
  <c r="DC487" i="2"/>
  <c r="DB601" i="2"/>
  <c r="DB238" i="2"/>
  <c r="CQ645" i="2"/>
  <c r="DS1011" i="2"/>
  <c r="DS865" i="2"/>
  <c r="CT439" i="2"/>
  <c r="CS439" i="2" s="1"/>
  <c r="CV439" i="2" s="1"/>
  <c r="DA301" i="2"/>
  <c r="CX972" i="2"/>
  <c r="CW972" i="2" s="1"/>
  <c r="CZ972" i="2" s="1"/>
  <c r="DJ789" i="2"/>
  <c r="DB487" i="2"/>
  <c r="CP645" i="2"/>
  <c r="CL49" i="2"/>
  <c r="CK49" i="2" s="1"/>
  <c r="CN49" i="2" s="1"/>
  <c r="DD5" i="11"/>
  <c r="DE5" i="11" s="1"/>
  <c r="DK5" i="11" s="1"/>
  <c r="BQ3" i="11"/>
  <c r="DD3" i="11"/>
  <c r="DE3" i="11" s="1"/>
  <c r="DK3" i="11" s="1"/>
  <c r="IO3" i="11" s="1"/>
  <c r="CO10" i="11"/>
  <c r="CO9" i="11"/>
  <c r="CC10" i="11"/>
  <c r="CE8" i="11"/>
  <c r="DB8" i="11"/>
  <c r="CG8" i="11"/>
  <c r="CF8" i="11" s="1"/>
  <c r="CU2" i="11"/>
  <c r="CE10" i="11"/>
  <c r="DC10" i="11" s="1"/>
  <c r="DB10" i="11"/>
  <c r="CO7" i="11"/>
  <c r="CE6" i="11"/>
  <c r="DC6" i="11" s="1"/>
  <c r="CG6" i="11"/>
  <c r="CF6" i="11" s="1"/>
  <c r="DD6" i="11" s="1"/>
  <c r="DB6" i="11"/>
  <c r="CI6" i="11"/>
  <c r="DA9" i="11"/>
  <c r="CY9" i="11"/>
  <c r="CK8" i="11"/>
  <c r="CM8" i="11"/>
  <c r="CL8" i="11" s="1"/>
  <c r="CO8" i="11" s="1"/>
  <c r="DA8" i="11"/>
  <c r="CY8" i="11"/>
  <c r="CK2" i="11"/>
  <c r="DC2" i="11" s="1"/>
  <c r="CQ4" i="11"/>
  <c r="DC4" i="11" s="1"/>
  <c r="CS4" i="11"/>
  <c r="CR4" i="11" s="1"/>
  <c r="DD4" i="11" s="1"/>
  <c r="DB4" i="11"/>
  <c r="CQ8" i="11"/>
  <c r="CS8" i="11" s="1"/>
  <c r="CR8" i="11" s="1"/>
  <c r="CU8" i="11" s="1"/>
  <c r="CM10" i="11"/>
  <c r="CL10" i="11" s="1"/>
  <c r="DB2" i="11"/>
  <c r="CG2" i="11"/>
  <c r="CF2" i="11" s="1"/>
  <c r="CI2" i="11"/>
  <c r="BY9" i="11"/>
  <c r="CA9" i="11" s="1"/>
  <c r="BZ9" i="11" s="1"/>
  <c r="CC9" i="11" s="1"/>
  <c r="CQ7" i="11"/>
  <c r="DC7" i="11" s="1"/>
  <c r="CT741" i="2"/>
  <c r="DM383" i="2"/>
  <c r="DN225" i="2"/>
  <c r="CW897" i="2"/>
  <c r="CV897" i="2" s="1"/>
  <c r="CY897" i="2" s="1"/>
  <c r="DL727" i="2"/>
  <c r="DU741" i="2"/>
  <c r="DT741" i="2"/>
  <c r="DB467" i="2"/>
  <c r="CS69" i="2"/>
  <c r="CR69" i="2" s="1"/>
  <c r="DS163" i="2"/>
  <c r="DM158" i="2"/>
  <c r="DC212" i="2"/>
  <c r="DB212" i="2"/>
  <c r="CQ213" i="2"/>
  <c r="CP492" i="2"/>
  <c r="DJ416" i="2"/>
  <c r="DI416" i="2" s="1"/>
  <c r="DL416" i="2" s="1"/>
  <c r="CX634" i="2"/>
  <c r="CW634" i="2" s="1"/>
  <c r="CZ634" i="2" s="1"/>
  <c r="DM646" i="2"/>
  <c r="DJ840" i="2"/>
  <c r="DE206" i="2"/>
  <c r="DJ649" i="2"/>
  <c r="DI649" i="2" s="1"/>
  <c r="DL649" i="2" s="1"/>
  <c r="DS925" i="2"/>
  <c r="DP602" i="2"/>
  <c r="DO602" i="2" s="1"/>
  <c r="DR602" i="2" s="1"/>
  <c r="DG410" i="2"/>
  <c r="DH410" i="2" s="1"/>
  <c r="CA236" i="2"/>
  <c r="BZ236" i="2" s="1"/>
  <c r="CC236" i="2" s="1"/>
  <c r="DB83" i="2"/>
  <c r="DT105" i="2"/>
  <c r="DL318" i="2"/>
  <c r="CR466" i="2"/>
  <c r="CQ466" i="2" s="1"/>
  <c r="CT466" i="2" s="1"/>
  <c r="DM884" i="2"/>
  <c r="DD711" i="2"/>
  <c r="DC711" i="2" s="1"/>
  <c r="DF711" i="2" s="1"/>
  <c r="DJ535" i="2"/>
  <c r="DI535" i="2" s="1"/>
  <c r="DL535" i="2" s="1"/>
  <c r="DC733" i="2"/>
  <c r="CY1002" i="2"/>
  <c r="BL350" i="2"/>
  <c r="BM350" i="2" s="1"/>
  <c r="BN350" i="2" s="1"/>
  <c r="BP350" i="2" s="1"/>
  <c r="IL350" i="2"/>
  <c r="DB356" i="2"/>
  <c r="DP442" i="2"/>
  <c r="CL865" i="2"/>
  <c r="CK865" i="2" s="1"/>
  <c r="CN865" i="2" s="1"/>
  <c r="DC710" i="2"/>
  <c r="DF710" i="2" s="1"/>
  <c r="DE350" i="2"/>
  <c r="CM201" i="2"/>
  <c r="CL201" i="2" s="1"/>
  <c r="CO201" i="2" s="1"/>
  <c r="CM650" i="2"/>
  <c r="CL650" i="2" s="1"/>
  <c r="CO650" i="2" s="1"/>
  <c r="CR30" i="2"/>
  <c r="CQ30" i="2" s="1"/>
  <c r="CT30" i="2" s="1"/>
  <c r="CA215" i="2"/>
  <c r="BZ215" i="2" s="1"/>
  <c r="CC215" i="2" s="1"/>
  <c r="CP736" i="2"/>
  <c r="DS840" i="2"/>
  <c r="DT840" i="2"/>
  <c r="BO410" i="2"/>
  <c r="DN158" i="2"/>
  <c r="CL454" i="2"/>
  <c r="CK454" i="2" s="1"/>
  <c r="CN454" i="2" s="1"/>
  <c r="CS283" i="2"/>
  <c r="CR283" i="2" s="1"/>
  <c r="CU283" i="2" s="1"/>
  <c r="DD634" i="2"/>
  <c r="DC634" i="2" s="1"/>
  <c r="DF634" i="2" s="1"/>
  <c r="DL634" i="2"/>
  <c r="DR954" i="2"/>
  <c r="DS124" i="2"/>
  <c r="CV124" i="2"/>
  <c r="DT124" i="2" s="1"/>
  <c r="DP235" i="2"/>
  <c r="CH634" i="2"/>
  <c r="DP742" i="2"/>
  <c r="DO742" i="2" s="1"/>
  <c r="DR742" i="2" s="1"/>
  <c r="DS634" i="2"/>
  <c r="BX634" i="2"/>
  <c r="BZ634" i="2" s="1"/>
  <c r="BY634" i="2" s="1"/>
  <c r="DP634" i="2"/>
  <c r="DO634" i="2" s="1"/>
  <c r="DR634" i="2" s="1"/>
  <c r="CZ954" i="2"/>
  <c r="CJ634" i="2"/>
  <c r="CL634" i="2" s="1"/>
  <c r="CK634" i="2" s="1"/>
  <c r="DM986" i="2"/>
  <c r="DB340" i="2"/>
  <c r="CS201" i="2"/>
  <c r="CR201" i="2" s="1"/>
  <c r="CU201" i="2" s="1"/>
  <c r="CP634" i="2"/>
  <c r="CR634" i="2" s="1"/>
  <c r="CQ634" i="2" s="1"/>
  <c r="DD439" i="2"/>
  <c r="CP245" i="2"/>
  <c r="DB823" i="2"/>
  <c r="CX1027" i="2"/>
  <c r="CW1027" i="2" s="1"/>
  <c r="CZ1027" i="2" s="1"/>
  <c r="DM656" i="2"/>
  <c r="CL185" i="2"/>
  <c r="CK185" i="2" s="1"/>
  <c r="CN185" i="2" s="1"/>
  <c r="DF1019" i="2"/>
  <c r="DM1019" i="2"/>
  <c r="CW490" i="2"/>
  <c r="CX48" i="2"/>
  <c r="CW48" i="2" s="1"/>
  <c r="CZ48" i="2" s="1"/>
  <c r="DB954" i="2"/>
  <c r="DD954" i="2" s="1"/>
  <c r="DC954" i="2" s="1"/>
  <c r="DF954" i="2" s="1"/>
  <c r="DH954" i="2"/>
  <c r="DJ954" i="2" s="1"/>
  <c r="DI954" i="2" s="1"/>
  <c r="CT653" i="2"/>
  <c r="CL830" i="2"/>
  <c r="CK830" i="2" s="1"/>
  <c r="CN830" i="2" s="1"/>
  <c r="DS954" i="2"/>
  <c r="DC439" i="2"/>
  <c r="DD742" i="2"/>
  <c r="DC742" i="2" s="1"/>
  <c r="DF742" i="2" s="1"/>
  <c r="CX920" i="2"/>
  <c r="CW920" i="2" s="1"/>
  <c r="CZ920" i="2" s="1"/>
  <c r="DR228" i="2"/>
  <c r="DA527" i="2"/>
  <c r="CM515" i="2"/>
  <c r="CL515" i="2" s="1"/>
  <c r="CO515" i="2" s="1"/>
  <c r="DP712" i="2"/>
  <c r="DO712" i="2" s="1"/>
  <c r="DR712" i="2" s="1"/>
  <c r="DS1031" i="2"/>
  <c r="DB215" i="2"/>
  <c r="DJ742" i="2"/>
  <c r="DI742" i="2" s="1"/>
  <c r="DL742" i="2" s="1"/>
  <c r="DF786" i="2"/>
  <c r="DD389" i="2"/>
  <c r="DC389" i="2" s="1"/>
  <c r="DF389" i="2" s="1"/>
  <c r="CX535" i="2"/>
  <c r="CW535" i="2" s="1"/>
  <c r="CZ535" i="2" s="1"/>
  <c r="DY280" i="2"/>
  <c r="CX621" i="2"/>
  <c r="CW621" i="2" s="1"/>
  <c r="CZ621" i="2" s="1"/>
  <c r="DC1017" i="2"/>
  <c r="DJ701" i="2"/>
  <c r="DI701" i="2" s="1"/>
  <c r="DL701" i="2" s="1"/>
  <c r="CL1026" i="2"/>
  <c r="CK1026" i="2" s="1"/>
  <c r="CN1026" i="2" s="1"/>
  <c r="DN75" i="2"/>
  <c r="DD532" i="2"/>
  <c r="DC532" i="2" s="1"/>
  <c r="DF532" i="2" s="1"/>
  <c r="CL306" i="2"/>
  <c r="CK306" i="2" s="1"/>
  <c r="CN306" i="2" s="1"/>
  <c r="CG490" i="2"/>
  <c r="CF490" i="2" s="1"/>
  <c r="CI490" i="2" s="1"/>
  <c r="CS215" i="2"/>
  <c r="CR215" i="2" s="1"/>
  <c r="CU215" i="2" s="1"/>
  <c r="CP477" i="2"/>
  <c r="DR534" i="2"/>
  <c r="DL465" i="2"/>
  <c r="BX115" i="2"/>
  <c r="BZ115" i="2" s="1"/>
  <c r="BY115" i="2" s="1"/>
  <c r="CX528" i="2"/>
  <c r="CW528" i="2" s="1"/>
  <c r="CZ528" i="2" s="1"/>
  <c r="DJ401" i="2"/>
  <c r="DI401" i="2" s="1"/>
  <c r="DL401" i="2" s="1"/>
  <c r="CR92" i="2"/>
  <c r="CQ92" i="2" s="1"/>
  <c r="CT92" i="2" s="1"/>
  <c r="CA283" i="2"/>
  <c r="BZ283" i="2" s="1"/>
  <c r="CC283" i="2" s="1"/>
  <c r="CS1017" i="2"/>
  <c r="CR1017" i="2" s="1"/>
  <c r="CU1017" i="2" s="1"/>
  <c r="DA85" i="2"/>
  <c r="DB85" i="2" s="1"/>
  <c r="CY236" i="2"/>
  <c r="CM139" i="2"/>
  <c r="CL139" i="2" s="1"/>
  <c r="CO139" i="2" s="1"/>
  <c r="DD754" i="2"/>
  <c r="DC754" i="2" s="1"/>
  <c r="DF754" i="2" s="1"/>
  <c r="CL742" i="2"/>
  <c r="CK742" i="2" s="1"/>
  <c r="CN742" i="2" s="1"/>
  <c r="DS617" i="2"/>
  <c r="CL617" i="2"/>
  <c r="CK617" i="2" s="1"/>
  <c r="CN617" i="2" s="1"/>
  <c r="CX986" i="2"/>
  <c r="CW986" i="2" s="1"/>
  <c r="CZ986" i="2" s="1"/>
  <c r="DB354" i="2"/>
  <c r="CG911" i="2"/>
  <c r="CF911" i="2" s="1"/>
  <c r="CI911" i="2" s="1"/>
  <c r="CP422" i="2"/>
  <c r="CM651" i="2"/>
  <c r="CL651" i="2" s="1"/>
  <c r="CO651" i="2" s="1"/>
  <c r="CU527" i="2"/>
  <c r="DB527" i="2" s="1"/>
  <c r="CP118" i="2"/>
  <c r="DK81" i="2"/>
  <c r="CX318" i="2"/>
  <c r="CW318" i="2" s="1"/>
  <c r="CZ318" i="2" s="1"/>
  <c r="CJ931" i="2"/>
  <c r="CL931" i="2" s="1"/>
  <c r="CK931" i="2" s="1"/>
  <c r="CN931" i="2" s="1"/>
  <c r="DJ399" i="2"/>
  <c r="DI399" i="2" s="1"/>
  <c r="DL399" i="2" s="1"/>
  <c r="DD383" i="2"/>
  <c r="CF323" i="2"/>
  <c r="CE323" i="2" s="1"/>
  <c r="CH323" i="2" s="1"/>
  <c r="CR207" i="2"/>
  <c r="CQ207" i="2" s="1"/>
  <c r="CT207" i="2" s="1"/>
  <c r="CV406" i="2"/>
  <c r="CP888" i="2"/>
  <c r="CM645" i="2"/>
  <c r="CL645" i="2" s="1"/>
  <c r="CO645" i="2" s="1"/>
  <c r="DR522" i="2"/>
  <c r="CX280" i="2"/>
  <c r="CW280" i="2" s="1"/>
  <c r="CZ280" i="2" s="1"/>
  <c r="DZ1003" i="2"/>
  <c r="DJ831" i="2"/>
  <c r="DI831" i="2" s="1"/>
  <c r="DL831" i="2" s="1"/>
  <c r="CN439" i="2"/>
  <c r="CM439" i="2" s="1"/>
  <c r="CP439" i="2" s="1"/>
  <c r="CQ888" i="2"/>
  <c r="DB1014" i="2"/>
  <c r="CF786" i="2"/>
  <c r="CE786" i="2" s="1"/>
  <c r="CH786" i="2" s="1"/>
  <c r="CU410" i="2"/>
  <c r="DD785" i="2"/>
  <c r="DC785" i="2" s="1"/>
  <c r="DF785" i="2" s="1"/>
  <c r="DJ468" i="2"/>
  <c r="CX44" i="2"/>
  <c r="CW44" i="2" s="1"/>
  <c r="CZ44" i="2" s="1"/>
  <c r="DN786" i="2"/>
  <c r="DP786" i="2" s="1"/>
  <c r="DO786" i="2" s="1"/>
  <c r="DS786" i="2"/>
  <c r="DH425" i="2" s="1"/>
  <c r="CD742" i="2"/>
  <c r="CF742" i="2" s="1"/>
  <c r="CE742" i="2" s="1"/>
  <c r="CH742" i="2" s="1"/>
  <c r="CF920" i="2"/>
  <c r="CE920" i="2" s="1"/>
  <c r="CH920" i="2" s="1"/>
  <c r="CR786" i="2"/>
  <c r="CQ786" i="2" s="1"/>
  <c r="CT786" i="2" s="1"/>
  <c r="DD44" i="2"/>
  <c r="DC44" i="2" s="1"/>
  <c r="DF44" i="2" s="1"/>
  <c r="DD920" i="2"/>
  <c r="DC920" i="2" s="1"/>
  <c r="DF920" i="2" s="1"/>
  <c r="DR920" i="2"/>
  <c r="BV786" i="2"/>
  <c r="DS1026" i="2"/>
  <c r="CX693" i="2"/>
  <c r="CW693" i="2" s="1"/>
  <c r="CZ693" i="2" s="1"/>
  <c r="CB754" i="2"/>
  <c r="CV786" i="2"/>
  <c r="CX786" i="2" s="1"/>
  <c r="CW786" i="2" s="1"/>
  <c r="CZ786" i="2" s="1"/>
  <c r="CB786" i="2"/>
  <c r="CR374" i="2"/>
  <c r="CQ374" i="2" s="1"/>
  <c r="CT374" i="2" s="1"/>
  <c r="DP754" i="2"/>
  <c r="DO754" i="2" s="1"/>
  <c r="DR754" i="2" s="1"/>
  <c r="DH786" i="2"/>
  <c r="DJ786" i="2" s="1"/>
  <c r="DI786" i="2" s="1"/>
  <c r="DC356" i="2"/>
  <c r="DM127" i="2"/>
  <c r="CR749" i="2"/>
  <c r="CQ749" i="2" s="1"/>
  <c r="CT749" i="2" s="1"/>
  <c r="DL468" i="2"/>
  <c r="DN656" i="2"/>
  <c r="DD992" i="2"/>
  <c r="DC992" i="2" s="1"/>
  <c r="DF992" i="2" s="1"/>
  <c r="DB1039" i="2"/>
  <c r="CS473" i="2"/>
  <c r="CR473" i="2" s="1"/>
  <c r="CU473" i="2" s="1"/>
  <c r="DS545" i="2"/>
  <c r="CR516" i="2"/>
  <c r="CQ516" i="2" s="1"/>
  <c r="CT516" i="2" s="1"/>
  <c r="DT1027" i="2"/>
  <c r="CP920" i="2"/>
  <c r="CR920" i="2" s="1"/>
  <c r="CQ920" i="2" s="1"/>
  <c r="CT920" i="2" s="1"/>
  <c r="CJ754" i="2"/>
  <c r="CL754" i="2" s="1"/>
  <c r="CK754" i="2" s="1"/>
  <c r="DB559" i="2"/>
  <c r="DM898" i="2"/>
  <c r="DG1018" i="2"/>
  <c r="CR1018" i="2"/>
  <c r="CQ1018" i="2" s="1"/>
  <c r="CT1018" i="2" s="1"/>
  <c r="DS920" i="2"/>
  <c r="DG830" i="2"/>
  <c r="DH830" i="2"/>
  <c r="CP742" i="2"/>
  <c r="DS754" i="2"/>
  <c r="DM200" i="2"/>
  <c r="DA923" i="2"/>
  <c r="DJ1000" i="2"/>
  <c r="DI1000" i="2" s="1"/>
  <c r="DL1000" i="2" s="1"/>
  <c r="DY528" i="2"/>
  <c r="CX374" i="2"/>
  <c r="CW374" i="2" s="1"/>
  <c r="CZ374" i="2" s="1"/>
  <c r="CP975" i="2"/>
  <c r="CP754" i="2"/>
  <c r="CR754" i="2" s="1"/>
  <c r="CQ754" i="2" s="1"/>
  <c r="DS742" i="2"/>
  <c r="CX123" i="2"/>
  <c r="CW123" i="2" s="1"/>
  <c r="CZ123" i="2" s="1"/>
  <c r="DL695" i="2"/>
  <c r="CF231" i="2"/>
  <c r="CE231" i="2" s="1"/>
  <c r="CH231" i="2" s="1"/>
  <c r="CS487" i="2"/>
  <c r="CR487" i="2" s="1"/>
  <c r="CU487" i="2" s="1"/>
  <c r="DT1031" i="2"/>
  <c r="DB56" i="2"/>
  <c r="CR82" i="2"/>
  <c r="CQ82" i="2" s="1"/>
  <c r="CT82" i="2" s="1"/>
  <c r="DB319" i="2"/>
  <c r="DB678" i="2"/>
  <c r="DB216" i="2"/>
  <c r="DT318" i="2"/>
  <c r="DG85" i="2"/>
  <c r="DH85" i="2" s="1"/>
  <c r="DJ85" i="2" s="1"/>
  <c r="DI85" i="2" s="1"/>
  <c r="DL85" i="2" s="1"/>
  <c r="DA215" i="2"/>
  <c r="DS44" i="2"/>
  <c r="CJ44" i="2"/>
  <c r="DT44" i="2" s="1"/>
  <c r="BK59" i="2"/>
  <c r="DC83" i="2"/>
  <c r="DN20" i="2"/>
  <c r="DS37" i="2"/>
  <c r="CL956" i="2"/>
  <c r="CK956" i="2" s="1"/>
  <c r="CN956" i="2" s="1"/>
  <c r="CL1018" i="2"/>
  <c r="CK1018" i="2" s="1"/>
  <c r="CN1018" i="2" s="1"/>
  <c r="DR170" i="2"/>
  <c r="DL323" i="2"/>
  <c r="DB337" i="2"/>
  <c r="DT337" i="2" s="1"/>
  <c r="CP870" i="2"/>
  <c r="DB323" i="2"/>
  <c r="DD323" i="2" s="1"/>
  <c r="DC323" i="2" s="1"/>
  <c r="DF323" i="2" s="1"/>
  <c r="DN92" i="2"/>
  <c r="CX84" i="2"/>
  <c r="CW84" i="2" s="1"/>
  <c r="CZ84" i="2" s="1"/>
  <c r="CR84" i="2"/>
  <c r="CQ84" i="2" s="1"/>
  <c r="CT84" i="2" s="1"/>
  <c r="DS337" i="2"/>
  <c r="BV323" i="2"/>
  <c r="DP337" i="2"/>
  <c r="DO337" i="2" s="1"/>
  <c r="DR337" i="2" s="1"/>
  <c r="DS323" i="2"/>
  <c r="DN323" i="2"/>
  <c r="CG659" i="2"/>
  <c r="CF659" i="2" s="1"/>
  <c r="CI659" i="2" s="1"/>
  <c r="BY870" i="2"/>
  <c r="CQ870" i="2" s="1"/>
  <c r="DY80" i="2"/>
  <c r="DB792" i="2"/>
  <c r="CX925" i="2"/>
  <c r="CW925" i="2" s="1"/>
  <c r="CZ925" i="2" s="1"/>
  <c r="DD558" i="2"/>
  <c r="CP659" i="2"/>
  <c r="DH712" i="2"/>
  <c r="DJ712" i="2" s="1"/>
  <c r="DI712" i="2" s="1"/>
  <c r="DD712" i="2"/>
  <c r="DC712" i="2" s="1"/>
  <c r="DF712" i="2" s="1"/>
  <c r="CM615" i="2"/>
  <c r="CL615" i="2" s="1"/>
  <c r="CO615" i="2" s="1"/>
  <c r="CQ636" i="2"/>
  <c r="CV712" i="2"/>
  <c r="CX712" i="2" s="1"/>
  <c r="CW712" i="2" s="1"/>
  <c r="DS712" i="2"/>
  <c r="DM20" i="2"/>
  <c r="CX719" i="2"/>
  <c r="CW719" i="2" s="1"/>
  <c r="CZ719" i="2" s="1"/>
  <c r="DM121" i="2"/>
  <c r="DD12" i="2"/>
  <c r="DC12" i="2" s="1"/>
  <c r="DF12" i="2" s="1"/>
  <c r="CR830" i="2"/>
  <c r="CQ830" i="2" s="1"/>
  <c r="CT830" i="2" s="1"/>
  <c r="CL606" i="2"/>
  <c r="CK606" i="2" s="1"/>
  <c r="CN606" i="2" s="1"/>
  <c r="DN606" i="2"/>
  <c r="BY792" i="2"/>
  <c r="DC792" i="2" s="1"/>
  <c r="CG436" i="2"/>
  <c r="CF436" i="2" s="1"/>
  <c r="CI436" i="2" s="1"/>
  <c r="CQ436" i="2"/>
  <c r="CE190" i="2"/>
  <c r="CG190" i="2" s="1"/>
  <c r="CF190" i="2" s="1"/>
  <c r="CI190" i="2" s="1"/>
  <c r="DA897" i="2"/>
  <c r="DJ163" i="2"/>
  <c r="DS693" i="2"/>
  <c r="BO271" i="2"/>
  <c r="DG271" i="2"/>
  <c r="DH271" i="2" s="1"/>
  <c r="DJ271" i="2" s="1"/>
  <c r="DI271" i="2" s="1"/>
  <c r="DL271" i="2" s="1"/>
  <c r="DN502" i="2"/>
  <c r="DN297" i="2"/>
  <c r="CI410" i="2"/>
  <c r="CJ84" i="2"/>
  <c r="DH84" i="2" s="1"/>
  <c r="DG84" i="2"/>
  <c r="CX1018" i="2"/>
  <c r="CW1018" i="2" s="1"/>
  <c r="CZ1018" i="2" s="1"/>
  <c r="DH1018" i="2"/>
  <c r="CL693" i="2"/>
  <c r="CK693" i="2" s="1"/>
  <c r="CN693" i="2" s="1"/>
  <c r="CR20" i="2"/>
  <c r="CQ20" i="2" s="1"/>
  <c r="CT20" i="2" s="1"/>
  <c r="DB846" i="2"/>
  <c r="DP98" i="2"/>
  <c r="CG203" i="2"/>
  <c r="CF203" i="2" s="1"/>
  <c r="CI203" i="2" s="1"/>
  <c r="DA487" i="2"/>
  <c r="CK159" i="2"/>
  <c r="CQ159" i="2" s="1"/>
  <c r="DM188" i="2"/>
  <c r="CQ118" i="2"/>
  <c r="CP308" i="2"/>
  <c r="CP651" i="2"/>
  <c r="DM558" i="2"/>
  <c r="CR693" i="2"/>
  <c r="CQ693" i="2" s="1"/>
  <c r="CT693" i="2" s="1"/>
  <c r="CX830" i="2"/>
  <c r="CW830" i="2" s="1"/>
  <c r="DY148" i="2"/>
  <c r="CR155" i="2"/>
  <c r="CQ155" i="2" s="1"/>
  <c r="CT155" i="2" s="1"/>
  <c r="DL892" i="2"/>
  <c r="DB253" i="2"/>
  <c r="DJ148" i="2"/>
  <c r="DI148" i="2" s="1"/>
  <c r="DL148" i="2" s="1"/>
  <c r="DN648" i="2"/>
  <c r="DR1003" i="2"/>
  <c r="CX358" i="2"/>
  <c r="CR200" i="2"/>
  <c r="CQ200" i="2" s="1"/>
  <c r="CT200" i="2" s="1"/>
  <c r="CV358" i="2"/>
  <c r="DS1005" i="2"/>
  <c r="DR420" i="2"/>
  <c r="DM992" i="2"/>
  <c r="DR5" i="2"/>
  <c r="DD232" i="2"/>
  <c r="DC232" i="2" s="1"/>
  <c r="DF232" i="2" s="1"/>
  <c r="DM12" i="2"/>
  <c r="DL693" i="2"/>
  <c r="DB69" i="2"/>
  <c r="DM474" i="2"/>
  <c r="DS1025" i="2"/>
  <c r="DP693" i="2"/>
  <c r="DO693" i="2" s="1"/>
  <c r="DR693" i="2" s="1"/>
  <c r="DB693" i="2"/>
  <c r="DD693" i="2" s="1"/>
  <c r="DC693" i="2" s="1"/>
  <c r="DR223" i="2"/>
  <c r="BV693" i="2"/>
  <c r="CP871" i="2"/>
  <c r="CZ1047" i="2"/>
  <c r="DD622" i="2"/>
  <c r="DS132" i="2"/>
  <c r="CF691" i="2"/>
  <c r="CE691" i="2" s="1"/>
  <c r="CH691" i="2" s="1"/>
  <c r="DN383" i="2"/>
  <c r="DS309" i="2"/>
  <c r="DP653" i="2"/>
  <c r="DJ925" i="2"/>
  <c r="DI925" i="2" s="1"/>
  <c r="DL925" i="2" s="1"/>
  <c r="CX655" i="2"/>
  <c r="CW655" i="2" s="1"/>
  <c r="CZ655" i="2" s="1"/>
  <c r="DM131" i="2"/>
  <c r="CL425" i="2"/>
  <c r="CK425" i="2" s="1"/>
  <c r="CN425" i="2" s="1"/>
  <c r="CY473" i="2"/>
  <c r="CG83" i="2"/>
  <c r="CF83" i="2" s="1"/>
  <c r="CI83" i="2" s="1"/>
  <c r="CP266" i="2"/>
  <c r="DS105" i="2"/>
  <c r="CL155" i="2"/>
  <c r="CK155" i="2" s="1"/>
  <c r="CN155" i="2" s="1"/>
  <c r="CF155" i="2"/>
  <c r="CE155" i="2" s="1"/>
  <c r="CH155" i="2" s="1"/>
  <c r="DN866" i="2"/>
  <c r="DG1034" i="2"/>
  <c r="DH1034" i="2" s="1"/>
  <c r="DJ1034" i="2" s="1"/>
  <c r="DI1034" i="2" s="1"/>
  <c r="DL1034" i="2" s="1"/>
  <c r="DM606" i="2"/>
  <c r="DN122" i="2"/>
  <c r="DM850" i="2"/>
  <c r="DN140" i="2"/>
  <c r="DB201" i="2"/>
  <c r="DQ282" i="2"/>
  <c r="DJ493" i="2"/>
  <c r="DI493" i="2" s="1"/>
  <c r="DL493" i="2" s="1"/>
  <c r="DR437" i="2"/>
  <c r="DJ524" i="2"/>
  <c r="DI524" i="2" s="1"/>
  <c r="DL524" i="2" s="1"/>
  <c r="CR225" i="2"/>
  <c r="CQ225" i="2" s="1"/>
  <c r="CT225" i="2" s="1"/>
  <c r="CP139" i="2"/>
  <c r="CQ203" i="2"/>
  <c r="DJ1047" i="2"/>
  <c r="DI1047" i="2" s="1"/>
  <c r="DL1047" i="2" s="1"/>
  <c r="DM122" i="2"/>
  <c r="DM892" i="2"/>
  <c r="DM207" i="2"/>
  <c r="CL710" i="2"/>
  <c r="CK710" i="2" s="1"/>
  <c r="CN710" i="2" s="1"/>
  <c r="CL225" i="2"/>
  <c r="CK225" i="2" s="1"/>
  <c r="CN225" i="2" s="1"/>
  <c r="CL507" i="2"/>
  <c r="CK507" i="2" s="1"/>
  <c r="CN507" i="2" s="1"/>
  <c r="DB765" i="2"/>
  <c r="DB301" i="2"/>
  <c r="DS653" i="2"/>
  <c r="DA59" i="2"/>
  <c r="DB59" i="2"/>
  <c r="DD767" i="2"/>
  <c r="DC767" i="2" s="1"/>
  <c r="DF767" i="2" s="1"/>
  <c r="DS1045" i="2"/>
  <c r="CV490" i="2"/>
  <c r="DN892" i="2"/>
  <c r="DZ667" i="2"/>
  <c r="DN986" i="2"/>
  <c r="CR606" i="2"/>
  <c r="CQ606" i="2" s="1"/>
  <c r="CT606" i="2" s="1"/>
  <c r="CX383" i="2"/>
  <c r="CW383" i="2" s="1"/>
  <c r="CZ383" i="2" s="1"/>
  <c r="DM123" i="2"/>
  <c r="CL383" i="2"/>
  <c r="CK383" i="2" s="1"/>
  <c r="CN383" i="2" s="1"/>
  <c r="DA958" i="2"/>
  <c r="DA201" i="2"/>
  <c r="CS678" i="2"/>
  <c r="CR678" i="2" s="1"/>
  <c r="CU678" i="2" s="1"/>
  <c r="CR115" i="2"/>
  <c r="CQ115" i="2" s="1"/>
  <c r="CT115" i="2" s="1"/>
  <c r="DG655" i="2"/>
  <c r="DL655" i="2" s="1"/>
  <c r="CW339" i="2"/>
  <c r="DC59" i="2"/>
  <c r="CP388" i="2"/>
  <c r="CY83" i="2"/>
  <c r="DB1047" i="2"/>
  <c r="DD1047" i="2" s="1"/>
  <c r="DC1047" i="2" s="1"/>
  <c r="DS1047" i="2"/>
  <c r="DN231" i="2"/>
  <c r="CG1002" i="2"/>
  <c r="CF1002" i="2" s="1"/>
  <c r="CI1002" i="2" s="1"/>
  <c r="DP1047" i="2"/>
  <c r="DO1047" i="2" s="1"/>
  <c r="DR1047" i="2" s="1"/>
  <c r="DB733" i="2"/>
  <c r="DA655" i="2"/>
  <c r="CR888" i="2"/>
  <c r="DJ155" i="2"/>
  <c r="DI155" i="2" s="1"/>
  <c r="DL155" i="2" s="1"/>
  <c r="CP872" i="2"/>
  <c r="DA489" i="2"/>
  <c r="DB624" i="2"/>
  <c r="DM154" i="2"/>
  <c r="DS335" i="2"/>
  <c r="BT155" i="2"/>
  <c r="BS155" i="2" s="1"/>
  <c r="BV155" i="2" s="1"/>
  <c r="CL970" i="2"/>
  <c r="CK970" i="2" s="1"/>
  <c r="CN970" i="2" s="1"/>
  <c r="CF123" i="2"/>
  <c r="CE123" i="2" s="1"/>
  <c r="CH123" i="2" s="1"/>
  <c r="DM873" i="2"/>
  <c r="DY1003" i="2"/>
  <c r="DC559" i="2"/>
  <c r="CR1024" i="2"/>
  <c r="CQ1024" i="2" s="1"/>
  <c r="CT1024" i="2" s="1"/>
  <c r="DT389" i="2"/>
  <c r="CV815" i="2"/>
  <c r="CX815" i="2" s="1"/>
  <c r="CW815" i="2" s="1"/>
  <c r="CZ815" i="2" s="1"/>
  <c r="DT155" i="2"/>
  <c r="BZ155" i="2"/>
  <c r="BY155" i="2" s="1"/>
  <c r="DP155" i="2"/>
  <c r="DO155" i="2" s="1"/>
  <c r="DR155" i="2" s="1"/>
  <c r="DB131" i="2"/>
  <c r="DD131" i="2" s="1"/>
  <c r="DC131" i="2" s="1"/>
  <c r="DF131" i="2" s="1"/>
  <c r="CK404" i="2"/>
  <c r="CQ404" i="2" s="1"/>
  <c r="DA1034" i="2"/>
  <c r="DB1034" i="2" s="1"/>
  <c r="DD1034" i="2" s="1"/>
  <c r="DC1034" i="2" s="1"/>
  <c r="DF1034" i="2" s="1"/>
  <c r="CX882" i="2"/>
  <c r="CW882" i="2" s="1"/>
  <c r="CZ882" i="2" s="1"/>
  <c r="DY466" i="2"/>
  <c r="CR122" i="2"/>
  <c r="CQ122" i="2" s="1"/>
  <c r="CT122" i="2" s="1"/>
  <c r="BO85" i="2"/>
  <c r="CX155" i="2"/>
  <c r="CW155" i="2" s="1"/>
  <c r="CZ155" i="2" s="1"/>
  <c r="DC678" i="2"/>
  <c r="DM908" i="2"/>
  <c r="CZ814" i="2"/>
  <c r="EB814" i="2" s="1"/>
  <c r="IL814" i="2" s="1"/>
  <c r="DM691" i="2"/>
  <c r="DZ532" i="2"/>
  <c r="DA507" i="2"/>
  <c r="DZ11" i="2"/>
  <c r="DR11" i="2"/>
  <c r="DM704" i="2"/>
  <c r="DS155" i="2"/>
  <c r="DA216" i="2"/>
  <c r="DM726" i="2"/>
  <c r="DC599" i="2"/>
  <c r="DD599" i="2" s="1"/>
  <c r="DE599" i="2" s="1"/>
  <c r="CV283" i="2"/>
  <c r="CM498" i="2"/>
  <c r="CL498" i="2" s="1"/>
  <c r="CO498" i="2" s="1"/>
  <c r="CR161" i="2"/>
  <c r="CS161" i="2" s="1"/>
  <c r="CT161" i="2" s="1"/>
  <c r="DM54" i="2"/>
  <c r="DY524" i="2"/>
  <c r="DJ170" i="2"/>
  <c r="DI170" i="2" s="1"/>
  <c r="DL170" i="2" s="1"/>
  <c r="DO985" i="2"/>
  <c r="DP985" i="2" s="1"/>
  <c r="EB985" i="2" s="1"/>
  <c r="DD170" i="2"/>
  <c r="DC170" i="2" s="1"/>
  <c r="DF170" i="2" s="1"/>
  <c r="DC355" i="2"/>
  <c r="CM149" i="2"/>
  <c r="CL149" i="2" s="1"/>
  <c r="CO149" i="2" s="1"/>
  <c r="DY532" i="2"/>
  <c r="DA624" i="2"/>
  <c r="DJ232" i="2"/>
  <c r="DI232" i="2" s="1"/>
  <c r="DL232" i="2" s="1"/>
  <c r="DC382" i="2"/>
  <c r="DD382" i="2" s="1"/>
  <c r="DP382" i="2" s="1"/>
  <c r="DO303" i="2"/>
  <c r="DP303" i="2" s="1"/>
  <c r="EB303" i="2" s="1"/>
  <c r="DP533" i="2"/>
  <c r="DM226" i="2"/>
  <c r="DB504" i="2"/>
  <c r="DM225" i="2"/>
  <c r="DT335" i="2"/>
  <c r="DA987" i="2"/>
  <c r="DD677" i="2"/>
  <c r="DC677" i="2" s="1"/>
  <c r="DF677" i="2" s="1"/>
  <c r="CP668" i="2"/>
  <c r="CR668" i="2" s="1"/>
  <c r="CQ668" i="2" s="1"/>
  <c r="CT668" i="2" s="1"/>
  <c r="DC823" i="2"/>
  <c r="DN374" i="2"/>
  <c r="DS882" i="2"/>
  <c r="CF648" i="2"/>
  <c r="CE648" i="2" s="1"/>
  <c r="CH648" i="2" s="1"/>
  <c r="DA504" i="2"/>
  <c r="DD75" i="2"/>
  <c r="DC75" i="2" s="1"/>
  <c r="DF75" i="2" s="1"/>
  <c r="CX744" i="2"/>
  <c r="CW744" i="2" s="1"/>
  <c r="CZ744" i="2" s="1"/>
  <c r="CQ927" i="2"/>
  <c r="DC1039" i="2"/>
  <c r="DM67" i="2"/>
  <c r="CL496" i="2"/>
  <c r="CK496" i="2" s="1"/>
  <c r="CN496" i="2" s="1"/>
  <c r="CD507" i="2"/>
  <c r="CF507" i="2" s="1"/>
  <c r="CE507" i="2" s="1"/>
  <c r="DT183" i="2"/>
  <c r="CR383" i="2"/>
  <c r="CQ383" i="2" s="1"/>
  <c r="CT383" i="2" s="1"/>
  <c r="CV704" i="2"/>
  <c r="CX704" i="2" s="1"/>
  <c r="CW704" i="2" s="1"/>
  <c r="CZ704" i="2" s="1"/>
  <c r="CM237" i="2"/>
  <c r="CL237" i="2" s="1"/>
  <c r="CO237" i="2" s="1"/>
  <c r="CQ321" i="2"/>
  <c r="CV339" i="2"/>
  <c r="DM29" i="2"/>
  <c r="DM648" i="2"/>
  <c r="DM847" i="2"/>
  <c r="CK843" i="2"/>
  <c r="CQ843" i="2" s="1"/>
  <c r="CQ486" i="2"/>
  <c r="CF714" i="2"/>
  <c r="CE714" i="2" s="1"/>
  <c r="CH714" i="2" s="1"/>
  <c r="DS348" i="2"/>
  <c r="CX866" i="2"/>
  <c r="CW866" i="2" s="1"/>
  <c r="CZ866" i="2" s="1"/>
  <c r="CL992" i="2"/>
  <c r="CK992" i="2" s="1"/>
  <c r="CN992" i="2" s="1"/>
  <c r="CM927" i="2"/>
  <c r="CL927" i="2" s="1"/>
  <c r="CO927" i="2" s="1"/>
  <c r="DC354" i="2"/>
  <c r="CQ492" i="2"/>
  <c r="DM75" i="2"/>
  <c r="CI587" i="2"/>
  <c r="CS587" i="2"/>
  <c r="CH904" i="2"/>
  <c r="DC904" i="2"/>
  <c r="DC215" i="2"/>
  <c r="DB524" i="2"/>
  <c r="DD524" i="2" s="1"/>
  <c r="DC524" i="2" s="1"/>
  <c r="DF524" i="2" s="1"/>
  <c r="CP170" i="2"/>
  <c r="CR170" i="2" s="1"/>
  <c r="CQ170" i="2" s="1"/>
  <c r="DD713" i="2"/>
  <c r="DC713" i="2" s="1"/>
  <c r="DF713" i="2" s="1"/>
  <c r="CX144" i="2"/>
  <c r="CW144" i="2" s="1"/>
  <c r="CZ144" i="2" s="1"/>
  <c r="DN1006" i="2"/>
  <c r="CA59" i="2"/>
  <c r="BZ59" i="2" s="1"/>
  <c r="CC59" i="2" s="1"/>
  <c r="BO1034" i="2"/>
  <c r="DR573" i="2"/>
  <c r="BX170" i="2"/>
  <c r="BZ170" i="2" s="1"/>
  <c r="BY170" i="2" s="1"/>
  <c r="DL297" i="2"/>
  <c r="DJ297" i="2"/>
  <c r="CP224" i="2"/>
  <c r="CR224" i="2" s="1"/>
  <c r="CQ224" i="2" s="1"/>
  <c r="CT224" i="2" s="1"/>
  <c r="CX170" i="2"/>
  <c r="CW170" i="2" s="1"/>
  <c r="CZ170" i="2" s="1"/>
  <c r="CV491" i="2"/>
  <c r="CX491" i="2" s="1"/>
  <c r="CW491" i="2" s="1"/>
  <c r="CZ491" i="2" s="1"/>
  <c r="DM831" i="2"/>
  <c r="DN207" i="2"/>
  <c r="DN200" i="2"/>
  <c r="CS236" i="2"/>
  <c r="CR236" i="2" s="1"/>
  <c r="CU236" i="2" s="1"/>
  <c r="CP203" i="2"/>
  <c r="DT96" i="2"/>
  <c r="DJ607" i="2"/>
  <c r="DI607" i="2" s="1"/>
  <c r="DL607" i="2" s="1"/>
  <c r="DY11" i="2"/>
  <c r="CS792" i="2"/>
  <c r="CR792" i="2" s="1"/>
  <c r="CU792" i="2" s="1"/>
  <c r="CQ899" i="2"/>
  <c r="DJ1045" i="2"/>
  <c r="DL1045" i="2"/>
  <c r="DO962" i="2"/>
  <c r="DP962" i="2" s="1"/>
  <c r="EB962" i="2" s="1"/>
  <c r="DO686" i="2"/>
  <c r="DP686" i="2" s="1"/>
  <c r="DQ686" i="2" s="1"/>
  <c r="BO897" i="2"/>
  <c r="CR210" i="2"/>
  <c r="CQ210" i="2" s="1"/>
  <c r="CT210" i="2" s="1"/>
  <c r="CL1031" i="2"/>
  <c r="CK1031" i="2" s="1"/>
  <c r="CN1031" i="2" s="1"/>
  <c r="DM965" i="2"/>
  <c r="CM146" i="2"/>
  <c r="CL146" i="2" s="1"/>
  <c r="CO146" i="2" s="1"/>
  <c r="CM321" i="2"/>
  <c r="CL321" i="2" s="1"/>
  <c r="CO321" i="2" s="1"/>
  <c r="DT1026" i="2"/>
  <c r="DB246" i="2"/>
  <c r="CG927" i="2"/>
  <c r="CF927" i="2" s="1"/>
  <c r="DA238" i="2"/>
  <c r="DA1035" i="2"/>
  <c r="CU85" i="2"/>
  <c r="DB528" i="2"/>
  <c r="DD528" i="2" s="1"/>
  <c r="DC528" i="2" s="1"/>
  <c r="DF528" i="2" s="1"/>
  <c r="CJ170" i="2"/>
  <c r="CL170" i="2" s="1"/>
  <c r="CK170" i="2" s="1"/>
  <c r="CZ628" i="2"/>
  <c r="EB628" i="2" s="1"/>
  <c r="IL628" i="2" s="1"/>
  <c r="DN908" i="2"/>
  <c r="CL116" i="2"/>
  <c r="CK116" i="2" s="1"/>
  <c r="CN116" i="2" s="1"/>
  <c r="DB206" i="2"/>
  <c r="DA719" i="2"/>
  <c r="CE408" i="2"/>
  <c r="CQ408" i="2" s="1"/>
  <c r="DZ280" i="2"/>
  <c r="CG636" i="2"/>
  <c r="CF636" i="2" s="1"/>
  <c r="CS636" i="2" s="1"/>
  <c r="DF622" i="2"/>
  <c r="CQ736" i="2"/>
  <c r="DR536" i="2"/>
  <c r="DS170" i="2"/>
  <c r="BR170" i="2"/>
  <c r="BT170" i="2" s="1"/>
  <c r="BS170" i="2" s="1"/>
  <c r="DO605" i="2"/>
  <c r="CN335" i="2"/>
  <c r="CO212" i="2"/>
  <c r="DD212" i="2"/>
  <c r="CG498" i="2"/>
  <c r="CF498" i="2" s="1"/>
  <c r="CQ498" i="2"/>
  <c r="CW499" i="2"/>
  <c r="CA499" i="2"/>
  <c r="BZ499" i="2" s="1"/>
  <c r="CC499" i="2" s="1"/>
  <c r="CM203" i="2"/>
  <c r="CL203" i="2" s="1"/>
  <c r="CO203" i="2" s="1"/>
  <c r="CM283" i="2"/>
  <c r="CL283" i="2" s="1"/>
  <c r="CO283" i="2" s="1"/>
  <c r="DN154" i="2"/>
  <c r="CG150" i="2"/>
  <c r="CF150" i="2" s="1"/>
  <c r="CI150" i="2" s="1"/>
  <c r="CP498" i="2"/>
  <c r="CJ228" i="2"/>
  <c r="CL228" i="2" s="1"/>
  <c r="CK228" i="2" s="1"/>
  <c r="CN228" i="2" s="1"/>
  <c r="DP525" i="2"/>
  <c r="DR525" i="2"/>
  <c r="DS1030" i="2"/>
  <c r="DB401" i="2"/>
  <c r="DD401" i="2" s="1"/>
  <c r="DC401" i="2" s="1"/>
  <c r="DF401" i="2" s="1"/>
  <c r="DC107" i="2"/>
  <c r="DD107" i="2" s="1"/>
  <c r="DP107" i="2" s="1"/>
  <c r="DM185" i="2"/>
  <c r="DN677" i="2"/>
  <c r="CV397" i="2"/>
  <c r="CX397" i="2" s="1"/>
  <c r="CW397" i="2" s="1"/>
  <c r="CZ397" i="2" s="1"/>
  <c r="CE301" i="2"/>
  <c r="DC301" i="2" s="1"/>
  <c r="DF335" i="2"/>
  <c r="CQ308" i="2"/>
  <c r="DY235" i="2"/>
  <c r="DJ335" i="2"/>
  <c r="DI335" i="2" s="1"/>
  <c r="DU335" i="2" s="1"/>
  <c r="CP85" i="2"/>
  <c r="CR85" i="2" s="1"/>
  <c r="CQ85" i="2" s="1"/>
  <c r="CT85" i="2" s="1"/>
  <c r="DY531" i="2"/>
  <c r="CP887" i="2"/>
  <c r="CL937" i="2"/>
  <c r="CK937" i="2" s="1"/>
  <c r="CN937" i="2" s="1"/>
  <c r="DM677" i="2"/>
  <c r="DC246" i="2"/>
  <c r="DR532" i="2"/>
  <c r="DP532" i="2"/>
  <c r="BV297" i="2"/>
  <c r="DO297" i="2"/>
  <c r="BW975" i="2"/>
  <c r="CR975" i="2"/>
  <c r="CH200" i="2"/>
  <c r="CV1034" i="2"/>
  <c r="CX1034" i="2" s="1"/>
  <c r="CW1034" i="2" s="1"/>
  <c r="CZ1034" i="2" s="1"/>
  <c r="CN417" i="2"/>
  <c r="DC417" i="2"/>
  <c r="DD417" i="2" s="1"/>
  <c r="DP417" i="2" s="1"/>
  <c r="BL417" i="2" s="1"/>
  <c r="BM417" i="2" s="1"/>
  <c r="BN417" i="2" s="1"/>
  <c r="BP417" i="2" s="1"/>
  <c r="CQ887" i="2"/>
  <c r="CG887" i="2"/>
  <c r="CF887" i="2" s="1"/>
  <c r="CN167" i="2"/>
  <c r="DO167" i="2"/>
  <c r="DB987" i="2"/>
  <c r="DA919" i="2"/>
  <c r="DK243" i="2"/>
  <c r="CG246" i="2"/>
  <c r="CF246" i="2" s="1"/>
  <c r="DD158" i="2"/>
  <c r="DC158" i="2" s="1"/>
  <c r="DF158" i="2" s="1"/>
  <c r="DH522" i="2"/>
  <c r="DJ522" i="2" s="1"/>
  <c r="DI522" i="2" s="1"/>
  <c r="DL522" i="2" s="1"/>
  <c r="DP531" i="2"/>
  <c r="CR12" i="2"/>
  <c r="CQ12" i="2" s="1"/>
  <c r="CT12" i="2" s="1"/>
  <c r="DD140" i="2"/>
  <c r="DC140" i="2" s="1"/>
  <c r="CQ160" i="2"/>
  <c r="DT37" i="2"/>
  <c r="DM1034" i="2"/>
  <c r="DP1034" i="2" s="1"/>
  <c r="DO1034" i="2" s="1"/>
  <c r="DR1034" i="2" s="1"/>
  <c r="DS318" i="2"/>
  <c r="DN883" i="2"/>
  <c r="DF607" i="2"/>
  <c r="DM883" i="2"/>
  <c r="CD653" i="2"/>
  <c r="CF653" i="2" s="1"/>
  <c r="CE653" i="2" s="1"/>
  <c r="CD925" i="2"/>
  <c r="DT925" i="2" s="1"/>
  <c r="DH679" i="2"/>
  <c r="DM679" i="2"/>
  <c r="DM401" i="2"/>
  <c r="CV401" i="2"/>
  <c r="CV228" i="2"/>
  <c r="CX228" i="2" s="1"/>
  <c r="CW228" i="2" s="1"/>
  <c r="CZ228" i="2" s="1"/>
  <c r="CP862" i="2"/>
  <c r="CR862" i="2" s="1"/>
  <c r="CQ862" i="2" s="1"/>
  <c r="CJ834" i="2"/>
  <c r="CL834" i="2" s="1"/>
  <c r="CK834" i="2" s="1"/>
  <c r="DF125" i="2"/>
  <c r="DD125" i="2"/>
  <c r="CJ1005" i="2"/>
  <c r="CL1005" i="2" s="1"/>
  <c r="CK1005" i="2" s="1"/>
  <c r="CN1005" i="2" s="1"/>
  <c r="CJ862" i="2"/>
  <c r="CL862" i="2" s="1"/>
  <c r="CK862" i="2" s="1"/>
  <c r="DP803" i="2"/>
  <c r="DR803" i="2"/>
  <c r="CP399" i="2"/>
  <c r="CR399" i="2" s="1"/>
  <c r="CQ399" i="2" s="1"/>
  <c r="CT399" i="2" s="1"/>
  <c r="DB725" i="2"/>
  <c r="DN725" i="2" s="1"/>
  <c r="CY488" i="2"/>
  <c r="DA488" i="2"/>
  <c r="DN269" i="2"/>
  <c r="DN878" i="2"/>
  <c r="CQ245" i="2"/>
  <c r="DM92" i="2"/>
  <c r="DM956" i="2"/>
  <c r="CR125" i="2"/>
  <c r="CQ125" i="2" s="1"/>
  <c r="CT125" i="2" s="1"/>
  <c r="CP927" i="2"/>
  <c r="CK638" i="2"/>
  <c r="CM638" i="2" s="1"/>
  <c r="CL638" i="2" s="1"/>
  <c r="CO638" i="2" s="1"/>
  <c r="CM118" i="2"/>
  <c r="CL118" i="2" s="1"/>
  <c r="CO118" i="2" s="1"/>
  <c r="DN726" i="2"/>
  <c r="DJ866" i="2"/>
  <c r="DI866" i="2" s="1"/>
  <c r="DL866" i="2" s="1"/>
  <c r="CV309" i="2"/>
  <c r="CX309" i="2" s="1"/>
  <c r="CW309" i="2" s="1"/>
  <c r="DH862" i="2"/>
  <c r="DJ862" i="2" s="1"/>
  <c r="DI862" i="2" s="1"/>
  <c r="CO510" i="2"/>
  <c r="CI510" i="2"/>
  <c r="CU510" i="2"/>
  <c r="DP85" i="2"/>
  <c r="DR85" i="2"/>
  <c r="CR986" i="2"/>
  <c r="CQ986" i="2" s="1"/>
  <c r="CT986" i="2" s="1"/>
  <c r="DN1019" i="2"/>
  <c r="DB614" i="2"/>
  <c r="CV499" i="2"/>
  <c r="CV279" i="2"/>
  <c r="CX279" i="2" s="1"/>
  <c r="CW279" i="2" s="1"/>
  <c r="CZ279" i="2" s="1"/>
  <c r="CV235" i="2"/>
  <c r="DZ235" i="2" s="1"/>
  <c r="DP523" i="2"/>
  <c r="DR523" i="2"/>
  <c r="DA246" i="2"/>
  <c r="CY246" i="2"/>
  <c r="CY792" i="2"/>
  <c r="DA792" i="2"/>
  <c r="CE69" i="2"/>
  <c r="CG69" i="2" s="1"/>
  <c r="CF69" i="2" s="1"/>
  <c r="CI69" i="2" s="1"/>
  <c r="DS862" i="2"/>
  <c r="BX862" i="2"/>
  <c r="BZ862" i="2" s="1"/>
  <c r="BY862" i="2" s="1"/>
  <c r="CX82" i="2"/>
  <c r="CW82" i="2" s="1"/>
  <c r="CZ82" i="2" s="1"/>
  <c r="CR131" i="2"/>
  <c r="CQ131" i="2" s="1"/>
  <c r="CT131" i="2" s="1"/>
  <c r="DN371" i="2"/>
  <c r="CQ651" i="2"/>
  <c r="CP261" i="2"/>
  <c r="DM866" i="2"/>
  <c r="DM231" i="2"/>
  <c r="DA846" i="2"/>
  <c r="CV862" i="2"/>
  <c r="CX862" i="2" s="1"/>
  <c r="CW862" i="2" s="1"/>
  <c r="CZ862" i="2" s="1"/>
  <c r="BV862" i="2"/>
  <c r="DH724" i="2"/>
  <c r="DN724" i="2" s="1"/>
  <c r="CV12" i="2"/>
  <c r="DN12" i="2" s="1"/>
  <c r="DB523" i="2"/>
  <c r="DY523" i="2"/>
  <c r="DP224" i="2"/>
  <c r="DR224" i="2"/>
  <c r="DD704" i="2"/>
  <c r="DF704" i="2"/>
  <c r="DD478" i="2"/>
  <c r="DM478" i="2"/>
  <c r="CC871" i="2"/>
  <c r="CR871" i="2"/>
  <c r="CZ75" i="2"/>
  <c r="CI844" i="2"/>
  <c r="CR844" i="2"/>
  <c r="CI736" i="2"/>
  <c r="CR736" i="2"/>
  <c r="CZ387" i="2"/>
  <c r="DO387" i="2"/>
  <c r="DP387" i="2" s="1"/>
  <c r="DQ387" i="2" s="1"/>
  <c r="CT137" i="2"/>
  <c r="DO137" i="2"/>
  <c r="DP137" i="2" s="1"/>
  <c r="DQ137" i="2" s="1"/>
  <c r="CN427" i="2"/>
  <c r="DC427" i="2"/>
  <c r="DD427" i="2" s="1"/>
  <c r="DE427" i="2" s="1"/>
  <c r="CO160" i="2"/>
  <c r="CR160" i="2"/>
  <c r="CZ340" i="2"/>
  <c r="DC340" i="2"/>
  <c r="DC765" i="2"/>
  <c r="CZ547" i="2"/>
  <c r="EB547" i="2" s="1"/>
  <c r="IL547" i="2" s="1"/>
  <c r="CY945" i="2"/>
  <c r="CZ945" i="2" s="1"/>
  <c r="EB945" i="2" s="1"/>
  <c r="IL945" i="2" s="1"/>
  <c r="DY804" i="2"/>
  <c r="DD1003" i="2"/>
  <c r="DC1003" i="2" s="1"/>
  <c r="DF1003" i="2" s="1"/>
  <c r="CV604" i="2"/>
  <c r="DZ604" i="2" s="1"/>
  <c r="DJ1024" i="2"/>
  <c r="DL1024" i="2"/>
  <c r="DY224" i="2"/>
  <c r="CJ224" i="2"/>
  <c r="DB394" i="2"/>
  <c r="DD394" i="2" s="1"/>
  <c r="DC394" i="2" s="1"/>
  <c r="DF394" i="2" s="1"/>
  <c r="CD992" i="2"/>
  <c r="DN992" i="2" s="1"/>
  <c r="DY223" i="2"/>
  <c r="DM592" i="2"/>
  <c r="DD592" i="2"/>
  <c r="DB429" i="2"/>
  <c r="DT429" i="2" s="1"/>
  <c r="DS429" i="2"/>
  <c r="CV348" i="2"/>
  <c r="DT348" i="2" s="1"/>
  <c r="DR530" i="2"/>
  <c r="DP530" i="2"/>
  <c r="DH398" i="2"/>
  <c r="DJ398" i="2" s="1"/>
  <c r="DI398" i="2" s="1"/>
  <c r="DL398" i="2" s="1"/>
  <c r="CV582" i="2"/>
  <c r="CX582" i="2" s="1"/>
  <c r="CW582" i="2" s="1"/>
  <c r="CZ582" i="2" s="1"/>
  <c r="CL223" i="2"/>
  <c r="CK223" i="2" s="1"/>
  <c r="CN223" i="2" s="1"/>
  <c r="CP507" i="2"/>
  <c r="CR507" i="2" s="1"/>
  <c r="CQ507" i="2" s="1"/>
  <c r="CT507" i="2" s="1"/>
  <c r="DA829" i="2"/>
  <c r="CY829" i="2"/>
  <c r="CK974" i="2"/>
  <c r="CM974" i="2" s="1"/>
  <c r="CL974" i="2" s="1"/>
  <c r="CO974" i="2" s="1"/>
  <c r="DA112" i="2"/>
  <c r="DS1024" i="2"/>
  <c r="DD235" i="2"/>
  <c r="DC235" i="2" s="1"/>
  <c r="DF235" i="2" s="1"/>
  <c r="DS607" i="2"/>
  <c r="CV607" i="2"/>
  <c r="DT607" i="2" s="1"/>
  <c r="CN607" i="2"/>
  <c r="CP804" i="2"/>
  <c r="CR804" i="2" s="1"/>
  <c r="CQ804" i="2" s="1"/>
  <c r="CT804" i="2" s="1"/>
  <c r="DH400" i="2"/>
  <c r="DJ400" i="2" s="1"/>
  <c r="DI400" i="2" s="1"/>
  <c r="DL400" i="2" s="1"/>
  <c r="DH193" i="2"/>
  <c r="DJ193" i="2" s="1"/>
  <c r="DI193" i="2" s="1"/>
  <c r="DL193" i="2" s="1"/>
  <c r="DB516" i="2"/>
  <c r="DD516" i="2" s="1"/>
  <c r="DC516" i="2" s="1"/>
  <c r="DF516" i="2" s="1"/>
  <c r="DC253" i="2"/>
  <c r="DD733" i="2"/>
  <c r="DC405" i="2"/>
  <c r="DD405" i="2" s="1"/>
  <c r="DP405" i="2" s="1"/>
  <c r="BL405" i="2" s="1"/>
  <c r="BM405" i="2" s="1"/>
  <c r="BN405" i="2" s="1"/>
  <c r="BP405" i="2" s="1"/>
  <c r="DO878" i="2"/>
  <c r="DC342" i="2"/>
  <c r="DO478" i="2"/>
  <c r="DC252" i="2"/>
  <c r="DD252" i="2" s="1"/>
  <c r="DP252" i="2" s="1"/>
  <c r="BL252" i="2" s="1"/>
  <c r="BM252" i="2" s="1"/>
  <c r="BN252" i="2" s="1"/>
  <c r="BP252" i="2" s="1"/>
  <c r="DC199" i="2"/>
  <c r="DD199" i="2" s="1"/>
  <c r="DE199" i="2" s="1"/>
  <c r="DO705" i="2"/>
  <c r="DC816" i="2"/>
  <c r="DD816" i="2" s="1"/>
  <c r="DP816" i="2" s="1"/>
  <c r="DO101" i="2"/>
  <c r="DM128" i="2"/>
  <c r="CZ78" i="2"/>
  <c r="EB78" i="2" s="1"/>
  <c r="IL78" i="2" s="1"/>
  <c r="IN78" i="2" s="1"/>
  <c r="CF908" i="2"/>
  <c r="CE908" i="2" s="1"/>
  <c r="CH908" i="2" s="1"/>
  <c r="CR704" i="2"/>
  <c r="CQ704" i="2" s="1"/>
  <c r="DB891" i="2"/>
  <c r="DB719" i="2"/>
  <c r="CR213" i="2"/>
  <c r="CM147" i="2"/>
  <c r="CL147" i="2" s="1"/>
  <c r="DB236" i="2"/>
  <c r="DY604" i="2"/>
  <c r="CX531" i="2"/>
  <c r="CW531" i="2" s="1"/>
  <c r="CZ531" i="2" s="1"/>
  <c r="DM297" i="2"/>
  <c r="CP1025" i="2"/>
  <c r="DT1025" i="2" s="1"/>
  <c r="CV804" i="2"/>
  <c r="CX804" i="2" s="1"/>
  <c r="CW804" i="2" s="1"/>
  <c r="CZ804" i="2" s="1"/>
  <c r="DB395" i="2"/>
  <c r="DD395" i="2" s="1"/>
  <c r="DC395" i="2" s="1"/>
  <c r="DD225" i="2"/>
  <c r="DF225" i="2"/>
  <c r="DB904" i="2"/>
  <c r="DD534" i="2"/>
  <c r="DC534" i="2" s="1"/>
  <c r="DF534" i="2" s="1"/>
  <c r="CP486" i="2"/>
  <c r="DY803" i="2"/>
  <c r="DH188" i="2"/>
  <c r="DJ188" i="2" s="1"/>
  <c r="DI188" i="2" s="1"/>
  <c r="DL188" i="2" s="1"/>
  <c r="CP223" i="2"/>
  <c r="DZ223" i="2" s="1"/>
  <c r="DM193" i="2"/>
  <c r="CJ193" i="2"/>
  <c r="CJ121" i="2"/>
  <c r="DN121" i="2" s="1"/>
  <c r="CE829" i="2"/>
  <c r="DC829" i="2" s="1"/>
  <c r="DC295" i="2"/>
  <c r="DD295" i="2" s="1"/>
  <c r="DP295" i="2" s="1"/>
  <c r="DO431" i="2"/>
  <c r="DC390" i="2"/>
  <c r="DD390" i="2" s="1"/>
  <c r="DE390" i="2" s="1"/>
  <c r="DO592" i="2"/>
  <c r="DO558" i="2"/>
  <c r="DM743" i="2"/>
  <c r="DN898" i="2"/>
  <c r="DG510" i="2"/>
  <c r="DH510" i="2" s="1"/>
  <c r="DJ510" i="2" s="1"/>
  <c r="DI510" i="2" s="1"/>
  <c r="CZ549" i="2"/>
  <c r="EB549" i="2" s="1"/>
  <c r="IL549" i="2" s="1"/>
  <c r="CG339" i="2"/>
  <c r="CF339" i="2" s="1"/>
  <c r="CI339" i="2" s="1"/>
  <c r="CP713" i="2"/>
  <c r="DT713" i="2" s="1"/>
  <c r="CJ714" i="2"/>
  <c r="DT714" i="2" s="1"/>
  <c r="CV148" i="2"/>
  <c r="CX148" i="2" s="1"/>
  <c r="CW148" i="2" s="1"/>
  <c r="CZ148" i="2" s="1"/>
  <c r="CJ128" i="2"/>
  <c r="CL128" i="2" s="1"/>
  <c r="CK128" i="2" s="1"/>
  <c r="CN128" i="2" s="1"/>
  <c r="CV1000" i="2"/>
  <c r="CX1000" i="2" s="1"/>
  <c r="CW1000" i="2" s="1"/>
  <c r="CZ1000" i="2" s="1"/>
  <c r="DR80" i="2"/>
  <c r="DP80" i="2"/>
  <c r="CV524" i="2"/>
  <c r="DM610" i="2"/>
  <c r="DH610" i="2"/>
  <c r="DJ610" i="2" s="1"/>
  <c r="DI610" i="2" s="1"/>
  <c r="DL610" i="2" s="1"/>
  <c r="CK150" i="2"/>
  <c r="CM150" i="2" s="1"/>
  <c r="CL150" i="2" s="1"/>
  <c r="CO150" i="2" s="1"/>
  <c r="DC206" i="2"/>
  <c r="DO278" i="2"/>
  <c r="DC989" i="2"/>
  <c r="DD989" i="2" s="1"/>
  <c r="DP989" i="2" s="1"/>
  <c r="DC40" i="2"/>
  <c r="DD40" i="2" s="1"/>
  <c r="DE40" i="2" s="1"/>
  <c r="DN956" i="2"/>
  <c r="DB102" i="2"/>
  <c r="CA301" i="2"/>
  <c r="BZ301" i="2" s="1"/>
  <c r="CC301" i="2" s="1"/>
  <c r="DY535" i="2"/>
  <c r="DZ531" i="2"/>
  <c r="DB829" i="2"/>
  <c r="DB472" i="2"/>
  <c r="DB237" i="2"/>
  <c r="DL144" i="2"/>
  <c r="DJ144" i="2"/>
  <c r="DB701" i="2"/>
  <c r="DD701" i="2" s="1"/>
  <c r="DC701" i="2" s="1"/>
  <c r="DF701" i="2" s="1"/>
  <c r="CJ127" i="2"/>
  <c r="CL127" i="2" s="1"/>
  <c r="CK127" i="2" s="1"/>
  <c r="DA355" i="2"/>
  <c r="CY355" i="2"/>
  <c r="CX216" i="2"/>
  <c r="CW216" i="2" s="1"/>
  <c r="DC216" i="2" s="1"/>
  <c r="DO892" i="2"/>
  <c r="DC326" i="2"/>
  <c r="DD326" i="2" s="1"/>
  <c r="DP326" i="2" s="1"/>
  <c r="DC319" i="2"/>
  <c r="DN646" i="2"/>
  <c r="CQ659" i="2"/>
  <c r="CQ261" i="2"/>
  <c r="DD706" i="2"/>
  <c r="DC706" i="2" s="1"/>
  <c r="DF706" i="2" s="1"/>
  <c r="CD48" i="2"/>
  <c r="CF48" i="2" s="1"/>
  <c r="CE48" i="2" s="1"/>
  <c r="CH48" i="2" s="1"/>
  <c r="DH127" i="2"/>
  <c r="DJ127" i="2" s="1"/>
  <c r="DI127" i="2" s="1"/>
  <c r="DL127" i="2" s="1"/>
  <c r="DD379" i="2"/>
  <c r="DM379" i="2"/>
  <c r="DF379" i="2"/>
  <c r="CP353" i="2"/>
  <c r="CE353" i="2"/>
  <c r="BY150" i="2"/>
  <c r="CV150" i="2"/>
  <c r="DM620" i="2"/>
  <c r="DD640" i="2"/>
  <c r="DE640" i="2" s="1"/>
  <c r="DK640" i="2" s="1"/>
  <c r="BG640" i="2" s="1"/>
  <c r="BH640" i="2" s="1"/>
  <c r="BI640" i="2" s="1"/>
  <c r="BK640" i="2" s="1"/>
  <c r="DO900" i="2"/>
  <c r="DP900" i="2" s="1"/>
  <c r="EB900" i="2" s="1"/>
  <c r="DU105" i="2"/>
  <c r="BV399" i="2"/>
  <c r="BV907" i="2"/>
  <c r="CZ721" i="2"/>
  <c r="DO721" i="2"/>
  <c r="CN414" i="2"/>
  <c r="DC414" i="2"/>
  <c r="CU511" i="2"/>
  <c r="DD511" i="2"/>
  <c r="DE511" i="2" s="1"/>
  <c r="DK511" i="2" s="1"/>
  <c r="BG511" i="2" s="1"/>
  <c r="BH511" i="2" s="1"/>
  <c r="BI511" i="2" s="1"/>
  <c r="BK511" i="2" s="1"/>
  <c r="CU624" i="2"/>
  <c r="DD624" i="2"/>
  <c r="DJ653" i="2"/>
  <c r="DI653" i="2" s="1"/>
  <c r="DL653" i="2" s="1"/>
  <c r="CH821" i="2"/>
  <c r="BV318" i="2"/>
  <c r="CB604" i="2"/>
  <c r="CN699" i="2"/>
  <c r="DC699" i="2"/>
  <c r="CO190" i="2"/>
  <c r="BV727" i="2"/>
  <c r="CH803" i="2"/>
  <c r="EA803" i="2"/>
  <c r="CB148" i="2"/>
  <c r="BV330" i="2"/>
  <c r="DC330" i="2"/>
  <c r="DD330" i="2" s="1"/>
  <c r="DP330" i="2" s="1"/>
  <c r="CZ891" i="2"/>
  <c r="DC891" i="2"/>
  <c r="BQ638" i="2"/>
  <c r="CZ68" i="2"/>
  <c r="DC68" i="2"/>
  <c r="DD68" i="2" s="1"/>
  <c r="DP68" i="2" s="1"/>
  <c r="CT883" i="2"/>
  <c r="CN474" i="2"/>
  <c r="DO474" i="2"/>
  <c r="CO678" i="2"/>
  <c r="DL131" i="2"/>
  <c r="DF502" i="2"/>
  <c r="DO502" i="2"/>
  <c r="CN1045" i="2"/>
  <c r="DU1045" i="2"/>
  <c r="BW146" i="2"/>
  <c r="DD65" i="2"/>
  <c r="DC65" i="2" s="1"/>
  <c r="DF65" i="2" s="1"/>
  <c r="DT65" i="2"/>
  <c r="CB223" i="2"/>
  <c r="BV711" i="2"/>
  <c r="CL22" i="2"/>
  <c r="CK22" i="2" s="1"/>
  <c r="CN22" i="2" s="1"/>
  <c r="CN352" i="2"/>
  <c r="DO352" i="2"/>
  <c r="CB468" i="2"/>
  <c r="DU468" i="2"/>
  <c r="DV468" i="2" s="1"/>
  <c r="EH468" i="2" s="1"/>
  <c r="CH751" i="2"/>
  <c r="CT141" i="2"/>
  <c r="DU141" i="2"/>
  <c r="CH937" i="2"/>
  <c r="CR148" i="2"/>
  <c r="CQ148" i="2" s="1"/>
  <c r="CT148" i="2" s="1"/>
  <c r="DL726" i="2"/>
  <c r="BV306" i="2"/>
  <c r="CZ956" i="2"/>
  <c r="CO213" i="2"/>
  <c r="CZ24" i="2"/>
  <c r="DO24" i="2"/>
  <c r="CN719" i="2"/>
  <c r="DC467" i="2"/>
  <c r="DC249" i="2"/>
  <c r="DO926" i="2"/>
  <c r="DP926" i="2" s="1"/>
  <c r="EB926" i="2" s="1"/>
  <c r="DJ520" i="2"/>
  <c r="DI520" i="2" s="1"/>
  <c r="DL520" i="2" s="1"/>
  <c r="CI492" i="2"/>
  <c r="CR492" i="2"/>
  <c r="CX606" i="2"/>
  <c r="CW606" i="2" s="1"/>
  <c r="CZ606" i="2" s="1"/>
  <c r="DD207" i="2"/>
  <c r="DC207" i="2" s="1"/>
  <c r="DF207" i="2" s="1"/>
  <c r="CT873" i="2"/>
  <c r="DN721" i="2"/>
  <c r="DN965" i="2"/>
  <c r="DN553" i="2"/>
  <c r="CX997" i="2"/>
  <c r="CW997" i="2" s="1"/>
  <c r="DC997" i="2" s="1"/>
  <c r="DD997" i="2" s="1"/>
  <c r="CL257" i="2"/>
  <c r="CK257" i="2" s="1"/>
  <c r="CN257" i="2" s="1"/>
  <c r="DC238" i="2"/>
  <c r="DR804" i="2"/>
  <c r="DP804" i="2"/>
  <c r="DM400" i="2"/>
  <c r="CV400" i="2"/>
  <c r="DB521" i="2"/>
  <c r="DZ521" i="2" s="1"/>
  <c r="DY521" i="2"/>
  <c r="CJ691" i="2"/>
  <c r="CL691" i="2" s="1"/>
  <c r="CK691" i="2" s="1"/>
  <c r="CN691" i="2" s="1"/>
  <c r="CP175" i="2"/>
  <c r="CR175" i="2" s="1"/>
  <c r="CQ175" i="2" s="1"/>
  <c r="DM175" i="2"/>
  <c r="CE283" i="2"/>
  <c r="CW283" i="2" s="1"/>
  <c r="CE976" i="2"/>
  <c r="CG976" i="2" s="1"/>
  <c r="CF976" i="2" s="1"/>
  <c r="CP835" i="2"/>
  <c r="CR835" i="2" s="1"/>
  <c r="CQ835" i="2" s="1"/>
  <c r="CT835" i="2" s="1"/>
  <c r="CJ787" i="2"/>
  <c r="CL787" i="2" s="1"/>
  <c r="CK787" i="2" s="1"/>
  <c r="CN787" i="2" s="1"/>
  <c r="CV288" i="2"/>
  <c r="DL937" i="2"/>
  <c r="DJ937" i="2"/>
  <c r="CV80" i="2"/>
  <c r="CX80" i="2" s="1"/>
  <c r="CW80" i="2" s="1"/>
  <c r="DR520" i="2"/>
  <c r="DP520" i="2"/>
  <c r="CP882" i="2"/>
  <c r="DT882" i="2" s="1"/>
  <c r="DH528" i="2"/>
  <c r="CJ153" i="2"/>
  <c r="DM153" i="2"/>
  <c r="CE504" i="2"/>
  <c r="CG504" i="2" s="1"/>
  <c r="CF504" i="2" s="1"/>
  <c r="DO622" i="2"/>
  <c r="DP622" i="2" s="1"/>
  <c r="DQ622" i="2" s="1"/>
  <c r="EA11" i="2"/>
  <c r="DS48" i="2"/>
  <c r="CR1027" i="2"/>
  <c r="CQ1027" i="2" s="1"/>
  <c r="CT1027" i="2" s="1"/>
  <c r="CR601" i="2"/>
  <c r="CQ601" i="2" s="1"/>
  <c r="DB923" i="2"/>
  <c r="CI871" i="2"/>
  <c r="CD49" i="2"/>
  <c r="CF49" i="2" s="1"/>
  <c r="CE49" i="2" s="1"/>
  <c r="DB835" i="2"/>
  <c r="DD835" i="2" s="1"/>
  <c r="DC835" i="2" s="1"/>
  <c r="BV288" i="2"/>
  <c r="DS937" i="2"/>
  <c r="DS714" i="2"/>
  <c r="DB520" i="2"/>
  <c r="DZ520" i="2" s="1"/>
  <c r="DY520" i="2"/>
  <c r="DH228" i="2"/>
  <c r="DY228" i="2"/>
  <c r="DM711" i="2"/>
  <c r="CV711" i="2"/>
  <c r="CX711" i="2" s="1"/>
  <c r="CW711" i="2" s="1"/>
  <c r="CZ711" i="2" s="1"/>
  <c r="DL474" i="2"/>
  <c r="DJ474" i="2"/>
  <c r="CK1002" i="2"/>
  <c r="CM1002" i="2" s="1"/>
  <c r="CL1002" i="2" s="1"/>
  <c r="CO1002" i="2" s="1"/>
  <c r="BY1002" i="2"/>
  <c r="DB1002" i="2"/>
  <c r="DA640" i="2"/>
  <c r="CY640" i="2"/>
  <c r="CM266" i="2"/>
  <c r="CL266" i="2" s="1"/>
  <c r="CK151" i="2"/>
  <c r="CM151" i="2" s="1"/>
  <c r="CL151" i="2" s="1"/>
  <c r="CO151" i="2" s="1"/>
  <c r="DO747" i="2"/>
  <c r="DP747" i="2" s="1"/>
  <c r="EB747" i="2" s="1"/>
  <c r="IX747" i="2" s="1"/>
  <c r="CL122" i="2"/>
  <c r="CK122" i="2" s="1"/>
  <c r="CZ950" i="2"/>
  <c r="EB950" i="2" s="1"/>
  <c r="IL950" i="2" s="1"/>
  <c r="DD374" i="2"/>
  <c r="DC374" i="2" s="1"/>
  <c r="DF374" i="2" s="1"/>
  <c r="CL218" i="2"/>
  <c r="CK218" i="2" s="1"/>
  <c r="CL158" i="2"/>
  <c r="CK158" i="2" s="1"/>
  <c r="DB342" i="2"/>
  <c r="CG645" i="2"/>
  <c r="CF645" i="2" s="1"/>
  <c r="DH288" i="2"/>
  <c r="DJ288" i="2" s="1"/>
  <c r="DI288" i="2" s="1"/>
  <c r="CV329" i="2"/>
  <c r="CX329" i="2" s="1"/>
  <c r="CW329" i="2" s="1"/>
  <c r="CZ329" i="2" s="1"/>
  <c r="DS329" i="2"/>
  <c r="DB397" i="2"/>
  <c r="DM397" i="2"/>
  <c r="DB279" i="2"/>
  <c r="DD279" i="2" s="1"/>
  <c r="DC279" i="2" s="1"/>
  <c r="DD531" i="2"/>
  <c r="DC531" i="2" s="1"/>
  <c r="DB94" i="2"/>
  <c r="DD94" i="2" s="1"/>
  <c r="DC94" i="2" s="1"/>
  <c r="DF94" i="2" s="1"/>
  <c r="DL873" i="2"/>
  <c r="DJ873" i="2"/>
  <c r="DB377" i="2"/>
  <c r="DD377" i="2" s="1"/>
  <c r="DC377" i="2" s="1"/>
  <c r="DF377" i="2" s="1"/>
  <c r="CP54" i="2"/>
  <c r="CR54" i="2" s="1"/>
  <c r="CQ54" i="2" s="1"/>
  <c r="CQ375" i="2"/>
  <c r="CE375" i="2"/>
  <c r="DT393" i="2"/>
  <c r="CL54" i="2"/>
  <c r="CK54" i="2" s="1"/>
  <c r="CN54" i="2" s="1"/>
  <c r="CV1005" i="2"/>
  <c r="CX1005" i="2" s="1"/>
  <c r="CW1005" i="2" s="1"/>
  <c r="CZ1005" i="2" s="1"/>
  <c r="DL1027" i="2"/>
  <c r="DJ1027" i="2"/>
  <c r="CV1030" i="2"/>
  <c r="DT1030" i="2" s="1"/>
  <c r="CL1030" i="2"/>
  <c r="CK1030" i="2" s="1"/>
  <c r="DD604" i="2"/>
  <c r="DC604" i="2" s="1"/>
  <c r="DF604" i="2" s="1"/>
  <c r="DH466" i="2"/>
  <c r="DJ466" i="2" s="1"/>
  <c r="DI466" i="2" s="1"/>
  <c r="DL466" i="2" s="1"/>
  <c r="DB399" i="2"/>
  <c r="DD399" i="2" s="1"/>
  <c r="DC399" i="2" s="1"/>
  <c r="DM399" i="2"/>
  <c r="DP667" i="2"/>
  <c r="DR667" i="2"/>
  <c r="DL1033" i="2"/>
  <c r="DJ1033" i="2"/>
  <c r="DB306" i="2"/>
  <c r="DM306" i="2"/>
  <c r="CP182" i="2"/>
  <c r="CR182" i="2" s="1"/>
  <c r="CQ182" i="2" s="1"/>
  <c r="CT182" i="2" s="1"/>
  <c r="DH152" i="2"/>
  <c r="DJ152" i="2" s="1"/>
  <c r="DI152" i="2" s="1"/>
  <c r="DL152" i="2" s="1"/>
  <c r="CP579" i="2"/>
  <c r="CR579" i="2" s="1"/>
  <c r="CQ579" i="2" s="1"/>
  <c r="CT579" i="2" s="1"/>
  <c r="CE236" i="2"/>
  <c r="DC236" i="2" s="1"/>
  <c r="CK375" i="2"/>
  <c r="CM375" i="2" s="1"/>
  <c r="CL375" i="2" s="1"/>
  <c r="CO375" i="2" s="1"/>
  <c r="CZ362" i="2"/>
  <c r="EB362" i="2" s="1"/>
  <c r="IL362" i="2" s="1"/>
  <c r="CL371" i="2"/>
  <c r="CK371" i="2" s="1"/>
  <c r="CR744" i="2"/>
  <c r="CQ744" i="2" s="1"/>
  <c r="CT744" i="2" s="1"/>
  <c r="CL987" i="2"/>
  <c r="CK987" i="2" s="1"/>
  <c r="CN987" i="2" s="1"/>
  <c r="CG974" i="2"/>
  <c r="CF974" i="2" s="1"/>
  <c r="DH309" i="2"/>
  <c r="DJ309" i="2" s="1"/>
  <c r="DI309" i="2" s="1"/>
  <c r="CD617" i="2"/>
  <c r="CF617" i="2" s="1"/>
  <c r="CE617" i="2" s="1"/>
  <c r="CH617" i="2" s="1"/>
  <c r="DJ1028" i="2"/>
  <c r="DL1028" i="2"/>
  <c r="DR148" i="2"/>
  <c r="DP148" i="2"/>
  <c r="DH907" i="2"/>
  <c r="DJ907" i="2" s="1"/>
  <c r="DI907" i="2" s="1"/>
  <c r="EA907" i="2" s="1"/>
  <c r="DY907" i="2"/>
  <c r="CP525" i="2"/>
  <c r="CR525" i="2" s="1"/>
  <c r="CQ525" i="2" s="1"/>
  <c r="CT525" i="2" s="1"/>
  <c r="DP521" i="2"/>
  <c r="DR521" i="2"/>
  <c r="DB1033" i="2"/>
  <c r="DD1033" i="2" s="1"/>
  <c r="DC1033" i="2" s="1"/>
  <c r="DF1033" i="2" s="1"/>
  <c r="DP907" i="2"/>
  <c r="DR907" i="2"/>
  <c r="DH397" i="2"/>
  <c r="DJ397" i="2" s="1"/>
  <c r="DI397" i="2" s="1"/>
  <c r="DL397" i="2" s="1"/>
  <c r="DT715" i="2"/>
  <c r="DM232" i="2"/>
  <c r="CV232" i="2"/>
  <c r="CX232" i="2" s="1"/>
  <c r="CW232" i="2" s="1"/>
  <c r="CZ232" i="2" s="1"/>
  <c r="DL26" i="2"/>
  <c r="DJ26" i="2"/>
  <c r="CJ57" i="2"/>
  <c r="CL57" i="2" s="1"/>
  <c r="CK57" i="2" s="1"/>
  <c r="CN57" i="2" s="1"/>
  <c r="DM57" i="2"/>
  <c r="DJ567" i="2"/>
  <c r="DM567" i="2"/>
  <c r="CD642" i="2"/>
  <c r="CF642" i="2" s="1"/>
  <c r="CE642" i="2" s="1"/>
  <c r="CH642" i="2" s="1"/>
  <c r="DL67" i="2"/>
  <c r="DJ67" i="2"/>
  <c r="DO1043" i="2"/>
  <c r="DO16" i="2"/>
  <c r="DC1014" i="2"/>
  <c r="DO1040" i="2"/>
  <c r="DP1040" i="2" s="1"/>
  <c r="DQ1040" i="2" s="1"/>
  <c r="DC455" i="2"/>
  <c r="DD455" i="2" s="1"/>
  <c r="DE455" i="2" s="1"/>
  <c r="DC702" i="2"/>
  <c r="DD702" i="2" s="1"/>
  <c r="DP702" i="2" s="1"/>
  <c r="DC56" i="2"/>
  <c r="DC392" i="2"/>
  <c r="DD392" i="2" s="1"/>
  <c r="DE392" i="2" s="1"/>
  <c r="DD355" i="2"/>
  <c r="DM22" i="2"/>
  <c r="DB414" i="2"/>
  <c r="DS389" i="2"/>
  <c r="DJ389" i="2"/>
  <c r="CI1035" i="2"/>
  <c r="CO1035" i="2"/>
  <c r="DS835" i="2"/>
  <c r="DR466" i="2"/>
  <c r="DP466" i="2"/>
  <c r="DY279" i="2"/>
  <c r="CJ573" i="2"/>
  <c r="CL573" i="2" s="1"/>
  <c r="CK573" i="2" s="1"/>
  <c r="CN573" i="2" s="1"/>
  <c r="CV396" i="2"/>
  <c r="DR298" i="2"/>
  <c r="DP298" i="2"/>
  <c r="CV522" i="2"/>
  <c r="CX522" i="2" s="1"/>
  <c r="CW522" i="2" s="1"/>
  <c r="CL711" i="2"/>
  <c r="CK711" i="2" s="1"/>
  <c r="CN711" i="2" s="1"/>
  <c r="DB226" i="2"/>
  <c r="DN226" i="2" s="1"/>
  <c r="CP271" i="2"/>
  <c r="CP232" i="2"/>
  <c r="CR232" i="2" s="1"/>
  <c r="CQ232" i="2" s="1"/>
  <c r="CT232" i="2" s="1"/>
  <c r="CP57" i="2"/>
  <c r="CR57" i="2" s="1"/>
  <c r="CQ57" i="2" s="1"/>
  <c r="CT57" i="2" s="1"/>
  <c r="DB873" i="2"/>
  <c r="DN873" i="2" s="1"/>
  <c r="CP642" i="2"/>
  <c r="CR642" i="2" s="1"/>
  <c r="CQ642" i="2" s="1"/>
  <c r="CT642" i="2" s="1"/>
  <c r="CD579" i="2"/>
  <c r="CF579" i="2" s="1"/>
  <c r="CE579" i="2" s="1"/>
  <c r="CH579" i="2" s="1"/>
  <c r="CK69" i="2"/>
  <c r="CM69" i="2" s="1"/>
  <c r="CL69" i="2" s="1"/>
  <c r="DA614" i="2"/>
  <c r="CY614" i="2"/>
  <c r="DC624" i="2"/>
  <c r="DC237" i="2"/>
  <c r="CP321" i="2"/>
  <c r="CK254" i="2"/>
  <c r="CM254" i="2" s="1"/>
  <c r="CL254" i="2" s="1"/>
  <c r="CO254" i="2" s="1"/>
  <c r="DO269" i="2"/>
  <c r="DO567" i="2"/>
  <c r="DO957" i="2"/>
  <c r="DO1019" i="2"/>
  <c r="DO625" i="2"/>
  <c r="DC1042" i="2"/>
  <c r="DD1042" i="2" s="1"/>
  <c r="DP1042" i="2" s="1"/>
  <c r="DC472" i="2"/>
  <c r="CL198" i="2"/>
  <c r="CK198" i="2" s="1"/>
  <c r="CL882" i="2"/>
  <c r="CK882" i="2" s="1"/>
  <c r="DZ803" i="2"/>
  <c r="CZ596" i="2"/>
  <c r="EB596" i="2" s="1"/>
  <c r="IL596" i="2" s="1"/>
  <c r="CF383" i="2"/>
  <c r="CE383" i="2" s="1"/>
  <c r="CA238" i="2"/>
  <c r="BZ238" i="2" s="1"/>
  <c r="DB288" i="2"/>
  <c r="DD288" i="2" s="1"/>
  <c r="DC288" i="2" s="1"/>
  <c r="DL714" i="2"/>
  <c r="DJ714" i="2"/>
  <c r="DS288" i="2"/>
  <c r="DT937" i="2"/>
  <c r="DB804" i="2"/>
  <c r="DB466" i="2"/>
  <c r="CP573" i="2"/>
  <c r="CR573" i="2" s="1"/>
  <c r="CQ573" i="2" s="1"/>
  <c r="CT573" i="2" s="1"/>
  <c r="CV395" i="2"/>
  <c r="CX395" i="2" s="1"/>
  <c r="CW395" i="2" s="1"/>
  <c r="CZ395" i="2" s="1"/>
  <c r="DM395" i="2"/>
  <c r="DP797" i="2"/>
  <c r="DR797" i="2"/>
  <c r="DS713" i="2"/>
  <c r="DP516" i="2"/>
  <c r="DR516" i="2"/>
  <c r="CJ232" i="2"/>
  <c r="CL232" i="2" s="1"/>
  <c r="CK232" i="2" s="1"/>
  <c r="CN232" i="2" s="1"/>
  <c r="CX154" i="2"/>
  <c r="CW154" i="2" s="1"/>
  <c r="CZ154" i="2" s="1"/>
  <c r="DY522" i="2"/>
  <c r="DF747" i="2"/>
  <c r="DD747" i="2"/>
  <c r="CP29" i="2"/>
  <c r="CR29" i="2" s="1"/>
  <c r="CQ29" i="2" s="1"/>
  <c r="CT29" i="2" s="1"/>
  <c r="CV175" i="2"/>
  <c r="BX123" i="2"/>
  <c r="DN123" i="2" s="1"/>
  <c r="CE799" i="2"/>
  <c r="CG799" i="2" s="1"/>
  <c r="CF799" i="2" s="1"/>
  <c r="CI799" i="2" s="1"/>
  <c r="CE146" i="2"/>
  <c r="CR146" i="2" s="1"/>
  <c r="CQ146" i="2"/>
  <c r="CK489" i="2"/>
  <c r="DC489" i="2" s="1"/>
  <c r="DB489" i="2"/>
  <c r="CP976" i="2"/>
  <c r="CK976" i="2"/>
  <c r="CM976" i="2" s="1"/>
  <c r="CL976" i="2" s="1"/>
  <c r="CO976" i="2" s="1"/>
  <c r="DF815" i="2"/>
  <c r="DU465" i="2"/>
  <c r="DO553" i="2"/>
  <c r="DC923" i="2"/>
  <c r="CH931" i="2"/>
  <c r="BV1027" i="2"/>
  <c r="CN1003" i="2"/>
  <c r="BV12" i="2"/>
  <c r="CT5" i="2"/>
  <c r="DU5" i="2"/>
  <c r="DV5" i="2" s="1"/>
  <c r="DW5" i="2" s="1"/>
  <c r="CR1005" i="2"/>
  <c r="CQ1005" i="2" s="1"/>
  <c r="CT1005" i="2" s="1"/>
  <c r="CT545" i="2"/>
  <c r="DT1024" i="2"/>
  <c r="CX1024" i="2"/>
  <c r="CW1024" i="2" s="1"/>
  <c r="CL217" i="2"/>
  <c r="CK217" i="2" s="1"/>
  <c r="CT797" i="2"/>
  <c r="CN188" i="2"/>
  <c r="CH919" i="2"/>
  <c r="BQ265" i="2"/>
  <c r="CR265" i="2"/>
  <c r="CI245" i="2"/>
  <c r="CR245" i="2"/>
  <c r="CC53" i="2"/>
  <c r="DT132" i="2"/>
  <c r="CR132" i="2"/>
  <c r="CQ132" i="2" s="1"/>
  <c r="DB1032" i="2"/>
  <c r="DD1032" i="2" s="1"/>
  <c r="DC1032" i="2" s="1"/>
  <c r="DF1032" i="2" s="1"/>
  <c r="DS1032" i="2"/>
  <c r="DH403" i="2"/>
  <c r="DJ403" i="2" s="1"/>
  <c r="DI403" i="2" s="1"/>
  <c r="DL403" i="2" s="1"/>
  <c r="CZ706" i="2"/>
  <c r="CO386" i="2"/>
  <c r="DD386" i="2"/>
  <c r="CP789" i="2"/>
  <c r="CR789" i="2" s="1"/>
  <c r="CQ789" i="2" s="1"/>
  <c r="CT789" i="2" s="1"/>
  <c r="DJ1023" i="2"/>
  <c r="DL1023" i="2"/>
  <c r="CH521" i="2"/>
  <c r="CN656" i="2"/>
  <c r="BV234" i="2"/>
  <c r="BV1005" i="2"/>
  <c r="DT163" i="2"/>
  <c r="DD163" i="2"/>
  <c r="DC163" i="2" s="1"/>
  <c r="CV398" i="2"/>
  <c r="DM398" i="2"/>
  <c r="DU695" i="2"/>
  <c r="EA667" i="2"/>
  <c r="CH938" i="2"/>
  <c r="CL840" i="2"/>
  <c r="CK840" i="2" s="1"/>
  <c r="DY529" i="2"/>
  <c r="DH529" i="2"/>
  <c r="DZ529" i="2" s="1"/>
  <c r="BV394" i="2"/>
  <c r="CB534" i="2"/>
  <c r="DB570" i="2"/>
  <c r="DD570" i="2" s="1"/>
  <c r="DC570" i="2" s="1"/>
  <c r="DY570" i="2"/>
  <c r="CT535" i="2"/>
  <c r="DF20" i="2"/>
  <c r="CN847" i="2"/>
  <c r="DO965" i="2"/>
  <c r="CN912" i="2"/>
  <c r="DC912" i="2"/>
  <c r="DC143" i="2"/>
  <c r="DD143" i="2" s="1"/>
  <c r="DP143" i="2" s="1"/>
  <c r="DU1029" i="2"/>
  <c r="CB85" i="2"/>
  <c r="BV582" i="2"/>
  <c r="BV568" i="2"/>
  <c r="CB94" i="2"/>
  <c r="DP79" i="2"/>
  <c r="DR79" i="2"/>
  <c r="BQ477" i="2"/>
  <c r="CR477" i="2"/>
  <c r="CI304" i="2"/>
  <c r="CR304" i="2"/>
  <c r="CB280" i="2"/>
  <c r="BV395" i="2"/>
  <c r="DB79" i="2"/>
  <c r="DD79" i="2" s="1"/>
  <c r="DC79" i="2" s="1"/>
  <c r="DY79" i="2"/>
  <c r="CN207" i="2"/>
  <c r="BV598" i="2"/>
  <c r="DC598" i="2"/>
  <c r="DD598" i="2" s="1"/>
  <c r="DP598" i="2" s="1"/>
  <c r="BQ859" i="2"/>
  <c r="DH49" i="2"/>
  <c r="DJ49" i="2" s="1"/>
  <c r="DI49" i="2" s="1"/>
  <c r="DS789" i="2"/>
  <c r="CJ789" i="2"/>
  <c r="CL789" i="2" s="1"/>
  <c r="CK789" i="2" s="1"/>
  <c r="CV1023" i="2"/>
  <c r="DT1023" i="2" s="1"/>
  <c r="DS1023" i="2"/>
  <c r="DB420" i="2"/>
  <c r="DZ420" i="2" s="1"/>
  <c r="CV437" i="2"/>
  <c r="CX437" i="2" s="1"/>
  <c r="CW437" i="2" s="1"/>
  <c r="CZ437" i="2" s="1"/>
  <c r="CV797" i="2"/>
  <c r="DZ797" i="2" s="1"/>
  <c r="DY797" i="2"/>
  <c r="DH530" i="2"/>
  <c r="DZ530" i="2" s="1"/>
  <c r="DY530" i="2"/>
  <c r="DP570" i="2"/>
  <c r="DR570" i="2"/>
  <c r="DB396" i="2"/>
  <c r="DD396" i="2" s="1"/>
  <c r="DC396" i="2" s="1"/>
  <c r="DM396" i="2"/>
  <c r="CP403" i="2"/>
  <c r="DM403" i="2"/>
  <c r="DB582" i="2"/>
  <c r="DD582" i="2" s="1"/>
  <c r="DC582" i="2" s="1"/>
  <c r="DF582" i="2" s="1"/>
  <c r="DM582" i="2"/>
  <c r="CV988" i="2"/>
  <c r="CX988" i="2" s="1"/>
  <c r="CW988" i="2" s="1"/>
  <c r="CZ988" i="2" s="1"/>
  <c r="CP234" i="2"/>
  <c r="CR234" i="2" s="1"/>
  <c r="CQ234" i="2" s="1"/>
  <c r="DM234" i="2"/>
  <c r="DY536" i="2"/>
  <c r="CP536" i="2"/>
  <c r="CR536" i="2" s="1"/>
  <c r="CQ536" i="2" s="1"/>
  <c r="DH988" i="2"/>
  <c r="DJ988" i="2" s="1"/>
  <c r="DI988" i="2" s="1"/>
  <c r="DL988" i="2" s="1"/>
  <c r="CP94" i="2"/>
  <c r="CR94" i="2" s="1"/>
  <c r="CQ94" i="2" s="1"/>
  <c r="CT94" i="2" s="1"/>
  <c r="DM94" i="2"/>
  <c r="CJ126" i="2"/>
  <c r="CL126" i="2" s="1"/>
  <c r="CK126" i="2" s="1"/>
  <c r="DM126" i="2"/>
  <c r="CR128" i="2"/>
  <c r="CQ128" i="2" s="1"/>
  <c r="CT128" i="2" s="1"/>
  <c r="CP743" i="2"/>
  <c r="CR743" i="2" s="1"/>
  <c r="CQ743" i="2" s="1"/>
  <c r="CT743" i="2" s="1"/>
  <c r="DD410" i="2"/>
  <c r="DC410" i="2" s="1"/>
  <c r="DJ656" i="2"/>
  <c r="DI656" i="2" s="1"/>
  <c r="DL656" i="2" s="1"/>
  <c r="DL352" i="2"/>
  <c r="DJ352" i="2"/>
  <c r="DM352" i="2"/>
  <c r="DD610" i="2"/>
  <c r="DC610" i="2" s="1"/>
  <c r="DN185" i="2"/>
  <c r="BX377" i="2"/>
  <c r="BZ377" i="2" s="1"/>
  <c r="BY377" i="2" s="1"/>
  <c r="DM377" i="2"/>
  <c r="CL866" i="2"/>
  <c r="CK866" i="2" s="1"/>
  <c r="CF1006" i="2"/>
  <c r="CE1006" i="2" s="1"/>
  <c r="CP500" i="2"/>
  <c r="CR500" i="2" s="1"/>
  <c r="CQ500" i="2" s="1"/>
  <c r="CT500" i="2" s="1"/>
  <c r="DF474" i="2"/>
  <c r="DN474" i="2"/>
  <c r="CD125" i="2"/>
  <c r="CF125" i="2" s="1"/>
  <c r="CE125" i="2" s="1"/>
  <c r="DM125" i="2"/>
  <c r="CP293" i="2"/>
  <c r="CR293" i="2" s="1"/>
  <c r="CQ293" i="2" s="1"/>
  <c r="CT293" i="2" s="1"/>
  <c r="CX846" i="2"/>
  <c r="CW846" i="2" s="1"/>
  <c r="CJ447" i="2"/>
  <c r="CL447" i="2" s="1"/>
  <c r="CK447" i="2" s="1"/>
  <c r="CN447" i="2" s="1"/>
  <c r="CE473" i="2"/>
  <c r="CG473" i="2" s="1"/>
  <c r="CF473" i="2" s="1"/>
  <c r="CI473" i="2" s="1"/>
  <c r="CP919" i="2"/>
  <c r="CR919" i="2" s="1"/>
  <c r="CQ919" i="2" s="1"/>
  <c r="CT919" i="2" s="1"/>
  <c r="CE650" i="2"/>
  <c r="CQ650" i="2" s="1"/>
  <c r="CP650" i="2"/>
  <c r="BY869" i="2"/>
  <c r="CA869" i="2" s="1"/>
  <c r="BZ869" i="2" s="1"/>
  <c r="CP869" i="2"/>
  <c r="CE205" i="2"/>
  <c r="CG205" i="2" s="1"/>
  <c r="CF205" i="2" s="1"/>
  <c r="CI205" i="2" s="1"/>
  <c r="CP560" i="2"/>
  <c r="CK560" i="2"/>
  <c r="CQ560" i="2" s="1"/>
  <c r="CG899" i="2"/>
  <c r="CF899" i="2" s="1"/>
  <c r="CV126" i="2"/>
  <c r="CX126" i="2" s="1"/>
  <c r="CW126" i="2" s="1"/>
  <c r="CZ126" i="2" s="1"/>
  <c r="CP649" i="2"/>
  <c r="DN649" i="2" s="1"/>
  <c r="CD377" i="2"/>
  <c r="CF377" i="2" s="1"/>
  <c r="CE377" i="2" s="1"/>
  <c r="CH377" i="2" s="1"/>
  <c r="CP67" i="2"/>
  <c r="CR67" i="2" s="1"/>
  <c r="CQ67" i="2" s="1"/>
  <c r="CT67" i="2" s="1"/>
  <c r="DL374" i="2"/>
  <c r="DJ374" i="2"/>
  <c r="CV500" i="2"/>
  <c r="CX500" i="2" s="1"/>
  <c r="CW500" i="2" s="1"/>
  <c r="CZ500" i="2" s="1"/>
  <c r="CV293" i="2"/>
  <c r="CX293" i="2" s="1"/>
  <c r="CW293" i="2" s="1"/>
  <c r="CZ293" i="2" s="1"/>
  <c r="CL1013" i="2"/>
  <c r="CK1013" i="2" s="1"/>
  <c r="DB1013" i="2"/>
  <c r="CD447" i="2"/>
  <c r="CF447" i="2" s="1"/>
  <c r="CE447" i="2" s="1"/>
  <c r="DA447" i="2"/>
  <c r="DA425" i="2"/>
  <c r="CD425" i="2"/>
  <c r="CF425" i="2" s="1"/>
  <c r="CE425" i="2" s="1"/>
  <c r="DB616" i="2"/>
  <c r="CE616" i="2"/>
  <c r="CG616" i="2" s="1"/>
  <c r="CF616" i="2" s="1"/>
  <c r="CQ799" i="2"/>
  <c r="CS799" i="2" s="1"/>
  <c r="CR799" i="2" s="1"/>
  <c r="CD242" i="2"/>
  <c r="CF242" i="2" s="1"/>
  <c r="CE242" i="2" s="1"/>
  <c r="CH242" i="2" s="1"/>
  <c r="CV919" i="2"/>
  <c r="CX919" i="2" s="1"/>
  <c r="CW919" i="2" s="1"/>
  <c r="CZ919" i="2" s="1"/>
  <c r="CK863" i="2"/>
  <c r="CW863" i="2" s="1"/>
  <c r="CV863" i="2"/>
  <c r="CX350" i="2"/>
  <c r="CW350" i="2" s="1"/>
  <c r="CE1041" i="2"/>
  <c r="CQ1041" i="2" s="1"/>
  <c r="CP1041" i="2"/>
  <c r="CK869" i="2"/>
  <c r="CM869" i="2" s="1"/>
  <c r="CL869" i="2" s="1"/>
  <c r="CO869" i="2" s="1"/>
  <c r="CE868" i="2"/>
  <c r="CG868" i="2" s="1"/>
  <c r="CF868" i="2" s="1"/>
  <c r="CI868" i="2" s="1"/>
  <c r="CK1038" i="2"/>
  <c r="CQ1038" i="2" s="1"/>
  <c r="CK23" i="2"/>
  <c r="CQ23" i="2" s="1"/>
  <c r="CP23" i="2"/>
  <c r="CK859" i="2"/>
  <c r="CM859" i="2" s="1"/>
  <c r="CL859" i="2" s="1"/>
  <c r="CG308" i="2"/>
  <c r="CF308" i="2" s="1"/>
  <c r="DR309" i="2"/>
  <c r="DN834" i="2"/>
  <c r="DP834" i="2" s="1"/>
  <c r="DO834" i="2" s="1"/>
  <c r="DS609" i="2"/>
  <c r="CV609" i="2"/>
  <c r="CX609" i="2" s="1"/>
  <c r="CW609" i="2" s="1"/>
  <c r="CZ609" i="2" s="1"/>
  <c r="CQ53" i="2"/>
  <c r="CS53" i="2" s="1"/>
  <c r="CR53" i="2" s="1"/>
  <c r="CU53" i="2" s="1"/>
  <c r="CK53" i="2"/>
  <c r="CM53" i="2" s="1"/>
  <c r="CL53" i="2" s="1"/>
  <c r="CO53" i="2" s="1"/>
  <c r="CE53" i="2"/>
  <c r="CG53" i="2" s="1"/>
  <c r="CF53" i="2" s="1"/>
  <c r="DJ1032" i="2"/>
  <c r="DL1032" i="2"/>
  <c r="CV493" i="2"/>
  <c r="DZ493" i="2" s="1"/>
  <c r="DY493" i="2"/>
  <c r="DP932" i="2"/>
  <c r="DR932" i="2"/>
  <c r="DH516" i="2"/>
  <c r="DY516" i="2"/>
  <c r="CP394" i="2"/>
  <c r="DM394" i="2"/>
  <c r="CP988" i="2"/>
  <c r="CR988" i="2" s="1"/>
  <c r="CQ988" i="2" s="1"/>
  <c r="DM988" i="2"/>
  <c r="DB988" i="2"/>
  <c r="DD988" i="2" s="1"/>
  <c r="DC988" i="2" s="1"/>
  <c r="DF988" i="2" s="1"/>
  <c r="CP812" i="2"/>
  <c r="DN812" i="2" s="1"/>
  <c r="DM812" i="2"/>
  <c r="DB234" i="2"/>
  <c r="DD234" i="2" s="1"/>
  <c r="DC234" i="2" s="1"/>
  <c r="DF234" i="2" s="1"/>
  <c r="CP126" i="2"/>
  <c r="CR126" i="2" s="1"/>
  <c r="CQ126" i="2" s="1"/>
  <c r="CT126" i="2" s="1"/>
  <c r="DH621" i="2"/>
  <c r="DN621" i="2" s="1"/>
  <c r="CV831" i="2"/>
  <c r="CX831" i="2" s="1"/>
  <c r="CW831" i="2" s="1"/>
  <c r="CZ831" i="2" s="1"/>
  <c r="BW950" i="2"/>
  <c r="DM72" i="2"/>
  <c r="CJ72" i="2"/>
  <c r="CL72" i="2" s="1"/>
  <c r="CK72" i="2" s="1"/>
  <c r="CZ172" i="2"/>
  <c r="EB172" i="2" s="1"/>
  <c r="IL172" i="2" s="1"/>
  <c r="DN352" i="2"/>
  <c r="DM500" i="2"/>
  <c r="CD500" i="2"/>
  <c r="DN24" i="2"/>
  <c r="DB249" i="2"/>
  <c r="CD116" i="2"/>
  <c r="CF116" i="2" s="1"/>
  <c r="CE116" i="2" s="1"/>
  <c r="CH116" i="2" s="1"/>
  <c r="CV447" i="2"/>
  <c r="CX447" i="2" s="1"/>
  <c r="CW447" i="2" s="1"/>
  <c r="CZ447" i="2" s="1"/>
  <c r="CV242" i="2"/>
  <c r="CX242" i="2" s="1"/>
  <c r="CW242" i="2" s="1"/>
  <c r="CZ242" i="2" s="1"/>
  <c r="CJ919" i="2"/>
  <c r="DC386" i="2"/>
  <c r="CM1017" i="2"/>
  <c r="CL1017" i="2" s="1"/>
  <c r="CP1044" i="2"/>
  <c r="BY1044" i="2"/>
  <c r="CA1044" i="2" s="1"/>
  <c r="BZ1044" i="2" s="1"/>
  <c r="CV676" i="2"/>
  <c r="CX676" i="2" s="1"/>
  <c r="CW676" i="2" s="1"/>
  <c r="CZ676" i="2" s="1"/>
  <c r="DH787" i="2"/>
  <c r="DJ787" i="2" s="1"/>
  <c r="DI787" i="2" s="1"/>
  <c r="DL787" i="2" s="1"/>
  <c r="DS49" i="2"/>
  <c r="CV49" i="2"/>
  <c r="CP1034" i="2"/>
  <c r="CR1034" i="2" s="1"/>
  <c r="CQ1034" i="2" s="1"/>
  <c r="CT1034" i="2" s="1"/>
  <c r="CV573" i="2"/>
  <c r="DT465" i="2"/>
  <c r="DH525" i="2"/>
  <c r="DJ525" i="2" s="1"/>
  <c r="DI525" i="2" s="1"/>
  <c r="DY525" i="2"/>
  <c r="DY573" i="2"/>
  <c r="DY534" i="2"/>
  <c r="CP534" i="2"/>
  <c r="CR534" i="2" s="1"/>
  <c r="CQ534" i="2" s="1"/>
  <c r="CT534" i="2" s="1"/>
  <c r="DB416" i="2"/>
  <c r="DZ416" i="2" s="1"/>
  <c r="DY416" i="2"/>
  <c r="DH668" i="2"/>
  <c r="DJ668" i="2" s="1"/>
  <c r="DI668" i="2" s="1"/>
  <c r="DL668" i="2" s="1"/>
  <c r="DM668" i="2"/>
  <c r="DH234" i="2"/>
  <c r="DJ234" i="2" s="1"/>
  <c r="DI234" i="2" s="1"/>
  <c r="DL234" i="2" s="1"/>
  <c r="CJ182" i="2"/>
  <c r="DM182" i="2"/>
  <c r="DH126" i="2"/>
  <c r="DJ126" i="2" s="1"/>
  <c r="DI126" i="2" s="1"/>
  <c r="DL126" i="2" s="1"/>
  <c r="CZ873" i="2"/>
  <c r="DN30" i="2"/>
  <c r="CL831" i="2"/>
  <c r="CK831" i="2" s="1"/>
  <c r="CV26" i="2"/>
  <c r="CX26" i="2" s="1"/>
  <c r="CW26" i="2" s="1"/>
  <c r="CZ26" i="2" s="1"/>
  <c r="CP72" i="2"/>
  <c r="CR72" i="2" s="1"/>
  <c r="CQ72" i="2" s="1"/>
  <c r="CT72" i="2" s="1"/>
  <c r="CZ802" i="2"/>
  <c r="EB802" i="2" s="1"/>
  <c r="IL802" i="2" s="1"/>
  <c r="BW547" i="2"/>
  <c r="CP710" i="2"/>
  <c r="CR710" i="2" s="1"/>
  <c r="CQ710" i="2" s="1"/>
  <c r="CT710" i="2" s="1"/>
  <c r="DB579" i="2"/>
  <c r="DM579" i="2"/>
  <c r="CP47" i="2"/>
  <c r="CR47" i="2" s="1"/>
  <c r="CQ47" i="2" s="1"/>
  <c r="CT47" i="2" s="1"/>
  <c r="CX827" i="2"/>
  <c r="CW827" i="2" s="1"/>
  <c r="DB912" i="2"/>
  <c r="DN605" i="2"/>
  <c r="CD454" i="2"/>
  <c r="DB454" i="2" s="1"/>
  <c r="DA454" i="2"/>
  <c r="CL825" i="2"/>
  <c r="CK825" i="2" s="1"/>
  <c r="BX242" i="2"/>
  <c r="BZ242" i="2" s="1"/>
  <c r="BY242" i="2" s="1"/>
  <c r="DA242" i="2"/>
  <c r="DB699" i="2"/>
  <c r="CK473" i="2"/>
  <c r="CM473" i="2" s="1"/>
  <c r="CL473" i="2" s="1"/>
  <c r="CO473" i="2" s="1"/>
  <c r="CE214" i="2"/>
  <c r="CR214" i="2" s="1"/>
  <c r="CQ214" i="2"/>
  <c r="DB473" i="2"/>
  <c r="BY868" i="2"/>
  <c r="CA868" i="2" s="1"/>
  <c r="BZ868" i="2" s="1"/>
  <c r="CC868" i="2" s="1"/>
  <c r="CP868" i="2"/>
  <c r="CE1044" i="2"/>
  <c r="CG1044" i="2" s="1"/>
  <c r="CF1044" i="2" s="1"/>
  <c r="CI1044" i="2" s="1"/>
  <c r="CE805" i="2"/>
  <c r="CG805" i="2" s="1"/>
  <c r="CF805" i="2" s="1"/>
  <c r="CI805" i="2" s="1"/>
  <c r="CG486" i="2"/>
  <c r="CF486" i="2" s="1"/>
  <c r="BY805" i="2"/>
  <c r="CP805" i="2"/>
  <c r="CQ304" i="2"/>
  <c r="CR587" i="2"/>
  <c r="DH676" i="2"/>
  <c r="DJ676" i="2" s="1"/>
  <c r="DI676" i="2" s="1"/>
  <c r="DL676" i="2" s="1"/>
  <c r="CV787" i="2"/>
  <c r="DS787" i="2"/>
  <c r="DB617" i="2"/>
  <c r="CJ48" i="2"/>
  <c r="CL48" i="2" s="1"/>
  <c r="CK48" i="2" s="1"/>
  <c r="DH815" i="2"/>
  <c r="DJ815" i="2" s="1"/>
  <c r="DI815" i="2" s="1"/>
  <c r="DL815" i="2" s="1"/>
  <c r="DH48" i="2"/>
  <c r="DJ48" i="2" s="1"/>
  <c r="DI48" i="2" s="1"/>
  <c r="CD1034" i="2"/>
  <c r="CF1034" i="2" s="1"/>
  <c r="CE1034" i="2" s="1"/>
  <c r="CH1034" i="2" s="1"/>
  <c r="DJ210" i="2"/>
  <c r="DL210" i="2"/>
  <c r="DJ393" i="2"/>
  <c r="DI393" i="2" s="1"/>
  <c r="DL393" i="2" s="1"/>
  <c r="CX420" i="2"/>
  <c r="CW420" i="2" s="1"/>
  <c r="CV960" i="2"/>
  <c r="DZ960" i="2" s="1"/>
  <c r="CL298" i="2"/>
  <c r="CK298" i="2" s="1"/>
  <c r="CV534" i="2"/>
  <c r="CX534" i="2" s="1"/>
  <c r="CW534" i="2" s="1"/>
  <c r="CZ534" i="2" s="1"/>
  <c r="DP416" i="2"/>
  <c r="DR416" i="2"/>
  <c r="DH570" i="2"/>
  <c r="DJ570" i="2" s="1"/>
  <c r="DI570" i="2" s="1"/>
  <c r="DL570" i="2" s="1"/>
  <c r="DB424" i="2"/>
  <c r="DD424" i="2" s="1"/>
  <c r="DC424" i="2" s="1"/>
  <c r="DF424" i="2" s="1"/>
  <c r="DM424" i="2"/>
  <c r="CV128" i="2"/>
  <c r="CX128" i="2" s="1"/>
  <c r="CW128" i="2" s="1"/>
  <c r="CZ128" i="2" s="1"/>
  <c r="CJ743" i="2"/>
  <c r="DB22" i="2"/>
  <c r="DD22" i="2" s="1"/>
  <c r="DC22" i="2" s="1"/>
  <c r="DF22" i="2" s="1"/>
  <c r="CV22" i="2"/>
  <c r="CX22" i="2" s="1"/>
  <c r="CW22" i="2" s="1"/>
  <c r="CZ22" i="2" s="1"/>
  <c r="DH72" i="2"/>
  <c r="DJ72" i="2" s="1"/>
  <c r="DI72" i="2" s="1"/>
  <c r="DL72" i="2" s="1"/>
  <c r="DL1006" i="2"/>
  <c r="DJ1006" i="2"/>
  <c r="CV72" i="2"/>
  <c r="CX72" i="2" s="1"/>
  <c r="CW72" i="2" s="1"/>
  <c r="CZ72" i="2" s="1"/>
  <c r="CC802" i="2"/>
  <c r="DM710" i="2"/>
  <c r="CD710" i="2"/>
  <c r="CV47" i="2"/>
  <c r="CX47" i="2" s="1"/>
  <c r="CW47" i="2" s="1"/>
  <c r="CZ47" i="2" s="1"/>
  <c r="DB590" i="2"/>
  <c r="DN590" i="2" s="1"/>
  <c r="DM590" i="2"/>
  <c r="DF257" i="2"/>
  <c r="DD257" i="2"/>
  <c r="CV1008" i="2"/>
  <c r="CX1008" i="2" s="1"/>
  <c r="CW1008" i="2" s="1"/>
  <c r="CZ1008" i="2" s="1"/>
  <c r="BX116" i="2"/>
  <c r="BZ116" i="2" s="1"/>
  <c r="BY116" i="2" s="1"/>
  <c r="DA116" i="2"/>
  <c r="DA495" i="2"/>
  <c r="CP495" i="2"/>
  <c r="CR495" i="2" s="1"/>
  <c r="CQ495" i="2" s="1"/>
  <c r="CP1008" i="2"/>
  <c r="CR1008" i="2" s="1"/>
  <c r="CQ1008" i="2" s="1"/>
  <c r="CT1008" i="2" s="1"/>
  <c r="CJ242" i="2"/>
  <c r="CL242" i="2" s="1"/>
  <c r="CK242" i="2" s="1"/>
  <c r="CN242" i="2" s="1"/>
  <c r="DA615" i="2"/>
  <c r="CY615" i="2"/>
  <c r="CK911" i="2"/>
  <c r="CR911" i="2" s="1"/>
  <c r="CG201" i="2"/>
  <c r="CF201" i="2" s="1"/>
  <c r="DC201" i="2"/>
  <c r="CJ112" i="2"/>
  <c r="CL112" i="2" s="1"/>
  <c r="CK112" i="2" s="1"/>
  <c r="DC488" i="2"/>
  <c r="CS488" i="2"/>
  <c r="CR488" i="2" s="1"/>
  <c r="CK509" i="2"/>
  <c r="CM509" i="2" s="1"/>
  <c r="CL509" i="2" s="1"/>
  <c r="CO509" i="2" s="1"/>
  <c r="CE151" i="2"/>
  <c r="CG151" i="2" s="1"/>
  <c r="CF151" i="2" s="1"/>
  <c r="CP151" i="2"/>
  <c r="CQ265" i="2"/>
  <c r="CC872" i="2"/>
  <c r="DO191" i="2"/>
  <c r="DP191" i="2" s="1"/>
  <c r="EB191" i="2" s="1"/>
  <c r="BL191" i="2" s="1"/>
  <c r="BM191" i="2" s="1"/>
  <c r="BN191" i="2" s="1"/>
  <c r="BP191" i="2" s="1"/>
  <c r="DN676" i="2"/>
  <c r="CL15" i="2"/>
  <c r="CK15" i="2" s="1"/>
  <c r="CN15" i="2" s="1"/>
  <c r="DD15" i="2"/>
  <c r="DC15" i="2" s="1"/>
  <c r="DF15" i="2" s="1"/>
  <c r="CT676" i="2"/>
  <c r="DB834" i="2"/>
  <c r="DD834" i="2" s="1"/>
  <c r="DC834" i="2" s="1"/>
  <c r="DF834" i="2" s="1"/>
  <c r="CJ1034" i="2"/>
  <c r="CL1034" i="2" s="1"/>
  <c r="CK1034" i="2" s="1"/>
  <c r="CN1034" i="2" s="1"/>
  <c r="CV53" i="2"/>
  <c r="CL767" i="2"/>
  <c r="CK767" i="2" s="1"/>
  <c r="CL1032" i="2"/>
  <c r="CK1032" i="2" s="1"/>
  <c r="CN1032" i="2" s="1"/>
  <c r="DY420" i="2"/>
  <c r="CR532" i="2"/>
  <c r="CQ532" i="2" s="1"/>
  <c r="DB82" i="2"/>
  <c r="DN82" i="2" s="1"/>
  <c r="DM82" i="2"/>
  <c r="DH22" i="2"/>
  <c r="DJ22" i="2" s="1"/>
  <c r="DI22" i="2" s="1"/>
  <c r="DL22" i="2" s="1"/>
  <c r="CL646" i="2"/>
  <c r="CK646" i="2" s="1"/>
  <c r="DH29" i="2"/>
  <c r="DJ29" i="2" s="1"/>
  <c r="DI29" i="2" s="1"/>
  <c r="DH128" i="2"/>
  <c r="DJ128" i="2" s="1"/>
  <c r="DI128" i="2" s="1"/>
  <c r="DJ92" i="2"/>
  <c r="DI92" i="2" s="1"/>
  <c r="DM152" i="2"/>
  <c r="CJ152" i="2"/>
  <c r="CC78" i="2"/>
  <c r="DM374" i="2"/>
  <c r="CV642" i="2"/>
  <c r="CX642" i="2" s="1"/>
  <c r="CW642" i="2" s="1"/>
  <c r="CZ642" i="2" s="1"/>
  <c r="DB850" i="2"/>
  <c r="DN850" i="2" s="1"/>
  <c r="DN431" i="2"/>
  <c r="DL847" i="2"/>
  <c r="DJ847" i="2"/>
  <c r="CJ47" i="2"/>
  <c r="CL47" i="2" s="1"/>
  <c r="CK47" i="2" s="1"/>
  <c r="DM47" i="2"/>
  <c r="DL47" i="2"/>
  <c r="DJ47" i="2"/>
  <c r="DD625" i="2"/>
  <c r="DF625" i="2"/>
  <c r="DM625" i="2"/>
  <c r="DD827" i="2"/>
  <c r="DF827" i="2"/>
  <c r="CP425" i="2"/>
  <c r="CR425" i="2" s="1"/>
  <c r="CQ425" i="2" s="1"/>
  <c r="CT425" i="2" s="1"/>
  <c r="CV495" i="2"/>
  <c r="CX495" i="2" s="1"/>
  <c r="CW495" i="2" s="1"/>
  <c r="CZ495" i="2" s="1"/>
  <c r="CD1008" i="2"/>
  <c r="CF1008" i="2" s="1"/>
  <c r="CE1008" i="2" s="1"/>
  <c r="DA1008" i="2"/>
  <c r="DA1017" i="2"/>
  <c r="CY1017" i="2"/>
  <c r="CQ616" i="2"/>
  <c r="CS616" i="2" s="1"/>
  <c r="CR616" i="2" s="1"/>
  <c r="CU616" i="2" s="1"/>
  <c r="CP242" i="2"/>
  <c r="CR242" i="2" s="1"/>
  <c r="CQ242" i="2" s="1"/>
  <c r="CT242" i="2" s="1"/>
  <c r="CV839" i="2"/>
  <c r="CX839" i="2" s="1"/>
  <c r="CW839" i="2" s="1"/>
  <c r="CZ839" i="2" s="1"/>
  <c r="CA406" i="2"/>
  <c r="BZ406" i="2" s="1"/>
  <c r="CQ380" i="2"/>
  <c r="CS380" i="2" s="1"/>
  <c r="CR380" i="2" s="1"/>
  <c r="CU380" i="2" s="1"/>
  <c r="CK614" i="2"/>
  <c r="DC614" i="2" s="1"/>
  <c r="CY616" i="2"/>
  <c r="DA616" i="2"/>
  <c r="CA473" i="2"/>
  <c r="BZ473" i="2" s="1"/>
  <c r="CK662" i="2"/>
  <c r="CQ662" i="2" s="1"/>
  <c r="CP903" i="2"/>
  <c r="CE903" i="2"/>
  <c r="CQ903" i="2" s="1"/>
  <c r="CG388" i="2"/>
  <c r="CF388" i="2" s="1"/>
  <c r="CG872" i="2"/>
  <c r="CF872" i="2" s="1"/>
  <c r="CP867" i="2"/>
  <c r="CE867" i="2"/>
  <c r="CP515" i="2"/>
  <c r="CE515" i="2"/>
  <c r="CQ515" i="2" s="1"/>
  <c r="CQ844" i="2"/>
  <c r="CO870" i="2"/>
  <c r="CP1038" i="2"/>
  <c r="CP859" i="2"/>
  <c r="DH834" i="2"/>
  <c r="DJ834" i="2" s="1"/>
  <c r="DI834" i="2" s="1"/>
  <c r="DB609" i="2"/>
  <c r="DD609" i="2" s="1"/>
  <c r="DC609" i="2" s="1"/>
  <c r="BR1034" i="2"/>
  <c r="BT1034" i="2" s="1"/>
  <c r="BS1034" i="2" s="1"/>
  <c r="CV1033" i="2"/>
  <c r="DS1033" i="2"/>
  <c r="DS1028" i="2"/>
  <c r="CJ1028" i="2"/>
  <c r="DT1028" i="2" s="1"/>
  <c r="CV210" i="2"/>
  <c r="DT210" i="2" s="1"/>
  <c r="DS210" i="2"/>
  <c r="DH298" i="2"/>
  <c r="DZ298" i="2" s="1"/>
  <c r="DY437" i="2"/>
  <c r="DH491" i="2"/>
  <c r="DJ491" i="2" s="1"/>
  <c r="DI491" i="2" s="1"/>
  <c r="DL491" i="2" s="1"/>
  <c r="DY298" i="2"/>
  <c r="CJ701" i="2"/>
  <c r="DM701" i="2"/>
  <c r="DD724" i="2"/>
  <c r="DC724" i="2" s="1"/>
  <c r="CR188" i="2"/>
  <c r="CQ188" i="2" s="1"/>
  <c r="CT188" i="2" s="1"/>
  <c r="CV743" i="2"/>
  <c r="CX743" i="2" s="1"/>
  <c r="CW743" i="2" s="1"/>
  <c r="CZ743" i="2" s="1"/>
  <c r="DB743" i="2"/>
  <c r="DD743" i="2" s="1"/>
  <c r="DC743" i="2" s="1"/>
  <c r="DF743" i="2" s="1"/>
  <c r="DM621" i="2"/>
  <c r="DB128" i="2"/>
  <c r="DD128" i="2" s="1"/>
  <c r="DC128" i="2" s="1"/>
  <c r="DF128" i="2" s="1"/>
  <c r="CD884" i="2"/>
  <c r="DN884" i="2" s="1"/>
  <c r="CJ377" i="2"/>
  <c r="CL377" i="2" s="1"/>
  <c r="CK377" i="2" s="1"/>
  <c r="CN377" i="2" s="1"/>
  <c r="DJ30" i="2"/>
  <c r="DL30" i="2"/>
  <c r="DM30" i="2"/>
  <c r="DB315" i="2"/>
  <c r="DD315" i="2" s="1"/>
  <c r="DC315" i="2" s="1"/>
  <c r="CV691" i="2"/>
  <c r="CX691" i="2" s="1"/>
  <c r="CW691" i="2" s="1"/>
  <c r="CJ642" i="2"/>
  <c r="DM642" i="2"/>
  <c r="DM649" i="2"/>
  <c r="DJ734" i="2"/>
  <c r="DL734" i="2"/>
  <c r="DB847" i="2"/>
  <c r="DN847" i="2" s="1"/>
  <c r="DN167" i="2"/>
  <c r="CL1021" i="2"/>
  <c r="CK1021" i="2" s="1"/>
  <c r="CP112" i="2"/>
  <c r="CR112" i="2" s="1"/>
  <c r="CQ112" i="2" s="1"/>
  <c r="CT112" i="2" s="1"/>
  <c r="DB958" i="2"/>
  <c r="CW380" i="2"/>
  <c r="CY380" i="2" s="1"/>
  <c r="CX380" i="2" s="1"/>
  <c r="DA380" i="2" s="1"/>
  <c r="CQ406" i="2"/>
  <c r="CW406" i="2" s="1"/>
  <c r="DA839" i="2"/>
  <c r="CJ839" i="2"/>
  <c r="DB380" i="2"/>
  <c r="CE380" i="2"/>
  <c r="CG380" i="2" s="1"/>
  <c r="CF380" i="2" s="1"/>
  <c r="CY386" i="2"/>
  <c r="DA386" i="2"/>
  <c r="CZ439" i="2"/>
  <c r="CY439" i="2" s="1"/>
  <c r="CP7" i="2"/>
  <c r="CE7" i="2"/>
  <c r="CQ7" i="2" s="1"/>
  <c r="DB1017" i="2"/>
  <c r="CK422" i="2"/>
  <c r="CQ422" i="2" s="1"/>
  <c r="CQ911" i="2"/>
  <c r="CP254" i="2"/>
  <c r="CE254" i="2"/>
  <c r="CE869" i="2"/>
  <c r="CK867" i="2"/>
  <c r="CM867" i="2" s="1"/>
  <c r="CL867" i="2" s="1"/>
  <c r="CO867" i="2" s="1"/>
  <c r="DS676" i="2"/>
  <c r="CJ676" i="2"/>
  <c r="CL676" i="2" s="1"/>
  <c r="CK676" i="2" s="1"/>
  <c r="DH15" i="2"/>
  <c r="DT15" i="2" s="1"/>
  <c r="DH609" i="2"/>
  <c r="DJ609" i="2" s="1"/>
  <c r="DI609" i="2" s="1"/>
  <c r="DL609" i="2" s="1"/>
  <c r="DR15" i="2"/>
  <c r="CV834" i="2"/>
  <c r="CX834" i="2" s="1"/>
  <c r="CW834" i="2" s="1"/>
  <c r="DS834" i="2"/>
  <c r="BX1034" i="2"/>
  <c r="BZ1034" i="2" s="1"/>
  <c r="BY1034" i="2" s="1"/>
  <c r="CT329" i="2"/>
  <c r="DT1029" i="2"/>
  <c r="CV932" i="2"/>
  <c r="DZ932" i="2" s="1"/>
  <c r="DY932" i="2"/>
  <c r="DP529" i="2"/>
  <c r="DR529" i="2"/>
  <c r="DH533" i="2"/>
  <c r="DZ533" i="2" s="1"/>
  <c r="DY533" i="2"/>
  <c r="DZ535" i="2"/>
  <c r="DD535" i="2"/>
  <c r="DC535" i="2" s="1"/>
  <c r="DF535" i="2" s="1"/>
  <c r="CR437" i="2"/>
  <c r="CQ437" i="2" s="1"/>
  <c r="DH79" i="2"/>
  <c r="DJ79" i="2" s="1"/>
  <c r="DI79" i="2" s="1"/>
  <c r="DL79" i="2" s="1"/>
  <c r="DB491" i="2"/>
  <c r="DD491" i="2" s="1"/>
  <c r="DC491" i="2" s="1"/>
  <c r="DM491" i="2"/>
  <c r="CV536" i="2"/>
  <c r="CX536" i="2" s="1"/>
  <c r="CW536" i="2" s="1"/>
  <c r="CZ536" i="2" s="1"/>
  <c r="CR397" i="2"/>
  <c r="CQ397" i="2" s="1"/>
  <c r="CX424" i="2"/>
  <c r="CW424" i="2" s="1"/>
  <c r="CV94" i="2"/>
  <c r="CX94" i="2" s="1"/>
  <c r="CW94" i="2" s="1"/>
  <c r="CZ94" i="2" s="1"/>
  <c r="CL668" i="2"/>
  <c r="CK668" i="2" s="1"/>
  <c r="CL898" i="2"/>
  <c r="CK898" i="2" s="1"/>
  <c r="CP22" i="2"/>
  <c r="CR22" i="2" s="1"/>
  <c r="CQ22" i="2" s="1"/>
  <c r="DM26" i="2"/>
  <c r="CJ26" i="2"/>
  <c r="CL67" i="2"/>
  <c r="CK67" i="2" s="1"/>
  <c r="DM1006" i="2"/>
  <c r="DM734" i="2"/>
  <c r="DB734" i="2"/>
  <c r="DN734" i="2" s="1"/>
  <c r="CZ474" i="2"/>
  <c r="DB47" i="2"/>
  <c r="DD47" i="2" s="1"/>
  <c r="DC47" i="2" s="1"/>
  <c r="DF47" i="2" s="1"/>
  <c r="CJ125" i="2"/>
  <c r="CL125" i="2" s="1"/>
  <c r="CK125" i="2" s="1"/>
  <c r="CN125" i="2" s="1"/>
  <c r="DM293" i="2"/>
  <c r="CJ293" i="2"/>
  <c r="DA678" i="2"/>
  <c r="CY678" i="2"/>
  <c r="CR586" i="2"/>
  <c r="CQ586" i="2" s="1"/>
  <c r="CR102" i="2"/>
  <c r="CQ102" i="2" s="1"/>
  <c r="CE615" i="2"/>
  <c r="DC615" i="2" s="1"/>
  <c r="DB615" i="2"/>
  <c r="CP509" i="2"/>
  <c r="CE509" i="2"/>
  <c r="CK872" i="2"/>
  <c r="CM872" i="2" s="1"/>
  <c r="CL872" i="2" s="1"/>
  <c r="CO872" i="2" s="1"/>
  <c r="DB799" i="2"/>
  <c r="CM332" i="2"/>
  <c r="CL332" i="2" s="1"/>
  <c r="BY205" i="2"/>
  <c r="CP205" i="2"/>
  <c r="DB386" i="2"/>
  <c r="CQ871" i="2"/>
  <c r="DD6" i="14"/>
  <c r="DC6" i="14" s="1"/>
  <c r="DF6" i="14" s="1"/>
  <c r="CO4" i="14"/>
  <c r="DJ3" i="14"/>
  <c r="DI3" i="14" s="1"/>
  <c r="DL3" i="14" s="1"/>
  <c r="DR8" i="14"/>
  <c r="CZ13" i="14"/>
  <c r="DP11" i="14"/>
  <c r="DJ7" i="14"/>
  <c r="DI7" i="14" s="1"/>
  <c r="DL7" i="14" s="1"/>
  <c r="CR14" i="14"/>
  <c r="CQ14" i="14" s="1"/>
  <c r="CT14" i="14" s="1"/>
  <c r="DR13" i="14"/>
  <c r="DS11" i="14"/>
  <c r="DD3" i="14"/>
  <c r="DC3" i="14" s="1"/>
  <c r="DF3" i="14" s="1"/>
  <c r="BT14" i="14"/>
  <c r="BS14" i="14" s="1"/>
  <c r="BV14" i="14" s="1"/>
  <c r="DR11" i="14"/>
  <c r="DD11" i="14"/>
  <c r="DC11" i="14" s="1"/>
  <c r="DF11" i="14" s="1"/>
  <c r="DQ8" i="13"/>
  <c r="CF14" i="14"/>
  <c r="CE14" i="14" s="1"/>
  <c r="CH14" i="14" s="1"/>
  <c r="CX14" i="14"/>
  <c r="CW14" i="14" s="1"/>
  <c r="CZ14" i="14" s="1"/>
  <c r="DS7" i="14"/>
  <c r="DT7" i="14"/>
  <c r="DS14" i="14"/>
  <c r="DJ5" i="14"/>
  <c r="DI5" i="14" s="1"/>
  <c r="DL5" i="14" s="1"/>
  <c r="CL9" i="14"/>
  <c r="CK9" i="14" s="1"/>
  <c r="CN9" i="14" s="1"/>
  <c r="DD13" i="14"/>
  <c r="DC13" i="14" s="1"/>
  <c r="DF13" i="14" s="1"/>
  <c r="BZ14" i="14"/>
  <c r="BY14" i="14" s="1"/>
  <c r="CB14" i="14" s="1"/>
  <c r="DJ2" i="14"/>
  <c r="DI2" i="14" s="1"/>
  <c r="DL2" i="14" s="1"/>
  <c r="BB14" i="6"/>
  <c r="BC14" i="6" s="1"/>
  <c r="BD14" i="6" s="1"/>
  <c r="HZ13" i="6"/>
  <c r="IJ13" i="6" s="1"/>
  <c r="IN6" i="13"/>
  <c r="DQ6" i="13"/>
  <c r="HZ7" i="6"/>
  <c r="IJ7" i="6" s="1"/>
  <c r="DT8" i="14"/>
  <c r="DH6" i="14"/>
  <c r="DJ6" i="14" s="1"/>
  <c r="DI6" i="14" s="1"/>
  <c r="DL6" i="14" s="1"/>
  <c r="DR14" i="14"/>
  <c r="CX7" i="14"/>
  <c r="CW7" i="14" s="1"/>
  <c r="CZ7" i="14" s="1"/>
  <c r="DS8" i="14"/>
  <c r="DP7" i="14"/>
  <c r="DR12" i="14"/>
  <c r="DP2" i="14"/>
  <c r="DS5" i="14"/>
  <c r="DD12" i="14"/>
  <c r="DC12" i="14" s="1"/>
  <c r="DF12" i="14" s="1"/>
  <c r="CX2" i="14"/>
  <c r="CW2" i="14" s="1"/>
  <c r="CZ2" i="14" s="1"/>
  <c r="DP3" i="14"/>
  <c r="IJ2" i="6"/>
  <c r="DT14" i="14"/>
  <c r="CR8" i="14"/>
  <c r="CQ8" i="14" s="1"/>
  <c r="CT8" i="14" s="1"/>
  <c r="DB10" i="14"/>
  <c r="DD10" i="14" s="1"/>
  <c r="DC10" i="14" s="1"/>
  <c r="DF10" i="14" s="1"/>
  <c r="DL9" i="14"/>
  <c r="CV3" i="14"/>
  <c r="CX3" i="14" s="1"/>
  <c r="CW3" i="14" s="1"/>
  <c r="CZ3" i="14" s="1"/>
  <c r="DL13" i="14"/>
  <c r="DN5" i="14"/>
  <c r="DR5" i="14" s="1"/>
  <c r="DP6" i="14"/>
  <c r="CT11" i="14"/>
  <c r="CT10" i="14"/>
  <c r="DS10" i="14"/>
  <c r="DR10" i="14"/>
  <c r="CN4" i="14"/>
  <c r="CN14" i="14"/>
  <c r="DT10" i="14"/>
  <c r="CR7" i="14"/>
  <c r="CQ7" i="14" s="1"/>
  <c r="CP4" i="14"/>
  <c r="CR4" i="14" s="1"/>
  <c r="CQ4" i="14" s="1"/>
  <c r="CT4" i="14" s="1"/>
  <c r="DQ3" i="13"/>
  <c r="DU11" i="14"/>
  <c r="CL10" i="14"/>
  <c r="CK10" i="14" s="1"/>
  <c r="DS2" i="14"/>
  <c r="DB2" i="14"/>
  <c r="DT2" i="14" s="1"/>
  <c r="CD13" i="14"/>
  <c r="CP12" i="14"/>
  <c r="CR12" i="14" s="1"/>
  <c r="CQ12" i="14" s="1"/>
  <c r="CT12" i="14" s="1"/>
  <c r="BX13" i="14"/>
  <c r="BZ13" i="14" s="1"/>
  <c r="BY13" i="14" s="1"/>
  <c r="DL11" i="14"/>
  <c r="CJ12" i="14"/>
  <c r="CL12" i="14" s="1"/>
  <c r="CK12" i="14" s="1"/>
  <c r="DS9" i="14"/>
  <c r="DB9" i="14"/>
  <c r="BR13" i="14"/>
  <c r="DS13" i="14"/>
  <c r="BR12" i="14"/>
  <c r="DS12" i="14"/>
  <c r="DU8" i="14"/>
  <c r="CP13" i="14"/>
  <c r="CR13" i="14" s="1"/>
  <c r="CQ13" i="14" s="1"/>
  <c r="CD12" i="14"/>
  <c r="DT11" i="14"/>
  <c r="CJ13" i="14"/>
  <c r="CL13" i="14" s="1"/>
  <c r="CK13" i="14" s="1"/>
  <c r="CX12" i="14"/>
  <c r="CW12" i="14" s="1"/>
  <c r="CZ12" i="14" s="1"/>
  <c r="DN4" i="14"/>
  <c r="DR4" i="14" s="1"/>
  <c r="CZ5" i="14"/>
  <c r="DB5" i="14"/>
  <c r="DD5" i="14" s="1"/>
  <c r="DC5" i="14" s="1"/>
  <c r="DU5" i="14" s="1"/>
  <c r="CV4" i="14"/>
  <c r="CX4" i="14" s="1"/>
  <c r="CW4" i="14" s="1"/>
  <c r="CR3" i="14"/>
  <c r="CQ3" i="14" s="1"/>
  <c r="CT3" i="14" s="1"/>
  <c r="CL2" i="14"/>
  <c r="CK2" i="14" s="1"/>
  <c r="CN2" i="14" s="1"/>
  <c r="DH4" i="14"/>
  <c r="DJ4" i="14" s="1"/>
  <c r="DI4" i="14" s="1"/>
  <c r="IN8" i="13"/>
  <c r="DN9" i="14"/>
  <c r="DP9" i="14" s="1"/>
  <c r="CJ6" i="14"/>
  <c r="DS6" i="14"/>
  <c r="DS3" i="14"/>
  <c r="CJ3" i="14"/>
  <c r="DB4" i="14"/>
  <c r="DD4" i="14" s="1"/>
  <c r="DC4" i="14" s="1"/>
  <c r="BX12" i="14"/>
  <c r="DS4" i="14"/>
  <c r="DQ7" i="13"/>
  <c r="IN3" i="13"/>
  <c r="BL3" i="13"/>
  <c r="BM3" i="13" s="1"/>
  <c r="BN3" i="13" s="1"/>
  <c r="BP3" i="13" s="1"/>
  <c r="IN7" i="13"/>
  <c r="BL7" i="13"/>
  <c r="BM7" i="13" s="1"/>
  <c r="BN7" i="13" s="1"/>
  <c r="BP7" i="13" s="1"/>
  <c r="BB16" i="6"/>
  <c r="BC16" i="6" s="1"/>
  <c r="BD16" i="6" s="1"/>
  <c r="IJ16" i="6"/>
  <c r="IJ6" i="6"/>
  <c r="BB6" i="6"/>
  <c r="BC6" i="6" s="1"/>
  <c r="BD6" i="6" s="1"/>
  <c r="IJ5" i="6"/>
  <c r="BB5" i="6"/>
  <c r="BC5" i="6" s="1"/>
  <c r="BD5" i="6" s="1"/>
  <c r="IJ4" i="6"/>
  <c r="BB4" i="6"/>
  <c r="BC4" i="6" s="1"/>
  <c r="BD4" i="6" s="1"/>
  <c r="BB17" i="6"/>
  <c r="BC17" i="6" s="1"/>
  <c r="BD17" i="6" s="1"/>
  <c r="IJ17" i="6"/>
  <c r="EB9" i="13"/>
  <c r="DQ9" i="13"/>
  <c r="EB2" i="13"/>
  <c r="DQ2" i="13"/>
  <c r="EB5" i="13"/>
  <c r="DQ5" i="13"/>
  <c r="IN4" i="13"/>
  <c r="BL4" i="13"/>
  <c r="BM4" i="13" s="1"/>
  <c r="BN4" i="13" s="1"/>
  <c r="BP4" i="13" s="1"/>
  <c r="HZ18" i="6"/>
  <c r="IJ18" i="6" s="1"/>
  <c r="BB18" i="6"/>
  <c r="BC18" i="6" s="1"/>
  <c r="BD18" i="6" s="1"/>
  <c r="BB12" i="6"/>
  <c r="BC12" i="6" s="1"/>
  <c r="BD12" i="6" s="1"/>
  <c r="IJ12" i="6"/>
  <c r="IJ11" i="6"/>
  <c r="BB11" i="6"/>
  <c r="BC11" i="6" s="1"/>
  <c r="BD11" i="6" s="1"/>
  <c r="IJ15" i="6"/>
  <c r="BB15" i="6"/>
  <c r="BC15" i="6" s="1"/>
  <c r="BD15" i="6" s="1"/>
  <c r="IH435" i="2" l="1"/>
  <c r="DV141" i="2"/>
  <c r="DW141" i="2" s="1"/>
  <c r="DU96" i="2"/>
  <c r="DV96" i="2" s="1"/>
  <c r="EH96" i="2" s="1"/>
  <c r="BL96" i="2" s="1"/>
  <c r="BM96" i="2" s="1"/>
  <c r="BN96" i="2" s="1"/>
  <c r="BP96" i="2" s="1"/>
  <c r="DJ1035" i="2"/>
  <c r="DP957" i="2"/>
  <c r="EB957" i="2" s="1"/>
  <c r="IL957" i="2" s="1"/>
  <c r="EB739" i="2"/>
  <c r="BL739" i="2" s="1"/>
  <c r="BM739" i="2" s="1"/>
  <c r="BN739" i="2" s="1"/>
  <c r="BP739" i="2" s="1"/>
  <c r="DU751" i="2"/>
  <c r="DV751" i="2" s="1"/>
  <c r="EH751" i="2" s="1"/>
  <c r="BL751" i="2" s="1"/>
  <c r="BM751" i="2" s="1"/>
  <c r="BN751" i="2" s="1"/>
  <c r="BP751" i="2" s="1"/>
  <c r="DO726" i="2"/>
  <c r="DP726" i="2" s="1"/>
  <c r="DU698" i="2"/>
  <c r="DV698" i="2" s="1"/>
  <c r="EH698" i="2" s="1"/>
  <c r="BL698" i="2" s="1"/>
  <c r="BM698" i="2" s="1"/>
  <c r="BN698" i="2" s="1"/>
  <c r="BP698" i="2" s="1"/>
  <c r="IH70" i="2"/>
  <c r="DU37" i="2"/>
  <c r="DV37" i="2" s="1"/>
  <c r="BL260" i="2"/>
  <c r="BM260" i="2" s="1"/>
  <c r="BN260" i="2" s="1"/>
  <c r="BP260" i="2" s="1"/>
  <c r="IH260" i="2"/>
  <c r="DU821" i="2"/>
  <c r="DV821" i="2" s="1"/>
  <c r="EH821" i="2" s="1"/>
  <c r="BL821" i="2" s="1"/>
  <c r="BM821" i="2" s="1"/>
  <c r="BN821" i="2" s="1"/>
  <c r="BP821" i="2" s="1"/>
  <c r="DU545" i="2"/>
  <c r="DV545" i="2" s="1"/>
  <c r="EH545" i="2" s="1"/>
  <c r="BL545" i="2" s="1"/>
  <c r="BM545" i="2" s="1"/>
  <c r="BN545" i="2" s="1"/>
  <c r="BP545" i="2" s="1"/>
  <c r="DP1043" i="2"/>
  <c r="EB1043" i="2" s="1"/>
  <c r="IX1043" i="2" s="1"/>
  <c r="DV695" i="2"/>
  <c r="DW695" i="2" s="1"/>
  <c r="DU715" i="2"/>
  <c r="DV715" i="2" s="1"/>
  <c r="DW715" i="2" s="1"/>
  <c r="DU938" i="2"/>
  <c r="DV938" i="2" s="1"/>
  <c r="DW938" i="2" s="1"/>
  <c r="EB58" i="2"/>
  <c r="BL58" i="2" s="1"/>
  <c r="BM58" i="2" s="1"/>
  <c r="BN58" i="2" s="1"/>
  <c r="BP58" i="2" s="1"/>
  <c r="DU183" i="2"/>
  <c r="DV183" i="2" s="1"/>
  <c r="DO568" i="2"/>
  <c r="DQ97" i="2"/>
  <c r="DN568" i="2"/>
  <c r="DQ1009" i="2"/>
  <c r="IH537" i="2"/>
  <c r="BL537" i="2"/>
  <c r="BM537" i="2" s="1"/>
  <c r="BN537" i="2" s="1"/>
  <c r="BP537" i="2" s="1"/>
  <c r="DQ879" i="2"/>
  <c r="EB879" i="2"/>
  <c r="BL879" i="2" s="1"/>
  <c r="BM879" i="2" s="1"/>
  <c r="BN879" i="2" s="1"/>
  <c r="BP879" i="2" s="1"/>
  <c r="CT174" i="2"/>
  <c r="CU174" i="2" s="1"/>
  <c r="DQ537" i="2"/>
  <c r="BL434" i="2"/>
  <c r="BM434" i="2" s="1"/>
  <c r="BN434" i="2" s="1"/>
  <c r="BP434" i="2" s="1"/>
  <c r="IH434" i="2"/>
  <c r="DU1011" i="2"/>
  <c r="DV1011" i="2" s="1"/>
  <c r="DW1011" i="2" s="1"/>
  <c r="EB783" i="2"/>
  <c r="BL783" i="2" s="1"/>
  <c r="BM783" i="2" s="1"/>
  <c r="BN783" i="2" s="1"/>
  <c r="BP783" i="2" s="1"/>
  <c r="CA870" i="2"/>
  <c r="BZ870" i="2" s="1"/>
  <c r="CR870" i="2" s="1"/>
  <c r="CS870" i="2" s="1"/>
  <c r="DP705" i="2"/>
  <c r="EB705" i="2" s="1"/>
  <c r="BL705" i="2" s="1"/>
  <c r="BM705" i="2" s="1"/>
  <c r="BN705" i="2" s="1"/>
  <c r="BP705" i="2" s="1"/>
  <c r="DD354" i="2"/>
  <c r="DE354" i="2" s="1"/>
  <c r="DF354" i="2" s="1"/>
  <c r="DQ64" i="2"/>
  <c r="EB64" i="2"/>
  <c r="DD356" i="2"/>
  <c r="DE356" i="2" s="1"/>
  <c r="DF356" i="2" s="1"/>
  <c r="DM410" i="2"/>
  <c r="BG3" i="11"/>
  <c r="BH3" i="11" s="1"/>
  <c r="BI3" i="11" s="1"/>
  <c r="BK3" i="11" s="1"/>
  <c r="IH97" i="2"/>
  <c r="BL97" i="2"/>
  <c r="BM97" i="2" s="1"/>
  <c r="BN97" i="2" s="1"/>
  <c r="BP97" i="2" s="1"/>
  <c r="DC958" i="2"/>
  <c r="DD958" i="2" s="1"/>
  <c r="DP558" i="2"/>
  <c r="DQ558" i="2" s="1"/>
  <c r="EB623" i="2"/>
  <c r="DQ623" i="2"/>
  <c r="EB443" i="2"/>
  <c r="BL443" i="2" s="1"/>
  <c r="BM443" i="2" s="1"/>
  <c r="BN443" i="2" s="1"/>
  <c r="BP443" i="2" s="1"/>
  <c r="DQ338" i="2"/>
  <c r="EB338" i="2"/>
  <c r="IH857" i="2"/>
  <c r="EB930" i="2"/>
  <c r="BL930" i="2" s="1"/>
  <c r="BM930" i="2" s="1"/>
  <c r="BN930" i="2" s="1"/>
  <c r="BP930" i="2" s="1"/>
  <c r="DY217" i="2"/>
  <c r="CS477" i="2"/>
  <c r="CT477" i="2" s="1"/>
  <c r="DP502" i="2"/>
  <c r="EB502" i="2" s="1"/>
  <c r="BL502" i="2" s="1"/>
  <c r="BM502" i="2" s="1"/>
  <c r="BN502" i="2" s="1"/>
  <c r="BP502" i="2" s="1"/>
  <c r="DP101" i="2"/>
  <c r="DQ101" i="2" s="1"/>
  <c r="DU972" i="2"/>
  <c r="DV972" i="2" s="1"/>
  <c r="DW972" i="2" s="1"/>
  <c r="DU727" i="2"/>
  <c r="DV727" i="2" s="1"/>
  <c r="DW727" i="2" s="1"/>
  <c r="DP278" i="2"/>
  <c r="EB278" i="2" s="1"/>
  <c r="BL278" i="2" s="1"/>
  <c r="BM278" i="2" s="1"/>
  <c r="BN278" i="2" s="1"/>
  <c r="BP278" i="2" s="1"/>
  <c r="IH936" i="2"/>
  <c r="CO174" i="2"/>
  <c r="CA792" i="2"/>
  <c r="BZ792" i="2" s="1"/>
  <c r="CC792" i="2" s="1"/>
  <c r="EB948" i="2"/>
  <c r="DQ948" i="2"/>
  <c r="DQ657" i="2"/>
  <c r="EB657" i="2"/>
  <c r="CR261" i="2"/>
  <c r="CS261" i="2" s="1"/>
  <c r="DD823" i="2"/>
  <c r="DE823" i="2" s="1"/>
  <c r="CS213" i="2"/>
  <c r="CT213" i="2" s="1"/>
  <c r="DO883" i="2"/>
  <c r="DP883" i="2" s="1"/>
  <c r="CW527" i="2"/>
  <c r="CV527" i="2" s="1"/>
  <c r="CY527" i="2" s="1"/>
  <c r="DD1039" i="2"/>
  <c r="DE1039" i="2" s="1"/>
  <c r="DQ543" i="2"/>
  <c r="EB543" i="2"/>
  <c r="BL543" i="2" s="1"/>
  <c r="BM543" i="2" s="1"/>
  <c r="BN543" i="2" s="1"/>
  <c r="BP543" i="2" s="1"/>
  <c r="DE733" i="2"/>
  <c r="DK733" i="2" s="1"/>
  <c r="BG733" i="2" s="1"/>
  <c r="BH733" i="2" s="1"/>
  <c r="BI733" i="2" s="1"/>
  <c r="BK733" i="2" s="1"/>
  <c r="DD1014" i="2"/>
  <c r="DP1014" i="2" s="1"/>
  <c r="BL1014" i="2" s="1"/>
  <c r="BM1014" i="2" s="1"/>
  <c r="BN1014" i="2" s="1"/>
  <c r="BP1014" i="2" s="1"/>
  <c r="BL689" i="2"/>
  <c r="BM689" i="2" s="1"/>
  <c r="BN689" i="2" s="1"/>
  <c r="BP689" i="2" s="1"/>
  <c r="IH689" i="2"/>
  <c r="DD56" i="2"/>
  <c r="DP56" i="2" s="1"/>
  <c r="IL56" i="2" s="1"/>
  <c r="DE212" i="2"/>
  <c r="DK212" i="2" s="1"/>
  <c r="BG212" i="2" s="1"/>
  <c r="BH212" i="2" s="1"/>
  <c r="BI212" i="2" s="1"/>
  <c r="BK212" i="2" s="1"/>
  <c r="CM159" i="2"/>
  <c r="CL159" i="2" s="1"/>
  <c r="CO159" i="2" s="1"/>
  <c r="DT931" i="2"/>
  <c r="DD340" i="2"/>
  <c r="DE340" i="2" s="1"/>
  <c r="DP16" i="2"/>
  <c r="DQ16" i="2" s="1"/>
  <c r="DD467" i="2"/>
  <c r="DE467" i="2" s="1"/>
  <c r="DC897" i="2"/>
  <c r="DD897" i="2" s="1"/>
  <c r="DJ897" i="2" s="1"/>
  <c r="IO897" i="2" s="1"/>
  <c r="DT742" i="2"/>
  <c r="DF3" i="11"/>
  <c r="DF5" i="11"/>
  <c r="CM2" i="11"/>
  <c r="CL2" i="11" s="1"/>
  <c r="CO2" i="11" s="1"/>
  <c r="DE6" i="11"/>
  <c r="DD8" i="11"/>
  <c r="DE8" i="11" s="1"/>
  <c r="DE4" i="11"/>
  <c r="DD2" i="11"/>
  <c r="DE2" i="11" s="1"/>
  <c r="DF2" i="11" s="1"/>
  <c r="CU4" i="11"/>
  <c r="DC8" i="11"/>
  <c r="CS7" i="11"/>
  <c r="CR7" i="11" s="1"/>
  <c r="CG10" i="11"/>
  <c r="CF10" i="11" s="1"/>
  <c r="CI8" i="11"/>
  <c r="DV741" i="2"/>
  <c r="EH741" i="2" s="1"/>
  <c r="DU865" i="2"/>
  <c r="DV865" i="2" s="1"/>
  <c r="DW865" i="2" s="1"/>
  <c r="DO30" i="2"/>
  <c r="DP30" i="2" s="1"/>
  <c r="DE382" i="2"/>
  <c r="DO785" i="2"/>
  <c r="DP785" i="2" s="1"/>
  <c r="DQ785" i="2" s="1"/>
  <c r="EB387" i="2"/>
  <c r="IX387" i="2" s="1"/>
  <c r="EA280" i="2"/>
  <c r="EB280" i="2" s="1"/>
  <c r="EN280" i="2" s="1"/>
  <c r="BL280" i="2" s="1"/>
  <c r="BM280" i="2" s="1"/>
  <c r="BN280" i="2" s="1"/>
  <c r="BP280" i="2" s="1"/>
  <c r="CX124" i="2"/>
  <c r="CW124" i="2" s="1"/>
  <c r="DU124" i="2" s="1"/>
  <c r="DV124" i="2" s="1"/>
  <c r="DT115" i="2"/>
  <c r="DU602" i="2"/>
  <c r="DV602" i="2" s="1"/>
  <c r="EH602" i="2" s="1"/>
  <c r="BL602" i="2" s="1"/>
  <c r="BM602" i="2" s="1"/>
  <c r="BN602" i="2" s="1"/>
  <c r="BP602" i="2" s="1"/>
  <c r="DN271" i="2"/>
  <c r="DM271" i="2"/>
  <c r="CR651" i="2"/>
  <c r="CS651" i="2" s="1"/>
  <c r="DE107" i="2"/>
  <c r="DQ962" i="2"/>
  <c r="DU318" i="2"/>
  <c r="DV318" i="2" s="1"/>
  <c r="CY161" i="2"/>
  <c r="BG161" i="2" s="1"/>
  <c r="BH161" i="2" s="1"/>
  <c r="BI161" i="2" s="1"/>
  <c r="BK161" i="2" s="1"/>
  <c r="DU389" i="2"/>
  <c r="DV389" i="2" s="1"/>
  <c r="DU1026" i="2"/>
  <c r="DV1026" i="2" s="1"/>
  <c r="DD215" i="2"/>
  <c r="DE215" i="2" s="1"/>
  <c r="DO185" i="2"/>
  <c r="DP185" i="2" s="1"/>
  <c r="EB185" i="2" s="1"/>
  <c r="BL185" i="2" s="1"/>
  <c r="BM185" i="2" s="1"/>
  <c r="BN185" i="2" s="1"/>
  <c r="BP185" i="2" s="1"/>
  <c r="DP199" i="2"/>
  <c r="BL199" i="2" s="1"/>
  <c r="BM199" i="2" s="1"/>
  <c r="BN199" i="2" s="1"/>
  <c r="BP199" i="2" s="1"/>
  <c r="CX490" i="2"/>
  <c r="CY490" i="2" s="1"/>
  <c r="DU634" i="2"/>
  <c r="CS888" i="2"/>
  <c r="CB634" i="2"/>
  <c r="CT634" i="2"/>
  <c r="DT634" i="2"/>
  <c r="CN634" i="2"/>
  <c r="DO956" i="2"/>
  <c r="DP956" i="2" s="1"/>
  <c r="DV1045" i="2"/>
  <c r="DW1045" i="2" s="1"/>
  <c r="DS1034" i="2"/>
  <c r="DO231" i="2"/>
  <c r="DP231" i="2" s="1"/>
  <c r="CS975" i="2"/>
  <c r="CY975" i="2" s="1"/>
  <c r="BG975" i="2" s="1"/>
  <c r="BH975" i="2" s="1"/>
  <c r="BI975" i="2" s="1"/>
  <c r="BK975" i="2" s="1"/>
  <c r="DL954" i="2"/>
  <c r="CM404" i="2"/>
  <c r="CL404" i="2" s="1"/>
  <c r="CO404" i="2" s="1"/>
  <c r="DU954" i="2"/>
  <c r="DT954" i="2"/>
  <c r="CR190" i="2"/>
  <c r="CR139" i="2"/>
  <c r="CS139" i="2" s="1"/>
  <c r="DD487" i="2"/>
  <c r="DE487" i="2" s="1"/>
  <c r="CR742" i="2"/>
  <c r="CQ742" i="2" s="1"/>
  <c r="DU742" i="2" s="1"/>
  <c r="DO20" i="2"/>
  <c r="DP20" i="2" s="1"/>
  <c r="EB20" i="2" s="1"/>
  <c r="IX20" i="2" s="1"/>
  <c r="DT786" i="2"/>
  <c r="EB667" i="2"/>
  <c r="EC667" i="2" s="1"/>
  <c r="DD678" i="2"/>
  <c r="DE678" i="2" s="1"/>
  <c r="DK678" i="2" s="1"/>
  <c r="BG678" i="2" s="1"/>
  <c r="BH678" i="2" s="1"/>
  <c r="BI678" i="2" s="1"/>
  <c r="BK678" i="2" s="1"/>
  <c r="DQ985" i="2"/>
  <c r="DC749" i="2"/>
  <c r="DD749" i="2" s="1"/>
  <c r="CT636" i="2"/>
  <c r="CU636" i="2" s="1"/>
  <c r="DR786" i="2"/>
  <c r="DC719" i="2"/>
  <c r="DD719" i="2" s="1"/>
  <c r="CV410" i="2"/>
  <c r="CX410" i="2" s="1"/>
  <c r="CW410" i="2" s="1"/>
  <c r="CZ410" i="2" s="1"/>
  <c r="DL786" i="2"/>
  <c r="DU754" i="2"/>
  <c r="DT920" i="2"/>
  <c r="DU786" i="2"/>
  <c r="CT754" i="2"/>
  <c r="DT754" i="2"/>
  <c r="DU920" i="2"/>
  <c r="DD253" i="2"/>
  <c r="DE253" i="2" s="1"/>
  <c r="DD559" i="2"/>
  <c r="DO648" i="2"/>
  <c r="DP648" i="2" s="1"/>
  <c r="DJ655" i="2"/>
  <c r="CN754" i="2"/>
  <c r="DP40" i="2"/>
  <c r="IL40" i="2" s="1"/>
  <c r="DY85" i="2"/>
  <c r="DT712" i="2"/>
  <c r="DD319" i="2"/>
  <c r="DE319" i="2" s="1"/>
  <c r="DT693" i="2"/>
  <c r="CL44" i="2"/>
  <c r="CK44" i="2" s="1"/>
  <c r="DU44" i="2" s="1"/>
  <c r="DV44" i="2" s="1"/>
  <c r="DI830" i="2"/>
  <c r="DJ830" i="2" s="1"/>
  <c r="DP830" i="2" s="1"/>
  <c r="CQ190" i="2"/>
  <c r="DU712" i="2"/>
  <c r="DD216" i="2"/>
  <c r="DE216" i="2" s="1"/>
  <c r="CL84" i="2"/>
  <c r="CK84" i="2" s="1"/>
  <c r="DI84" i="2" s="1"/>
  <c r="DJ84" i="2" s="1"/>
  <c r="DP323" i="2"/>
  <c r="DO323" i="2" s="1"/>
  <c r="DU323" i="2" s="1"/>
  <c r="DD337" i="2"/>
  <c r="DC337" i="2" s="1"/>
  <c r="CS492" i="2"/>
  <c r="CY492" i="2" s="1"/>
  <c r="BG492" i="2" s="1"/>
  <c r="BH492" i="2" s="1"/>
  <c r="BI492" i="2" s="1"/>
  <c r="BK492" i="2" s="1"/>
  <c r="DP892" i="2"/>
  <c r="EB892" i="2" s="1"/>
  <c r="BL892" i="2" s="1"/>
  <c r="BM892" i="2" s="1"/>
  <c r="BN892" i="2" s="1"/>
  <c r="BP892" i="2" s="1"/>
  <c r="CS436" i="2"/>
  <c r="CT436" i="2" s="1"/>
  <c r="CZ436" i="2" s="1"/>
  <c r="BG436" i="2" s="1"/>
  <c r="BH436" i="2" s="1"/>
  <c r="BI436" i="2" s="1"/>
  <c r="BK436" i="2" s="1"/>
  <c r="CG408" i="2"/>
  <c r="CF408" i="2" s="1"/>
  <c r="CI408" i="2" s="1"/>
  <c r="DE355" i="2"/>
  <c r="DF355" i="2" s="1"/>
  <c r="CR659" i="2"/>
  <c r="CS659" i="2" s="1"/>
  <c r="CT659" i="2" s="1"/>
  <c r="DT323" i="2"/>
  <c r="DE68" i="2"/>
  <c r="DO200" i="2"/>
  <c r="DP200" i="2" s="1"/>
  <c r="DQ200" i="2" s="1"/>
  <c r="EB686" i="2"/>
  <c r="IX686" i="2" s="1"/>
  <c r="DC970" i="2"/>
  <c r="DD970" i="2" s="1"/>
  <c r="DE970" i="2" s="1"/>
  <c r="CZ712" i="2"/>
  <c r="DL712" i="2"/>
  <c r="DZ524" i="2"/>
  <c r="DP390" i="2"/>
  <c r="BL390" i="2" s="1"/>
  <c r="BM390" i="2" s="1"/>
  <c r="BN390" i="2" s="1"/>
  <c r="BP390" i="2" s="1"/>
  <c r="IL417" i="2"/>
  <c r="DP427" i="2"/>
  <c r="BL427" i="2" s="1"/>
  <c r="BM427" i="2" s="1"/>
  <c r="BN427" i="2" s="1"/>
  <c r="BP427" i="2" s="1"/>
  <c r="DE816" i="2"/>
  <c r="DE252" i="2"/>
  <c r="DP455" i="2"/>
  <c r="IL455" i="2" s="1"/>
  <c r="DQ303" i="2"/>
  <c r="DP599" i="2"/>
  <c r="BL599" i="2" s="1"/>
  <c r="BM599" i="2" s="1"/>
  <c r="BN599" i="2" s="1"/>
  <c r="BP599" i="2" s="1"/>
  <c r="DF640" i="2"/>
  <c r="DE405" i="2"/>
  <c r="DP605" i="2"/>
  <c r="EB605" i="2" s="1"/>
  <c r="BL605" i="2" s="1"/>
  <c r="BM605" i="2" s="1"/>
  <c r="BN605" i="2" s="1"/>
  <c r="BP605" i="2" s="1"/>
  <c r="CR149" i="2"/>
  <c r="CS149" i="2" s="1"/>
  <c r="CY149" i="2" s="1"/>
  <c r="BG149" i="2" s="1"/>
  <c r="BH149" i="2" s="1"/>
  <c r="BI149" i="2" s="1"/>
  <c r="BK149" i="2" s="1"/>
  <c r="DE295" i="2"/>
  <c r="DE417" i="2"/>
  <c r="DE326" i="2"/>
  <c r="DW468" i="2"/>
  <c r="CJ410" i="2"/>
  <c r="CL410" i="2" s="1"/>
  <c r="CK410" i="2" s="1"/>
  <c r="CN410" i="2" s="1"/>
  <c r="CY358" i="2"/>
  <c r="DI1018" i="2"/>
  <c r="DJ1018" i="2" s="1"/>
  <c r="DF693" i="2"/>
  <c r="DD765" i="2"/>
  <c r="DU693" i="2"/>
  <c r="CZ830" i="2"/>
  <c r="DT1047" i="2"/>
  <c r="DD83" i="2"/>
  <c r="DE83" i="2" s="1"/>
  <c r="DE330" i="2"/>
  <c r="DF511" i="2"/>
  <c r="DQ747" i="2"/>
  <c r="CR203" i="2"/>
  <c r="CS203" i="2" s="1"/>
  <c r="CY203" i="2" s="1"/>
  <c r="BG203" i="2" s="1"/>
  <c r="BH203" i="2" s="1"/>
  <c r="BI203" i="2" s="1"/>
  <c r="BK203" i="2" s="1"/>
  <c r="IL405" i="2"/>
  <c r="DO677" i="2"/>
  <c r="DP677" i="2" s="1"/>
  <c r="DQ926" i="2"/>
  <c r="DO225" i="2"/>
  <c r="DP225" i="2" s="1"/>
  <c r="DU1047" i="2"/>
  <c r="DN701" i="2"/>
  <c r="CM843" i="2"/>
  <c r="CL843" i="2" s="1"/>
  <c r="CO843" i="2" s="1"/>
  <c r="DV105" i="2"/>
  <c r="DW105" i="2" s="1"/>
  <c r="DZ224" i="2"/>
  <c r="CS871" i="2"/>
  <c r="CT871" i="2" s="1"/>
  <c r="DE702" i="2"/>
  <c r="DB655" i="2"/>
  <c r="DD655" i="2" s="1"/>
  <c r="DC655" i="2" s="1"/>
  <c r="DF655" i="2" s="1"/>
  <c r="EB11" i="2"/>
  <c r="EC11" i="2" s="1"/>
  <c r="DD206" i="2"/>
  <c r="DP206" i="2" s="1"/>
  <c r="DF1047" i="2"/>
  <c r="DS655" i="2"/>
  <c r="DP431" i="2"/>
  <c r="EB431" i="2" s="1"/>
  <c r="IX431" i="2" s="1"/>
  <c r="DO75" i="2"/>
  <c r="DP75" i="2" s="1"/>
  <c r="EB137" i="2"/>
  <c r="IX137" i="2" s="1"/>
  <c r="DO704" i="2"/>
  <c r="DE1042" i="2"/>
  <c r="EB1040" i="2"/>
  <c r="BL1040" i="2" s="1"/>
  <c r="BM1040" i="2" s="1"/>
  <c r="BN1040" i="2" s="1"/>
  <c r="BP1040" i="2" s="1"/>
  <c r="DU1031" i="2"/>
  <c r="DV1031" i="2" s="1"/>
  <c r="DN131" i="2"/>
  <c r="DM510" i="2"/>
  <c r="DO986" i="2"/>
  <c r="DP986" i="2" s="1"/>
  <c r="DQ986" i="2" s="1"/>
  <c r="DN400" i="2"/>
  <c r="DN401" i="2"/>
  <c r="DQ900" i="2"/>
  <c r="DT329" i="2"/>
  <c r="DP553" i="2"/>
  <c r="EB553" i="2" s="1"/>
  <c r="BL553" i="2" s="1"/>
  <c r="BM553" i="2" s="1"/>
  <c r="BN553" i="2" s="1"/>
  <c r="BP553" i="2" s="1"/>
  <c r="EB622" i="2"/>
  <c r="IX622" i="2" s="1"/>
  <c r="DN127" i="2"/>
  <c r="DT1033" i="2"/>
  <c r="DT1032" i="2"/>
  <c r="CS245" i="2"/>
  <c r="DD237" i="2"/>
  <c r="DE237" i="2" s="1"/>
  <c r="DF237" i="2" s="1"/>
  <c r="CR498" i="2"/>
  <c r="CS498" i="2" s="1"/>
  <c r="CT498" i="2" s="1"/>
  <c r="CB155" i="2"/>
  <c r="DU155" i="2"/>
  <c r="DV155" i="2" s="1"/>
  <c r="BL747" i="2"/>
  <c r="BM747" i="2" s="1"/>
  <c r="BN747" i="2" s="1"/>
  <c r="BP747" i="2" s="1"/>
  <c r="EH5" i="2"/>
  <c r="IN5" i="2" s="1"/>
  <c r="CT587" i="2"/>
  <c r="CZ587" i="2" s="1"/>
  <c r="BG587" i="2" s="1"/>
  <c r="BH587" i="2" s="1"/>
  <c r="BI587" i="2" s="1"/>
  <c r="BK587" i="2" s="1"/>
  <c r="DE989" i="2"/>
  <c r="CS844" i="2"/>
  <c r="CT844" i="2" s="1"/>
  <c r="DP392" i="2"/>
  <c r="BL392" i="2" s="1"/>
  <c r="BM392" i="2" s="1"/>
  <c r="BN392" i="2" s="1"/>
  <c r="BP392" i="2" s="1"/>
  <c r="DO496" i="2"/>
  <c r="DP496" i="2" s="1"/>
  <c r="DD59" i="2"/>
  <c r="DP878" i="2"/>
  <c r="DD904" i="2"/>
  <c r="DP904" i="2" s="1"/>
  <c r="DT787" i="2"/>
  <c r="DN398" i="2"/>
  <c r="CX499" i="2"/>
  <c r="CY499" i="2" s="1"/>
  <c r="DV335" i="2"/>
  <c r="EH335" i="2" s="1"/>
  <c r="CN834" i="2"/>
  <c r="CI636" i="2"/>
  <c r="DN704" i="2"/>
  <c r="DD342" i="2"/>
  <c r="DE342" i="2" s="1"/>
  <c r="CN170" i="2"/>
  <c r="DE598" i="2"/>
  <c r="DE143" i="2"/>
  <c r="DO706" i="2"/>
  <c r="DP706" i="2" s="1"/>
  <c r="EB706" i="2" s="1"/>
  <c r="BL706" i="2" s="1"/>
  <c r="BM706" i="2" s="1"/>
  <c r="BN706" i="2" s="1"/>
  <c r="BP706" i="2" s="1"/>
  <c r="CI498" i="2"/>
  <c r="CB170" i="2"/>
  <c r="DP297" i="2"/>
  <c r="EB297" i="2" s="1"/>
  <c r="IX297" i="2" s="1"/>
  <c r="DU170" i="2"/>
  <c r="CI927" i="2"/>
  <c r="CR927" i="2"/>
  <c r="CS927" i="2" s="1"/>
  <c r="DT309" i="2"/>
  <c r="DO399" i="2"/>
  <c r="CX400" i="2"/>
  <c r="CW400" i="2" s="1"/>
  <c r="DO400" i="2" s="1"/>
  <c r="CX604" i="2"/>
  <c r="CW604" i="2" s="1"/>
  <c r="CZ604" i="2" s="1"/>
  <c r="CX235" i="2"/>
  <c r="CW235" i="2" s="1"/>
  <c r="CZ235" i="2" s="1"/>
  <c r="DD891" i="2"/>
  <c r="DN396" i="2"/>
  <c r="CV85" i="2"/>
  <c r="CX85" i="2" s="1"/>
  <c r="CW85" i="2" s="1"/>
  <c r="CZ85" i="2" s="1"/>
  <c r="DN26" i="2"/>
  <c r="DJ15" i="2"/>
  <c r="DI15" i="2" s="1"/>
  <c r="DL15" i="2" s="1"/>
  <c r="DN152" i="2"/>
  <c r="EA1003" i="2"/>
  <c r="EB1003" i="2" s="1"/>
  <c r="EN1003" i="2" s="1"/>
  <c r="BL1003" i="2" s="1"/>
  <c r="BM1003" i="2" s="1"/>
  <c r="BN1003" i="2" s="1"/>
  <c r="BP1003" i="2" s="1"/>
  <c r="DP269" i="2"/>
  <c r="DZ528" i="2"/>
  <c r="CR321" i="2"/>
  <c r="CS321" i="2" s="1"/>
  <c r="DD725" i="2"/>
  <c r="DC725" i="2" s="1"/>
  <c r="DF725" i="2" s="1"/>
  <c r="DT170" i="2"/>
  <c r="DB1035" i="2"/>
  <c r="DD1035" i="2" s="1"/>
  <c r="DC1035" i="2" s="1"/>
  <c r="DF1035" i="2" s="1"/>
  <c r="DN394" i="2"/>
  <c r="CR118" i="2"/>
  <c r="CS118" i="2" s="1"/>
  <c r="DU144" i="2"/>
  <c r="DV144" i="2" s="1"/>
  <c r="CT704" i="2"/>
  <c r="CT170" i="2"/>
  <c r="DP167" i="2"/>
  <c r="DQ167" i="2" s="1"/>
  <c r="CS160" i="2"/>
  <c r="CS736" i="2"/>
  <c r="DJ724" i="2"/>
  <c r="DI724" i="2" s="1"/>
  <c r="DL724" i="2" s="1"/>
  <c r="DL335" i="2"/>
  <c r="BV170" i="2"/>
  <c r="DP474" i="2"/>
  <c r="DQ474" i="2" s="1"/>
  <c r="IL191" i="2"/>
  <c r="CG615" i="2"/>
  <c r="CF615" i="2" s="1"/>
  <c r="DD615" i="2" s="1"/>
  <c r="DE615" i="2" s="1"/>
  <c r="DN67" i="2"/>
  <c r="DZ466" i="2"/>
  <c r="DZ228" i="2"/>
  <c r="CQ205" i="2"/>
  <c r="DZ516" i="2"/>
  <c r="DN582" i="2"/>
  <c r="DD923" i="2"/>
  <c r="DZ804" i="2"/>
  <c r="DU937" i="2"/>
  <c r="DV937" i="2" s="1"/>
  <c r="CG301" i="2"/>
  <c r="CF301" i="2" s="1"/>
  <c r="CI301" i="2" s="1"/>
  <c r="CX797" i="2"/>
  <c r="CW797" i="2" s="1"/>
  <c r="CZ797" i="2" s="1"/>
  <c r="EA279" i="2"/>
  <c r="DD847" i="2"/>
  <c r="DC847" i="2" s="1"/>
  <c r="DF847" i="2" s="1"/>
  <c r="DN831" i="2"/>
  <c r="CZ997" i="2"/>
  <c r="DT1005" i="2"/>
  <c r="CX524" i="2"/>
  <c r="CW524" i="2" s="1"/>
  <c r="EA524" i="2" s="1"/>
  <c r="CL714" i="2"/>
  <c r="CK714" i="2" s="1"/>
  <c r="CN714" i="2" s="1"/>
  <c r="DD85" i="2"/>
  <c r="DC85" i="2" s="1"/>
  <c r="DF85" i="2" s="1"/>
  <c r="DQ191" i="2"/>
  <c r="DN182" i="2"/>
  <c r="DU653" i="2"/>
  <c r="DZ148" i="2"/>
  <c r="CT862" i="2"/>
  <c r="CX339" i="2"/>
  <c r="CY339" i="2" s="1"/>
  <c r="DU862" i="2"/>
  <c r="CB862" i="2"/>
  <c r="CZ309" i="2"/>
  <c r="DU309" i="2"/>
  <c r="CQ805" i="2"/>
  <c r="DB919" i="2"/>
  <c r="DO131" i="2"/>
  <c r="DD523" i="2"/>
  <c r="DC523" i="2" s="1"/>
  <c r="DZ523" i="2"/>
  <c r="CP510" i="2"/>
  <c r="CR510" i="2" s="1"/>
  <c r="CQ510" i="2" s="1"/>
  <c r="CT510" i="2" s="1"/>
  <c r="CF925" i="2"/>
  <c r="CE925" i="2" s="1"/>
  <c r="DU925" i="2" s="1"/>
  <c r="DV925" i="2" s="1"/>
  <c r="DN293" i="2"/>
  <c r="CM489" i="2"/>
  <c r="CL489" i="2" s="1"/>
  <c r="CO489" i="2" s="1"/>
  <c r="CR223" i="2"/>
  <c r="CQ223" i="2" s="1"/>
  <c r="CX12" i="2"/>
  <c r="CW12" i="2" s="1"/>
  <c r="DL862" i="2"/>
  <c r="CN862" i="2"/>
  <c r="CI887" i="2"/>
  <c r="CR887" i="2"/>
  <c r="CS887" i="2" s="1"/>
  <c r="DD850" i="2"/>
  <c r="DC850" i="2" s="1"/>
  <c r="DO850" i="2" s="1"/>
  <c r="DP850" i="2" s="1"/>
  <c r="CX401" i="2"/>
  <c r="CW401" i="2" s="1"/>
  <c r="CH653" i="2"/>
  <c r="DF140" i="2"/>
  <c r="DO140" i="2"/>
  <c r="DP140" i="2" s="1"/>
  <c r="DN642" i="2"/>
  <c r="DD699" i="2"/>
  <c r="DE699" i="2" s="1"/>
  <c r="DZ573" i="2"/>
  <c r="DZ437" i="2"/>
  <c r="DO257" i="2"/>
  <c r="DP257" i="2" s="1"/>
  <c r="DC69" i="2"/>
  <c r="DC504" i="2"/>
  <c r="CR638" i="2"/>
  <c r="DT653" i="2"/>
  <c r="CL121" i="2"/>
  <c r="CK121" i="2" s="1"/>
  <c r="CN121" i="2" s="1"/>
  <c r="CR1025" i="2"/>
  <c r="CQ1025" i="2" s="1"/>
  <c r="CT1025" i="2" s="1"/>
  <c r="DP478" i="2"/>
  <c r="CX607" i="2"/>
  <c r="CW607" i="2" s="1"/>
  <c r="DU607" i="2" s="1"/>
  <c r="DV607" i="2" s="1"/>
  <c r="CI246" i="2"/>
  <c r="DD246" i="2"/>
  <c r="DE246" i="2" s="1"/>
  <c r="DN710" i="2"/>
  <c r="DP24" i="2"/>
  <c r="EB24" i="2" s="1"/>
  <c r="BL24" i="2" s="1"/>
  <c r="BM24" i="2" s="1"/>
  <c r="BN24" i="2" s="1"/>
  <c r="BP24" i="2" s="1"/>
  <c r="CQ974" i="2"/>
  <c r="DT862" i="2"/>
  <c r="CV510" i="2"/>
  <c r="DJ679" i="2"/>
  <c r="DI679" i="2" s="1"/>
  <c r="DN679" i="2"/>
  <c r="DP1019" i="2"/>
  <c r="CW150" i="2"/>
  <c r="DN610" i="2"/>
  <c r="CQ638" i="2"/>
  <c r="CJ510" i="2"/>
  <c r="CL510" i="2" s="1"/>
  <c r="CK510" i="2" s="1"/>
  <c r="CN510" i="2" s="1"/>
  <c r="DF395" i="2"/>
  <c r="DO395" i="2"/>
  <c r="CL26" i="2"/>
  <c r="CK26" i="2" s="1"/>
  <c r="DO26" i="2" s="1"/>
  <c r="CQ254" i="2"/>
  <c r="CR812" i="2"/>
  <c r="CQ812" i="2" s="1"/>
  <c r="DO812" i="2" s="1"/>
  <c r="DP812" i="2" s="1"/>
  <c r="DN395" i="2"/>
  <c r="CX288" i="2"/>
  <c r="CW288" i="2" s="1"/>
  <c r="DU288" i="2" s="1"/>
  <c r="CG283" i="2"/>
  <c r="CF283" i="2" s="1"/>
  <c r="CI283" i="2" s="1"/>
  <c r="DE624" i="2"/>
  <c r="CA150" i="2"/>
  <c r="BZ150" i="2" s="1"/>
  <c r="DP592" i="2"/>
  <c r="DB507" i="2"/>
  <c r="CZ216" i="2"/>
  <c r="DN579" i="2"/>
  <c r="DN500" i="2"/>
  <c r="DO232" i="2"/>
  <c r="CQ509" i="2"/>
  <c r="DN29" i="2"/>
  <c r="DZ217" i="2"/>
  <c r="DT617" i="2"/>
  <c r="CA805" i="2"/>
  <c r="BZ805" i="2" s="1"/>
  <c r="CC805" i="2" s="1"/>
  <c r="DO606" i="2"/>
  <c r="DP606" i="2" s="1"/>
  <c r="EB606" i="2" s="1"/>
  <c r="CQ353" i="2"/>
  <c r="CG353" i="2"/>
  <c r="CF353" i="2" s="1"/>
  <c r="DD466" i="2"/>
  <c r="DC466" i="2" s="1"/>
  <c r="DF466" i="2" s="1"/>
  <c r="CR271" i="2"/>
  <c r="CQ271" i="2" s="1"/>
  <c r="CT271" i="2" s="1"/>
  <c r="DO908" i="2"/>
  <c r="DP908" i="2" s="1"/>
  <c r="CL193" i="2"/>
  <c r="CK193" i="2" s="1"/>
  <c r="DN193" i="2"/>
  <c r="CO147" i="2"/>
  <c r="CR147" i="2"/>
  <c r="CS147" i="2" s="1"/>
  <c r="CM662" i="2"/>
  <c r="CL662" i="2" s="1"/>
  <c r="CO662" i="2" s="1"/>
  <c r="CN127" i="2"/>
  <c r="DO127" i="2"/>
  <c r="CQ867" i="2"/>
  <c r="DD804" i="2"/>
  <c r="DC804" i="2" s="1"/>
  <c r="DF804" i="2" s="1"/>
  <c r="DD226" i="2"/>
  <c r="DC226" i="2" s="1"/>
  <c r="DO226" i="2" s="1"/>
  <c r="DP226" i="2" s="1"/>
  <c r="DL309" i="2"/>
  <c r="DN691" i="2"/>
  <c r="DD249" i="2"/>
  <c r="DE249" i="2" s="1"/>
  <c r="CX348" i="2"/>
  <c r="CW348" i="2" s="1"/>
  <c r="CF992" i="2"/>
  <c r="CE992" i="2" s="1"/>
  <c r="CL224" i="2"/>
  <c r="CK224" i="2" s="1"/>
  <c r="DN397" i="2"/>
  <c r="EA148" i="2"/>
  <c r="DN188" i="2"/>
  <c r="DZ80" i="2"/>
  <c r="DU1027" i="2"/>
  <c r="DV1027" i="2" s="1"/>
  <c r="DD472" i="2"/>
  <c r="DN711" i="2"/>
  <c r="DN54" i="2"/>
  <c r="CQ976" i="2"/>
  <c r="DD521" i="2"/>
  <c r="DC521" i="2" s="1"/>
  <c r="DZ1000" i="2"/>
  <c r="CR713" i="2"/>
  <c r="CQ713" i="2" s="1"/>
  <c r="CG829" i="2"/>
  <c r="CF829" i="2" s="1"/>
  <c r="DD429" i="2"/>
  <c r="DC429" i="2" s="1"/>
  <c r="DU1005" i="2"/>
  <c r="DO57" i="2"/>
  <c r="DO711" i="2"/>
  <c r="DU65" i="2"/>
  <c r="DV65" i="2" s="1"/>
  <c r="DU931" i="2"/>
  <c r="DO207" i="2"/>
  <c r="DP207" i="2" s="1"/>
  <c r="DU329" i="2"/>
  <c r="DP997" i="2"/>
  <c r="BL997" i="2" s="1"/>
  <c r="BM997" i="2" s="1"/>
  <c r="BN997" i="2" s="1"/>
  <c r="BP997" i="2" s="1"/>
  <c r="DE997" i="2"/>
  <c r="DF835" i="2"/>
  <c r="DU835" i="2"/>
  <c r="CT175" i="2"/>
  <c r="CZ80" i="2"/>
  <c r="EA80" i="2"/>
  <c r="CZ522" i="2"/>
  <c r="EA522" i="2"/>
  <c r="CT54" i="2"/>
  <c r="DO54" i="2"/>
  <c r="DF609" i="2"/>
  <c r="DB495" i="2"/>
  <c r="CF500" i="2"/>
  <c r="CE500" i="2" s="1"/>
  <c r="CH500" i="2" s="1"/>
  <c r="DR834" i="2"/>
  <c r="DP352" i="2"/>
  <c r="EB352" i="2" s="1"/>
  <c r="IX352" i="2" s="1"/>
  <c r="DC799" i="2"/>
  <c r="CI974" i="2"/>
  <c r="CR974" i="2"/>
  <c r="CN1030" i="2"/>
  <c r="DC1002" i="2"/>
  <c r="CT601" i="2"/>
  <c r="DC601" i="2"/>
  <c r="DD601" i="2" s="1"/>
  <c r="CI504" i="2"/>
  <c r="DD504" i="2"/>
  <c r="CG254" i="2"/>
  <c r="CF254" i="2" s="1"/>
  <c r="CI254" i="2" s="1"/>
  <c r="DJ298" i="2"/>
  <c r="DI298" i="2" s="1"/>
  <c r="DL298" i="2" s="1"/>
  <c r="CL1028" i="2"/>
  <c r="CK1028" i="2" s="1"/>
  <c r="CN1028" i="2" s="1"/>
  <c r="DP625" i="2"/>
  <c r="DQ625" i="2" s="1"/>
  <c r="CM911" i="2"/>
  <c r="CL911" i="2" s="1"/>
  <c r="CO911" i="2" s="1"/>
  <c r="DZ525" i="2"/>
  <c r="DT815" i="2"/>
  <c r="DD617" i="2"/>
  <c r="DC617" i="2" s="1"/>
  <c r="DU617" i="2" s="1"/>
  <c r="DC473" i="2"/>
  <c r="CL182" i="2"/>
  <c r="CK182" i="2" s="1"/>
  <c r="CN182" i="2" s="1"/>
  <c r="DJ516" i="2"/>
  <c r="DI516" i="2" s="1"/>
  <c r="EA516" i="2" s="1"/>
  <c r="DJ410" i="2"/>
  <c r="DI410" i="2" s="1"/>
  <c r="DL410" i="2" s="1"/>
  <c r="DN403" i="2"/>
  <c r="DP965" i="2"/>
  <c r="DD873" i="2"/>
  <c r="DC873" i="2" s="1"/>
  <c r="DN57" i="2"/>
  <c r="CX1030" i="2"/>
  <c r="CW1030" i="2" s="1"/>
  <c r="CZ1030" i="2" s="1"/>
  <c r="DD397" i="2"/>
  <c r="DC397" i="2" s="1"/>
  <c r="DF397" i="2" s="1"/>
  <c r="DL288" i="2"/>
  <c r="CN158" i="2"/>
  <c r="DO158" i="2"/>
  <c r="DP158" i="2" s="1"/>
  <c r="CA1002" i="2"/>
  <c r="BZ1002" i="2" s="1"/>
  <c r="CH49" i="2"/>
  <c r="CR882" i="2"/>
  <c r="CQ882" i="2" s="1"/>
  <c r="CT882" i="2" s="1"/>
  <c r="DT835" i="2"/>
  <c r="DZ522" i="2"/>
  <c r="DP721" i="2"/>
  <c r="CN676" i="2"/>
  <c r="CM1038" i="2"/>
  <c r="CL1038" i="2" s="1"/>
  <c r="CO1038" i="2" s="1"/>
  <c r="CG375" i="2"/>
  <c r="CF375" i="2" s="1"/>
  <c r="CR375" i="2"/>
  <c r="CN218" i="2"/>
  <c r="DC218" i="2"/>
  <c r="DD218" i="2" s="1"/>
  <c r="CI976" i="2"/>
  <c r="CR976" i="2"/>
  <c r="EB803" i="2"/>
  <c r="DF288" i="2"/>
  <c r="CO69" i="2"/>
  <c r="DD69" i="2"/>
  <c r="CX396" i="2"/>
  <c r="CW396" i="2" s="1"/>
  <c r="CZ396" i="2" s="1"/>
  <c r="DZ907" i="2"/>
  <c r="EB907" i="2" s="1"/>
  <c r="DL907" i="2"/>
  <c r="CN371" i="2"/>
  <c r="DO371" i="2"/>
  <c r="DP371" i="2" s="1"/>
  <c r="DN399" i="2"/>
  <c r="DF399" i="2"/>
  <c r="DD520" i="2"/>
  <c r="DC520" i="2" s="1"/>
  <c r="CF884" i="2"/>
  <c r="CE884" i="2" s="1"/>
  <c r="DO884" i="2" s="1"/>
  <c r="DP884" i="2" s="1"/>
  <c r="DT1034" i="2"/>
  <c r="CL152" i="2"/>
  <c r="CK152" i="2" s="1"/>
  <c r="DO152" i="2" s="1"/>
  <c r="DD590" i="2"/>
  <c r="DC590" i="2" s="1"/>
  <c r="DF590" i="2" s="1"/>
  <c r="DL48" i="2"/>
  <c r="CX787" i="2"/>
  <c r="CW787" i="2" s="1"/>
  <c r="DU787" i="2" s="1"/>
  <c r="DT49" i="2"/>
  <c r="BZ123" i="2"/>
  <c r="BY123" i="2" s="1"/>
  <c r="CN882" i="2"/>
  <c r="CP1035" i="2"/>
  <c r="CR1035" i="2" s="1"/>
  <c r="CQ1035" i="2" s="1"/>
  <c r="CT1035" i="2" s="1"/>
  <c r="CG236" i="2"/>
  <c r="CF236" i="2" s="1"/>
  <c r="DD306" i="2"/>
  <c r="DC306" i="2" s="1"/>
  <c r="DN306" i="2"/>
  <c r="CO266" i="2"/>
  <c r="CR266" i="2"/>
  <c r="CS266" i="2" s="1"/>
  <c r="DO744" i="2"/>
  <c r="DP744" i="2" s="1"/>
  <c r="CL153" i="2"/>
  <c r="CK153" i="2" s="1"/>
  <c r="DN153" i="2"/>
  <c r="CL293" i="2"/>
  <c r="CK293" i="2" s="1"/>
  <c r="DO293" i="2" s="1"/>
  <c r="DN668" i="2"/>
  <c r="DB839" i="2"/>
  <c r="DN22" i="2"/>
  <c r="CG515" i="2"/>
  <c r="CF515" i="2" s="1"/>
  <c r="CR515" i="2" s="1"/>
  <c r="CS515" i="2" s="1"/>
  <c r="CG903" i="2"/>
  <c r="CF903" i="2" s="1"/>
  <c r="CI903" i="2" s="1"/>
  <c r="DB112" i="2"/>
  <c r="CG650" i="2"/>
  <c r="CF650" i="2" s="1"/>
  <c r="CR650" i="2" s="1"/>
  <c r="CS650" i="2" s="1"/>
  <c r="CS304" i="2"/>
  <c r="DV465" i="2"/>
  <c r="DN175" i="2"/>
  <c r="CC238" i="2"/>
  <c r="DD238" i="2"/>
  <c r="DE238" i="2" s="1"/>
  <c r="CN198" i="2"/>
  <c r="DU198" i="2"/>
  <c r="DV198" i="2" s="1"/>
  <c r="CJ1035" i="2"/>
  <c r="DF531" i="2"/>
  <c r="EA531" i="2"/>
  <c r="EB531" i="2" s="1"/>
  <c r="CN122" i="2"/>
  <c r="DO122" i="2"/>
  <c r="DP122" i="2" s="1"/>
  <c r="DT288" i="2"/>
  <c r="DO374" i="2"/>
  <c r="DP374" i="2" s="1"/>
  <c r="CQ151" i="2"/>
  <c r="DN743" i="2"/>
  <c r="CX493" i="2"/>
  <c r="CW493" i="2" s="1"/>
  <c r="EA493" i="2" s="1"/>
  <c r="EB493" i="2" s="1"/>
  <c r="DJ529" i="2"/>
  <c r="DI529" i="2" s="1"/>
  <c r="EA529" i="2" s="1"/>
  <c r="EB529" i="2" s="1"/>
  <c r="CG146" i="2"/>
  <c r="CF146" i="2" s="1"/>
  <c r="CX175" i="2"/>
  <c r="CW175" i="2" s="1"/>
  <c r="CZ175" i="2" s="1"/>
  <c r="DN232" i="2"/>
  <c r="DS1035" i="2"/>
  <c r="DO154" i="2"/>
  <c r="DP154" i="2" s="1"/>
  <c r="DJ228" i="2"/>
  <c r="DI228" i="2" s="1"/>
  <c r="DN128" i="2"/>
  <c r="CH383" i="2"/>
  <c r="DO383" i="2"/>
  <c r="DP383" i="2" s="1"/>
  <c r="DP567" i="2"/>
  <c r="DZ279" i="2"/>
  <c r="DF279" i="2"/>
  <c r="CI645" i="2"/>
  <c r="CR645" i="2"/>
  <c r="CS645" i="2" s="1"/>
  <c r="DJ528" i="2"/>
  <c r="DI528" i="2" s="1"/>
  <c r="DC987" i="2"/>
  <c r="DD987" i="2" s="1"/>
  <c r="DD414" i="2"/>
  <c r="DU815" i="2"/>
  <c r="CB242" i="2"/>
  <c r="DC242" i="2"/>
  <c r="CH447" i="2"/>
  <c r="DC447" i="2"/>
  <c r="DF570" i="2"/>
  <c r="EA570" i="2"/>
  <c r="DU48" i="2"/>
  <c r="CN48" i="2"/>
  <c r="CT234" i="2"/>
  <c r="DO234" i="2"/>
  <c r="CI53" i="2"/>
  <c r="CX53" i="2"/>
  <c r="CO859" i="2"/>
  <c r="CR859" i="2"/>
  <c r="CZ691" i="2"/>
  <c r="DO691" i="2"/>
  <c r="DU834" i="2"/>
  <c r="CZ834" i="2"/>
  <c r="CT22" i="2"/>
  <c r="DO22" i="2"/>
  <c r="DL525" i="2"/>
  <c r="EA525" i="2"/>
  <c r="DF315" i="2"/>
  <c r="DO315" i="2"/>
  <c r="CG509" i="2"/>
  <c r="CF509" i="2" s="1"/>
  <c r="DN491" i="2"/>
  <c r="CG869" i="2"/>
  <c r="CF869" i="2" s="1"/>
  <c r="CR869" i="2" s="1"/>
  <c r="CM422" i="2"/>
  <c r="CL422" i="2" s="1"/>
  <c r="DC380" i="2"/>
  <c r="CS406" i="2"/>
  <c r="CR406" i="2" s="1"/>
  <c r="CU406" i="2" s="1"/>
  <c r="CH507" i="2"/>
  <c r="DC507" i="2"/>
  <c r="CL642" i="2"/>
  <c r="CK642" i="2" s="1"/>
  <c r="DD510" i="2"/>
  <c r="DC510" i="2" s="1"/>
  <c r="CL655" i="2"/>
  <c r="CK655" i="2" s="1"/>
  <c r="CR872" i="2"/>
  <c r="CC473" i="2"/>
  <c r="DD473" i="2"/>
  <c r="DL128" i="2"/>
  <c r="DN234" i="2"/>
  <c r="CL743" i="2"/>
  <c r="CK743" i="2" s="1"/>
  <c r="CG214" i="2"/>
  <c r="CF214" i="2" s="1"/>
  <c r="DZ534" i="2"/>
  <c r="CX573" i="2"/>
  <c r="CW573" i="2" s="1"/>
  <c r="DN72" i="2"/>
  <c r="CQ859" i="2"/>
  <c r="CM863" i="2"/>
  <c r="CL863" i="2" s="1"/>
  <c r="DC616" i="2"/>
  <c r="CR649" i="2"/>
  <c r="CQ649" i="2" s="1"/>
  <c r="CI899" i="2"/>
  <c r="CS899" i="2"/>
  <c r="CT899" i="2" s="1"/>
  <c r="CZ846" i="2"/>
  <c r="DC846" i="2"/>
  <c r="DD846" i="2" s="1"/>
  <c r="DN94" i="2"/>
  <c r="CR403" i="2"/>
  <c r="CQ403" i="2" s="1"/>
  <c r="DJ530" i="2"/>
  <c r="DI530" i="2" s="1"/>
  <c r="DD420" i="2"/>
  <c r="DC420" i="2" s="1"/>
  <c r="DF420" i="2" s="1"/>
  <c r="DZ79" i="2"/>
  <c r="CZ424" i="2"/>
  <c r="DO424" i="2"/>
  <c r="CI388" i="2"/>
  <c r="CR388" i="2"/>
  <c r="CS388" i="2" s="1"/>
  <c r="DL29" i="2"/>
  <c r="DO29" i="2"/>
  <c r="CI201" i="2"/>
  <c r="DD201" i="2"/>
  <c r="DE201" i="2" s="1"/>
  <c r="CC1044" i="2"/>
  <c r="CR1044" i="2"/>
  <c r="CT988" i="2"/>
  <c r="DO988" i="2"/>
  <c r="CQ869" i="2"/>
  <c r="DF610" i="2"/>
  <c r="DO610" i="2"/>
  <c r="DN424" i="2"/>
  <c r="CN789" i="2"/>
  <c r="DU789" i="2"/>
  <c r="DO582" i="2"/>
  <c r="CB115" i="2"/>
  <c r="DU115" i="2"/>
  <c r="DE386" i="2"/>
  <c r="CA205" i="2"/>
  <c r="BZ205" i="2" s="1"/>
  <c r="CT397" i="2"/>
  <c r="CW53" i="2"/>
  <c r="DT676" i="2"/>
  <c r="CG7" i="2"/>
  <c r="CF7" i="2" s="1"/>
  <c r="CI380" i="2"/>
  <c r="DD380" i="2"/>
  <c r="CX1035" i="2"/>
  <c r="CW1035" i="2" s="1"/>
  <c r="DD82" i="2"/>
  <c r="DC82" i="2" s="1"/>
  <c r="CN767" i="2"/>
  <c r="DU767" i="2"/>
  <c r="DV767" i="2" s="1"/>
  <c r="DB116" i="2"/>
  <c r="CB116" i="2"/>
  <c r="CX960" i="2"/>
  <c r="CW960" i="2" s="1"/>
  <c r="DB242" i="2"/>
  <c r="DD579" i="2"/>
  <c r="DC579" i="2" s="1"/>
  <c r="CO1017" i="2"/>
  <c r="DD1017" i="2"/>
  <c r="DE1017" i="2" s="1"/>
  <c r="DN988" i="2"/>
  <c r="CI616" i="2"/>
  <c r="DD616" i="2"/>
  <c r="CN1013" i="2"/>
  <c r="DC1013" i="2"/>
  <c r="DD1013" i="2" s="1"/>
  <c r="CM560" i="2"/>
  <c r="CL560" i="2" s="1"/>
  <c r="CO332" i="2"/>
  <c r="CS332" i="2"/>
  <c r="CT332" i="2" s="1"/>
  <c r="CN67" i="2"/>
  <c r="DO67" i="2"/>
  <c r="CB1034" i="2"/>
  <c r="CL839" i="2"/>
  <c r="CK839" i="2" s="1"/>
  <c r="DF724" i="2"/>
  <c r="CX1033" i="2"/>
  <c r="CW1033" i="2" s="1"/>
  <c r="DL834" i="2"/>
  <c r="CM614" i="2"/>
  <c r="CL614" i="2" s="1"/>
  <c r="CN646" i="2"/>
  <c r="DO646" i="2"/>
  <c r="DP646" i="2" s="1"/>
  <c r="DC116" i="2"/>
  <c r="CZ420" i="2"/>
  <c r="DT48" i="2"/>
  <c r="CN825" i="2"/>
  <c r="DC825" i="2"/>
  <c r="DD825" i="2" s="1"/>
  <c r="CZ827" i="2"/>
  <c r="DO827" i="2"/>
  <c r="DP827" i="2" s="1"/>
  <c r="DN315" i="2"/>
  <c r="CH425" i="2"/>
  <c r="DC425" i="2"/>
  <c r="CH1006" i="2"/>
  <c r="DO1006" i="2"/>
  <c r="DP1006" i="2" s="1"/>
  <c r="DF396" i="2"/>
  <c r="DZ570" i="2"/>
  <c r="IM78" i="2"/>
  <c r="CT437" i="2"/>
  <c r="EA437" i="2"/>
  <c r="CX932" i="2"/>
  <c r="CW932" i="2" s="1"/>
  <c r="CL701" i="2"/>
  <c r="CK701" i="2" s="1"/>
  <c r="CT532" i="2"/>
  <c r="EA532" i="2"/>
  <c r="EB532" i="2" s="1"/>
  <c r="CU488" i="2"/>
  <c r="DD488" i="2"/>
  <c r="DE488" i="2" s="1"/>
  <c r="CT495" i="2"/>
  <c r="DC495" i="2"/>
  <c r="DD416" i="2"/>
  <c r="DC416" i="2" s="1"/>
  <c r="DT609" i="2"/>
  <c r="CM23" i="2"/>
  <c r="CL23" i="2" s="1"/>
  <c r="CG1041" i="2"/>
  <c r="CF1041" i="2" s="1"/>
  <c r="DB425" i="2"/>
  <c r="CH125" i="2"/>
  <c r="DO125" i="2"/>
  <c r="CN866" i="2"/>
  <c r="DO866" i="2"/>
  <c r="DP866" i="2" s="1"/>
  <c r="DO126" i="2"/>
  <c r="CT536" i="2"/>
  <c r="EA536" i="2"/>
  <c r="DL49" i="2"/>
  <c r="EA534" i="2"/>
  <c r="CX398" i="2"/>
  <c r="CW398" i="2" s="1"/>
  <c r="DO656" i="2"/>
  <c r="DP656" i="2" s="1"/>
  <c r="DU1032" i="2"/>
  <c r="CN898" i="2"/>
  <c r="DO898" i="2"/>
  <c r="DP898" i="2" s="1"/>
  <c r="DB439" i="2"/>
  <c r="DE439" i="2"/>
  <c r="DF439" i="2" s="1"/>
  <c r="CX210" i="2"/>
  <c r="CW210" i="2" s="1"/>
  <c r="CG867" i="2"/>
  <c r="CF867" i="2" s="1"/>
  <c r="CR867" i="2" s="1"/>
  <c r="CH1008" i="2"/>
  <c r="DC1008" i="2"/>
  <c r="CN47" i="2"/>
  <c r="DO47" i="2"/>
  <c r="DJ217" i="2"/>
  <c r="DI217" i="2" s="1"/>
  <c r="DL217" i="2" s="1"/>
  <c r="DP676" i="2"/>
  <c r="DO676" i="2" s="1"/>
  <c r="DU676" i="2" s="1"/>
  <c r="CQ868" i="2"/>
  <c r="CF454" i="2"/>
  <c r="CE454" i="2" s="1"/>
  <c r="CX49" i="2"/>
  <c r="CW49" i="2" s="1"/>
  <c r="DU49" i="2" s="1"/>
  <c r="CQ872" i="2"/>
  <c r="DJ621" i="2"/>
  <c r="DI621" i="2" s="1"/>
  <c r="CR394" i="2"/>
  <c r="CQ394" i="2" s="1"/>
  <c r="CZ350" i="2"/>
  <c r="DC350" i="2"/>
  <c r="DD350" i="2" s="1"/>
  <c r="DN125" i="2"/>
  <c r="DN126" i="2"/>
  <c r="CN126" i="2"/>
  <c r="DZ536" i="2"/>
  <c r="CX1023" i="2"/>
  <c r="CW1023" i="2" s="1"/>
  <c r="DO94" i="2"/>
  <c r="DU393" i="2"/>
  <c r="DV393" i="2" s="1"/>
  <c r="DD912" i="2"/>
  <c r="DO188" i="2"/>
  <c r="CN217" i="2"/>
  <c r="CT102" i="2"/>
  <c r="DC102" i="2"/>
  <c r="DD102" i="2" s="1"/>
  <c r="CN668" i="2"/>
  <c r="DO668" i="2"/>
  <c r="DF491" i="2"/>
  <c r="DO491" i="2"/>
  <c r="BV1034" i="2"/>
  <c r="DU1034" i="2"/>
  <c r="DL92" i="2"/>
  <c r="DO92" i="2"/>
  <c r="DP92" i="2" s="1"/>
  <c r="CI151" i="2"/>
  <c r="CR151" i="2"/>
  <c r="CN112" i="2"/>
  <c r="DC112" i="2"/>
  <c r="DL510" i="2"/>
  <c r="CI486" i="2"/>
  <c r="CR486" i="2"/>
  <c r="CS486" i="2" s="1"/>
  <c r="CR868" i="2"/>
  <c r="CN831" i="2"/>
  <c r="DO831" i="2"/>
  <c r="DU609" i="2"/>
  <c r="CU799" i="2"/>
  <c r="DD799" i="2"/>
  <c r="IM39" i="2"/>
  <c r="CB377" i="2"/>
  <c r="DO377" i="2"/>
  <c r="CN840" i="2"/>
  <c r="DU840" i="2"/>
  <c r="DV840" i="2" s="1"/>
  <c r="CT132" i="2"/>
  <c r="DU132" i="2"/>
  <c r="DV132" i="2" s="1"/>
  <c r="CT586" i="2"/>
  <c r="DC586" i="2"/>
  <c r="DD586" i="2" s="1"/>
  <c r="DD734" i="2"/>
  <c r="DC734" i="2" s="1"/>
  <c r="DJ533" i="2"/>
  <c r="DI533" i="2" s="1"/>
  <c r="DT834" i="2"/>
  <c r="CN1021" i="2"/>
  <c r="DO1021" i="2"/>
  <c r="DP1021" i="2" s="1"/>
  <c r="CC406" i="2"/>
  <c r="DB1008" i="2"/>
  <c r="DN47" i="2"/>
  <c r="CF710" i="2"/>
  <c r="CE710" i="2" s="1"/>
  <c r="CT1000" i="2"/>
  <c r="EA1000" i="2"/>
  <c r="CN298" i="2"/>
  <c r="CQ1044" i="2"/>
  <c r="CL919" i="2"/>
  <c r="CK919" i="2" s="1"/>
  <c r="CN72" i="2"/>
  <c r="DO72" i="2"/>
  <c r="CI308" i="2"/>
  <c r="CR308" i="2"/>
  <c r="CS308" i="2" s="1"/>
  <c r="CT308" i="2" s="1"/>
  <c r="DB447" i="2"/>
  <c r="CC869" i="2"/>
  <c r="DN377" i="2"/>
  <c r="DF410" i="2"/>
  <c r="DT789" i="2"/>
  <c r="CI872" i="2"/>
  <c r="DF79" i="2"/>
  <c r="EA79" i="2"/>
  <c r="DV1029" i="2"/>
  <c r="EA535" i="2"/>
  <c r="EB535" i="2" s="1"/>
  <c r="DF163" i="2"/>
  <c r="DU163" i="2"/>
  <c r="DV163" i="2" s="1"/>
  <c r="CS265" i="2"/>
  <c r="DO128" i="2"/>
  <c r="CZ1024" i="2"/>
  <c r="DU1024" i="2"/>
  <c r="DV1024" i="2" s="1"/>
  <c r="DU14" i="14"/>
  <c r="DT3" i="14"/>
  <c r="DT6" i="14"/>
  <c r="DV8" i="14"/>
  <c r="EH8" i="14" s="1"/>
  <c r="IO8" i="14" s="1"/>
  <c r="BT12" i="14"/>
  <c r="BS12" i="14" s="1"/>
  <c r="BV12" i="14" s="1"/>
  <c r="DU7" i="14"/>
  <c r="DV7" i="14" s="1"/>
  <c r="EH7" i="14" s="1"/>
  <c r="IO7" i="14" s="1"/>
  <c r="DP5" i="14"/>
  <c r="CN13" i="14"/>
  <c r="DR9" i="14"/>
  <c r="DL4" i="14"/>
  <c r="DT5" i="14"/>
  <c r="DV5" i="14" s="1"/>
  <c r="EH5" i="14" s="1"/>
  <c r="DT9" i="14"/>
  <c r="DV14" i="14"/>
  <c r="EH14" i="14" s="1"/>
  <c r="CT13" i="14"/>
  <c r="DD2" i="14"/>
  <c r="DC2" i="14" s="1"/>
  <c r="DF2" i="14" s="1"/>
  <c r="DF4" i="14"/>
  <c r="DP4" i="14"/>
  <c r="DU4" i="14"/>
  <c r="DT4" i="14"/>
  <c r="BT13" i="14"/>
  <c r="BS13" i="14" s="1"/>
  <c r="BV13" i="14" s="1"/>
  <c r="CN12" i="14"/>
  <c r="CT7" i="14"/>
  <c r="BZ12" i="14"/>
  <c r="BY12" i="14" s="1"/>
  <c r="CB12" i="14" s="1"/>
  <c r="DV11" i="14"/>
  <c r="EH11" i="14" s="1"/>
  <c r="CL6" i="14"/>
  <c r="CK6" i="14" s="1"/>
  <c r="DU6" i="14" s="1"/>
  <c r="DV6" i="14" s="1"/>
  <c r="EH6" i="14" s="1"/>
  <c r="CZ4" i="14"/>
  <c r="CF12" i="14"/>
  <c r="CE12" i="14" s="1"/>
  <c r="CB13" i="14"/>
  <c r="CF13" i="14"/>
  <c r="CE13" i="14" s="1"/>
  <c r="CH13" i="14" s="1"/>
  <c r="DT13" i="14"/>
  <c r="DF5" i="14"/>
  <c r="CL3" i="14"/>
  <c r="CK3" i="14" s="1"/>
  <c r="DU3" i="14" s="1"/>
  <c r="DV3" i="14" s="1"/>
  <c r="EH3" i="14" s="1"/>
  <c r="DT12" i="14"/>
  <c r="CN10" i="14"/>
  <c r="DU10" i="14"/>
  <c r="DV10" i="14" s="1"/>
  <c r="EH10" i="14" s="1"/>
  <c r="DD9" i="14"/>
  <c r="DC9" i="14" s="1"/>
  <c r="DU9" i="14" s="1"/>
  <c r="BL382" i="2"/>
  <c r="BM382" i="2" s="1"/>
  <c r="BN382" i="2" s="1"/>
  <c r="BP382" i="2" s="1"/>
  <c r="IL382" i="2"/>
  <c r="BL598" i="2"/>
  <c r="BM598" i="2" s="1"/>
  <c r="BN598" i="2" s="1"/>
  <c r="BP598" i="2" s="1"/>
  <c r="IL598" i="2"/>
  <c r="IN5" i="13"/>
  <c r="BL5" i="13"/>
  <c r="BM5" i="13" s="1"/>
  <c r="BN5" i="13" s="1"/>
  <c r="BP5" i="13" s="1"/>
  <c r="BL9" i="13"/>
  <c r="BM9" i="13" s="1"/>
  <c r="BN9" i="13" s="1"/>
  <c r="BP9" i="13" s="1"/>
  <c r="IN9" i="13"/>
  <c r="IN2" i="13"/>
  <c r="BL2" i="13"/>
  <c r="BM2" i="13" s="1"/>
  <c r="BN2" i="13" s="1"/>
  <c r="BP2" i="13" s="1"/>
  <c r="BL326" i="2"/>
  <c r="BM326" i="2" s="1"/>
  <c r="BN326" i="2" s="1"/>
  <c r="BP326" i="2" s="1"/>
  <c r="IL326" i="2"/>
  <c r="IL330" i="2"/>
  <c r="BL330" i="2"/>
  <c r="BM330" i="2" s="1"/>
  <c r="BN330" i="2" s="1"/>
  <c r="BP330" i="2" s="1"/>
  <c r="BL989" i="2"/>
  <c r="BM989" i="2" s="1"/>
  <c r="BN989" i="2" s="1"/>
  <c r="BP989" i="2" s="1"/>
  <c r="IL989" i="2"/>
  <c r="BL107" i="2"/>
  <c r="BM107" i="2" s="1"/>
  <c r="BN107" i="2" s="1"/>
  <c r="BP107" i="2" s="1"/>
  <c r="IL107" i="2"/>
  <c r="BL816" i="2"/>
  <c r="BM816" i="2" s="1"/>
  <c r="BN816" i="2" s="1"/>
  <c r="BP816" i="2" s="1"/>
  <c r="IL816" i="2"/>
  <c r="BL303" i="2"/>
  <c r="BM303" i="2" s="1"/>
  <c r="BN303" i="2" s="1"/>
  <c r="BP303" i="2" s="1"/>
  <c r="IX303" i="2"/>
  <c r="IN468" i="2"/>
  <c r="BL468" i="2"/>
  <c r="BM468" i="2" s="1"/>
  <c r="BN468" i="2" s="1"/>
  <c r="BP468" i="2" s="1"/>
  <c r="IL1042" i="2"/>
  <c r="BL1042" i="2"/>
  <c r="BM1042" i="2" s="1"/>
  <c r="BN1042" i="2" s="1"/>
  <c r="BP1042" i="2" s="1"/>
  <c r="IL143" i="2"/>
  <c r="BL143" i="2"/>
  <c r="BM143" i="2" s="1"/>
  <c r="BN143" i="2" s="1"/>
  <c r="BP143" i="2" s="1"/>
  <c r="IX926" i="2"/>
  <c r="BL926" i="2"/>
  <c r="BM926" i="2" s="1"/>
  <c r="BN926" i="2" s="1"/>
  <c r="BP926" i="2" s="1"/>
  <c r="BL295" i="2"/>
  <c r="BM295" i="2" s="1"/>
  <c r="BN295" i="2" s="1"/>
  <c r="BP295" i="2" s="1"/>
  <c r="IL295" i="2"/>
  <c r="BL702" i="2"/>
  <c r="BM702" i="2" s="1"/>
  <c r="BN702" i="2" s="1"/>
  <c r="BP702" i="2" s="1"/>
  <c r="IL702" i="2"/>
  <c r="IX962" i="2"/>
  <c r="BL962" i="2"/>
  <c r="BM962" i="2" s="1"/>
  <c r="BN962" i="2" s="1"/>
  <c r="BP962" i="2" s="1"/>
  <c r="IX985" i="2"/>
  <c r="BL985" i="2"/>
  <c r="BM985" i="2" s="1"/>
  <c r="BN985" i="2" s="1"/>
  <c r="BP985" i="2" s="1"/>
  <c r="BL68" i="2"/>
  <c r="BM68" i="2" s="1"/>
  <c r="BN68" i="2" s="1"/>
  <c r="BP68" i="2" s="1"/>
  <c r="IL68" i="2"/>
  <c r="IO5" i="11"/>
  <c r="BG5" i="11"/>
  <c r="BH5" i="11" s="1"/>
  <c r="BI5" i="11" s="1"/>
  <c r="BK5" i="11" s="1"/>
  <c r="BL900" i="2"/>
  <c r="BM900" i="2" s="1"/>
  <c r="BN900" i="2" s="1"/>
  <c r="BP900" i="2" s="1"/>
  <c r="IX900" i="2"/>
  <c r="BL957" i="2" l="1"/>
  <c r="BM957" i="2" s="1"/>
  <c r="BN957" i="2" s="1"/>
  <c r="BP957" i="2" s="1"/>
  <c r="EH141" i="2"/>
  <c r="BL141" i="2" s="1"/>
  <c r="BM141" i="2" s="1"/>
  <c r="BN141" i="2" s="1"/>
  <c r="BP141" i="2" s="1"/>
  <c r="DQ957" i="2"/>
  <c r="IN821" i="2"/>
  <c r="DW821" i="2"/>
  <c r="BL1043" i="2"/>
  <c r="BM1043" i="2" s="1"/>
  <c r="BN1043" i="2" s="1"/>
  <c r="BP1043" i="2" s="1"/>
  <c r="DQ1043" i="2"/>
  <c r="DW751" i="2"/>
  <c r="EH695" i="2"/>
  <c r="BL695" i="2" s="1"/>
  <c r="BM695" i="2" s="1"/>
  <c r="BN695" i="2" s="1"/>
  <c r="BP695" i="2" s="1"/>
  <c r="EH938" i="2"/>
  <c r="BL938" i="2" s="1"/>
  <c r="BM938" i="2" s="1"/>
  <c r="BN938" i="2" s="1"/>
  <c r="BP938" i="2" s="1"/>
  <c r="DP568" i="2"/>
  <c r="DQ568" i="2" s="1"/>
  <c r="EB558" i="2"/>
  <c r="IX558" i="2" s="1"/>
  <c r="IX705" i="2"/>
  <c r="CC870" i="2"/>
  <c r="CZ174" i="2"/>
  <c r="BG174" i="2" s="1"/>
  <c r="BH174" i="2" s="1"/>
  <c r="BI174" i="2" s="1"/>
  <c r="BK174" i="2" s="1"/>
  <c r="DC527" i="2"/>
  <c r="DD527" i="2" s="1"/>
  <c r="DJ527" i="2" s="1"/>
  <c r="IO527" i="2" s="1"/>
  <c r="DQ705" i="2"/>
  <c r="BL64" i="2"/>
  <c r="BM64" i="2" s="1"/>
  <c r="BN64" i="2" s="1"/>
  <c r="BP64" i="2" s="1"/>
  <c r="IH64" i="2"/>
  <c r="IH623" i="2"/>
  <c r="BL623" i="2"/>
  <c r="BM623" i="2" s="1"/>
  <c r="BN623" i="2" s="1"/>
  <c r="BP623" i="2" s="1"/>
  <c r="DQ278" i="2"/>
  <c r="IO733" i="2"/>
  <c r="BL338" i="2"/>
  <c r="BM338" i="2" s="1"/>
  <c r="BN338" i="2" s="1"/>
  <c r="BP338" i="2" s="1"/>
  <c r="IH338" i="2"/>
  <c r="DW698" i="2"/>
  <c r="CY477" i="2"/>
  <c r="BG477" i="2" s="1"/>
  <c r="BH477" i="2" s="1"/>
  <c r="BI477" i="2" s="1"/>
  <c r="BK477" i="2" s="1"/>
  <c r="DQ502" i="2"/>
  <c r="EH727" i="2"/>
  <c r="BL727" i="2" s="1"/>
  <c r="BM727" i="2" s="1"/>
  <c r="BN727" i="2" s="1"/>
  <c r="BP727" i="2" s="1"/>
  <c r="DD792" i="2"/>
  <c r="DE792" i="2" s="1"/>
  <c r="DK792" i="2" s="1"/>
  <c r="EB101" i="2"/>
  <c r="IX101" i="2" s="1"/>
  <c r="EH972" i="2"/>
  <c r="BL972" i="2" s="1"/>
  <c r="BM972" i="2" s="1"/>
  <c r="BN972" i="2" s="1"/>
  <c r="BP972" i="2" s="1"/>
  <c r="DF733" i="2"/>
  <c r="DP823" i="2"/>
  <c r="IL823" i="2" s="1"/>
  <c r="IL1014" i="2"/>
  <c r="EH1011" i="2"/>
  <c r="BL1011" i="2" s="1"/>
  <c r="BM1011" i="2" s="1"/>
  <c r="BN1011" i="2" s="1"/>
  <c r="BP1011" i="2" s="1"/>
  <c r="DP1039" i="2"/>
  <c r="BL1039" i="2" s="1"/>
  <c r="BM1039" i="2" s="1"/>
  <c r="BN1039" i="2" s="1"/>
  <c r="BP1039" i="2" s="1"/>
  <c r="BL657" i="2"/>
  <c r="BM657" i="2" s="1"/>
  <c r="BN657" i="2" s="1"/>
  <c r="BP657" i="2" s="1"/>
  <c r="IH657" i="2"/>
  <c r="DF212" i="2"/>
  <c r="BL948" i="2"/>
  <c r="BM948" i="2" s="1"/>
  <c r="BN948" i="2" s="1"/>
  <c r="BP948" i="2" s="1"/>
  <c r="IH948" i="2"/>
  <c r="DE56" i="2"/>
  <c r="EB16" i="2"/>
  <c r="IX16" i="2" s="1"/>
  <c r="DV115" i="2"/>
  <c r="DW115" i="2" s="1"/>
  <c r="DE1014" i="2"/>
  <c r="BL56" i="2"/>
  <c r="BM56" i="2" s="1"/>
  <c r="BN56" i="2" s="1"/>
  <c r="BP56" i="2" s="1"/>
  <c r="DV742" i="2"/>
  <c r="EH742" i="2" s="1"/>
  <c r="IN742" i="2" s="1"/>
  <c r="DV786" i="2"/>
  <c r="EH786" i="2" s="1"/>
  <c r="DW545" i="2"/>
  <c r="CR159" i="2"/>
  <c r="CS159" i="2" s="1"/>
  <c r="CT159" i="2" s="1"/>
  <c r="DP340" i="2"/>
  <c r="IL340" i="2" s="1"/>
  <c r="DP467" i="2"/>
  <c r="BL467" i="2" s="1"/>
  <c r="BM467" i="2" s="1"/>
  <c r="BN467" i="2" s="1"/>
  <c r="BP467" i="2" s="1"/>
  <c r="DV931" i="2"/>
  <c r="DW931" i="2" s="1"/>
  <c r="BL387" i="2"/>
  <c r="BM387" i="2" s="1"/>
  <c r="BN387" i="2" s="1"/>
  <c r="BP387" i="2" s="1"/>
  <c r="DW741" i="2"/>
  <c r="CT742" i="2"/>
  <c r="DF4" i="11"/>
  <c r="DK4" i="11"/>
  <c r="DF8" i="11"/>
  <c r="DK8" i="11"/>
  <c r="BG8" i="11" s="1"/>
  <c r="BH8" i="11" s="1"/>
  <c r="BI8" i="11" s="1"/>
  <c r="BK8" i="11" s="1"/>
  <c r="DD10" i="11"/>
  <c r="DE10" i="11" s="1"/>
  <c r="CI10" i="11"/>
  <c r="DK6" i="11"/>
  <c r="BG6" i="11" s="1"/>
  <c r="BH6" i="11" s="1"/>
  <c r="BI6" i="11" s="1"/>
  <c r="BK6" i="11" s="1"/>
  <c r="DF6" i="11"/>
  <c r="DD7" i="11"/>
  <c r="DE7" i="11" s="1"/>
  <c r="CU7" i="11"/>
  <c r="BL741" i="2"/>
  <c r="BM741" i="2" s="1"/>
  <c r="BN741" i="2" s="1"/>
  <c r="BP741" i="2" s="1"/>
  <c r="IN741" i="2"/>
  <c r="EH865" i="2"/>
  <c r="BL865" i="2" s="1"/>
  <c r="BM865" i="2" s="1"/>
  <c r="BN865" i="2" s="1"/>
  <c r="BP865" i="2" s="1"/>
  <c r="BL20" i="2"/>
  <c r="BM20" i="2" s="1"/>
  <c r="BN20" i="2" s="1"/>
  <c r="BP20" i="2" s="1"/>
  <c r="IL199" i="2"/>
  <c r="DW602" i="2"/>
  <c r="EB785" i="2"/>
  <c r="BL785" i="2" s="1"/>
  <c r="BM785" i="2" s="1"/>
  <c r="BN785" i="2" s="1"/>
  <c r="BP785" i="2" s="1"/>
  <c r="CZ124" i="2"/>
  <c r="BL686" i="2"/>
  <c r="BM686" i="2" s="1"/>
  <c r="BN686" i="2" s="1"/>
  <c r="BP686" i="2" s="1"/>
  <c r="CR404" i="2"/>
  <c r="CS404" i="2" s="1"/>
  <c r="CT404" i="2" s="1"/>
  <c r="IN602" i="2"/>
  <c r="IL427" i="2"/>
  <c r="IP892" i="2"/>
  <c r="BL137" i="2"/>
  <c r="BM137" i="2" s="1"/>
  <c r="BN137" i="2" s="1"/>
  <c r="BP137" i="2" s="1"/>
  <c r="EH1045" i="2"/>
  <c r="BL1045" i="2" s="1"/>
  <c r="BM1045" i="2" s="1"/>
  <c r="BN1045" i="2" s="1"/>
  <c r="BP1045" i="2" s="1"/>
  <c r="BL40" i="2"/>
  <c r="BM40" i="2" s="1"/>
  <c r="BN40" i="2" s="1"/>
  <c r="BP40" i="2" s="1"/>
  <c r="IL599" i="2"/>
  <c r="DK215" i="2"/>
  <c r="BG215" i="2" s="1"/>
  <c r="BH215" i="2" s="1"/>
  <c r="BI215" i="2" s="1"/>
  <c r="BK215" i="2" s="1"/>
  <c r="DF215" i="2"/>
  <c r="DP253" i="2"/>
  <c r="IL253" i="2" s="1"/>
  <c r="DV634" i="2"/>
  <c r="DW634" i="2" s="1"/>
  <c r="DK356" i="2"/>
  <c r="CR408" i="2"/>
  <c r="CS408" i="2" s="1"/>
  <c r="CY408" i="2" s="1"/>
  <c r="BG408" i="2" s="1"/>
  <c r="BH408" i="2" s="1"/>
  <c r="BI408" i="2" s="1"/>
  <c r="BK408" i="2" s="1"/>
  <c r="DV954" i="2"/>
  <c r="EH954" i="2" s="1"/>
  <c r="CY888" i="2"/>
  <c r="BG888" i="2" s="1"/>
  <c r="BH888" i="2" s="1"/>
  <c r="BI888" i="2" s="1"/>
  <c r="BK888" i="2" s="1"/>
  <c r="CT888" i="2"/>
  <c r="EH124" i="2"/>
  <c r="DW124" i="2"/>
  <c r="CT492" i="2"/>
  <c r="CS190" i="2"/>
  <c r="CT190" i="2" s="1"/>
  <c r="DQ20" i="2"/>
  <c r="BL455" i="2"/>
  <c r="BM455" i="2" s="1"/>
  <c r="BN455" i="2" s="1"/>
  <c r="BP455" i="2" s="1"/>
  <c r="CT975" i="2"/>
  <c r="DV712" i="2"/>
  <c r="DW712" i="2" s="1"/>
  <c r="DV754" i="2"/>
  <c r="EH754" i="2" s="1"/>
  <c r="EC280" i="2"/>
  <c r="DK830" i="2"/>
  <c r="DV920" i="2"/>
  <c r="EH920" i="2" s="1"/>
  <c r="DF487" i="2"/>
  <c r="DK487" i="2"/>
  <c r="BG487" i="2" s="1"/>
  <c r="BH487" i="2" s="1"/>
  <c r="BI487" i="2" s="1"/>
  <c r="BK487" i="2" s="1"/>
  <c r="EN667" i="2"/>
  <c r="BL667" i="2" s="1"/>
  <c r="BM667" i="2" s="1"/>
  <c r="BN667" i="2" s="1"/>
  <c r="BP667" i="2" s="1"/>
  <c r="CZ636" i="2"/>
  <c r="BG636" i="2" s="1"/>
  <c r="BH636" i="2" s="1"/>
  <c r="BI636" i="2" s="1"/>
  <c r="BK636" i="2" s="1"/>
  <c r="DK355" i="2"/>
  <c r="BG355" i="2" s="1"/>
  <c r="BH355" i="2" s="1"/>
  <c r="BI355" i="2" s="1"/>
  <c r="BK355" i="2" s="1"/>
  <c r="DP319" i="2"/>
  <c r="IL319" i="2" s="1"/>
  <c r="DE749" i="2"/>
  <c r="DP749" i="2"/>
  <c r="DQ892" i="2"/>
  <c r="DE559" i="2"/>
  <c r="DP559" i="2"/>
  <c r="DF678" i="2"/>
  <c r="CN84" i="2"/>
  <c r="DN410" i="2"/>
  <c r="CR843" i="2"/>
  <c r="CS843" i="2" s="1"/>
  <c r="CY843" i="2" s="1"/>
  <c r="BG843" i="2" s="1"/>
  <c r="BH843" i="2" s="1"/>
  <c r="BI843" i="2" s="1"/>
  <c r="BK843" i="2" s="1"/>
  <c r="CU436" i="2"/>
  <c r="DW44" i="2"/>
  <c r="EH44" i="2"/>
  <c r="BL44" i="2" s="1"/>
  <c r="BM44" i="2" s="1"/>
  <c r="BN44" i="2" s="1"/>
  <c r="BP44" i="2" s="1"/>
  <c r="CN44" i="2"/>
  <c r="DV693" i="2"/>
  <c r="DW693" i="2" s="1"/>
  <c r="IL390" i="2"/>
  <c r="DV323" i="2"/>
  <c r="DW323" i="2" s="1"/>
  <c r="DP216" i="2"/>
  <c r="DP970" i="2"/>
  <c r="DK354" i="2"/>
  <c r="DU337" i="2"/>
  <c r="DV337" i="2" s="1"/>
  <c r="DF337" i="2"/>
  <c r="DR323" i="2"/>
  <c r="CT149" i="2"/>
  <c r="IX553" i="2"/>
  <c r="EB524" i="2"/>
  <c r="EC524" i="2" s="1"/>
  <c r="DQ605" i="2"/>
  <c r="DV787" i="2"/>
  <c r="EH787" i="2" s="1"/>
  <c r="BG897" i="2"/>
  <c r="BH897" i="2" s="1"/>
  <c r="BI897" i="2" s="1"/>
  <c r="DV1047" i="2"/>
  <c r="EH1047" i="2" s="1"/>
  <c r="DV1032" i="2"/>
  <c r="EH1032" i="2" s="1"/>
  <c r="BL1032" i="2" s="1"/>
  <c r="BM1032" i="2" s="1"/>
  <c r="BN1032" i="2" s="1"/>
  <c r="BP1032" i="2" s="1"/>
  <c r="DQ431" i="2"/>
  <c r="EB474" i="2"/>
  <c r="IP474" i="2" s="1"/>
  <c r="EH105" i="2"/>
  <c r="BL105" i="2" s="1"/>
  <c r="BM105" i="2" s="1"/>
  <c r="BN105" i="2" s="1"/>
  <c r="BP105" i="2" s="1"/>
  <c r="IX1040" i="2"/>
  <c r="CY871" i="2"/>
  <c r="BG871" i="2" s="1"/>
  <c r="BH871" i="2" s="1"/>
  <c r="BI871" i="2" s="1"/>
  <c r="BK871" i="2" s="1"/>
  <c r="BL5" i="2"/>
  <c r="BM5" i="2" s="1"/>
  <c r="BN5" i="2" s="1"/>
  <c r="BP5" i="2" s="1"/>
  <c r="DP704" i="2"/>
  <c r="EB704" i="2" s="1"/>
  <c r="EH715" i="2"/>
  <c r="BL715" i="2" s="1"/>
  <c r="BM715" i="2" s="1"/>
  <c r="BN715" i="2" s="1"/>
  <c r="BP715" i="2" s="1"/>
  <c r="EN11" i="2"/>
  <c r="BL11" i="2" s="1"/>
  <c r="BM11" i="2" s="1"/>
  <c r="BN11" i="2" s="1"/>
  <c r="BP11" i="2" s="1"/>
  <c r="CY844" i="2"/>
  <c r="BG844" i="2" s="1"/>
  <c r="BH844" i="2" s="1"/>
  <c r="BI844" i="2" s="1"/>
  <c r="BK844" i="2" s="1"/>
  <c r="CZ358" i="2"/>
  <c r="DE358" i="2"/>
  <c r="BG358" i="2" s="1"/>
  <c r="BH358" i="2" s="1"/>
  <c r="BI358" i="2" s="1"/>
  <c r="BK358" i="2" s="1"/>
  <c r="DW96" i="2"/>
  <c r="DO724" i="2"/>
  <c r="DP724" i="2" s="1"/>
  <c r="DQ724" i="2" s="1"/>
  <c r="DE765" i="2"/>
  <c r="DP765" i="2"/>
  <c r="DE490" i="2"/>
  <c r="CZ490" i="2"/>
  <c r="DK1018" i="2"/>
  <c r="DP1018" i="2"/>
  <c r="DP188" i="2"/>
  <c r="DQ188" i="2" s="1"/>
  <c r="DP84" i="2"/>
  <c r="DK84" i="2"/>
  <c r="DV329" i="2"/>
  <c r="DW329" i="2" s="1"/>
  <c r="DP127" i="2"/>
  <c r="DQ127" i="2" s="1"/>
  <c r="EB200" i="2"/>
  <c r="IX200" i="2" s="1"/>
  <c r="DT655" i="2"/>
  <c r="BL830" i="2"/>
  <c r="BM830" i="2" s="1"/>
  <c r="BN830" i="2" s="1"/>
  <c r="BP830" i="2" s="1"/>
  <c r="IN830" i="2"/>
  <c r="DW335" i="2"/>
  <c r="DF83" i="2"/>
  <c r="DK83" i="2"/>
  <c r="CR662" i="2"/>
  <c r="CS662" i="2" s="1"/>
  <c r="CT662" i="2" s="1"/>
  <c r="DQ726" i="2"/>
  <c r="EB726" i="2"/>
  <c r="BL726" i="2" s="1"/>
  <c r="BM726" i="2" s="1"/>
  <c r="BN726" i="2" s="1"/>
  <c r="BP726" i="2" s="1"/>
  <c r="DP26" i="2"/>
  <c r="DQ26" i="2" s="1"/>
  <c r="DP399" i="2"/>
  <c r="DQ399" i="2" s="1"/>
  <c r="DP831" i="2"/>
  <c r="EB831" i="2" s="1"/>
  <c r="DP152" i="2"/>
  <c r="EB152" i="2" s="1"/>
  <c r="BL152" i="2" s="1"/>
  <c r="BM152" i="2" s="1"/>
  <c r="BN152" i="2" s="1"/>
  <c r="BP152" i="2" s="1"/>
  <c r="DQ706" i="2"/>
  <c r="CT203" i="2"/>
  <c r="CY659" i="2"/>
  <c r="BG659" i="2" s="1"/>
  <c r="BH659" i="2" s="1"/>
  <c r="BI659" i="2" s="1"/>
  <c r="BK659" i="2" s="1"/>
  <c r="CT139" i="2"/>
  <c r="CY139" i="2"/>
  <c r="BG139" i="2" s="1"/>
  <c r="BH139" i="2" s="1"/>
  <c r="BI139" i="2" s="1"/>
  <c r="BK139" i="2" s="1"/>
  <c r="DP67" i="2"/>
  <c r="DQ67" i="2" s="1"/>
  <c r="DP582" i="2"/>
  <c r="DQ582" i="2" s="1"/>
  <c r="EA604" i="2"/>
  <c r="EB604" i="2" s="1"/>
  <c r="EN604" i="2" s="1"/>
  <c r="BL604" i="2" s="1"/>
  <c r="BM604" i="2" s="1"/>
  <c r="BN604" i="2" s="1"/>
  <c r="BP604" i="2" s="1"/>
  <c r="BL622" i="2"/>
  <c r="BM622" i="2" s="1"/>
  <c r="BN622" i="2" s="1"/>
  <c r="BP622" i="2" s="1"/>
  <c r="CZ400" i="2"/>
  <c r="DQ225" i="2"/>
  <c r="EB225" i="2"/>
  <c r="IL706" i="2"/>
  <c r="CR254" i="2"/>
  <c r="CS254" i="2" s="1"/>
  <c r="CY254" i="2" s="1"/>
  <c r="BG254" i="2" s="1"/>
  <c r="BH254" i="2" s="1"/>
  <c r="BI254" i="2" s="1"/>
  <c r="BK254" i="2" s="1"/>
  <c r="EB648" i="2"/>
  <c r="DQ648" i="2"/>
  <c r="BL206" i="2"/>
  <c r="BM206" i="2" s="1"/>
  <c r="BN206" i="2" s="1"/>
  <c r="BP206" i="2" s="1"/>
  <c r="IL206" i="2"/>
  <c r="DO847" i="2"/>
  <c r="DP847" i="2" s="1"/>
  <c r="EB847" i="2" s="1"/>
  <c r="DP131" i="2"/>
  <c r="EB131" i="2" s="1"/>
  <c r="BL131" i="2" s="1"/>
  <c r="BM131" i="2" s="1"/>
  <c r="BN131" i="2" s="1"/>
  <c r="BP131" i="2" s="1"/>
  <c r="EB75" i="2"/>
  <c r="BL75" i="2" s="1"/>
  <c r="BM75" i="2" s="1"/>
  <c r="BN75" i="2" s="1"/>
  <c r="BP75" i="2" s="1"/>
  <c r="DQ75" i="2"/>
  <c r="DW1031" i="2"/>
  <c r="EH1031" i="2"/>
  <c r="BL1031" i="2" s="1"/>
  <c r="BM1031" i="2" s="1"/>
  <c r="BN1031" i="2" s="1"/>
  <c r="BP1031" i="2" s="1"/>
  <c r="EB167" i="2"/>
  <c r="BL167" i="2" s="1"/>
  <c r="BM167" i="2" s="1"/>
  <c r="BN167" i="2" s="1"/>
  <c r="BP167" i="2" s="1"/>
  <c r="DE904" i="2"/>
  <c r="DP400" i="2"/>
  <c r="EB400" i="2" s="1"/>
  <c r="BL400" i="2" s="1"/>
  <c r="BM400" i="2" s="1"/>
  <c r="BN400" i="2" s="1"/>
  <c r="BP400" i="2" s="1"/>
  <c r="CT245" i="2"/>
  <c r="CY245" i="2"/>
  <c r="BG245" i="2" s="1"/>
  <c r="BH245" i="2" s="1"/>
  <c r="BI245" i="2" s="1"/>
  <c r="BK245" i="2" s="1"/>
  <c r="CS867" i="2"/>
  <c r="CT867" i="2" s="1"/>
  <c r="DQ553" i="2"/>
  <c r="DV815" i="2"/>
  <c r="EH815" i="2" s="1"/>
  <c r="BL815" i="2" s="1"/>
  <c r="BM815" i="2" s="1"/>
  <c r="BN815" i="2" s="1"/>
  <c r="BP815" i="2" s="1"/>
  <c r="EB986" i="2"/>
  <c r="BL986" i="2" s="1"/>
  <c r="BM986" i="2" s="1"/>
  <c r="BN986" i="2" s="1"/>
  <c r="BP986" i="2" s="1"/>
  <c r="DP342" i="2"/>
  <c r="IL392" i="2"/>
  <c r="EH155" i="2"/>
  <c r="DW155" i="2"/>
  <c r="EB279" i="2"/>
  <c r="EC279" i="2" s="1"/>
  <c r="EB516" i="2"/>
  <c r="EC516" i="2" s="1"/>
  <c r="DP128" i="2"/>
  <c r="EB128" i="2" s="1"/>
  <c r="BL128" i="2" s="1"/>
  <c r="BM128" i="2" s="1"/>
  <c r="BN128" i="2" s="1"/>
  <c r="BP128" i="2" s="1"/>
  <c r="DQ297" i="2"/>
  <c r="DZ85" i="2"/>
  <c r="CZ524" i="2"/>
  <c r="DF850" i="2"/>
  <c r="EA797" i="2"/>
  <c r="EB797" i="2" s="1"/>
  <c r="EN797" i="2" s="1"/>
  <c r="BL797" i="2" s="1"/>
  <c r="BM797" i="2" s="1"/>
  <c r="BN797" i="2" s="1"/>
  <c r="BP797" i="2" s="1"/>
  <c r="CU587" i="2"/>
  <c r="DQ496" i="2"/>
  <c r="EB496" i="2"/>
  <c r="DD301" i="2"/>
  <c r="DE301" i="2" s="1"/>
  <c r="DF301" i="2" s="1"/>
  <c r="CI615" i="2"/>
  <c r="DW37" i="2"/>
  <c r="EH37" i="2"/>
  <c r="BL37" i="2" s="1"/>
  <c r="BM37" i="2" s="1"/>
  <c r="BN37" i="2" s="1"/>
  <c r="BP37" i="2" s="1"/>
  <c r="EB1000" i="2"/>
  <c r="EC1000" i="2" s="1"/>
  <c r="DD507" i="2"/>
  <c r="DE507" i="2" s="1"/>
  <c r="EA466" i="2"/>
  <c r="EB466" i="2" s="1"/>
  <c r="EN466" i="2" s="1"/>
  <c r="BL466" i="2" s="1"/>
  <c r="BM466" i="2" s="1"/>
  <c r="BN466" i="2" s="1"/>
  <c r="BP466" i="2" s="1"/>
  <c r="DW1026" i="2"/>
  <c r="EH1026" i="2"/>
  <c r="BL1026" i="2" s="1"/>
  <c r="BM1026" i="2" s="1"/>
  <c r="BN1026" i="2" s="1"/>
  <c r="BP1026" i="2" s="1"/>
  <c r="CZ499" i="2"/>
  <c r="DE499" i="2"/>
  <c r="DQ878" i="2"/>
  <c r="EB878" i="2"/>
  <c r="CR805" i="2"/>
  <c r="CS805" i="2" s="1"/>
  <c r="CT805" i="2" s="1"/>
  <c r="DP232" i="2"/>
  <c r="DQ232" i="2" s="1"/>
  <c r="DW183" i="2"/>
  <c r="EH183" i="2"/>
  <c r="BL183" i="2" s="1"/>
  <c r="BM183" i="2" s="1"/>
  <c r="BN183" i="2" s="1"/>
  <c r="BP183" i="2" s="1"/>
  <c r="DO182" i="2"/>
  <c r="DP182" i="2" s="1"/>
  <c r="DQ182" i="2" s="1"/>
  <c r="IL997" i="2"/>
  <c r="DT1035" i="2"/>
  <c r="CS974" i="2"/>
  <c r="CT974" i="2" s="1"/>
  <c r="DV170" i="2"/>
  <c r="EH170" i="2" s="1"/>
  <c r="DV288" i="2"/>
  <c r="DW288" i="2" s="1"/>
  <c r="EA804" i="2"/>
  <c r="EB804" i="2" s="1"/>
  <c r="EC804" i="2" s="1"/>
  <c r="DE504" i="2"/>
  <c r="DK504" i="2" s="1"/>
  <c r="BG504" i="2" s="1"/>
  <c r="BH504" i="2" s="1"/>
  <c r="BI504" i="2" s="1"/>
  <c r="BK504" i="2" s="1"/>
  <c r="DV309" i="2"/>
  <c r="DW309" i="2" s="1"/>
  <c r="DP57" i="2"/>
  <c r="EB57" i="2" s="1"/>
  <c r="BL57" i="2" s="1"/>
  <c r="BM57" i="2" s="1"/>
  <c r="BN57" i="2" s="1"/>
  <c r="BP57" i="2" s="1"/>
  <c r="CY498" i="2"/>
  <c r="BG498" i="2" s="1"/>
  <c r="BH498" i="2" s="1"/>
  <c r="BI498" i="2" s="1"/>
  <c r="BK498" i="2" s="1"/>
  <c r="EA217" i="2"/>
  <c r="EB217" i="2" s="1"/>
  <c r="EC217" i="2" s="1"/>
  <c r="CT927" i="2"/>
  <c r="CY927" i="2"/>
  <c r="BG927" i="2" s="1"/>
  <c r="BH927" i="2" s="1"/>
  <c r="BI927" i="2" s="1"/>
  <c r="BK927" i="2" s="1"/>
  <c r="CY321" i="2"/>
  <c r="BG321" i="2" s="1"/>
  <c r="BH321" i="2" s="1"/>
  <c r="BI321" i="2" s="1"/>
  <c r="BK321" i="2" s="1"/>
  <c r="CT321" i="2"/>
  <c r="DP293" i="2"/>
  <c r="EB293" i="2" s="1"/>
  <c r="EB80" i="2"/>
  <c r="EN80" i="2" s="1"/>
  <c r="BL80" i="2" s="1"/>
  <c r="BM80" i="2" s="1"/>
  <c r="BN80" i="2" s="1"/>
  <c r="BP80" i="2" s="1"/>
  <c r="DO725" i="2"/>
  <c r="DP725" i="2" s="1"/>
  <c r="DQ725" i="2" s="1"/>
  <c r="CN26" i="2"/>
  <c r="CS976" i="2"/>
  <c r="CT976" i="2" s="1"/>
  <c r="EB148" i="2"/>
  <c r="EC148" i="2" s="1"/>
  <c r="EA235" i="2"/>
  <c r="EB235" i="2" s="1"/>
  <c r="EC235" i="2" s="1"/>
  <c r="DU1028" i="2"/>
  <c r="DV1028" i="2" s="1"/>
  <c r="DW1028" i="2" s="1"/>
  <c r="CY736" i="2"/>
  <c r="BG736" i="2" s="1"/>
  <c r="BH736" i="2" s="1"/>
  <c r="BI736" i="2" s="1"/>
  <c r="BK736" i="2" s="1"/>
  <c r="CT736" i="2"/>
  <c r="CY160" i="2"/>
  <c r="BG160" i="2" s="1"/>
  <c r="BH160" i="2" s="1"/>
  <c r="BI160" i="2" s="1"/>
  <c r="BK160" i="2" s="1"/>
  <c r="CT160" i="2"/>
  <c r="DE891" i="2"/>
  <c r="DP891" i="2"/>
  <c r="CT651" i="2"/>
  <c r="CY651" i="2"/>
  <c r="BG651" i="2" s="1"/>
  <c r="BH651" i="2" s="1"/>
  <c r="BI651" i="2" s="1"/>
  <c r="BK651" i="2" s="1"/>
  <c r="EH144" i="2"/>
  <c r="BL144" i="2" s="1"/>
  <c r="BM144" i="2" s="1"/>
  <c r="BN144" i="2" s="1"/>
  <c r="BP144" i="2" s="1"/>
  <c r="DW144" i="2"/>
  <c r="DO410" i="2"/>
  <c r="BL297" i="2"/>
  <c r="BM297" i="2" s="1"/>
  <c r="BN297" i="2" s="1"/>
  <c r="BP297" i="2" s="1"/>
  <c r="DE616" i="2"/>
  <c r="DK616" i="2" s="1"/>
  <c r="BG616" i="2" s="1"/>
  <c r="BH616" i="2" s="1"/>
  <c r="BI616" i="2" s="1"/>
  <c r="BK616" i="2" s="1"/>
  <c r="DN510" i="2"/>
  <c r="CY118" i="2"/>
  <c r="BG118" i="2" s="1"/>
  <c r="BH118" i="2" s="1"/>
  <c r="BI118" i="2" s="1"/>
  <c r="BK118" i="2" s="1"/>
  <c r="CT118" i="2"/>
  <c r="EB883" i="2"/>
  <c r="DQ883" i="2"/>
  <c r="DL516" i="2"/>
  <c r="DE799" i="2"/>
  <c r="DF799" i="2" s="1"/>
  <c r="CZ493" i="2"/>
  <c r="DU15" i="2"/>
  <c r="DV15" i="2" s="1"/>
  <c r="DW15" i="2" s="1"/>
  <c r="DQ24" i="2"/>
  <c r="DV1005" i="2"/>
  <c r="DW1005" i="2" s="1"/>
  <c r="DO121" i="2"/>
  <c r="DP121" i="2" s="1"/>
  <c r="DQ121" i="2" s="1"/>
  <c r="DV862" i="2"/>
  <c r="EH862" i="2" s="1"/>
  <c r="CT812" i="2"/>
  <c r="DO396" i="2"/>
  <c r="DP396" i="2" s="1"/>
  <c r="EB396" i="2" s="1"/>
  <c r="BL396" i="2" s="1"/>
  <c r="BM396" i="2" s="1"/>
  <c r="BN396" i="2" s="1"/>
  <c r="BP396" i="2" s="1"/>
  <c r="DV617" i="2"/>
  <c r="DW617" i="2" s="1"/>
  <c r="EC1003" i="2"/>
  <c r="DQ269" i="2"/>
  <c r="EB269" i="2"/>
  <c r="EA298" i="2"/>
  <c r="EB298" i="2" s="1"/>
  <c r="EN298" i="2" s="1"/>
  <c r="BL298" i="2" s="1"/>
  <c r="BM298" i="2" s="1"/>
  <c r="BN298" i="2" s="1"/>
  <c r="BP298" i="2" s="1"/>
  <c r="DF226" i="2"/>
  <c r="DU1025" i="2"/>
  <c r="DV1025" i="2" s="1"/>
  <c r="DW1025" i="2" s="1"/>
  <c r="DV653" i="2"/>
  <c r="DW653" i="2" s="1"/>
  <c r="DD489" i="2"/>
  <c r="DE489" i="2" s="1"/>
  <c r="DF489" i="2" s="1"/>
  <c r="DE69" i="2"/>
  <c r="DK69" i="2" s="1"/>
  <c r="BG69" i="2" s="1"/>
  <c r="BH69" i="2" s="1"/>
  <c r="BI69" i="2" s="1"/>
  <c r="BK69" i="2" s="1"/>
  <c r="DE923" i="2"/>
  <c r="DP923" i="2"/>
  <c r="DQ677" i="2"/>
  <c r="EB677" i="2"/>
  <c r="DD112" i="2"/>
  <c r="DE112" i="2" s="1"/>
  <c r="DV1034" i="2"/>
  <c r="DW1034" i="2" s="1"/>
  <c r="DP94" i="2"/>
  <c r="DQ94" i="2" s="1"/>
  <c r="EB437" i="2"/>
  <c r="EC437" i="2" s="1"/>
  <c r="DP610" i="2"/>
  <c r="EB610" i="2" s="1"/>
  <c r="DQ352" i="2"/>
  <c r="DQ185" i="2"/>
  <c r="DP711" i="2"/>
  <c r="DQ711" i="2" s="1"/>
  <c r="CZ607" i="2"/>
  <c r="DV676" i="2"/>
  <c r="DW676" i="2" s="1"/>
  <c r="CU213" i="2"/>
  <c r="CZ213" i="2"/>
  <c r="BG213" i="2" s="1"/>
  <c r="BH213" i="2" s="1"/>
  <c r="BI213" i="2" s="1"/>
  <c r="BK213" i="2" s="1"/>
  <c r="EA85" i="2"/>
  <c r="DE719" i="2"/>
  <c r="DP719" i="2"/>
  <c r="EH318" i="2"/>
  <c r="BL318" i="2" s="1"/>
  <c r="BM318" i="2" s="1"/>
  <c r="BN318" i="2" s="1"/>
  <c r="BP318" i="2" s="1"/>
  <c r="DW318" i="2"/>
  <c r="DU714" i="2"/>
  <c r="DV714" i="2" s="1"/>
  <c r="DW714" i="2" s="1"/>
  <c r="CH925" i="2"/>
  <c r="DQ956" i="2"/>
  <c r="EB956" i="2"/>
  <c r="BL335" i="2"/>
  <c r="BM335" i="2" s="1"/>
  <c r="BN335" i="2" s="1"/>
  <c r="BP335" i="2" s="1"/>
  <c r="IN335" i="2"/>
  <c r="DD495" i="2"/>
  <c r="DE495" i="2" s="1"/>
  <c r="CS638" i="2"/>
  <c r="CY638" i="2" s="1"/>
  <c r="BG638" i="2" s="1"/>
  <c r="BH638" i="2" s="1"/>
  <c r="BI638" i="2" s="1"/>
  <c r="BK638" i="2" s="1"/>
  <c r="CR903" i="2"/>
  <c r="CS903" i="2" s="1"/>
  <c r="CT903" i="2" s="1"/>
  <c r="CR1038" i="2"/>
  <c r="CS1038" i="2" s="1"/>
  <c r="CY1038" i="2" s="1"/>
  <c r="BG1038" i="2" s="1"/>
  <c r="BH1038" i="2" s="1"/>
  <c r="BI1038" i="2" s="1"/>
  <c r="BK1038" i="2" s="1"/>
  <c r="CI515" i="2"/>
  <c r="DO271" i="2"/>
  <c r="DP271" i="2" s="1"/>
  <c r="EB271" i="2" s="1"/>
  <c r="BL271" i="2" s="1"/>
  <c r="BM271" i="2" s="1"/>
  <c r="BN271" i="2" s="1"/>
  <c r="BP271" i="2" s="1"/>
  <c r="DK237" i="2"/>
  <c r="CX283" i="2"/>
  <c r="CY283" i="2" s="1"/>
  <c r="CZ283" i="2" s="1"/>
  <c r="DP699" i="2"/>
  <c r="DE339" i="2"/>
  <c r="CZ339" i="2"/>
  <c r="CS868" i="2"/>
  <c r="CY868" i="2" s="1"/>
  <c r="BG868" i="2" s="1"/>
  <c r="BH868" i="2" s="1"/>
  <c r="BI868" i="2" s="1"/>
  <c r="BK868" i="2" s="1"/>
  <c r="DP668" i="2"/>
  <c r="EB668" i="2" s="1"/>
  <c r="CN152" i="2"/>
  <c r="DP125" i="2"/>
  <c r="DQ125" i="2" s="1"/>
  <c r="DP29" i="2"/>
  <c r="DQ29" i="2" s="1"/>
  <c r="DP22" i="2"/>
  <c r="DQ22" i="2" s="1"/>
  <c r="CX510" i="2"/>
  <c r="CW510" i="2" s="1"/>
  <c r="CZ510" i="2" s="1"/>
  <c r="CY887" i="2"/>
  <c r="BG887" i="2" s="1"/>
  <c r="BH887" i="2" s="1"/>
  <c r="BI887" i="2" s="1"/>
  <c r="BK887" i="2" s="1"/>
  <c r="CT887" i="2"/>
  <c r="CT261" i="2"/>
  <c r="CY261" i="2"/>
  <c r="BG261" i="2" s="1"/>
  <c r="BH261" i="2" s="1"/>
  <c r="BI261" i="2" s="1"/>
  <c r="BK261" i="2" s="1"/>
  <c r="EB140" i="2"/>
  <c r="DQ140" i="2"/>
  <c r="DF523" i="2"/>
  <c r="EA523" i="2"/>
  <c r="EB523" i="2" s="1"/>
  <c r="CZ787" i="2"/>
  <c r="DO397" i="2"/>
  <c r="DP397" i="2" s="1"/>
  <c r="DQ397" i="2" s="1"/>
  <c r="EB625" i="2"/>
  <c r="DQ231" i="2"/>
  <c r="EB231" i="2"/>
  <c r="DF246" i="2"/>
  <c r="DK246" i="2"/>
  <c r="CZ288" i="2"/>
  <c r="DQ1019" i="2"/>
  <c r="EB1019" i="2"/>
  <c r="CZ401" i="2"/>
  <c r="DO401" i="2"/>
  <c r="DP401" i="2" s="1"/>
  <c r="CZ12" i="2"/>
  <c r="DO12" i="2"/>
  <c r="DP12" i="2" s="1"/>
  <c r="EH925" i="2"/>
  <c r="DW925" i="2"/>
  <c r="DP491" i="2"/>
  <c r="EB491" i="2" s="1"/>
  <c r="BL491" i="2" s="1"/>
  <c r="BM491" i="2" s="1"/>
  <c r="BN491" i="2" s="1"/>
  <c r="BP491" i="2" s="1"/>
  <c r="DQ478" i="2"/>
  <c r="EB478" i="2"/>
  <c r="DQ257" i="2"/>
  <c r="EB257" i="2"/>
  <c r="CT223" i="2"/>
  <c r="EA223" i="2"/>
  <c r="EB223" i="2" s="1"/>
  <c r="EC223" i="2" s="1"/>
  <c r="CS151" i="2"/>
  <c r="CT151" i="2" s="1"/>
  <c r="CS911" i="2"/>
  <c r="CT911" i="2" s="1"/>
  <c r="CU911" i="2" s="1"/>
  <c r="DL679" i="2"/>
  <c r="DO679" i="2"/>
  <c r="DP679" i="2" s="1"/>
  <c r="DP249" i="2"/>
  <c r="BL249" i="2" s="1"/>
  <c r="BM249" i="2" s="1"/>
  <c r="BN249" i="2" s="1"/>
  <c r="BP249" i="2" s="1"/>
  <c r="DF617" i="2"/>
  <c r="DO500" i="2"/>
  <c r="DP500" i="2" s="1"/>
  <c r="DQ500" i="2" s="1"/>
  <c r="CH884" i="2"/>
  <c r="DL529" i="2"/>
  <c r="CN293" i="2"/>
  <c r="CI650" i="2"/>
  <c r="DO590" i="2"/>
  <c r="DP590" i="2" s="1"/>
  <c r="EB590" i="2" s="1"/>
  <c r="BL590" i="2" s="1"/>
  <c r="BM590" i="2" s="1"/>
  <c r="BN590" i="2" s="1"/>
  <c r="BP590" i="2" s="1"/>
  <c r="DV49" i="2"/>
  <c r="EH49" i="2" s="1"/>
  <c r="BL49" i="2" s="1"/>
  <c r="BM49" i="2" s="1"/>
  <c r="BN49" i="2" s="1"/>
  <c r="BP49" i="2" s="1"/>
  <c r="DE473" i="2"/>
  <c r="DF473" i="2" s="1"/>
  <c r="CT713" i="2"/>
  <c r="DU713" i="2"/>
  <c r="DV713" i="2" s="1"/>
  <c r="EH713" i="2" s="1"/>
  <c r="BL713" i="2" s="1"/>
  <c r="BM713" i="2" s="1"/>
  <c r="BN713" i="2" s="1"/>
  <c r="BP713" i="2" s="1"/>
  <c r="DP395" i="2"/>
  <c r="DP54" i="2"/>
  <c r="DQ54" i="2" s="1"/>
  <c r="BL606" i="2"/>
  <c r="BM606" i="2" s="1"/>
  <c r="BN606" i="2" s="1"/>
  <c r="BP606" i="2" s="1"/>
  <c r="IL606" i="2"/>
  <c r="EB592" i="2"/>
  <c r="DQ592" i="2"/>
  <c r="CZ49" i="2"/>
  <c r="DP472" i="2"/>
  <c r="DE472" i="2"/>
  <c r="CN224" i="2"/>
  <c r="EA224" i="2"/>
  <c r="EB224" i="2" s="1"/>
  <c r="CN193" i="2"/>
  <c r="DO193" i="2"/>
  <c r="DP193" i="2" s="1"/>
  <c r="IX24" i="2"/>
  <c r="BL431" i="2"/>
  <c r="BM431" i="2" s="1"/>
  <c r="BN431" i="2" s="1"/>
  <c r="BP431" i="2" s="1"/>
  <c r="O380" i="2"/>
  <c r="DP380" i="2" s="1"/>
  <c r="CS869" i="2"/>
  <c r="CT869" i="2" s="1"/>
  <c r="DP691" i="2"/>
  <c r="EB691" i="2" s="1"/>
  <c r="DQ606" i="2"/>
  <c r="CH992" i="2"/>
  <c r="DO992" i="2"/>
  <c r="DP992" i="2" s="1"/>
  <c r="DQ908" i="2"/>
  <c r="EB908" i="2"/>
  <c r="CC150" i="2"/>
  <c r="CX150" i="2"/>
  <c r="CY150" i="2" s="1"/>
  <c r="EB536" i="2"/>
  <c r="EN536" i="2" s="1"/>
  <c r="BL536" i="2" s="1"/>
  <c r="BM536" i="2" s="1"/>
  <c r="BN536" i="2" s="1"/>
  <c r="BP536" i="2" s="1"/>
  <c r="DF521" i="2"/>
  <c r="EA521" i="2"/>
  <c r="EB521" i="2" s="1"/>
  <c r="EH1027" i="2"/>
  <c r="BL1027" i="2" s="1"/>
  <c r="BM1027" i="2" s="1"/>
  <c r="BN1027" i="2" s="1"/>
  <c r="BP1027" i="2" s="1"/>
  <c r="DW1027" i="2"/>
  <c r="CZ348" i="2"/>
  <c r="DU348" i="2"/>
  <c r="DV348" i="2" s="1"/>
  <c r="DF624" i="2"/>
  <c r="DK624" i="2"/>
  <c r="DP377" i="2"/>
  <c r="EB377" i="2" s="1"/>
  <c r="DF429" i="2"/>
  <c r="DU429" i="2"/>
  <c r="DV429" i="2" s="1"/>
  <c r="BL904" i="2"/>
  <c r="BM904" i="2" s="1"/>
  <c r="BN904" i="2" s="1"/>
  <c r="BP904" i="2" s="1"/>
  <c r="IL904" i="2"/>
  <c r="DW607" i="2"/>
  <c r="EH607" i="2"/>
  <c r="EA420" i="2"/>
  <c r="EB420" i="2" s="1"/>
  <c r="EC420" i="2" s="1"/>
  <c r="CI829" i="2"/>
  <c r="DD829" i="2"/>
  <c r="DE829" i="2" s="1"/>
  <c r="DW937" i="2"/>
  <c r="EH937" i="2"/>
  <c r="BL937" i="2" s="1"/>
  <c r="BM937" i="2" s="1"/>
  <c r="BN937" i="2" s="1"/>
  <c r="BP937" i="2" s="1"/>
  <c r="CY147" i="2"/>
  <c r="BG147" i="2" s="1"/>
  <c r="BH147" i="2" s="1"/>
  <c r="BI147" i="2" s="1"/>
  <c r="BK147" i="2" s="1"/>
  <c r="CT147" i="2"/>
  <c r="CI353" i="2"/>
  <c r="CR353" i="2"/>
  <c r="CS353" i="2" s="1"/>
  <c r="EB207" i="2"/>
  <c r="DQ207" i="2"/>
  <c r="DU882" i="2"/>
  <c r="DV882" i="2" s="1"/>
  <c r="EH882" i="2" s="1"/>
  <c r="BL882" i="2" s="1"/>
  <c r="BM882" i="2" s="1"/>
  <c r="BN882" i="2" s="1"/>
  <c r="BP882" i="2" s="1"/>
  <c r="EB374" i="2"/>
  <c r="DQ374" i="2"/>
  <c r="CT645" i="2"/>
  <c r="CY645" i="2"/>
  <c r="BG645" i="2" s="1"/>
  <c r="BH645" i="2" s="1"/>
  <c r="BI645" i="2" s="1"/>
  <c r="BK645" i="2" s="1"/>
  <c r="DV835" i="2"/>
  <c r="CY53" i="2"/>
  <c r="DE53" i="2" s="1"/>
  <c r="BG53" i="2" s="1"/>
  <c r="BH53" i="2" s="1"/>
  <c r="BI53" i="2" s="1"/>
  <c r="BK53" i="2" s="1"/>
  <c r="CL1035" i="2"/>
  <c r="CK1035" i="2" s="1"/>
  <c r="CN1035" i="2" s="1"/>
  <c r="DW465" i="2"/>
  <c r="EH465" i="2"/>
  <c r="BL465" i="2" s="1"/>
  <c r="BM465" i="2" s="1"/>
  <c r="BN465" i="2" s="1"/>
  <c r="BP465" i="2" s="1"/>
  <c r="CN153" i="2"/>
  <c r="DO153" i="2"/>
  <c r="DP153" i="2" s="1"/>
  <c r="DF520" i="2"/>
  <c r="EA520" i="2"/>
  <c r="EB520" i="2" s="1"/>
  <c r="DF873" i="2"/>
  <c r="DO873" i="2"/>
  <c r="DP873" i="2" s="1"/>
  <c r="CI869" i="2"/>
  <c r="CT304" i="2"/>
  <c r="CY304" i="2"/>
  <c r="BG304" i="2" s="1"/>
  <c r="BH304" i="2" s="1"/>
  <c r="BI304" i="2" s="1"/>
  <c r="BK304" i="2" s="1"/>
  <c r="DQ744" i="2"/>
  <c r="EB744" i="2"/>
  <c r="DE218" i="2"/>
  <c r="DP218" i="2"/>
  <c r="CC1002" i="2"/>
  <c r="DD1002" i="2"/>
  <c r="DE1002" i="2" s="1"/>
  <c r="EN907" i="2"/>
  <c r="BL907" i="2" s="1"/>
  <c r="BM907" i="2" s="1"/>
  <c r="BN907" i="2" s="1"/>
  <c r="BP907" i="2" s="1"/>
  <c r="EC907" i="2"/>
  <c r="EH65" i="2"/>
  <c r="BL65" i="2" s="1"/>
  <c r="BM65" i="2" s="1"/>
  <c r="BN65" i="2" s="1"/>
  <c r="BP65" i="2" s="1"/>
  <c r="DW65" i="2"/>
  <c r="EH389" i="2"/>
  <c r="BL389" i="2" s="1"/>
  <c r="BM389" i="2" s="1"/>
  <c r="BN389" i="2" s="1"/>
  <c r="BP389" i="2" s="1"/>
  <c r="DW389" i="2"/>
  <c r="EH198" i="2"/>
  <c r="BL198" i="2" s="1"/>
  <c r="BM198" i="2" s="1"/>
  <c r="BN198" i="2" s="1"/>
  <c r="BP198" i="2" s="1"/>
  <c r="DW198" i="2"/>
  <c r="CY266" i="2"/>
  <c r="BG266" i="2" s="1"/>
  <c r="BH266" i="2" s="1"/>
  <c r="BI266" i="2" s="1"/>
  <c r="BK266" i="2" s="1"/>
  <c r="CT266" i="2"/>
  <c r="DQ158" i="2"/>
  <c r="EB158" i="2"/>
  <c r="DQ965" i="2"/>
  <c r="EB965" i="2"/>
  <c r="DQ721" i="2"/>
  <c r="EB721" i="2"/>
  <c r="DP601" i="2"/>
  <c r="DE601" i="2"/>
  <c r="BL352" i="2"/>
  <c r="BM352" i="2" s="1"/>
  <c r="BN352" i="2" s="1"/>
  <c r="BP352" i="2" s="1"/>
  <c r="CX406" i="2"/>
  <c r="CY406" i="2" s="1"/>
  <c r="CZ406" i="2" s="1"/>
  <c r="DP126" i="2"/>
  <c r="DQ126" i="2" s="1"/>
  <c r="DE414" i="2"/>
  <c r="DP414" i="2"/>
  <c r="DQ122" i="2"/>
  <c r="EB122" i="2"/>
  <c r="BL122" i="2" s="1"/>
  <c r="BM122" i="2" s="1"/>
  <c r="BN122" i="2" s="1"/>
  <c r="BP122" i="2" s="1"/>
  <c r="DF238" i="2"/>
  <c r="DK238" i="2"/>
  <c r="EB371" i="2"/>
  <c r="DQ371" i="2"/>
  <c r="CI375" i="2"/>
  <c r="CS375" i="2"/>
  <c r="CT375" i="2" s="1"/>
  <c r="EB79" i="2"/>
  <c r="EN79" i="2" s="1"/>
  <c r="BL79" i="2" s="1"/>
  <c r="BM79" i="2" s="1"/>
  <c r="BN79" i="2" s="1"/>
  <c r="BP79" i="2" s="1"/>
  <c r="DD242" i="2"/>
  <c r="DE242" i="2" s="1"/>
  <c r="DE987" i="2"/>
  <c r="DP987" i="2"/>
  <c r="DQ567" i="2"/>
  <c r="EB567" i="2"/>
  <c r="DL228" i="2"/>
  <c r="EA228" i="2"/>
  <c r="EB228" i="2" s="1"/>
  <c r="CI146" i="2"/>
  <c r="CS146" i="2"/>
  <c r="CT146" i="2" s="1"/>
  <c r="DF306" i="2"/>
  <c r="DO306" i="2"/>
  <c r="DP306" i="2" s="1"/>
  <c r="CB123" i="2"/>
  <c r="DO123" i="2"/>
  <c r="DP123" i="2" s="1"/>
  <c r="EN803" i="2"/>
  <c r="BL803" i="2" s="1"/>
  <c r="BM803" i="2" s="1"/>
  <c r="BN803" i="2" s="1"/>
  <c r="BP803" i="2" s="1"/>
  <c r="EC803" i="2"/>
  <c r="EB226" i="2"/>
  <c r="BL226" i="2" s="1"/>
  <c r="BM226" i="2" s="1"/>
  <c r="BN226" i="2" s="1"/>
  <c r="BP226" i="2" s="1"/>
  <c r="DQ226" i="2"/>
  <c r="EB522" i="2"/>
  <c r="DO175" i="2"/>
  <c r="DP175" i="2" s="1"/>
  <c r="EB525" i="2"/>
  <c r="EN525" i="2" s="1"/>
  <c r="BL525" i="2" s="1"/>
  <c r="BM525" i="2" s="1"/>
  <c r="BN525" i="2" s="1"/>
  <c r="BP525" i="2" s="1"/>
  <c r="DL528" i="2"/>
  <c r="EA528" i="2"/>
  <c r="EB528" i="2" s="1"/>
  <c r="EB383" i="2"/>
  <c r="DQ383" i="2"/>
  <c r="EB154" i="2"/>
  <c r="DQ154" i="2"/>
  <c r="EC531" i="2"/>
  <c r="EN531" i="2"/>
  <c r="BL531" i="2" s="1"/>
  <c r="BM531" i="2" s="1"/>
  <c r="BN531" i="2" s="1"/>
  <c r="BP531" i="2" s="1"/>
  <c r="CI236" i="2"/>
  <c r="DD236" i="2"/>
  <c r="DE236" i="2" s="1"/>
  <c r="DU1030" i="2"/>
  <c r="DV1030" i="2" s="1"/>
  <c r="EH163" i="2"/>
  <c r="BL163" i="2" s="1"/>
  <c r="BM163" i="2" s="1"/>
  <c r="BN163" i="2" s="1"/>
  <c r="BP163" i="2" s="1"/>
  <c r="DW163" i="2"/>
  <c r="DP102" i="2"/>
  <c r="DE102" i="2"/>
  <c r="DE912" i="2"/>
  <c r="DP912" i="2"/>
  <c r="CH454" i="2"/>
  <c r="DC454" i="2"/>
  <c r="DD454" i="2" s="1"/>
  <c r="CZ398" i="2"/>
  <c r="DO398" i="2"/>
  <c r="DP398" i="2" s="1"/>
  <c r="EB812" i="2"/>
  <c r="BL812" i="2" s="1"/>
  <c r="BM812" i="2" s="1"/>
  <c r="BN812" i="2" s="1"/>
  <c r="BP812" i="2" s="1"/>
  <c r="DQ812" i="2"/>
  <c r="DE825" i="2"/>
  <c r="DP825" i="2"/>
  <c r="CZ332" i="2"/>
  <c r="BG332" i="2" s="1"/>
  <c r="BH332" i="2" s="1"/>
  <c r="BI332" i="2" s="1"/>
  <c r="BK332" i="2" s="1"/>
  <c r="CU332" i="2"/>
  <c r="CT265" i="2"/>
  <c r="CY265" i="2"/>
  <c r="BG265" i="2" s="1"/>
  <c r="BH265" i="2" s="1"/>
  <c r="BI265" i="2" s="1"/>
  <c r="BK265" i="2" s="1"/>
  <c r="CN919" i="2"/>
  <c r="DC919" i="2"/>
  <c r="DD919" i="2" s="1"/>
  <c r="CH710" i="2"/>
  <c r="DO710" i="2"/>
  <c r="DP710" i="2" s="1"/>
  <c r="DV609" i="2"/>
  <c r="DW393" i="2"/>
  <c r="EH393" i="2"/>
  <c r="BL393" i="2" s="1"/>
  <c r="BM393" i="2" s="1"/>
  <c r="BN393" i="2" s="1"/>
  <c r="BP393" i="2" s="1"/>
  <c r="DD1008" i="2"/>
  <c r="EB534" i="2"/>
  <c r="DD425" i="2"/>
  <c r="CN839" i="2"/>
  <c r="DC839" i="2"/>
  <c r="DD839" i="2" s="1"/>
  <c r="DW767" i="2"/>
  <c r="EH767" i="2"/>
  <c r="BL767" i="2" s="1"/>
  <c r="BM767" i="2" s="1"/>
  <c r="BN767" i="2" s="1"/>
  <c r="BP767" i="2" s="1"/>
  <c r="CC205" i="2"/>
  <c r="CR205" i="2"/>
  <c r="CS205" i="2" s="1"/>
  <c r="CY870" i="2"/>
  <c r="BG870" i="2" s="1"/>
  <c r="BH870" i="2" s="1"/>
  <c r="BI870" i="2" s="1"/>
  <c r="BK870" i="2" s="1"/>
  <c r="CT870" i="2"/>
  <c r="CT403" i="2"/>
  <c r="DO403" i="2"/>
  <c r="DP403" i="2" s="1"/>
  <c r="CO863" i="2"/>
  <c r="CX863" i="2"/>
  <c r="CY863" i="2" s="1"/>
  <c r="CN655" i="2"/>
  <c r="DU655" i="2"/>
  <c r="DV834" i="2"/>
  <c r="DP234" i="2"/>
  <c r="DR676" i="2"/>
  <c r="CY388" i="2"/>
  <c r="BG388" i="2" s="1"/>
  <c r="BH388" i="2" s="1"/>
  <c r="BI388" i="2" s="1"/>
  <c r="BK388" i="2" s="1"/>
  <c r="CT388" i="2"/>
  <c r="DE958" i="2"/>
  <c r="DP958" i="2"/>
  <c r="CT394" i="2"/>
  <c r="DO394" i="2"/>
  <c r="DP394" i="2" s="1"/>
  <c r="DF416" i="2"/>
  <c r="EA416" i="2"/>
  <c r="EB416" i="2" s="1"/>
  <c r="CI867" i="2"/>
  <c r="CI7" i="2"/>
  <c r="CR7" i="2"/>
  <c r="CS7" i="2" s="1"/>
  <c r="DF734" i="2"/>
  <c r="DO734" i="2"/>
  <c r="DP734" i="2" s="1"/>
  <c r="DQ92" i="2"/>
  <c r="EB92" i="2"/>
  <c r="BL92" i="2" s="1"/>
  <c r="BM92" i="2" s="1"/>
  <c r="BN92" i="2" s="1"/>
  <c r="BP92" i="2" s="1"/>
  <c r="DL621" i="2"/>
  <c r="DO621" i="2"/>
  <c r="DP621" i="2" s="1"/>
  <c r="CO23" i="2"/>
  <c r="CR23" i="2"/>
  <c r="CS23" i="2" s="1"/>
  <c r="CN701" i="2"/>
  <c r="DO701" i="2"/>
  <c r="DP701" i="2" s="1"/>
  <c r="CZ1033" i="2"/>
  <c r="DU1033" i="2"/>
  <c r="DV1033" i="2" s="1"/>
  <c r="CO560" i="2"/>
  <c r="CR560" i="2"/>
  <c r="CS560" i="2" s="1"/>
  <c r="DF579" i="2"/>
  <c r="DO579" i="2"/>
  <c r="DP579" i="2" s="1"/>
  <c r="CT515" i="2"/>
  <c r="CY515" i="2"/>
  <c r="BG515" i="2" s="1"/>
  <c r="BH515" i="2" s="1"/>
  <c r="BI515" i="2" s="1"/>
  <c r="BK515" i="2" s="1"/>
  <c r="EH1029" i="2"/>
  <c r="BL1029" i="2" s="1"/>
  <c r="BM1029" i="2" s="1"/>
  <c r="BN1029" i="2" s="1"/>
  <c r="BP1029" i="2" s="1"/>
  <c r="DW1029" i="2"/>
  <c r="DE586" i="2"/>
  <c r="DP586" i="2"/>
  <c r="CY486" i="2"/>
  <c r="BG486" i="2" s="1"/>
  <c r="BH486" i="2" s="1"/>
  <c r="BI486" i="2" s="1"/>
  <c r="BK486" i="2" s="1"/>
  <c r="CT486" i="2"/>
  <c r="DG439" i="2"/>
  <c r="DR439" i="2"/>
  <c r="EN532" i="2"/>
  <c r="BL532" i="2" s="1"/>
  <c r="BM532" i="2" s="1"/>
  <c r="BN532" i="2" s="1"/>
  <c r="BP532" i="2" s="1"/>
  <c r="EC532" i="2"/>
  <c r="CZ932" i="2"/>
  <c r="EA932" i="2"/>
  <c r="EB932" i="2" s="1"/>
  <c r="DQ1006" i="2"/>
  <c r="EB1006" i="2"/>
  <c r="DD116" i="2"/>
  <c r="DE1013" i="2"/>
  <c r="DP1013" i="2"/>
  <c r="CU899" i="2"/>
  <c r="CZ899" i="2"/>
  <c r="BG899" i="2" s="1"/>
  <c r="BH899" i="2" s="1"/>
  <c r="BI899" i="2" s="1"/>
  <c r="BK899" i="2" s="1"/>
  <c r="CS859" i="2"/>
  <c r="DV48" i="2"/>
  <c r="DK488" i="2"/>
  <c r="BG488" i="2" s="1"/>
  <c r="BH488" i="2" s="1"/>
  <c r="BI488" i="2" s="1"/>
  <c r="BK488" i="2" s="1"/>
  <c r="DF488" i="2"/>
  <c r="CO614" i="2"/>
  <c r="DD614" i="2"/>
  <c r="DK386" i="2"/>
  <c r="BG386" i="2" s="1"/>
  <c r="BH386" i="2" s="1"/>
  <c r="BI386" i="2" s="1"/>
  <c r="BK386" i="2" s="1"/>
  <c r="DF386" i="2"/>
  <c r="DL533" i="2"/>
  <c r="EA533" i="2"/>
  <c r="EB533" i="2" s="1"/>
  <c r="CZ1023" i="2"/>
  <c r="DU1023" i="2"/>
  <c r="DV1023" i="2" s="1"/>
  <c r="DQ898" i="2"/>
  <c r="EB898" i="2"/>
  <c r="CI1041" i="2"/>
  <c r="CR1041" i="2"/>
  <c r="CS1041" i="2" s="1"/>
  <c r="DF82" i="2"/>
  <c r="DO82" i="2"/>
  <c r="DP82" i="2" s="1"/>
  <c r="DP846" i="2"/>
  <c r="DE846" i="2"/>
  <c r="CN642" i="2"/>
  <c r="DO642" i="2"/>
  <c r="DP642" i="2" s="1"/>
  <c r="CZ210" i="2"/>
  <c r="DU210" i="2"/>
  <c r="DV210" i="2" s="1"/>
  <c r="CZ573" i="2"/>
  <c r="EA573" i="2"/>
  <c r="EB573" i="2" s="1"/>
  <c r="CI509" i="2"/>
  <c r="CR509" i="2"/>
  <c r="CS509" i="2" s="1"/>
  <c r="IX605" i="2"/>
  <c r="DW1024" i="2"/>
  <c r="EH1024" i="2"/>
  <c r="BL1024" i="2" s="1"/>
  <c r="BM1024" i="2" s="1"/>
  <c r="BN1024" i="2" s="1"/>
  <c r="BP1024" i="2" s="1"/>
  <c r="EB1021" i="2"/>
  <c r="DQ1021" i="2"/>
  <c r="EH840" i="2"/>
  <c r="BL840" i="2" s="1"/>
  <c r="BM840" i="2" s="1"/>
  <c r="BN840" i="2" s="1"/>
  <c r="BP840" i="2" s="1"/>
  <c r="DW840" i="2"/>
  <c r="EB866" i="2"/>
  <c r="DQ866" i="2"/>
  <c r="EC493" i="2"/>
  <c r="EN493" i="2"/>
  <c r="BL493" i="2" s="1"/>
  <c r="BM493" i="2" s="1"/>
  <c r="BN493" i="2" s="1"/>
  <c r="BP493" i="2" s="1"/>
  <c r="DQ827" i="2"/>
  <c r="EB827" i="2"/>
  <c r="DQ30" i="2"/>
  <c r="EB30" i="2"/>
  <c r="CZ960" i="2"/>
  <c r="EA960" i="2"/>
  <c r="EB960" i="2" s="1"/>
  <c r="CZ1035" i="2"/>
  <c r="DP988" i="2"/>
  <c r="DF201" i="2"/>
  <c r="DK201" i="2"/>
  <c r="BG201" i="2" s="1"/>
  <c r="BH201" i="2" s="1"/>
  <c r="BI201" i="2" s="1"/>
  <c r="BK201" i="2" s="1"/>
  <c r="DP424" i="2"/>
  <c r="DP315" i="2"/>
  <c r="EB570" i="2"/>
  <c r="DK615" i="2"/>
  <c r="BG615" i="2" s="1"/>
  <c r="BH615" i="2" s="1"/>
  <c r="BI615" i="2" s="1"/>
  <c r="BK615" i="2" s="1"/>
  <c r="DF615" i="2"/>
  <c r="EC529" i="2"/>
  <c r="EN529" i="2"/>
  <c r="BL529" i="2" s="1"/>
  <c r="BM529" i="2" s="1"/>
  <c r="BN529" i="2" s="1"/>
  <c r="BP529" i="2" s="1"/>
  <c r="DF1017" i="2"/>
  <c r="DK1017" i="2"/>
  <c r="DF510" i="2"/>
  <c r="EC535" i="2"/>
  <c r="EN535" i="2"/>
  <c r="BL535" i="2" s="1"/>
  <c r="BM535" i="2" s="1"/>
  <c r="BN535" i="2" s="1"/>
  <c r="BP535" i="2" s="1"/>
  <c r="DW132" i="2"/>
  <c r="EH132" i="2"/>
  <c r="BL132" i="2" s="1"/>
  <c r="BM132" i="2" s="1"/>
  <c r="BN132" i="2" s="1"/>
  <c r="BP132" i="2" s="1"/>
  <c r="DP72" i="2"/>
  <c r="DP47" i="2"/>
  <c r="DQ656" i="2"/>
  <c r="EB656" i="2"/>
  <c r="EB850" i="2"/>
  <c r="DQ850" i="2"/>
  <c r="CT650" i="2"/>
  <c r="CY650" i="2"/>
  <c r="BG650" i="2" s="1"/>
  <c r="BH650" i="2" s="1"/>
  <c r="BI650" i="2" s="1"/>
  <c r="BK650" i="2" s="1"/>
  <c r="DQ646" i="2"/>
  <c r="EB646" i="2"/>
  <c r="DQ884" i="2"/>
  <c r="EB884" i="2"/>
  <c r="CT649" i="2"/>
  <c r="DO649" i="2"/>
  <c r="DP649" i="2" s="1"/>
  <c r="CI214" i="2"/>
  <c r="CS214" i="2"/>
  <c r="CT214" i="2" s="1"/>
  <c r="DV789" i="2"/>
  <c r="CS1044" i="2"/>
  <c r="DL530" i="2"/>
  <c r="EA530" i="2"/>
  <c r="EB530" i="2" s="1"/>
  <c r="CN743" i="2"/>
  <c r="DO743" i="2"/>
  <c r="DP743" i="2" s="1"/>
  <c r="CS872" i="2"/>
  <c r="CO422" i="2"/>
  <c r="CR422" i="2"/>
  <c r="CS422" i="2" s="1"/>
  <c r="DD447" i="2"/>
  <c r="DU12" i="14"/>
  <c r="DW8" i="14"/>
  <c r="DW14" i="14"/>
  <c r="DW7" i="14"/>
  <c r="DU2" i="14"/>
  <c r="DV2" i="14" s="1"/>
  <c r="EH2" i="14" s="1"/>
  <c r="CN6" i="14"/>
  <c r="DV4" i="14"/>
  <c r="EH4" i="14" s="1"/>
  <c r="DV9" i="14"/>
  <c r="EH9" i="14" s="1"/>
  <c r="CN3" i="14"/>
  <c r="CH12" i="14"/>
  <c r="BL5" i="14"/>
  <c r="BM5" i="14" s="1"/>
  <c r="BN5" i="14" s="1"/>
  <c r="BP5" i="14" s="1"/>
  <c r="IO5" i="14"/>
  <c r="DU13" i="14"/>
  <c r="DV13" i="14" s="1"/>
  <c r="EH13" i="14" s="1"/>
  <c r="DV12" i="14"/>
  <c r="DW5" i="14"/>
  <c r="BL7" i="14"/>
  <c r="BM7" i="14" s="1"/>
  <c r="BN7" i="14" s="1"/>
  <c r="BP7" i="14" s="1"/>
  <c r="DF9" i="14"/>
  <c r="DW11" i="14"/>
  <c r="DW10" i="14"/>
  <c r="IO14" i="14"/>
  <c r="BL14" i="14"/>
  <c r="BM14" i="14" s="1"/>
  <c r="BN14" i="14" s="1"/>
  <c r="BP14" i="14" s="1"/>
  <c r="DW3" i="14"/>
  <c r="BL8" i="14"/>
  <c r="BM8" i="14" s="1"/>
  <c r="BN8" i="14" s="1"/>
  <c r="BP8" i="14" s="1"/>
  <c r="DW6" i="14"/>
  <c r="BL558" i="2" l="1"/>
  <c r="BM558" i="2" s="1"/>
  <c r="BN558" i="2" s="1"/>
  <c r="BP558" i="2" s="1"/>
  <c r="EB568" i="2"/>
  <c r="BL568" i="2" s="1"/>
  <c r="BM568" i="2" s="1"/>
  <c r="BN568" i="2" s="1"/>
  <c r="BP568" i="2" s="1"/>
  <c r="BG527" i="2"/>
  <c r="BH527" i="2" s="1"/>
  <c r="BI527" i="2" s="1"/>
  <c r="DF792" i="2"/>
  <c r="EH115" i="2"/>
  <c r="IN115" i="2" s="1"/>
  <c r="CY159" i="2"/>
  <c r="BG159" i="2" s="1"/>
  <c r="BH159" i="2" s="1"/>
  <c r="BI159" i="2" s="1"/>
  <c r="BK159" i="2" s="1"/>
  <c r="BL101" i="2"/>
  <c r="BM101" i="2" s="1"/>
  <c r="BN101" i="2" s="1"/>
  <c r="BP101" i="2" s="1"/>
  <c r="BL16" i="2"/>
  <c r="BM16" i="2" s="1"/>
  <c r="BN16" i="2" s="1"/>
  <c r="BP16" i="2" s="1"/>
  <c r="IN972" i="2"/>
  <c r="BL823" i="2"/>
  <c r="BM823" i="2" s="1"/>
  <c r="BN823" i="2" s="1"/>
  <c r="BP823" i="2" s="1"/>
  <c r="IL1039" i="2"/>
  <c r="BL742" i="2"/>
  <c r="BM742" i="2" s="1"/>
  <c r="BN742" i="2" s="1"/>
  <c r="BP742" i="2" s="1"/>
  <c r="DW742" i="2"/>
  <c r="EH931" i="2"/>
  <c r="BL931" i="2" s="1"/>
  <c r="BM931" i="2" s="1"/>
  <c r="BN931" i="2" s="1"/>
  <c r="BP931" i="2" s="1"/>
  <c r="DW786" i="2"/>
  <c r="BL340" i="2"/>
  <c r="BM340" i="2" s="1"/>
  <c r="BN340" i="2" s="1"/>
  <c r="BP340" i="2" s="1"/>
  <c r="IL467" i="2"/>
  <c r="EH18" i="14"/>
  <c r="DF10" i="11"/>
  <c r="DK10" i="11"/>
  <c r="BG10" i="11" s="1"/>
  <c r="BH10" i="11" s="1"/>
  <c r="BI10" i="11" s="1"/>
  <c r="BK10" i="11" s="1"/>
  <c r="IM4" i="11"/>
  <c r="IO4" i="11" s="1"/>
  <c r="BG4" i="11"/>
  <c r="BH4" i="11" s="1"/>
  <c r="BI4" i="11" s="1"/>
  <c r="BK4" i="11" s="1"/>
  <c r="DF7" i="11"/>
  <c r="DK7" i="11"/>
  <c r="CY404" i="2"/>
  <c r="BG404" i="2" s="1"/>
  <c r="BH404" i="2" s="1"/>
  <c r="BI404" i="2" s="1"/>
  <c r="BK404" i="2" s="1"/>
  <c r="IX785" i="2"/>
  <c r="DV655" i="2"/>
  <c r="EH655" i="2" s="1"/>
  <c r="BL655" i="2" s="1"/>
  <c r="BM655" i="2" s="1"/>
  <c r="BN655" i="2" s="1"/>
  <c r="BP655" i="2" s="1"/>
  <c r="CT408" i="2"/>
  <c r="EB188" i="2"/>
  <c r="BL188" i="2" s="1"/>
  <c r="BM188" i="2" s="1"/>
  <c r="BN188" i="2" s="1"/>
  <c r="BP188" i="2" s="1"/>
  <c r="EH634" i="2"/>
  <c r="BL634" i="2" s="1"/>
  <c r="BM634" i="2" s="1"/>
  <c r="BN634" i="2" s="1"/>
  <c r="BP634" i="2" s="1"/>
  <c r="CT843" i="2"/>
  <c r="DW1032" i="2"/>
  <c r="DQ152" i="2"/>
  <c r="DW787" i="2"/>
  <c r="BL253" i="2"/>
  <c r="BM253" i="2" s="1"/>
  <c r="BN253" i="2" s="1"/>
  <c r="BP253" i="2" s="1"/>
  <c r="EB582" i="2"/>
  <c r="BL582" i="2" s="1"/>
  <c r="BM582" i="2" s="1"/>
  <c r="BN582" i="2" s="1"/>
  <c r="BP582" i="2" s="1"/>
  <c r="BG356" i="2"/>
  <c r="BH356" i="2" s="1"/>
  <c r="BI356" i="2" s="1"/>
  <c r="BK356" i="2" s="1"/>
  <c r="IO356" i="2"/>
  <c r="DW954" i="2"/>
  <c r="BL124" i="2"/>
  <c r="BM124" i="2" s="1"/>
  <c r="BN124" i="2" s="1"/>
  <c r="BP124" i="2" s="1"/>
  <c r="IN124" i="2"/>
  <c r="DW920" i="2"/>
  <c r="CY190" i="2"/>
  <c r="BG190" i="2" s="1"/>
  <c r="BH190" i="2" s="1"/>
  <c r="BI190" i="2" s="1"/>
  <c r="BK190" i="2" s="1"/>
  <c r="IO355" i="2"/>
  <c r="BL319" i="2"/>
  <c r="BM319" i="2" s="1"/>
  <c r="BN319" i="2" s="1"/>
  <c r="BP319" i="2" s="1"/>
  <c r="EH712" i="2"/>
  <c r="BL712" i="2" s="1"/>
  <c r="BM712" i="2" s="1"/>
  <c r="BN712" i="2" s="1"/>
  <c r="BP712" i="2" s="1"/>
  <c r="DW754" i="2"/>
  <c r="DP410" i="2"/>
  <c r="DQ410" i="2" s="1"/>
  <c r="BL954" i="2"/>
  <c r="BM954" i="2" s="1"/>
  <c r="BN954" i="2" s="1"/>
  <c r="BP954" i="2" s="1"/>
  <c r="IN954" i="2"/>
  <c r="EH329" i="2"/>
  <c r="BL329" i="2" s="1"/>
  <c r="BM329" i="2" s="1"/>
  <c r="BN329" i="2" s="1"/>
  <c r="BP329" i="2" s="1"/>
  <c r="CT254" i="2"/>
  <c r="EN516" i="2"/>
  <c r="BL516" i="2" s="1"/>
  <c r="BM516" i="2" s="1"/>
  <c r="BN516" i="2" s="1"/>
  <c r="BP516" i="2" s="1"/>
  <c r="IL749" i="2"/>
  <c r="BL749" i="2"/>
  <c r="BM749" i="2" s="1"/>
  <c r="BN749" i="2" s="1"/>
  <c r="BP749" i="2" s="1"/>
  <c r="EH693" i="2"/>
  <c r="IN693" i="2" s="1"/>
  <c r="BL786" i="2"/>
  <c r="BM786" i="2" s="1"/>
  <c r="BN786" i="2" s="1"/>
  <c r="BP786" i="2" s="1"/>
  <c r="IN786" i="2"/>
  <c r="BL559" i="2"/>
  <c r="BM559" i="2" s="1"/>
  <c r="BN559" i="2" s="1"/>
  <c r="BP559" i="2" s="1"/>
  <c r="IL559" i="2"/>
  <c r="IN754" i="2"/>
  <c r="BL754" i="2"/>
  <c r="BM754" i="2" s="1"/>
  <c r="BN754" i="2" s="1"/>
  <c r="BP754" i="2" s="1"/>
  <c r="BL920" i="2"/>
  <c r="BM920" i="2" s="1"/>
  <c r="BN920" i="2" s="1"/>
  <c r="BP920" i="2" s="1"/>
  <c r="IN920" i="2"/>
  <c r="EH323" i="2"/>
  <c r="BL323" i="2" s="1"/>
  <c r="BM323" i="2" s="1"/>
  <c r="BN323" i="2" s="1"/>
  <c r="BP323" i="2" s="1"/>
  <c r="EN524" i="2"/>
  <c r="BL524" i="2" s="1"/>
  <c r="BM524" i="2" s="1"/>
  <c r="BN524" i="2" s="1"/>
  <c r="BP524" i="2" s="1"/>
  <c r="DW1047" i="2"/>
  <c r="BL216" i="2"/>
  <c r="BM216" i="2" s="1"/>
  <c r="BN216" i="2" s="1"/>
  <c r="BP216" i="2" s="1"/>
  <c r="IL216" i="2"/>
  <c r="DW337" i="2"/>
  <c r="EH337" i="2"/>
  <c r="IO354" i="2"/>
  <c r="BG354" i="2"/>
  <c r="BH354" i="2" s="1"/>
  <c r="BI354" i="2" s="1"/>
  <c r="BK354" i="2" s="1"/>
  <c r="IL970" i="2"/>
  <c r="BL970" i="2"/>
  <c r="BM970" i="2" s="1"/>
  <c r="BN970" i="2" s="1"/>
  <c r="BP970" i="2" s="1"/>
  <c r="EH1028" i="2"/>
  <c r="BL1028" i="2" s="1"/>
  <c r="BM1028" i="2" s="1"/>
  <c r="BN1028" i="2" s="1"/>
  <c r="BP1028" i="2" s="1"/>
  <c r="CY867" i="2"/>
  <c r="BG867" i="2" s="1"/>
  <c r="BH867" i="2" s="1"/>
  <c r="BI867" i="2" s="1"/>
  <c r="BK867" i="2" s="1"/>
  <c r="EB67" i="2"/>
  <c r="BL67" i="2" s="1"/>
  <c r="BM67" i="2" s="1"/>
  <c r="BN67" i="2" s="1"/>
  <c r="BP67" i="2" s="1"/>
  <c r="DQ668" i="2"/>
  <c r="DQ847" i="2"/>
  <c r="DW815" i="2"/>
  <c r="EB724" i="2"/>
  <c r="BL724" i="2" s="1"/>
  <c r="BM724" i="2" s="1"/>
  <c r="BN724" i="2" s="1"/>
  <c r="BP724" i="2" s="1"/>
  <c r="BL474" i="2"/>
  <c r="BM474" i="2" s="1"/>
  <c r="BN474" i="2" s="1"/>
  <c r="BP474" i="2" s="1"/>
  <c r="CY805" i="2"/>
  <c r="BG805" i="2" s="1"/>
  <c r="BH805" i="2" s="1"/>
  <c r="BI805" i="2" s="1"/>
  <c r="BK805" i="2" s="1"/>
  <c r="EB26" i="2"/>
  <c r="IP26" i="2" s="1"/>
  <c r="DQ131" i="2"/>
  <c r="DQ377" i="2"/>
  <c r="EB399" i="2"/>
  <c r="BL399" i="2" s="1"/>
  <c r="BM399" i="2" s="1"/>
  <c r="BN399" i="2" s="1"/>
  <c r="BP399" i="2" s="1"/>
  <c r="EC797" i="2"/>
  <c r="EH714" i="2"/>
  <c r="BL714" i="2" s="1"/>
  <c r="BM714" i="2" s="1"/>
  <c r="BN714" i="2" s="1"/>
  <c r="BP714" i="2" s="1"/>
  <c r="DQ704" i="2"/>
  <c r="CY662" i="2"/>
  <c r="BG662" i="2" s="1"/>
  <c r="BH662" i="2" s="1"/>
  <c r="BI662" i="2" s="1"/>
  <c r="BK662" i="2" s="1"/>
  <c r="DQ831" i="2"/>
  <c r="DQ610" i="2"/>
  <c r="EC466" i="2"/>
  <c r="EN804" i="2"/>
  <c r="BL804" i="2" s="1"/>
  <c r="BM804" i="2" s="1"/>
  <c r="BN804" i="2" s="1"/>
  <c r="BP804" i="2" s="1"/>
  <c r="EB127" i="2"/>
  <c r="BL127" i="2" s="1"/>
  <c r="BM127" i="2" s="1"/>
  <c r="BN127" i="2" s="1"/>
  <c r="BP127" i="2" s="1"/>
  <c r="EC604" i="2"/>
  <c r="EH288" i="2"/>
  <c r="BL288" i="2" s="1"/>
  <c r="BM288" i="2" s="1"/>
  <c r="BN288" i="2" s="1"/>
  <c r="BP288" i="2" s="1"/>
  <c r="DK799" i="2"/>
  <c r="BG799" i="2" s="1"/>
  <c r="BH799" i="2" s="1"/>
  <c r="BI799" i="2" s="1"/>
  <c r="BK799" i="2" s="1"/>
  <c r="EN279" i="2"/>
  <c r="BL279" i="2" s="1"/>
  <c r="BM279" i="2" s="1"/>
  <c r="BN279" i="2" s="1"/>
  <c r="BP279" i="2" s="1"/>
  <c r="DK489" i="2"/>
  <c r="BG489" i="2" s="1"/>
  <c r="BH489" i="2" s="1"/>
  <c r="BI489" i="2" s="1"/>
  <c r="BK489" i="2" s="1"/>
  <c r="EH617" i="2"/>
  <c r="BL617" i="2" s="1"/>
  <c r="BM617" i="2" s="1"/>
  <c r="BN617" i="2" s="1"/>
  <c r="BP617" i="2" s="1"/>
  <c r="DQ271" i="2"/>
  <c r="DQ400" i="2"/>
  <c r="BL200" i="2"/>
  <c r="BM200" i="2" s="1"/>
  <c r="BN200" i="2" s="1"/>
  <c r="BP200" i="2" s="1"/>
  <c r="DQ128" i="2"/>
  <c r="EB22" i="2"/>
  <c r="BL22" i="2" s="1"/>
  <c r="BM22" i="2" s="1"/>
  <c r="BN22" i="2" s="1"/>
  <c r="BP22" i="2" s="1"/>
  <c r="EN1000" i="2"/>
  <c r="BL1000" i="2" s="1"/>
  <c r="BM1000" i="2" s="1"/>
  <c r="BN1000" i="2" s="1"/>
  <c r="BP1000" i="2" s="1"/>
  <c r="EN217" i="2"/>
  <c r="BL217" i="2" s="1"/>
  <c r="BM217" i="2" s="1"/>
  <c r="BN217" i="2" s="1"/>
  <c r="BP217" i="2" s="1"/>
  <c r="EH15" i="2"/>
  <c r="BL15" i="2" s="1"/>
  <c r="BM15" i="2" s="1"/>
  <c r="BN15" i="2" s="1"/>
  <c r="BP15" i="2" s="1"/>
  <c r="BL1018" i="2"/>
  <c r="BM1018" i="2" s="1"/>
  <c r="BN1018" i="2" s="1"/>
  <c r="BP1018" i="2" s="1"/>
  <c r="IN1018" i="2"/>
  <c r="BG490" i="2"/>
  <c r="BH490" i="2" s="1"/>
  <c r="BI490" i="2" s="1"/>
  <c r="BK490" i="2" s="1"/>
  <c r="II490" i="2"/>
  <c r="BL765" i="2"/>
  <c r="BM765" i="2" s="1"/>
  <c r="BN765" i="2" s="1"/>
  <c r="BP765" i="2" s="1"/>
  <c r="IL765" i="2"/>
  <c r="IN84" i="2"/>
  <c r="BL84" i="2"/>
  <c r="BM84" i="2" s="1"/>
  <c r="BN84" i="2" s="1"/>
  <c r="BP84" i="2" s="1"/>
  <c r="DP507" i="2"/>
  <c r="BL507" i="2" s="1"/>
  <c r="BM507" i="2" s="1"/>
  <c r="BN507" i="2" s="1"/>
  <c r="BP507" i="2" s="1"/>
  <c r="DQ57" i="2"/>
  <c r="EB29" i="2"/>
  <c r="IL29" i="2" s="1"/>
  <c r="CY974" i="2"/>
  <c r="BG974" i="2" s="1"/>
  <c r="BH974" i="2" s="1"/>
  <c r="BI974" i="2" s="1"/>
  <c r="BK974" i="2" s="1"/>
  <c r="IO83" i="2"/>
  <c r="BG83" i="2"/>
  <c r="BH83" i="2" s="1"/>
  <c r="BI83" i="2" s="1"/>
  <c r="BK83" i="2" s="1"/>
  <c r="EH309" i="2"/>
  <c r="BL309" i="2" s="1"/>
  <c r="BM309" i="2" s="1"/>
  <c r="BN309" i="2" s="1"/>
  <c r="BP309" i="2" s="1"/>
  <c r="DF616" i="2"/>
  <c r="EC298" i="2"/>
  <c r="EH676" i="2"/>
  <c r="BL676" i="2" s="1"/>
  <c r="BM676" i="2" s="1"/>
  <c r="BN676" i="2" s="1"/>
  <c r="BP676" i="2" s="1"/>
  <c r="DQ396" i="2"/>
  <c r="DF69" i="2"/>
  <c r="DW49" i="2"/>
  <c r="DP495" i="2"/>
  <c r="IL495" i="2" s="1"/>
  <c r="EB232" i="2"/>
  <c r="BL232" i="2" s="1"/>
  <c r="BM232" i="2" s="1"/>
  <c r="BN232" i="2" s="1"/>
  <c r="BP232" i="2" s="1"/>
  <c r="DE614" i="2"/>
  <c r="DK614" i="2" s="1"/>
  <c r="BG614" i="2" s="1"/>
  <c r="BH614" i="2" s="1"/>
  <c r="BI614" i="2" s="1"/>
  <c r="BK614" i="2" s="1"/>
  <c r="DQ491" i="2"/>
  <c r="IX225" i="2"/>
  <c r="BL225" i="2"/>
  <c r="BM225" i="2" s="1"/>
  <c r="BN225" i="2" s="1"/>
  <c r="BP225" i="2" s="1"/>
  <c r="EN148" i="2"/>
  <c r="BL148" i="2" s="1"/>
  <c r="BM148" i="2" s="1"/>
  <c r="BN148" i="2" s="1"/>
  <c r="BP148" i="2" s="1"/>
  <c r="EB125" i="2"/>
  <c r="BL125" i="2" s="1"/>
  <c r="BM125" i="2" s="1"/>
  <c r="BN125" i="2" s="1"/>
  <c r="BP125" i="2" s="1"/>
  <c r="DP112" i="2"/>
  <c r="BL112" i="2" s="1"/>
  <c r="BM112" i="2" s="1"/>
  <c r="BN112" i="2" s="1"/>
  <c r="BP112" i="2" s="1"/>
  <c r="BL1047" i="2"/>
  <c r="BM1047" i="2" s="1"/>
  <c r="BN1047" i="2" s="1"/>
  <c r="BP1047" i="2" s="1"/>
  <c r="IN1047" i="2"/>
  <c r="EB85" i="2"/>
  <c r="EC85" i="2" s="1"/>
  <c r="DK473" i="2"/>
  <c r="BG473" i="2" s="1"/>
  <c r="BH473" i="2" s="1"/>
  <c r="BI473" i="2" s="1"/>
  <c r="BK473" i="2" s="1"/>
  <c r="CZ911" i="2"/>
  <c r="BG911" i="2" s="1"/>
  <c r="BH911" i="2" s="1"/>
  <c r="BI911" i="2" s="1"/>
  <c r="BK911" i="2" s="1"/>
  <c r="EB94" i="2"/>
  <c r="BL94" i="2" s="1"/>
  <c r="BM94" i="2" s="1"/>
  <c r="BN94" i="2" s="1"/>
  <c r="BP94" i="2" s="1"/>
  <c r="IL648" i="2"/>
  <c r="BL648" i="2"/>
  <c r="BM648" i="2" s="1"/>
  <c r="BN648" i="2" s="1"/>
  <c r="BP648" i="2" s="1"/>
  <c r="IX167" i="2"/>
  <c r="EB397" i="2"/>
  <c r="BL397" i="2" s="1"/>
  <c r="BM397" i="2" s="1"/>
  <c r="BN397" i="2" s="1"/>
  <c r="BP397" i="2" s="1"/>
  <c r="DQ293" i="2"/>
  <c r="EC80" i="2"/>
  <c r="CT1038" i="2"/>
  <c r="EB500" i="2"/>
  <c r="BL500" i="2" s="1"/>
  <c r="BM500" i="2" s="1"/>
  <c r="BN500" i="2" s="1"/>
  <c r="BP500" i="2" s="1"/>
  <c r="CT868" i="2"/>
  <c r="EB182" i="2"/>
  <c r="BL182" i="2" s="1"/>
  <c r="BM182" i="2" s="1"/>
  <c r="BN182" i="2" s="1"/>
  <c r="BP182" i="2" s="1"/>
  <c r="DF504" i="2"/>
  <c r="EB121" i="2"/>
  <c r="BL121" i="2" s="1"/>
  <c r="BM121" i="2" s="1"/>
  <c r="BN121" i="2" s="1"/>
  <c r="BP121" i="2" s="1"/>
  <c r="CY903" i="2"/>
  <c r="BG903" i="2" s="1"/>
  <c r="BH903" i="2" s="1"/>
  <c r="BI903" i="2" s="1"/>
  <c r="BK903" i="2" s="1"/>
  <c r="DW862" i="2"/>
  <c r="EB126" i="2"/>
  <c r="BL126" i="2" s="1"/>
  <c r="BM126" i="2" s="1"/>
  <c r="BN126" i="2" s="1"/>
  <c r="BP126" i="2" s="1"/>
  <c r="DW713" i="2"/>
  <c r="EB725" i="2"/>
  <c r="BL725" i="2" s="1"/>
  <c r="BM725" i="2" s="1"/>
  <c r="BN725" i="2" s="1"/>
  <c r="BP725" i="2" s="1"/>
  <c r="BL342" i="2"/>
  <c r="BM342" i="2" s="1"/>
  <c r="BN342" i="2" s="1"/>
  <c r="BP342" i="2" s="1"/>
  <c r="IL342" i="2"/>
  <c r="CY976" i="2"/>
  <c r="BG976" i="2" s="1"/>
  <c r="BH976" i="2" s="1"/>
  <c r="BI976" i="2" s="1"/>
  <c r="BK976" i="2" s="1"/>
  <c r="BL155" i="2"/>
  <c r="BM155" i="2" s="1"/>
  <c r="BN155" i="2" s="1"/>
  <c r="BP155" i="2" s="1"/>
  <c r="IN155" i="2"/>
  <c r="BL496" i="2"/>
  <c r="BM496" i="2" s="1"/>
  <c r="BN496" i="2" s="1"/>
  <c r="BP496" i="2" s="1"/>
  <c r="IX496" i="2"/>
  <c r="DK301" i="2"/>
  <c r="BG301" i="2" s="1"/>
  <c r="BH301" i="2" s="1"/>
  <c r="BI301" i="2" s="1"/>
  <c r="BK301" i="2" s="1"/>
  <c r="BL878" i="2"/>
  <c r="BM878" i="2" s="1"/>
  <c r="BN878" i="2" s="1"/>
  <c r="BP878" i="2" s="1"/>
  <c r="IX878" i="2"/>
  <c r="II499" i="2"/>
  <c r="BG499" i="2"/>
  <c r="BH499" i="2" s="1"/>
  <c r="BI499" i="2" s="1"/>
  <c r="BK499" i="2" s="1"/>
  <c r="EH1025" i="2"/>
  <c r="BL1025" i="2" s="1"/>
  <c r="BM1025" i="2" s="1"/>
  <c r="BN1025" i="2" s="1"/>
  <c r="BP1025" i="2" s="1"/>
  <c r="DW170" i="2"/>
  <c r="DE283" i="2"/>
  <c r="BG283" i="2" s="1"/>
  <c r="BH283" i="2" s="1"/>
  <c r="BI283" i="2" s="1"/>
  <c r="BK283" i="2" s="1"/>
  <c r="EB711" i="2"/>
  <c r="BL711" i="2" s="1"/>
  <c r="BM711" i="2" s="1"/>
  <c r="BN711" i="2" s="1"/>
  <c r="BP711" i="2" s="1"/>
  <c r="EN235" i="2"/>
  <c r="BL235" i="2" s="1"/>
  <c r="BM235" i="2" s="1"/>
  <c r="BN235" i="2" s="1"/>
  <c r="BP235" i="2" s="1"/>
  <c r="CT638" i="2"/>
  <c r="DK406" i="2"/>
  <c r="BG406" i="2" s="1"/>
  <c r="BH406" i="2" s="1"/>
  <c r="BI406" i="2" s="1"/>
  <c r="BK406" i="2" s="1"/>
  <c r="BL704" i="2"/>
  <c r="BM704" i="2" s="1"/>
  <c r="BN704" i="2" s="1"/>
  <c r="BP704" i="2" s="1"/>
  <c r="IX704" i="2"/>
  <c r="EH1005" i="2"/>
  <c r="BL1005" i="2" s="1"/>
  <c r="BM1005" i="2" s="1"/>
  <c r="BN1005" i="2" s="1"/>
  <c r="BP1005" i="2" s="1"/>
  <c r="DW882" i="2"/>
  <c r="EH653" i="2"/>
  <c r="BL653" i="2" s="1"/>
  <c r="BM653" i="2" s="1"/>
  <c r="BN653" i="2" s="1"/>
  <c r="BP653" i="2" s="1"/>
  <c r="CZ53" i="2"/>
  <c r="DQ590" i="2"/>
  <c r="BL269" i="2"/>
  <c r="BM269" i="2" s="1"/>
  <c r="BN269" i="2" s="1"/>
  <c r="BP269" i="2" s="1"/>
  <c r="IL269" i="2"/>
  <c r="IL883" i="2"/>
  <c r="BL883" i="2"/>
  <c r="BM883" i="2" s="1"/>
  <c r="BN883" i="2" s="1"/>
  <c r="BP883" i="2" s="1"/>
  <c r="BL170" i="2"/>
  <c r="BM170" i="2" s="1"/>
  <c r="BN170" i="2" s="1"/>
  <c r="BP170" i="2" s="1"/>
  <c r="IN170" i="2"/>
  <c r="EH1034" i="2"/>
  <c r="IN1034" i="2" s="1"/>
  <c r="EC79" i="2"/>
  <c r="BL891" i="2"/>
  <c r="BM891" i="2" s="1"/>
  <c r="BN891" i="2" s="1"/>
  <c r="BP891" i="2" s="1"/>
  <c r="IL891" i="2"/>
  <c r="EC536" i="2"/>
  <c r="DE380" i="2"/>
  <c r="IL719" i="2"/>
  <c r="BL719" i="2"/>
  <c r="BM719" i="2" s="1"/>
  <c r="BN719" i="2" s="1"/>
  <c r="BP719" i="2" s="1"/>
  <c r="BL956" i="2"/>
  <c r="BM956" i="2" s="1"/>
  <c r="BN956" i="2" s="1"/>
  <c r="BP956" i="2" s="1"/>
  <c r="IX956" i="2"/>
  <c r="BL677" i="2"/>
  <c r="BM677" i="2" s="1"/>
  <c r="BN677" i="2" s="1"/>
  <c r="BP677" i="2" s="1"/>
  <c r="IL677" i="2"/>
  <c r="IL923" i="2"/>
  <c r="BL923" i="2"/>
  <c r="BM923" i="2" s="1"/>
  <c r="BN923" i="2" s="1"/>
  <c r="BP923" i="2" s="1"/>
  <c r="DQ691" i="2"/>
  <c r="CY151" i="2"/>
  <c r="BG151" i="2" s="1"/>
  <c r="BH151" i="2" s="1"/>
  <c r="BI151" i="2" s="1"/>
  <c r="BK151" i="2" s="1"/>
  <c r="EB54" i="2"/>
  <c r="BL54" i="2" s="1"/>
  <c r="BM54" i="2" s="1"/>
  <c r="BN54" i="2" s="1"/>
  <c r="BP54" i="2" s="1"/>
  <c r="BG237" i="2"/>
  <c r="BH237" i="2" s="1"/>
  <c r="BI237" i="2" s="1"/>
  <c r="BK237" i="2" s="1"/>
  <c r="IO237" i="2"/>
  <c r="II339" i="2"/>
  <c r="BG339" i="2"/>
  <c r="BH339" i="2" s="1"/>
  <c r="BI339" i="2" s="1"/>
  <c r="BK339" i="2" s="1"/>
  <c r="IL699" i="2"/>
  <c r="BL699" i="2"/>
  <c r="BM699" i="2" s="1"/>
  <c r="BN699" i="2" s="1"/>
  <c r="BP699" i="2" s="1"/>
  <c r="EN223" i="2"/>
  <c r="BL223" i="2" s="1"/>
  <c r="BM223" i="2" s="1"/>
  <c r="BN223" i="2" s="1"/>
  <c r="BP223" i="2" s="1"/>
  <c r="IX1019" i="2"/>
  <c r="BL1019" i="2"/>
  <c r="BM1019" i="2" s="1"/>
  <c r="BN1019" i="2" s="1"/>
  <c r="BP1019" i="2" s="1"/>
  <c r="EB679" i="2"/>
  <c r="BL679" i="2" s="1"/>
  <c r="BM679" i="2" s="1"/>
  <c r="BN679" i="2" s="1"/>
  <c r="BP679" i="2" s="1"/>
  <c r="DQ679" i="2"/>
  <c r="EN523" i="2"/>
  <c r="BL523" i="2" s="1"/>
  <c r="BM523" i="2" s="1"/>
  <c r="BN523" i="2" s="1"/>
  <c r="BP523" i="2" s="1"/>
  <c r="EC523" i="2"/>
  <c r="IN925" i="2"/>
  <c r="BL925" i="2"/>
  <c r="BM925" i="2" s="1"/>
  <c r="BN925" i="2" s="1"/>
  <c r="BP925" i="2" s="1"/>
  <c r="IL231" i="2"/>
  <c r="BL231" i="2"/>
  <c r="BM231" i="2" s="1"/>
  <c r="BN231" i="2" s="1"/>
  <c r="BP231" i="2" s="1"/>
  <c r="IX257" i="2"/>
  <c r="BL257" i="2"/>
  <c r="BM257" i="2" s="1"/>
  <c r="BN257" i="2" s="1"/>
  <c r="BP257" i="2" s="1"/>
  <c r="DQ12" i="2"/>
  <c r="EB12" i="2"/>
  <c r="BL12" i="2" s="1"/>
  <c r="BM12" i="2" s="1"/>
  <c r="BN12" i="2" s="1"/>
  <c r="BP12" i="2" s="1"/>
  <c r="CY869" i="2"/>
  <c r="BG869" i="2" s="1"/>
  <c r="BH869" i="2" s="1"/>
  <c r="BI869" i="2" s="1"/>
  <c r="BK869" i="2" s="1"/>
  <c r="EN420" i="2"/>
  <c r="BL420" i="2" s="1"/>
  <c r="BM420" i="2" s="1"/>
  <c r="BN420" i="2" s="1"/>
  <c r="BP420" i="2" s="1"/>
  <c r="DO510" i="2"/>
  <c r="DP510" i="2" s="1"/>
  <c r="DQ510" i="2" s="1"/>
  <c r="BL625" i="2"/>
  <c r="BM625" i="2" s="1"/>
  <c r="BN625" i="2" s="1"/>
  <c r="BP625" i="2" s="1"/>
  <c r="IX625" i="2"/>
  <c r="BL140" i="2"/>
  <c r="BM140" i="2" s="1"/>
  <c r="BN140" i="2" s="1"/>
  <c r="BP140" i="2" s="1"/>
  <c r="IX140" i="2"/>
  <c r="IX478" i="2"/>
  <c r="BL478" i="2"/>
  <c r="BM478" i="2" s="1"/>
  <c r="BN478" i="2" s="1"/>
  <c r="BP478" i="2" s="1"/>
  <c r="DQ401" i="2"/>
  <c r="EB401" i="2"/>
  <c r="BL401" i="2" s="1"/>
  <c r="BM401" i="2" s="1"/>
  <c r="BN401" i="2" s="1"/>
  <c r="BP401" i="2" s="1"/>
  <c r="DU1035" i="2"/>
  <c r="DV1035" i="2" s="1"/>
  <c r="DW1035" i="2" s="1"/>
  <c r="BG246" i="2"/>
  <c r="BH246" i="2" s="1"/>
  <c r="BI246" i="2" s="1"/>
  <c r="BK246" i="2" s="1"/>
  <c r="IO246" i="2"/>
  <c r="BL862" i="2"/>
  <c r="BM862" i="2" s="1"/>
  <c r="BN862" i="2" s="1"/>
  <c r="BP862" i="2" s="1"/>
  <c r="IN862" i="2"/>
  <c r="EC525" i="2"/>
  <c r="CY353" i="2"/>
  <c r="BG353" i="2" s="1"/>
  <c r="BH353" i="2" s="1"/>
  <c r="BI353" i="2" s="1"/>
  <c r="BK353" i="2" s="1"/>
  <c r="CT353" i="2"/>
  <c r="IL908" i="2"/>
  <c r="BL908" i="2"/>
  <c r="BM908" i="2" s="1"/>
  <c r="BN908" i="2" s="1"/>
  <c r="BP908" i="2" s="1"/>
  <c r="BL607" i="2"/>
  <c r="BM607" i="2" s="1"/>
  <c r="BN607" i="2" s="1"/>
  <c r="BP607" i="2" s="1"/>
  <c r="IN607" i="2"/>
  <c r="EH429" i="2"/>
  <c r="DW429" i="2"/>
  <c r="IL472" i="2"/>
  <c r="BL472" i="2"/>
  <c r="BM472" i="2" s="1"/>
  <c r="BN472" i="2" s="1"/>
  <c r="BP472" i="2" s="1"/>
  <c r="DQ992" i="2"/>
  <c r="EB992" i="2"/>
  <c r="EC521" i="2"/>
  <c r="EN521" i="2"/>
  <c r="BL521" i="2" s="1"/>
  <c r="BM521" i="2" s="1"/>
  <c r="BN521" i="2" s="1"/>
  <c r="BP521" i="2" s="1"/>
  <c r="EB193" i="2"/>
  <c r="BL193" i="2" s="1"/>
  <c r="BM193" i="2" s="1"/>
  <c r="BN193" i="2" s="1"/>
  <c r="BP193" i="2" s="1"/>
  <c r="DQ193" i="2"/>
  <c r="BG624" i="2"/>
  <c r="BH624" i="2" s="1"/>
  <c r="BI624" i="2" s="1"/>
  <c r="BK624" i="2" s="1"/>
  <c r="IO624" i="2"/>
  <c r="DK829" i="2"/>
  <c r="DF829" i="2"/>
  <c r="CZ150" i="2"/>
  <c r="DE150" i="2"/>
  <c r="EN224" i="2"/>
  <c r="BL224" i="2" s="1"/>
  <c r="BM224" i="2" s="1"/>
  <c r="BN224" i="2" s="1"/>
  <c r="BP224" i="2" s="1"/>
  <c r="EC224" i="2"/>
  <c r="EH348" i="2"/>
  <c r="BL348" i="2" s="1"/>
  <c r="BM348" i="2" s="1"/>
  <c r="BN348" i="2" s="1"/>
  <c r="BP348" i="2" s="1"/>
  <c r="DW348" i="2"/>
  <c r="IX592" i="2"/>
  <c r="BL592" i="2"/>
  <c r="BM592" i="2" s="1"/>
  <c r="BN592" i="2" s="1"/>
  <c r="BP592" i="2" s="1"/>
  <c r="DQ395" i="2"/>
  <c r="EB395" i="2"/>
  <c r="BL395" i="2" s="1"/>
  <c r="BM395" i="2" s="1"/>
  <c r="BN395" i="2" s="1"/>
  <c r="BP395" i="2" s="1"/>
  <c r="DP242" i="2"/>
  <c r="BL242" i="2" s="1"/>
  <c r="BM242" i="2" s="1"/>
  <c r="BN242" i="2" s="1"/>
  <c r="BP242" i="2" s="1"/>
  <c r="IL207" i="2"/>
  <c r="BL207" i="2"/>
  <c r="BM207" i="2" s="1"/>
  <c r="BN207" i="2" s="1"/>
  <c r="BP207" i="2" s="1"/>
  <c r="EC528" i="2"/>
  <c r="EN528" i="2"/>
  <c r="BL528" i="2" s="1"/>
  <c r="BM528" i="2" s="1"/>
  <c r="BN528" i="2" s="1"/>
  <c r="BP528" i="2" s="1"/>
  <c r="IO238" i="2"/>
  <c r="BG238" i="2"/>
  <c r="BH238" i="2" s="1"/>
  <c r="BI238" i="2" s="1"/>
  <c r="BK238" i="2" s="1"/>
  <c r="IX158" i="2"/>
  <c r="BL158" i="2"/>
  <c r="BM158" i="2" s="1"/>
  <c r="BN158" i="2" s="1"/>
  <c r="BP158" i="2" s="1"/>
  <c r="EB123" i="2"/>
  <c r="DQ123" i="2"/>
  <c r="EN228" i="2"/>
  <c r="BL228" i="2" s="1"/>
  <c r="BM228" i="2" s="1"/>
  <c r="BN228" i="2" s="1"/>
  <c r="BP228" i="2" s="1"/>
  <c r="EC228" i="2"/>
  <c r="CZ375" i="2"/>
  <c r="BG375" i="2" s="1"/>
  <c r="BH375" i="2" s="1"/>
  <c r="BI375" i="2" s="1"/>
  <c r="BK375" i="2" s="1"/>
  <c r="CU375" i="2"/>
  <c r="BL414" i="2"/>
  <c r="BM414" i="2" s="1"/>
  <c r="BN414" i="2" s="1"/>
  <c r="BP414" i="2" s="1"/>
  <c r="IL414" i="2"/>
  <c r="EB873" i="2"/>
  <c r="DQ873" i="2"/>
  <c r="DQ175" i="2"/>
  <c r="EB175" i="2"/>
  <c r="BL175" i="2" s="1"/>
  <c r="BM175" i="2" s="1"/>
  <c r="BN175" i="2" s="1"/>
  <c r="BP175" i="2" s="1"/>
  <c r="EB306" i="2"/>
  <c r="BL306" i="2" s="1"/>
  <c r="BM306" i="2" s="1"/>
  <c r="BN306" i="2" s="1"/>
  <c r="BP306" i="2" s="1"/>
  <c r="DQ306" i="2"/>
  <c r="IP567" i="2"/>
  <c r="BL567" i="2"/>
  <c r="BM567" i="2" s="1"/>
  <c r="BN567" i="2" s="1"/>
  <c r="BP567" i="2" s="1"/>
  <c r="DF1002" i="2"/>
  <c r="DK1002" i="2"/>
  <c r="BG1002" i="2" s="1"/>
  <c r="BH1002" i="2" s="1"/>
  <c r="BI1002" i="2" s="1"/>
  <c r="BK1002" i="2" s="1"/>
  <c r="EN522" i="2"/>
  <c r="BL522" i="2" s="1"/>
  <c r="BM522" i="2" s="1"/>
  <c r="BN522" i="2" s="1"/>
  <c r="BP522" i="2" s="1"/>
  <c r="EC522" i="2"/>
  <c r="EN520" i="2"/>
  <c r="BL520" i="2" s="1"/>
  <c r="BM520" i="2" s="1"/>
  <c r="BN520" i="2" s="1"/>
  <c r="BP520" i="2" s="1"/>
  <c r="EC520" i="2"/>
  <c r="BL154" i="2"/>
  <c r="BM154" i="2" s="1"/>
  <c r="BN154" i="2" s="1"/>
  <c r="BP154" i="2" s="1"/>
  <c r="IL154" i="2"/>
  <c r="IL987" i="2"/>
  <c r="BL987" i="2"/>
  <c r="BM987" i="2" s="1"/>
  <c r="BN987" i="2" s="1"/>
  <c r="BP987" i="2" s="1"/>
  <c r="BL371" i="2"/>
  <c r="BM371" i="2" s="1"/>
  <c r="BN371" i="2" s="1"/>
  <c r="BP371" i="2" s="1"/>
  <c r="IX371" i="2"/>
  <c r="IL601" i="2"/>
  <c r="BL601" i="2"/>
  <c r="BM601" i="2" s="1"/>
  <c r="BN601" i="2" s="1"/>
  <c r="BP601" i="2" s="1"/>
  <c r="IP374" i="2"/>
  <c r="BL374" i="2"/>
  <c r="BM374" i="2" s="1"/>
  <c r="BN374" i="2" s="1"/>
  <c r="BP374" i="2" s="1"/>
  <c r="DF236" i="2"/>
  <c r="DK236" i="2"/>
  <c r="IX721" i="2"/>
  <c r="BL721" i="2"/>
  <c r="BM721" i="2" s="1"/>
  <c r="BN721" i="2" s="1"/>
  <c r="BP721" i="2" s="1"/>
  <c r="IX965" i="2"/>
  <c r="BL965" i="2"/>
  <c r="BM965" i="2" s="1"/>
  <c r="BN965" i="2" s="1"/>
  <c r="BP965" i="2" s="1"/>
  <c r="EB153" i="2"/>
  <c r="BL153" i="2" s="1"/>
  <c r="BM153" i="2" s="1"/>
  <c r="BN153" i="2" s="1"/>
  <c r="BP153" i="2" s="1"/>
  <c r="DQ153" i="2"/>
  <c r="EH1030" i="2"/>
  <c r="BL1030" i="2" s="1"/>
  <c r="BM1030" i="2" s="1"/>
  <c r="BN1030" i="2" s="1"/>
  <c r="BP1030" i="2" s="1"/>
  <c r="DW1030" i="2"/>
  <c r="BL383" i="2"/>
  <c r="BM383" i="2" s="1"/>
  <c r="BN383" i="2" s="1"/>
  <c r="BP383" i="2" s="1"/>
  <c r="IX383" i="2"/>
  <c r="CU146" i="2"/>
  <c r="CZ146" i="2"/>
  <c r="BG146" i="2" s="1"/>
  <c r="BH146" i="2" s="1"/>
  <c r="BI146" i="2" s="1"/>
  <c r="BK146" i="2" s="1"/>
  <c r="IL218" i="2"/>
  <c r="BL218" i="2"/>
  <c r="BM218" i="2" s="1"/>
  <c r="BN218" i="2" s="1"/>
  <c r="BP218" i="2" s="1"/>
  <c r="BL744" i="2"/>
  <c r="BM744" i="2" s="1"/>
  <c r="BN744" i="2" s="1"/>
  <c r="BP744" i="2" s="1"/>
  <c r="IX744" i="2"/>
  <c r="EH835" i="2"/>
  <c r="BL835" i="2" s="1"/>
  <c r="BM835" i="2" s="1"/>
  <c r="BN835" i="2" s="1"/>
  <c r="BP835" i="2" s="1"/>
  <c r="DW835" i="2"/>
  <c r="IP850" i="2"/>
  <c r="BL850" i="2"/>
  <c r="BM850" i="2" s="1"/>
  <c r="BN850" i="2" s="1"/>
  <c r="BP850" i="2" s="1"/>
  <c r="EC570" i="2"/>
  <c r="EN570" i="2"/>
  <c r="BL570" i="2" s="1"/>
  <c r="BM570" i="2" s="1"/>
  <c r="BN570" i="2" s="1"/>
  <c r="BP570" i="2" s="1"/>
  <c r="IP377" i="2"/>
  <c r="BL377" i="2"/>
  <c r="BM377" i="2" s="1"/>
  <c r="BN377" i="2" s="1"/>
  <c r="BP377" i="2" s="1"/>
  <c r="IP1006" i="2"/>
  <c r="BL1006" i="2"/>
  <c r="BM1006" i="2" s="1"/>
  <c r="BN1006" i="2" s="1"/>
  <c r="BP1006" i="2" s="1"/>
  <c r="DQ579" i="2"/>
  <c r="EB579" i="2"/>
  <c r="DQ621" i="2"/>
  <c r="EB621" i="2"/>
  <c r="BL621" i="2" s="1"/>
  <c r="BM621" i="2" s="1"/>
  <c r="BN621" i="2" s="1"/>
  <c r="BP621" i="2" s="1"/>
  <c r="EB649" i="2"/>
  <c r="DQ649" i="2"/>
  <c r="IL656" i="2"/>
  <c r="BL656" i="2"/>
  <c r="BM656" i="2" s="1"/>
  <c r="BN656" i="2" s="1"/>
  <c r="BP656" i="2" s="1"/>
  <c r="CT422" i="2"/>
  <c r="CY422" i="2"/>
  <c r="BG422" i="2" s="1"/>
  <c r="BH422" i="2" s="1"/>
  <c r="BI422" i="2" s="1"/>
  <c r="BK422" i="2" s="1"/>
  <c r="EB47" i="2"/>
  <c r="DQ47" i="2"/>
  <c r="DQ424" i="2"/>
  <c r="EB424" i="2"/>
  <c r="BL424" i="2" s="1"/>
  <c r="BM424" i="2" s="1"/>
  <c r="BN424" i="2" s="1"/>
  <c r="BP424" i="2" s="1"/>
  <c r="BL827" i="2"/>
  <c r="BM827" i="2" s="1"/>
  <c r="BN827" i="2" s="1"/>
  <c r="BP827" i="2" s="1"/>
  <c r="IX827" i="2"/>
  <c r="CT1044" i="2"/>
  <c r="CY1044" i="2"/>
  <c r="BG1044" i="2" s="1"/>
  <c r="BH1044" i="2" s="1"/>
  <c r="BI1044" i="2" s="1"/>
  <c r="BK1044" i="2" s="1"/>
  <c r="CZ214" i="2"/>
  <c r="BG214" i="2" s="1"/>
  <c r="BH214" i="2" s="1"/>
  <c r="BI214" i="2" s="1"/>
  <c r="BK214" i="2" s="1"/>
  <c r="CU214" i="2"/>
  <c r="EB72" i="2"/>
  <c r="BL72" i="2" s="1"/>
  <c r="BM72" i="2" s="1"/>
  <c r="BN72" i="2" s="1"/>
  <c r="BP72" i="2" s="1"/>
  <c r="DQ72" i="2"/>
  <c r="BL866" i="2"/>
  <c r="BM866" i="2" s="1"/>
  <c r="BN866" i="2" s="1"/>
  <c r="BP866" i="2" s="1"/>
  <c r="IL866" i="2"/>
  <c r="DQ642" i="2"/>
  <c r="EB642" i="2"/>
  <c r="BL831" i="2"/>
  <c r="BM831" i="2" s="1"/>
  <c r="BN831" i="2" s="1"/>
  <c r="BP831" i="2" s="1"/>
  <c r="IL831" i="2"/>
  <c r="DE116" i="2"/>
  <c r="DP116" i="2"/>
  <c r="DW834" i="2"/>
  <c r="EH834" i="2"/>
  <c r="BL834" i="2" s="1"/>
  <c r="BM834" i="2" s="1"/>
  <c r="BN834" i="2" s="1"/>
  <c r="BP834" i="2" s="1"/>
  <c r="EH609" i="2"/>
  <c r="BL609" i="2" s="1"/>
  <c r="BM609" i="2" s="1"/>
  <c r="BN609" i="2" s="1"/>
  <c r="BP609" i="2" s="1"/>
  <c r="DW609" i="2"/>
  <c r="EB398" i="2"/>
  <c r="BL398" i="2" s="1"/>
  <c r="BM398" i="2" s="1"/>
  <c r="BN398" i="2" s="1"/>
  <c r="BP398" i="2" s="1"/>
  <c r="DQ398" i="2"/>
  <c r="IO1017" i="2"/>
  <c r="BG1017" i="2"/>
  <c r="BH1017" i="2" s="1"/>
  <c r="BI1017" i="2" s="1"/>
  <c r="BK1017" i="2" s="1"/>
  <c r="EN960" i="2"/>
  <c r="BL960" i="2" s="1"/>
  <c r="BM960" i="2" s="1"/>
  <c r="BN960" i="2" s="1"/>
  <c r="BP960" i="2" s="1"/>
  <c r="EC960" i="2"/>
  <c r="EH210" i="2"/>
  <c r="BL210" i="2" s="1"/>
  <c r="BM210" i="2" s="1"/>
  <c r="BN210" i="2" s="1"/>
  <c r="BP210" i="2" s="1"/>
  <c r="DW210" i="2"/>
  <c r="EB701" i="2"/>
  <c r="BL701" i="2" s="1"/>
  <c r="BM701" i="2" s="1"/>
  <c r="BN701" i="2" s="1"/>
  <c r="BP701" i="2" s="1"/>
  <c r="DQ701" i="2"/>
  <c r="BL958" i="2"/>
  <c r="BM958" i="2" s="1"/>
  <c r="BN958" i="2" s="1"/>
  <c r="BP958" i="2" s="1"/>
  <c r="IL958" i="2"/>
  <c r="EB403" i="2"/>
  <c r="BL403" i="2" s="1"/>
  <c r="BM403" i="2" s="1"/>
  <c r="BN403" i="2" s="1"/>
  <c r="BP403" i="2" s="1"/>
  <c r="DQ403" i="2"/>
  <c r="IL884" i="2"/>
  <c r="BL884" i="2"/>
  <c r="BM884" i="2" s="1"/>
  <c r="BN884" i="2" s="1"/>
  <c r="BP884" i="2" s="1"/>
  <c r="DQ988" i="2"/>
  <c r="EB988" i="2"/>
  <c r="BL988" i="2" s="1"/>
  <c r="BM988" i="2" s="1"/>
  <c r="BN988" i="2" s="1"/>
  <c r="BP988" i="2" s="1"/>
  <c r="CY1041" i="2"/>
  <c r="BG1041" i="2" s="1"/>
  <c r="BH1041" i="2" s="1"/>
  <c r="BI1041" i="2" s="1"/>
  <c r="BK1041" i="2" s="1"/>
  <c r="CT1041" i="2"/>
  <c r="EN533" i="2"/>
  <c r="BL533" i="2" s="1"/>
  <c r="BM533" i="2" s="1"/>
  <c r="BN533" i="2" s="1"/>
  <c r="BP533" i="2" s="1"/>
  <c r="EC533" i="2"/>
  <c r="BG792" i="2"/>
  <c r="BH792" i="2" s="1"/>
  <c r="BI792" i="2" s="1"/>
  <c r="BK792" i="2" s="1"/>
  <c r="IO792" i="2"/>
  <c r="BL610" i="2"/>
  <c r="BM610" i="2" s="1"/>
  <c r="BN610" i="2" s="1"/>
  <c r="BP610" i="2" s="1"/>
  <c r="IL610" i="2"/>
  <c r="EC534" i="2"/>
  <c r="EN534" i="2"/>
  <c r="BL534" i="2" s="1"/>
  <c r="BM534" i="2" s="1"/>
  <c r="BN534" i="2" s="1"/>
  <c r="BP534" i="2" s="1"/>
  <c r="DP454" i="2"/>
  <c r="DE454" i="2"/>
  <c r="CT509" i="2"/>
  <c r="CY509" i="2"/>
  <c r="BG509" i="2" s="1"/>
  <c r="BH509" i="2" s="1"/>
  <c r="BI509" i="2" s="1"/>
  <c r="BK509" i="2" s="1"/>
  <c r="IL846" i="2"/>
  <c r="BL846" i="2"/>
  <c r="BM846" i="2" s="1"/>
  <c r="BN846" i="2" s="1"/>
  <c r="BP846" i="2" s="1"/>
  <c r="IX847" i="2"/>
  <c r="BL847" i="2"/>
  <c r="BM847" i="2" s="1"/>
  <c r="BN847" i="2" s="1"/>
  <c r="BP847" i="2" s="1"/>
  <c r="EC932" i="2"/>
  <c r="EN932" i="2"/>
  <c r="BL932" i="2" s="1"/>
  <c r="BM932" i="2" s="1"/>
  <c r="BN932" i="2" s="1"/>
  <c r="BP932" i="2" s="1"/>
  <c r="BN439" i="2"/>
  <c r="BO439" i="2" s="1"/>
  <c r="BP439" i="2" s="1"/>
  <c r="BR439" i="2" s="1"/>
  <c r="IL439" i="2"/>
  <c r="BL586" i="2"/>
  <c r="BM586" i="2" s="1"/>
  <c r="BN586" i="2" s="1"/>
  <c r="BP586" i="2" s="1"/>
  <c r="IL586" i="2"/>
  <c r="CT560" i="2"/>
  <c r="CY560" i="2"/>
  <c r="BG560" i="2" s="1"/>
  <c r="BH560" i="2" s="1"/>
  <c r="BI560" i="2" s="1"/>
  <c r="BK560" i="2" s="1"/>
  <c r="EN416" i="2"/>
  <c r="BL416" i="2" s="1"/>
  <c r="BM416" i="2" s="1"/>
  <c r="BN416" i="2" s="1"/>
  <c r="BP416" i="2" s="1"/>
  <c r="EC416" i="2"/>
  <c r="DP839" i="2"/>
  <c r="DE839" i="2"/>
  <c r="EN530" i="2"/>
  <c r="BL530" i="2" s="1"/>
  <c r="BM530" i="2" s="1"/>
  <c r="BN530" i="2" s="1"/>
  <c r="BP530" i="2" s="1"/>
  <c r="EC530" i="2"/>
  <c r="IL646" i="2"/>
  <c r="BL646" i="2"/>
  <c r="BM646" i="2" s="1"/>
  <c r="BN646" i="2" s="1"/>
  <c r="BP646" i="2" s="1"/>
  <c r="EB315" i="2"/>
  <c r="DQ315" i="2"/>
  <c r="IJ668" i="2"/>
  <c r="BL668" i="2"/>
  <c r="BM668" i="2" s="1"/>
  <c r="BN668" i="2" s="1"/>
  <c r="BP668" i="2" s="1"/>
  <c r="IL898" i="2"/>
  <c r="BL898" i="2"/>
  <c r="BM898" i="2" s="1"/>
  <c r="BN898" i="2" s="1"/>
  <c r="BP898" i="2" s="1"/>
  <c r="DW48" i="2"/>
  <c r="EH48" i="2"/>
  <c r="BL48" i="2" s="1"/>
  <c r="BM48" i="2" s="1"/>
  <c r="BN48" i="2" s="1"/>
  <c r="BP48" i="2" s="1"/>
  <c r="IL1013" i="2"/>
  <c r="BL1013" i="2"/>
  <c r="BM1013" i="2" s="1"/>
  <c r="BN1013" i="2" s="1"/>
  <c r="BP1013" i="2" s="1"/>
  <c r="CY7" i="2"/>
  <c r="BG7" i="2" s="1"/>
  <c r="BH7" i="2" s="1"/>
  <c r="BI7" i="2" s="1"/>
  <c r="BK7" i="2" s="1"/>
  <c r="CT7" i="2"/>
  <c r="BL825" i="2"/>
  <c r="BM825" i="2" s="1"/>
  <c r="BN825" i="2" s="1"/>
  <c r="BP825" i="2" s="1"/>
  <c r="IL825" i="2"/>
  <c r="BL912" i="2"/>
  <c r="BM912" i="2" s="1"/>
  <c r="BN912" i="2" s="1"/>
  <c r="BP912" i="2" s="1"/>
  <c r="IL912" i="2"/>
  <c r="BL30" i="2"/>
  <c r="BM30" i="2" s="1"/>
  <c r="BN30" i="2" s="1"/>
  <c r="BP30" i="2" s="1"/>
  <c r="IP30" i="2"/>
  <c r="BL787" i="2"/>
  <c r="BM787" i="2" s="1"/>
  <c r="BN787" i="2" s="1"/>
  <c r="BP787" i="2" s="1"/>
  <c r="IN787" i="2"/>
  <c r="DQ734" i="2"/>
  <c r="EB734" i="2"/>
  <c r="DQ234" i="2"/>
  <c r="EB234" i="2"/>
  <c r="BL234" i="2" s="1"/>
  <c r="BM234" i="2" s="1"/>
  <c r="BN234" i="2" s="1"/>
  <c r="BP234" i="2" s="1"/>
  <c r="CT205" i="2"/>
  <c r="CY205" i="2"/>
  <c r="BG205" i="2" s="1"/>
  <c r="BH205" i="2" s="1"/>
  <c r="BI205" i="2" s="1"/>
  <c r="BK205" i="2" s="1"/>
  <c r="DE425" i="2"/>
  <c r="DP425" i="2"/>
  <c r="DP1008" i="2"/>
  <c r="DE1008" i="2"/>
  <c r="DQ710" i="2"/>
  <c r="EB710" i="2"/>
  <c r="DE447" i="2"/>
  <c r="DP447" i="2"/>
  <c r="BL293" i="2"/>
  <c r="BM293" i="2" s="1"/>
  <c r="BN293" i="2" s="1"/>
  <c r="BP293" i="2" s="1"/>
  <c r="IX293" i="2"/>
  <c r="IX1021" i="2"/>
  <c r="BL1021" i="2"/>
  <c r="BM1021" i="2" s="1"/>
  <c r="BN1021" i="2" s="1"/>
  <c r="BP1021" i="2" s="1"/>
  <c r="EB82" i="2"/>
  <c r="BL82" i="2" s="1"/>
  <c r="BM82" i="2" s="1"/>
  <c r="BN82" i="2" s="1"/>
  <c r="BP82" i="2" s="1"/>
  <c r="DQ82" i="2"/>
  <c r="EH1023" i="2"/>
  <c r="BL1023" i="2" s="1"/>
  <c r="BM1023" i="2" s="1"/>
  <c r="BN1023" i="2" s="1"/>
  <c r="BP1023" i="2" s="1"/>
  <c r="DW1023" i="2"/>
  <c r="CT872" i="2"/>
  <c r="CY872" i="2"/>
  <c r="BG872" i="2" s="1"/>
  <c r="BH872" i="2" s="1"/>
  <c r="BI872" i="2" s="1"/>
  <c r="BK872" i="2" s="1"/>
  <c r="DW789" i="2"/>
  <c r="EH789" i="2"/>
  <c r="BL789" i="2" s="1"/>
  <c r="BM789" i="2" s="1"/>
  <c r="BN789" i="2" s="1"/>
  <c r="BP789" i="2" s="1"/>
  <c r="EB743" i="2"/>
  <c r="DQ743" i="2"/>
  <c r="EN573" i="2"/>
  <c r="BL573" i="2" s="1"/>
  <c r="BM573" i="2" s="1"/>
  <c r="BN573" i="2" s="1"/>
  <c r="BP573" i="2" s="1"/>
  <c r="EC573" i="2"/>
  <c r="CY859" i="2"/>
  <c r="BG859" i="2" s="1"/>
  <c r="BH859" i="2" s="1"/>
  <c r="BI859" i="2" s="1"/>
  <c r="BK859" i="2" s="1"/>
  <c r="CT859" i="2"/>
  <c r="DW1033" i="2"/>
  <c r="EH1033" i="2"/>
  <c r="BL1033" i="2" s="1"/>
  <c r="BM1033" i="2" s="1"/>
  <c r="BN1033" i="2" s="1"/>
  <c r="BP1033" i="2" s="1"/>
  <c r="CY23" i="2"/>
  <c r="BG23" i="2" s="1"/>
  <c r="BH23" i="2" s="1"/>
  <c r="BI23" i="2" s="1"/>
  <c r="BK23" i="2" s="1"/>
  <c r="CT23" i="2"/>
  <c r="DQ394" i="2"/>
  <c r="EB394" i="2"/>
  <c r="BL394" i="2" s="1"/>
  <c r="BM394" i="2" s="1"/>
  <c r="BN394" i="2" s="1"/>
  <c r="BP394" i="2" s="1"/>
  <c r="IX691" i="2"/>
  <c r="BL691" i="2"/>
  <c r="BM691" i="2" s="1"/>
  <c r="BN691" i="2" s="1"/>
  <c r="BP691" i="2" s="1"/>
  <c r="CZ863" i="2"/>
  <c r="DE863" i="2"/>
  <c r="BG863" i="2" s="1"/>
  <c r="BH863" i="2" s="1"/>
  <c r="BI863" i="2" s="1"/>
  <c r="BK863" i="2" s="1"/>
  <c r="IL380" i="2"/>
  <c r="BM380" i="2"/>
  <c r="BN380" i="2" s="1"/>
  <c r="BO380" i="2" s="1"/>
  <c r="BQ380" i="2" s="1"/>
  <c r="DE919" i="2"/>
  <c r="DP919" i="2"/>
  <c r="IL102" i="2"/>
  <c r="BL102" i="2"/>
  <c r="BM102" i="2" s="1"/>
  <c r="BN102" i="2" s="1"/>
  <c r="BP102" i="2" s="1"/>
  <c r="DW12" i="14"/>
  <c r="EH12" i="14"/>
  <c r="BL12" i="14" s="1"/>
  <c r="BM12" i="14" s="1"/>
  <c r="BN12" i="14" s="1"/>
  <c r="BP12" i="14" s="1"/>
  <c r="DW2" i="14"/>
  <c r="DW9" i="14"/>
  <c r="BL9" i="14"/>
  <c r="BM9" i="14" s="1"/>
  <c r="BN9" i="14" s="1"/>
  <c r="BP9" i="14" s="1"/>
  <c r="DW4" i="14"/>
  <c r="DW13" i="14"/>
  <c r="BL11" i="14"/>
  <c r="BM11" i="14" s="1"/>
  <c r="BN11" i="14" s="1"/>
  <c r="BP11" i="14" s="1"/>
  <c r="IO11" i="14"/>
  <c r="IO6" i="14"/>
  <c r="BL6" i="14"/>
  <c r="BM6" i="14" s="1"/>
  <c r="BN6" i="14" s="1"/>
  <c r="BP6" i="14" s="1"/>
  <c r="IO3" i="14"/>
  <c r="BL3" i="14"/>
  <c r="BM3" i="14" s="1"/>
  <c r="BN3" i="14" s="1"/>
  <c r="BP3" i="14" s="1"/>
  <c r="IO10" i="14"/>
  <c r="BL10" i="14"/>
  <c r="BM10" i="14" s="1"/>
  <c r="BN10" i="14" s="1"/>
  <c r="BP10" i="14" s="1"/>
  <c r="BL4" i="14"/>
  <c r="BM4" i="14" s="1"/>
  <c r="BN4" i="14" s="1"/>
  <c r="BP4" i="14" s="1"/>
  <c r="IO4" i="14"/>
  <c r="IO2" i="14"/>
  <c r="BL2" i="14"/>
  <c r="BM2" i="14" s="1"/>
  <c r="BN2" i="14" s="1"/>
  <c r="BP2" i="14" s="1"/>
  <c r="IO13" i="14"/>
  <c r="BL13" i="14"/>
  <c r="BM13" i="14" s="1"/>
  <c r="BN13" i="14" s="1"/>
  <c r="BP13" i="14" s="1"/>
  <c r="BL115" i="2" l="1"/>
  <c r="BM115" i="2" s="1"/>
  <c r="BN115" i="2" s="1"/>
  <c r="BP115" i="2" s="1"/>
  <c r="BG7" i="11"/>
  <c r="BH7" i="11" s="1"/>
  <c r="BI7" i="11" s="1"/>
  <c r="BK7" i="11" s="1"/>
  <c r="IO7" i="11"/>
  <c r="DW655" i="2"/>
  <c r="IN634" i="2"/>
  <c r="BL26" i="2"/>
  <c r="BM26" i="2" s="1"/>
  <c r="BN26" i="2" s="1"/>
  <c r="BP26" i="2" s="1"/>
  <c r="EB410" i="2"/>
  <c r="BL410" i="2" s="1"/>
  <c r="BM410" i="2" s="1"/>
  <c r="BN410" i="2" s="1"/>
  <c r="BP410" i="2" s="1"/>
  <c r="IP67" i="2"/>
  <c r="IN323" i="2"/>
  <c r="BL693" i="2"/>
  <c r="BM693" i="2" s="1"/>
  <c r="BN693" i="2" s="1"/>
  <c r="BP693" i="2" s="1"/>
  <c r="BL495" i="2"/>
  <c r="BM495" i="2" s="1"/>
  <c r="BN495" i="2" s="1"/>
  <c r="BP495" i="2" s="1"/>
  <c r="IL507" i="2"/>
  <c r="BL337" i="2"/>
  <c r="BM337" i="2" s="1"/>
  <c r="BN337" i="2" s="1"/>
  <c r="BP337" i="2" s="1"/>
  <c r="IN337" i="2"/>
  <c r="IN15" i="2"/>
  <c r="BL29" i="2"/>
  <c r="BM29" i="2" s="1"/>
  <c r="BN29" i="2" s="1"/>
  <c r="BP29" i="2" s="1"/>
  <c r="IO799" i="2"/>
  <c r="IN309" i="2"/>
  <c r="IL406" i="2"/>
  <c r="IX500" i="2"/>
  <c r="DF614" i="2"/>
  <c r="IO84" i="2"/>
  <c r="IP84" i="2"/>
  <c r="IX125" i="2"/>
  <c r="IL112" i="2"/>
  <c r="EN85" i="2"/>
  <c r="BL85" i="2" s="1"/>
  <c r="BM85" i="2" s="1"/>
  <c r="BN85" i="2" s="1"/>
  <c r="BP85" i="2" s="1"/>
  <c r="BL1034" i="2"/>
  <c r="BM1034" i="2" s="1"/>
  <c r="BN1034" i="2" s="1"/>
  <c r="BP1034" i="2" s="1"/>
  <c r="IN653" i="2"/>
  <c r="EB510" i="2"/>
  <c r="BL510" i="2" s="1"/>
  <c r="BM510" i="2" s="1"/>
  <c r="BN510" i="2" s="1"/>
  <c r="BP510" i="2" s="1"/>
  <c r="EH1035" i="2"/>
  <c r="BL1035" i="2" s="1"/>
  <c r="BM1035" i="2" s="1"/>
  <c r="BN1035" i="2" s="1"/>
  <c r="BP1035" i="2" s="1"/>
  <c r="IL54" i="2"/>
  <c r="IL242" i="2"/>
  <c r="II150" i="2"/>
  <c r="BG150" i="2"/>
  <c r="BH150" i="2" s="1"/>
  <c r="BI150" i="2" s="1"/>
  <c r="BK150" i="2" s="1"/>
  <c r="BL992" i="2"/>
  <c r="BM992" i="2" s="1"/>
  <c r="BN992" i="2" s="1"/>
  <c r="BP992" i="2" s="1"/>
  <c r="IX992" i="2"/>
  <c r="IO829" i="2"/>
  <c r="BG829" i="2"/>
  <c r="BH829" i="2" s="1"/>
  <c r="BI829" i="2" s="1"/>
  <c r="BK829" i="2" s="1"/>
  <c r="IT429" i="2"/>
  <c r="BL429" i="2"/>
  <c r="BM429" i="2" s="1"/>
  <c r="BN429" i="2" s="1"/>
  <c r="BP429" i="2" s="1"/>
  <c r="IO236" i="2"/>
  <c r="BG236" i="2"/>
  <c r="BH236" i="2" s="1"/>
  <c r="BI236" i="2" s="1"/>
  <c r="BK236" i="2" s="1"/>
  <c r="IP873" i="2"/>
  <c r="BL873" i="2"/>
  <c r="BM873" i="2" s="1"/>
  <c r="BN873" i="2" s="1"/>
  <c r="BP873" i="2" s="1"/>
  <c r="IX123" i="2"/>
  <c r="BL123" i="2"/>
  <c r="BM123" i="2" s="1"/>
  <c r="BN123" i="2" s="1"/>
  <c r="BP123" i="2" s="1"/>
  <c r="BL315" i="2"/>
  <c r="BM315" i="2" s="1"/>
  <c r="BN315" i="2" s="1"/>
  <c r="BP315" i="2" s="1"/>
  <c r="IX315" i="2"/>
  <c r="IP47" i="2"/>
  <c r="BL47" i="2"/>
  <c r="BM47" i="2" s="1"/>
  <c r="BN47" i="2" s="1"/>
  <c r="BP47" i="2" s="1"/>
  <c r="IL919" i="2"/>
  <c r="BL919" i="2"/>
  <c r="BM919" i="2" s="1"/>
  <c r="BN919" i="2" s="1"/>
  <c r="BP919" i="2" s="1"/>
  <c r="BL734" i="2"/>
  <c r="BM734" i="2" s="1"/>
  <c r="BN734" i="2" s="1"/>
  <c r="BP734" i="2" s="1"/>
  <c r="IX734" i="2"/>
  <c r="BL579" i="2"/>
  <c r="BM579" i="2" s="1"/>
  <c r="BN579" i="2" s="1"/>
  <c r="BP579" i="2" s="1"/>
  <c r="IX579" i="2"/>
  <c r="BL710" i="2"/>
  <c r="BM710" i="2" s="1"/>
  <c r="BN710" i="2" s="1"/>
  <c r="BP710" i="2" s="1"/>
  <c r="IX710" i="2"/>
  <c r="IL743" i="2"/>
  <c r="BL743" i="2"/>
  <c r="BM743" i="2" s="1"/>
  <c r="BN743" i="2" s="1"/>
  <c r="BP743" i="2" s="1"/>
  <c r="BL1008" i="2"/>
  <c r="BM1008" i="2" s="1"/>
  <c r="BN1008" i="2" s="1"/>
  <c r="BP1008" i="2" s="1"/>
  <c r="IL1008" i="2"/>
  <c r="BL425" i="2"/>
  <c r="BM425" i="2" s="1"/>
  <c r="BN425" i="2" s="1"/>
  <c r="BP425" i="2" s="1"/>
  <c r="IL425" i="2"/>
  <c r="IL116" i="2"/>
  <c r="BL116" i="2"/>
  <c r="BM116" i="2" s="1"/>
  <c r="BN116" i="2" s="1"/>
  <c r="BP116" i="2" s="1"/>
  <c r="BL642" i="2"/>
  <c r="BM642" i="2" s="1"/>
  <c r="BN642" i="2" s="1"/>
  <c r="BP642" i="2" s="1"/>
  <c r="IX642" i="2"/>
  <c r="IL447" i="2"/>
  <c r="BL447" i="2"/>
  <c r="BM447" i="2" s="1"/>
  <c r="BN447" i="2" s="1"/>
  <c r="BP447" i="2" s="1"/>
  <c r="IL839" i="2"/>
  <c r="BL839" i="2"/>
  <c r="BM839" i="2" s="1"/>
  <c r="BN839" i="2" s="1"/>
  <c r="BP839" i="2" s="1"/>
  <c r="IL454" i="2"/>
  <c r="BL454" i="2"/>
  <c r="BM454" i="2" s="1"/>
  <c r="BN454" i="2" s="1"/>
  <c r="BP454" i="2" s="1"/>
  <c r="IL649" i="2"/>
  <c r="BL649" i="2"/>
  <c r="BM649" i="2" s="1"/>
  <c r="BN649" i="2" s="1"/>
  <c r="BP649" i="2" s="1"/>
  <c r="IO9" i="14"/>
  <c r="IO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2" authorId="0" shapeId="0" xr:uid="{818ADC65-BCDB-4BDB-A0B4-20BEFAFE949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These Brookneal Properties must be sold together for access purposes</t>
        </r>
      </text>
    </comment>
    <comment ref="DN181" authorId="0" shapeId="0" xr:uid="{320792AA-FDF4-4D0C-8E65-2F44727B0A5D}">
      <text>
        <r>
          <rPr>
            <b/>
            <sz val="9"/>
            <color indexed="81"/>
            <rFont val="Tahoma"/>
            <family val="2"/>
          </rPr>
          <t>Author:</t>
        </r>
        <r>
          <rPr>
            <sz val="9"/>
            <color indexed="81"/>
            <rFont val="Tahoma"/>
            <family val="2"/>
          </rPr>
          <t xml:space="preserve">
Includes $28 for service of Secretary of the Commonwealth</t>
        </r>
      </text>
    </comment>
    <comment ref="DN196" authorId="0" shapeId="0" xr:uid="{42102AEE-6A0A-429D-A278-79B8051D3A26}">
      <text>
        <r>
          <rPr>
            <b/>
            <sz val="9"/>
            <color indexed="81"/>
            <rFont val="Tahoma"/>
            <family val="2"/>
          </rPr>
          <t>Author:</t>
        </r>
        <r>
          <rPr>
            <sz val="9"/>
            <color indexed="81"/>
            <rFont val="Tahoma"/>
            <family val="2"/>
          </rPr>
          <t xml:space="preserve">
Includes 3 service by Secretary of the Commonwealth</t>
        </r>
      </text>
    </comment>
    <comment ref="DN449" authorId="0" shapeId="0" xr:uid="{D1788BC2-0E29-4C61-8110-013B5B54B27A}">
      <text>
        <r>
          <rPr>
            <b/>
            <sz val="9"/>
            <color indexed="81"/>
            <rFont val="Tahoma"/>
            <family val="2"/>
          </rPr>
          <t>Author:</t>
        </r>
        <r>
          <rPr>
            <sz val="9"/>
            <color indexed="81"/>
            <rFont val="Tahoma"/>
            <family val="2"/>
          </rPr>
          <t xml:space="preserve">
Includes $48 for service of Sec. of Commonwealth</t>
        </r>
      </text>
    </comment>
    <comment ref="DN697" authorId="0" shapeId="0" xr:uid="{BD57E331-E14C-4F2D-93ED-B924F0D42104}">
      <text>
        <r>
          <rPr>
            <b/>
            <sz val="9"/>
            <color indexed="81"/>
            <rFont val="Tahoma"/>
            <family val="2"/>
          </rPr>
          <t>Author:</t>
        </r>
        <r>
          <rPr>
            <sz val="9"/>
            <color indexed="81"/>
            <rFont val="Tahoma"/>
            <family val="2"/>
          </rPr>
          <t xml:space="preserve">
Includes $28 for Secretary of the Commonwealth</t>
        </r>
      </text>
    </comment>
    <comment ref="DM864" authorId="0" shapeId="0" xr:uid="{141758EB-AB5F-49BB-967F-93007BC22344}">
      <text>
        <r>
          <rPr>
            <b/>
            <sz val="9"/>
            <color indexed="81"/>
            <rFont val="Tahoma"/>
            <family val="2"/>
          </rPr>
          <t>Author:</t>
        </r>
        <r>
          <rPr>
            <sz val="9"/>
            <color indexed="81"/>
            <rFont val="Tahoma"/>
            <family val="2"/>
          </rPr>
          <t xml:space="preserve">
includes $30 for service of SCC.</t>
        </r>
      </text>
    </comment>
  </commentList>
</comments>
</file>

<file path=xl/sharedStrings.xml><?xml version="1.0" encoding="utf-8"?>
<sst xmlns="http://schemas.openxmlformats.org/spreadsheetml/2006/main" count="21045" uniqueCount="6115">
  <si>
    <t>File No.</t>
  </si>
  <si>
    <t xml:space="preserve">Tax Map </t>
  </si>
  <si>
    <t>Joint?</t>
  </si>
  <si>
    <t>Case No.</t>
  </si>
  <si>
    <t>Lis Pend Inst No.</t>
  </si>
  <si>
    <t>Pay Plan Inst. No.</t>
  </si>
  <si>
    <t>Judgment Inst. No.</t>
  </si>
  <si>
    <t>Judgment Date</t>
  </si>
  <si>
    <t>Salutation</t>
  </si>
  <si>
    <t>Last Name</t>
  </si>
  <si>
    <t>First Name</t>
  </si>
  <si>
    <t>Middle In.</t>
  </si>
  <si>
    <t>Suffix</t>
  </si>
  <si>
    <t>Deceased? 1</t>
  </si>
  <si>
    <t>Last Name 2</t>
  </si>
  <si>
    <t>First Name 2</t>
  </si>
  <si>
    <t>Middle In. 2</t>
  </si>
  <si>
    <t>Suffix 2</t>
  </si>
  <si>
    <t>Deceased? 2</t>
  </si>
  <si>
    <t>Last Name 3</t>
  </si>
  <si>
    <t>First Name 3</t>
  </si>
  <si>
    <t>Middle In. 3</t>
  </si>
  <si>
    <t>Suffix 3</t>
  </si>
  <si>
    <t>Deceased? 3</t>
  </si>
  <si>
    <t>Registered Agent</t>
  </si>
  <si>
    <t>R/A Address</t>
  </si>
  <si>
    <t>R/A CSZ</t>
  </si>
  <si>
    <t>R/A City/County</t>
  </si>
  <si>
    <t>Taxpayer</t>
  </si>
  <si>
    <t>TP Salutation</t>
  </si>
  <si>
    <t>TP Last Name</t>
  </si>
  <si>
    <t>TP Ph. #</t>
  </si>
  <si>
    <t>TP Address</t>
  </si>
  <si>
    <t>Taxpayer CSZ</t>
  </si>
  <si>
    <t>Property Address</t>
  </si>
  <si>
    <t>PA is Service Address</t>
  </si>
  <si>
    <t>Property CSZ</t>
  </si>
  <si>
    <t>PA County/City</t>
  </si>
  <si>
    <t>C/O</t>
  </si>
  <si>
    <t>Mailing Address 1</t>
  </si>
  <si>
    <t>MA is Service Address</t>
  </si>
  <si>
    <t>Mailing CSZ</t>
  </si>
  <si>
    <t>MA County/City</t>
  </si>
  <si>
    <t>PA is Good Address</t>
  </si>
  <si>
    <t>MA is Good Address</t>
  </si>
  <si>
    <t>No Good Address</t>
  </si>
  <si>
    <t>GAL Case?</t>
  </si>
  <si>
    <t>Publication Case?</t>
  </si>
  <si>
    <t>Date Filed</t>
  </si>
  <si>
    <t>Publication Date</t>
  </si>
  <si>
    <t>Letter Date</t>
  </si>
  <si>
    <t>Unk. Pub. Hrng. Date</t>
  </si>
  <si>
    <t>Unk. Pub. Hrng. Time</t>
  </si>
  <si>
    <t>Unk. Pub. Date 1</t>
  </si>
  <si>
    <t>Unk. Pub. Date 2</t>
  </si>
  <si>
    <t>Commn's Ch. Hear. Date</t>
  </si>
  <si>
    <t>Commn's Ch. Hear. Time</t>
  </si>
  <si>
    <t>Pay Plan Amount</t>
  </si>
  <si>
    <t>Pay Calc</t>
  </si>
  <si>
    <t>Pay Plan Monthly</t>
  </si>
  <si>
    <t>2013 Tax</t>
  </si>
  <si>
    <t>2013 Penalty</t>
  </si>
  <si>
    <t>2013 Interest</t>
  </si>
  <si>
    <t>2013 Int./Mo.</t>
  </si>
  <si>
    <t>2013 Int. # Mo.</t>
  </si>
  <si>
    <t>2013 Total</t>
  </si>
  <si>
    <t>2014 Tax</t>
  </si>
  <si>
    <t>2014 Penalty</t>
  </si>
  <si>
    <t>2014 Interest</t>
  </si>
  <si>
    <t>2014 Int./Mo.</t>
  </si>
  <si>
    <t>2014 Int. # Mo.</t>
  </si>
  <si>
    <t>2014 Total</t>
  </si>
  <si>
    <t>2015 Tax</t>
  </si>
  <si>
    <t>2015 Penalty</t>
  </si>
  <si>
    <t>2015 Interest</t>
  </si>
  <si>
    <t>2015 Int./Mo.</t>
  </si>
  <si>
    <t>2015 Int. # Mo.</t>
  </si>
  <si>
    <t>2015 Total</t>
  </si>
  <si>
    <t>2016 Tax</t>
  </si>
  <si>
    <t>2016 Penalty</t>
  </si>
  <si>
    <t>2016 Interest</t>
  </si>
  <si>
    <t>2016 Int./Mo.</t>
  </si>
  <si>
    <t>2016 Int. # Mo.</t>
  </si>
  <si>
    <t>2016 Total</t>
  </si>
  <si>
    <t>2017 Tax</t>
  </si>
  <si>
    <t>2017 Penalty</t>
  </si>
  <si>
    <t>2017 Interest</t>
  </si>
  <si>
    <t>2017 Int./Mo.</t>
  </si>
  <si>
    <t>2017 Int. # Mo.</t>
  </si>
  <si>
    <t>2017 Total</t>
  </si>
  <si>
    <t>2018 Tax</t>
  </si>
  <si>
    <t>2018 Penalty</t>
  </si>
  <si>
    <t>2018 Interest</t>
  </si>
  <si>
    <t>2018 Int./Mo.</t>
  </si>
  <si>
    <t>2018 Int. # Mo.</t>
  </si>
  <si>
    <t>2018 Total</t>
  </si>
  <si>
    <t>2019 Tax</t>
  </si>
  <si>
    <t>2019 Penalty</t>
  </si>
  <si>
    <t>2019 Interest</t>
  </si>
  <si>
    <t>2019 Int./Mo.</t>
  </si>
  <si>
    <t>2019 Int. # Mo.</t>
  </si>
  <si>
    <t>2019 Total</t>
  </si>
  <si>
    <t xml:space="preserve">Total Tax </t>
  </si>
  <si>
    <t>Total Penalty</t>
  </si>
  <si>
    <t>Total Interest</t>
  </si>
  <si>
    <t>Total TPI</t>
  </si>
  <si>
    <t xml:space="preserve">Tax Years </t>
  </si>
  <si>
    <t>Tot. Fee</t>
  </si>
  <si>
    <t>Ltr. Count</t>
  </si>
  <si>
    <t>Mailing Costs</t>
  </si>
  <si>
    <t>Title Exam</t>
  </si>
  <si>
    <t>Total</t>
  </si>
  <si>
    <t>GAL Fee</t>
  </si>
  <si>
    <t>Publication Costs</t>
  </si>
  <si>
    <t>Ct. Reporter Fee</t>
  </si>
  <si>
    <t>Commn'r Bond</t>
  </si>
  <si>
    <t>Commn'r Chan. Fee</t>
  </si>
  <si>
    <t>Total Litigation Cost</t>
  </si>
  <si>
    <t>Land Assessed</t>
  </si>
  <si>
    <t>Improv. Assessed</t>
  </si>
  <si>
    <t>Tot. Assessed</t>
  </si>
  <si>
    <t>GIS Acreaage</t>
  </si>
  <si>
    <t>Prop. Desc. P. 1</t>
  </si>
  <si>
    <t>Prop. Desc. P. 2</t>
  </si>
  <si>
    <t>Prop. Desc. P. 3</t>
  </si>
  <si>
    <t>Prop. Desc. P. 4</t>
  </si>
  <si>
    <t>Prop. Desc. P. 5</t>
  </si>
  <si>
    <t>Prop. Desc. P. 6</t>
  </si>
  <si>
    <t>Prop. Desc. P. 7</t>
  </si>
  <si>
    <t>Prop. Desc. P. 8</t>
  </si>
  <si>
    <t>Prop. Desc. P. 9</t>
  </si>
  <si>
    <t>Prop. Desc. P. 10</t>
  </si>
  <si>
    <t>Prop. Desc. P. 11</t>
  </si>
  <si>
    <t>Prop. Desc. P. 12</t>
  </si>
  <si>
    <t>Current Record Owner</t>
  </si>
  <si>
    <t>CRO 1 Deceased?</t>
  </si>
  <si>
    <t xml:space="preserve"> Record Owner Address</t>
  </si>
  <si>
    <t xml:space="preserve"> R. O. Address Blk 2</t>
  </si>
  <si>
    <t xml:space="preserve"> Record Owner CSZ</t>
  </si>
  <si>
    <t>RO County/City</t>
  </si>
  <si>
    <t>Current Record Owner 2</t>
  </si>
  <si>
    <t>CRO 2 Deceased?</t>
  </si>
  <si>
    <t xml:space="preserve"> Record Owner 2 Address</t>
  </si>
  <si>
    <t xml:space="preserve"> Record Owner 2 Address 2</t>
  </si>
  <si>
    <t xml:space="preserve"> Record Owner 2 CSZ</t>
  </si>
  <si>
    <t>RO 2 County/City</t>
  </si>
  <si>
    <t>Current Record Owner 3</t>
  </si>
  <si>
    <t>CRO 3 Deceased?</t>
  </si>
  <si>
    <t xml:space="preserve"> Record Owner 3 Address</t>
  </si>
  <si>
    <t xml:space="preserve"> Record Owner 3 CSZ</t>
  </si>
  <si>
    <t>RO 3 County/City</t>
  </si>
  <si>
    <t>Trustee</t>
  </si>
  <si>
    <t>Trustee Address 1</t>
  </si>
  <si>
    <t>Trustee Address 2</t>
  </si>
  <si>
    <t>Trustee CSZ</t>
  </si>
  <si>
    <t>Trustee County/City</t>
  </si>
  <si>
    <t>Date of Inst. T1</t>
  </si>
  <si>
    <t>Inst. No. T1</t>
  </si>
  <si>
    <t>Trustee 2</t>
  </si>
  <si>
    <t>Trustee 2 Address 1</t>
  </si>
  <si>
    <t>Trustee 2 Address 2</t>
  </si>
  <si>
    <t>Trustee 2 CSZ</t>
  </si>
  <si>
    <t>Trustee 2 County/City</t>
  </si>
  <si>
    <t>Date of Inst. T2</t>
  </si>
  <si>
    <t>Inst. No. T2</t>
  </si>
  <si>
    <t>Current Date</t>
  </si>
  <si>
    <t>Tax Creditor</t>
  </si>
  <si>
    <t>Tax Creditor, Block 2</t>
  </si>
  <si>
    <t>Tax Creditor Address</t>
  </si>
  <si>
    <t>Tax Creditor CSZ</t>
  </si>
  <si>
    <t>Tax Creditor County/City</t>
  </si>
  <si>
    <t>Tax Creditor Amount</t>
  </si>
  <si>
    <t>Lien Creditor 1</t>
  </si>
  <si>
    <t>Lien Creditor 1, Block 2</t>
  </si>
  <si>
    <t>Lien Creditor 1 Address</t>
  </si>
  <si>
    <t>Lien Creditor 1 Address 2</t>
  </si>
  <si>
    <t>Lien Creditor 1 CSZ</t>
  </si>
  <si>
    <t>LC1 County/City</t>
  </si>
  <si>
    <t>Date of Inst.</t>
  </si>
  <si>
    <t>Inst. No.</t>
  </si>
  <si>
    <t>Nature of Tax</t>
  </si>
  <si>
    <t>Tax Lien Against</t>
  </si>
  <si>
    <t>Office Filing</t>
  </si>
  <si>
    <t>Lien Creditor 2</t>
  </si>
  <si>
    <t>Lien Creditor 2, Block 2</t>
  </si>
  <si>
    <t>Lien Creditor 2 Address</t>
  </si>
  <si>
    <t>Lien Creditor 2 Address 2</t>
  </si>
  <si>
    <t>Lien Creditor 2 CSZ</t>
  </si>
  <si>
    <t>LC2 County/City</t>
  </si>
  <si>
    <t>Date of Inst. 2</t>
  </si>
  <si>
    <t>Inst. No. 2</t>
  </si>
  <si>
    <t>Nature of Tax 2</t>
  </si>
  <si>
    <t>Tax Lien Against 2</t>
  </si>
  <si>
    <t>Office Filing 2</t>
  </si>
  <si>
    <t>Lien Creditor 3</t>
  </si>
  <si>
    <t>Lien Creditor 3, Block 2</t>
  </si>
  <si>
    <t>Lien Creditor 3 Address</t>
  </si>
  <si>
    <t>Lien Creditor 3 Address 2</t>
  </si>
  <si>
    <t>Lien Creditor 3 CSZ</t>
  </si>
  <si>
    <t>LC3 County/City</t>
  </si>
  <si>
    <t>Date of Inst. 3</t>
  </si>
  <si>
    <t>Inst. No. 3</t>
  </si>
  <si>
    <t>Lien Creditor 4</t>
  </si>
  <si>
    <t>Lien Creditor 4, Block 2</t>
  </si>
  <si>
    <t>Lien Creditor 4 Address</t>
  </si>
  <si>
    <t>Lien Creditor 4 Address 2</t>
  </si>
  <si>
    <t>Lien Creditor 4 CSZ</t>
  </si>
  <si>
    <t>LC4 City/County</t>
  </si>
  <si>
    <t>Date of Inst. 4</t>
  </si>
  <si>
    <t>Inst. No. 4</t>
  </si>
  <si>
    <t>Lien Creditor 5</t>
  </si>
  <si>
    <t>Lien Creditor 5, Block 2</t>
  </si>
  <si>
    <t>Lien Creditor 5 Address</t>
  </si>
  <si>
    <t>Lien Creditor 5 Address 2</t>
  </si>
  <si>
    <t>Lien Creditor 5 CSZ</t>
  </si>
  <si>
    <t>LC5 County/City</t>
  </si>
  <si>
    <t>Date of Inst. 5</t>
  </si>
  <si>
    <t>Inst. No. 5</t>
  </si>
  <si>
    <t>Lien Creditor 6</t>
  </si>
  <si>
    <t>Lien Creditor 6, Block 2</t>
  </si>
  <si>
    <t>Lien Creditor 6 Address</t>
  </si>
  <si>
    <t>Lien Creditor 6 Address 2</t>
  </si>
  <si>
    <t>Lien Creditor 6 CSZ</t>
  </si>
  <si>
    <t>LC6 County/City</t>
  </si>
  <si>
    <t>Date of Inst. 6</t>
  </si>
  <si>
    <t>Inst. No. 6</t>
  </si>
  <si>
    <t>Lien Creditor 7</t>
  </si>
  <si>
    <t>Lien Creditor 7, Block 2</t>
  </si>
  <si>
    <t>Lien Creditor 7 Address</t>
  </si>
  <si>
    <t>Lien Creditor 7 Address 2</t>
  </si>
  <si>
    <t>Lien Creditor 7 CSZ</t>
  </si>
  <si>
    <t>LC7 County/City</t>
  </si>
  <si>
    <t>Date of Inst. 7</t>
  </si>
  <si>
    <t>Inst. No. 7</t>
  </si>
  <si>
    <t>Date of Sale</t>
  </si>
  <si>
    <t>Sale Amt.</t>
  </si>
  <si>
    <t>Deposit Amt.</t>
  </si>
  <si>
    <t>Surplus Deed Date</t>
  </si>
  <si>
    <t>Surplus Deed Inst. No.</t>
  </si>
  <si>
    <t>Buyer</t>
  </si>
  <si>
    <t>Buyer Address</t>
  </si>
  <si>
    <t>Buyer CSZ</t>
  </si>
  <si>
    <t>Lienholder</t>
  </si>
  <si>
    <t>Lien Amount</t>
  </si>
  <si>
    <t>Recording Costs</t>
  </si>
  <si>
    <t>Amt. with Clerk</t>
  </si>
  <si>
    <t>Commn'r Ch. Rep. Date</t>
  </si>
  <si>
    <t>Dec. Ord. Sale Date</t>
  </si>
  <si>
    <t>Sp. Commn'r Rep. of Auction Date</t>
  </si>
  <si>
    <t>Dec. Conf. Auction Rep. Date</t>
  </si>
  <si>
    <t>Fin. Decree Date</t>
  </si>
  <si>
    <t>83A-11-47-5</t>
  </si>
  <si>
    <t>CL17001928-00</t>
  </si>
  <si>
    <t>Ms.</t>
  </si>
  <si>
    <t>Coleman</t>
  </si>
  <si>
    <t>Dorella</t>
  </si>
  <si>
    <t>L.</t>
  </si>
  <si>
    <t>809 Park St.</t>
  </si>
  <si>
    <t>Y</t>
  </si>
  <si>
    <t>Altavista, VA  24517</t>
  </si>
  <si>
    <t>Campbell County</t>
  </si>
  <si>
    <t>That certain tract or parcel of land in the Town of Altavista, and described as follows:</t>
  </si>
  <si>
    <t>BEING House Number 809 on Park Street on Lot No. Five (5) of Block No. Forty-Seven fronting 53.33 feet on the South Side of Park Street, and running back between parallel lines a distance of one hundred forty (140) feet to a twenty (20) foot alley, as shown on a plat made by Stanhope Johnson dated November, 1933, and revised May, 1934 and recorded in the Office of the Clerk of the Circuit Court of Campbell County, Virginia in Plat Book No. 8, Page 78.</t>
  </si>
  <si>
    <t>This being the same property conveyed unto Dorella L. Coleman by Deed dated November 18, 2010 from Eudora B. Coleman, Widow, recorded in the Clerk’s Office of the Circuit Court of Campbell County as Instrument 110000040.</t>
  </si>
  <si>
    <t xml:space="preserve">Holly B. Trent, R/A </t>
  </si>
  <si>
    <t>Centra Health, Inc., dba Centra Medical Group</t>
  </si>
  <si>
    <t>1901 Tate Springs Rd.</t>
  </si>
  <si>
    <t>Lynchburg, VA  24501</t>
  </si>
  <si>
    <t>City of Lynchburg</t>
  </si>
  <si>
    <t>Instrument No. 170001631</t>
  </si>
  <si>
    <t>Lynchburg Emergency Physicians, Inc.</t>
  </si>
  <si>
    <t>c/o Levar Stoney, Secretary of the Commonwealth</t>
  </si>
  <si>
    <t>Office of the Secretary of the Commonwealth</t>
  </si>
  <si>
    <t>1111 East Broad St., 4th St.</t>
  </si>
  <si>
    <t>Richmond, VA  23219</t>
  </si>
  <si>
    <t>City of Richmond</t>
  </si>
  <si>
    <t>Judgment Book 36, Page 190</t>
  </si>
  <si>
    <t>Walter C. Ervin, III, City Attorney</t>
  </si>
  <si>
    <t>900 Church Street</t>
  </si>
  <si>
    <t>Lynchburg, VA  24504</t>
  </si>
  <si>
    <t>Judgment Book 37, Page 629</t>
  </si>
  <si>
    <t>Paul D. Henson, R/A</t>
  </si>
  <si>
    <t>Carilion Medical Center</t>
  </si>
  <si>
    <t>213 S. Jefferson St., Suite 1600</t>
  </si>
  <si>
    <t>Roanoke, VA  24011</t>
  </si>
  <si>
    <t>City of Roanoke</t>
  </si>
  <si>
    <t>Instrument No. 080000570</t>
  </si>
  <si>
    <t>Joshua A. Bailey, R/A</t>
  </si>
  <si>
    <t>Rehabilitation Associates of Central Virginia, Inc.</t>
  </si>
  <si>
    <t>20347 Timberlake Road, Suite B</t>
  </si>
  <si>
    <t>Lynchburg, VA  24502</t>
  </si>
  <si>
    <t>Instrument No. 080001653</t>
  </si>
  <si>
    <t>Cash Net Inc., t/a Cash Advance Centers</t>
  </si>
  <si>
    <t>c/o D. Kent Gilliam, Esquire</t>
  </si>
  <si>
    <t>7821 Ironbridge Rd.</t>
  </si>
  <si>
    <t>Richmond, VA  23237</t>
  </si>
  <si>
    <t>Instrument No. 090001243</t>
  </si>
  <si>
    <t>William A. Hunter, Jr., R/A</t>
  </si>
  <si>
    <t>Orthopaedic Center of Central Virginia, Inc.</t>
  </si>
  <si>
    <t>6610 Everett Road</t>
  </si>
  <si>
    <t>Forest, VA  24551</t>
  </si>
  <si>
    <t>Bedford County</t>
  </si>
  <si>
    <t>Instrument No. 100000367</t>
  </si>
  <si>
    <t>88-8-1E</t>
  </si>
  <si>
    <t>CL17001918-00</t>
  </si>
  <si>
    <t>Mr. and Mrs.</t>
  </si>
  <si>
    <t>Hall</t>
  </si>
  <si>
    <t>Dock</t>
  </si>
  <si>
    <t>Alberta</t>
  </si>
  <si>
    <t>P.</t>
  </si>
  <si>
    <t>David J. Hall</t>
  </si>
  <si>
    <t>Mr.</t>
  </si>
  <si>
    <t>(434) 509-6459</t>
  </si>
  <si>
    <t>P.O. Box 13</t>
  </si>
  <si>
    <t>Pittsville, VA  24139</t>
  </si>
  <si>
    <t>62 Hall Rd.</t>
  </si>
  <si>
    <t>Long Island, VA  24569</t>
  </si>
  <si>
    <t>P.O. Box 35</t>
  </si>
  <si>
    <t>9:00 A.M.</t>
  </si>
  <si>
    <t>1:30 P.M.</t>
  </si>
  <si>
    <t>2016-2018</t>
  </si>
  <si>
    <t>That certain tract or parcel of land, containing 4.3 acres, located in Seneca Magisterial District, Campbell County, Virginia, as shown on a plat of survey by John David Jacobs, C.L.S., a copy of which is recorded in the Clerk’s Office of the Circuit Court of Campbell County in Deed Book 387, Page 148, and being more particularly described with reference to said plat as follows:</t>
  </si>
  <si>
    <t>BEGINNING at a point in the center of State Secondary Route 633, corner with the property of Robert Payne; thence with said Highway S. 72° 46’ E. 512 feet (chord); thence leaving said Highway S. 14° W. 360 feet to iron; thence N. 68° 51’ W. 747.1 feet to iron; thence N. 4° E. 105.9 feet to iron; thence S. 65° 35’ E. 191.3 feet to iron; thence S. 83° 02 E. 162 feet to iron; thence N. 11° 55’ W. 230.1 feet to the point of BEGINNING.</t>
  </si>
  <si>
    <t>This being the same property conveyed unto Dock Hall and Alberta Payne Hall, husband and wife, by deed dated February 9, 1967 from Harrison Payne and Frances Lee Payne, his wife, recorded in the Clerk’s Office of the Circuit Court of Campbell County in Deed Book 387, Page 148.</t>
  </si>
  <si>
    <t>88-A-18C</t>
  </si>
  <si>
    <t>Miller</t>
  </si>
  <si>
    <t>A.</t>
  </si>
  <si>
    <t>(434) 329-8604</t>
  </si>
  <si>
    <t>GENERAL DELIVERY</t>
  </si>
  <si>
    <t>Gladys, VA  24554</t>
  </si>
  <si>
    <t>All that certain tract or parcel of land, together with the privileges and appurtenances thereunto belonging, situate, lying and being in the Patrick Henry Magisterial District of Campbell County, Virginia, on State Secondary Route 633, and being described according to a plat of E.R. Farmer, Civil Engineer, dated 1919 and recorded in the Clerk’s Office of the Circuit Court for the County of Campbell, Virginia in Plat Book 1, page 92, as follows:</t>
  </si>
  <si>
    <t>Also including all right, title and interest in and to the part of the aforementioned land situate southeast of the Mill Pond and northwest of the following line:</t>
  </si>
  <si>
    <t>This being the same parcel coveyed from Steven N. Miller and Tamera L. Miller, husband and wife, to Steven N. Miller and Tamera L. Miller, husband and wife, by deed dated March 23, 1995 and recorded in the aforementioned Clerk’s Office in Deed Book 822, at page 467.</t>
  </si>
  <si>
    <t>Whole Man Ministries of NC, Inc.</t>
  </si>
  <si>
    <t>Winston Salem, NC 27107</t>
  </si>
  <si>
    <t>53B-3-6</t>
  </si>
  <si>
    <t>CL19000740-00</t>
  </si>
  <si>
    <t>Knoedler</t>
  </si>
  <si>
    <t xml:space="preserve">Heidi </t>
  </si>
  <si>
    <t>Shultz</t>
  </si>
  <si>
    <t>Roger</t>
  </si>
  <si>
    <t>Jr.</t>
  </si>
  <si>
    <t>(434) 907-3673</t>
  </si>
  <si>
    <t>1069 Wileman Rd.</t>
  </si>
  <si>
    <t>Lynch Station, VA  24571</t>
  </si>
  <si>
    <t>All that parcel of land in Vista District, Campbell County, Virginia, as more fully described in that certain deed recorded in the Clerk's Office for the Circuit Court of Campbell, County, Virginia recorded in Deed Book 687, page 689, Tax Map # 53B-3-6, being known as designated as Lot 6, containing 0.46 acre, Mountain View Estates, filed in Plat Book 497, at page 118, in the aforementioned Clerk's Office.</t>
  </si>
  <si>
    <t>43-A-8</t>
  </si>
  <si>
    <t>Rhodes</t>
  </si>
  <si>
    <t>Gwen</t>
  </si>
  <si>
    <t>Evington, VA  24550</t>
  </si>
  <si>
    <t>83A-11-58-6</t>
  </si>
  <si>
    <t>CL18001369-00</t>
  </si>
  <si>
    <t>Minnis</t>
  </si>
  <si>
    <t>Earl</t>
  </si>
  <si>
    <t>H.</t>
  </si>
  <si>
    <t>y</t>
  </si>
  <si>
    <t>Odessa</t>
  </si>
  <si>
    <t>D.</t>
  </si>
  <si>
    <t>Jeffrey A. Minnis</t>
  </si>
  <si>
    <t>(434) 944-3580</t>
  </si>
  <si>
    <t>810 12th St.</t>
  </si>
  <si>
    <t>812 12th St.</t>
  </si>
  <si>
    <t>Dale H. Minnis, Jr.</t>
  </si>
  <si>
    <t>Roanoke City Jail</t>
  </si>
  <si>
    <t>324 Campbell Ave., SW</t>
  </si>
  <si>
    <t>Roanoke, VA  24016</t>
  </si>
  <si>
    <t>Margaret Brown</t>
  </si>
  <si>
    <t>3047 Swarthmore Ave., NW</t>
  </si>
  <si>
    <t>Roanoke, VA  24017</t>
  </si>
  <si>
    <t>Wayne Minnis</t>
  </si>
  <si>
    <t>3819 Plantation Road, NE</t>
  </si>
  <si>
    <t>Roanoke, VA  24012</t>
  </si>
  <si>
    <t>Tobie Shelton, Treasurer</t>
  </si>
  <si>
    <t>Town of Altavista</t>
  </si>
  <si>
    <t>510 Seventh St.</t>
  </si>
  <si>
    <t>Division of Child Support Enforcement</t>
  </si>
  <si>
    <t>801 E. Main Street</t>
  </si>
  <si>
    <t>Richmond, VA 23219</t>
  </si>
  <si>
    <t>Instrument No. 160002496, filed against debtor Dale H. Minnis, Jr</t>
  </si>
  <si>
    <t>DCSE District Office</t>
  </si>
  <si>
    <t>Courtesy Copy to:</t>
  </si>
  <si>
    <t>2127 Lakeside Drive</t>
  </si>
  <si>
    <t>Paul A. McAndrews, Esquire</t>
  </si>
  <si>
    <t>Campbell County Commonwealth's Attorney</t>
  </si>
  <si>
    <t>P.O. Box 236</t>
  </si>
  <si>
    <t>732 Village Hwy.</t>
  </si>
  <si>
    <t>Rustburg, VA  24588</t>
  </si>
  <si>
    <t>Instrument No. 140001137, filed against debtor Jeffrey A. Minnis</t>
  </si>
  <si>
    <t>Instrument No. 140002037, filed against debtor Jeffrey A. Minnis</t>
  </si>
  <si>
    <t>Instrument No. 160001471, filed against debtor Jeffrey A. Minnis</t>
  </si>
  <si>
    <t>Tyler</t>
  </si>
  <si>
    <t>Sarah</t>
  </si>
  <si>
    <t>C.</t>
  </si>
  <si>
    <t>1909 Tabby Ln.</t>
  </si>
  <si>
    <t>Anderson</t>
  </si>
  <si>
    <t>Christopher</t>
  </si>
  <si>
    <t>W.</t>
  </si>
  <si>
    <t>96A-6-304</t>
  </si>
  <si>
    <t>CL18001418-00</t>
  </si>
  <si>
    <t>Brown</t>
  </si>
  <si>
    <t>Anthony</t>
  </si>
  <si>
    <t>O.</t>
  </si>
  <si>
    <t>Cynthia</t>
  </si>
  <si>
    <t>M.</t>
  </si>
  <si>
    <t>(252) 231-0742</t>
  </si>
  <si>
    <t>320 Charlotte St.</t>
  </si>
  <si>
    <t>Rocky Mount, NC  27804</t>
  </si>
  <si>
    <t xml:space="preserve">All that certain tract or parcel of land, together with any buildings and improvements thereon and any appurtenances thereunto belonging, situate in the Vista Magisterial District, Campbell County, Virginia, and designated as Lot No. 304, Phase IV, Runaway Bay, containing 4.135 acres and more particularly shown on a plat of survey dated May 1, 1999, made by Thomas C. Brooks, Sr., L.S., entitled "Plat Showing Map IV, Phase IV, Runaway Bay, Vista District, Campbell County, Virginia" which said plat is recorded in the Clerk's Office of the Circuit Court of Campbell County, Virginia in Plat Cabinet B, Slide 253, pages 1338 and 1339.  </t>
  </si>
  <si>
    <t>This being a portion of the same parcel conveyed from River Oaks Investments of Virginia, Inc. to Anthony O. Brown and Cynthia Middleton Brown by Deed dated September 26, 2000 and recorded in the aforementioned Clerk's Office in Deed Book 1005, at page 420.</t>
  </si>
  <si>
    <t>This parcel is subject to all restrictions, reservations, easements and conditions of record and now binding on the property, which include specifically the restrictions of record and appearing in Deed Book 928, at page 464; Deed Book 928, at page 471; Deed Book 959, at page 904; and Deed Book 995, at page 204.</t>
  </si>
  <si>
    <t>Mary J. Wither</t>
  </si>
  <si>
    <t>Runaway Bay Homeowners Association, Inc.</t>
  </si>
  <si>
    <t>611 Clear Pointe Rd.</t>
  </si>
  <si>
    <t>Instrument No. 050006571</t>
  </si>
  <si>
    <t>71-8-5B</t>
  </si>
  <si>
    <t>Cunningham</t>
  </si>
  <si>
    <t xml:space="preserve">Ernest </t>
  </si>
  <si>
    <t>Dora</t>
  </si>
  <si>
    <t>2017-2019</t>
  </si>
  <si>
    <t>Davis</t>
  </si>
  <si>
    <t>John</t>
  </si>
  <si>
    <t>Corporation Service Company, R/A</t>
  </si>
  <si>
    <t>100 Shockoe Slip, 2nd Floor</t>
  </si>
  <si>
    <t>70-A-18</t>
  </si>
  <si>
    <t>Glenn</t>
  </si>
  <si>
    <t>Sheryl</t>
  </si>
  <si>
    <t>B.</t>
  </si>
  <si>
    <t>Mark</t>
  </si>
  <si>
    <t>T.</t>
  </si>
  <si>
    <t>Preas</t>
  </si>
  <si>
    <t>(434) 238-4781</t>
  </si>
  <si>
    <t>340 Peerman School Rd.</t>
  </si>
  <si>
    <t>91-A-49C</t>
  </si>
  <si>
    <t>CL19000275-00</t>
  </si>
  <si>
    <t>Property Owners</t>
  </si>
  <si>
    <t>Hamlett</t>
  </si>
  <si>
    <t>Scottie</t>
  </si>
  <si>
    <t>Garnett</t>
  </si>
  <si>
    <t>Brookneal, VA  24528</t>
  </si>
  <si>
    <t>Jamie Martin, R/A</t>
  </si>
  <si>
    <t>200 South 10th St., Suite 1600</t>
  </si>
  <si>
    <t>20F-1-6</t>
  </si>
  <si>
    <t>Hicks</t>
  </si>
  <si>
    <t>Annie</t>
  </si>
  <si>
    <t>83A-11-19-2</t>
  </si>
  <si>
    <t>Executor</t>
  </si>
  <si>
    <t>Little</t>
  </si>
  <si>
    <t>Sheila</t>
  </si>
  <si>
    <t>F.</t>
  </si>
  <si>
    <t>1003 Broad St.</t>
  </si>
  <si>
    <t>1005 Broad St.</t>
  </si>
  <si>
    <t>29-A-28</t>
  </si>
  <si>
    <t>Moss</t>
  </si>
  <si>
    <t>Henry</t>
  </si>
  <si>
    <t>c/o Mary E. Adams</t>
  </si>
  <si>
    <t>P.O. Box 671</t>
  </si>
  <si>
    <t>Beltsville, MD  20705</t>
  </si>
  <si>
    <t>2015-2019</t>
  </si>
  <si>
    <t>All that certain lot or parcel of land, situate, lying, and being in Otter River Magisterial District, Campbell County, Virginia, being described as:</t>
  </si>
  <si>
    <t>Beginning at Maple corner, thence East 70 yards to Spanish Oak on Black's line (now or formerly), thence North 220 yards to Black Oak on Thornton's line (now or formerly), thence 70 yards to Dogwood corner, thence to the point of Beginning on Black's line (now or formerly), containing by Deed description 3 acres, more or less.</t>
  </si>
  <si>
    <t>This being the same property conveyed from Judie Freeman, Emma Burrell and Charlie Burrell, Lena Williams and Andrew Williams, Susie Robertson and Thomas Robertson, Mattie Dews to Henry Moss by Deed dated January 11, 1930, and recorded in the Clerk's Office of the Circuit Court of Campbell County, Virginia in Deed Book 157, page 315.</t>
  </si>
  <si>
    <t xml:space="preserve">Morris Freeman and his wife were referenced as owners in the Deed recorded in Deed Book 157, page 315, but did not sign the same.  </t>
  </si>
  <si>
    <t>Morris Freeman and Wife</t>
  </si>
  <si>
    <t>(Address Unknown)</t>
  </si>
  <si>
    <t>Victoria M. Moss</t>
  </si>
  <si>
    <t>Abner Lynch</t>
  </si>
  <si>
    <t>103C-27-6-31A</t>
  </si>
  <si>
    <t>Terrebonne</t>
  </si>
  <si>
    <t>Brian</t>
  </si>
  <si>
    <t>J.</t>
  </si>
  <si>
    <t>Sr.</t>
  </si>
  <si>
    <t>Fairfax County</t>
  </si>
  <si>
    <t>2016-2019</t>
  </si>
  <si>
    <t>Bobbie A. Waller, Treasurer</t>
  </si>
  <si>
    <t>Town of Brookneal</t>
  </si>
  <si>
    <t>215 Main Street</t>
  </si>
  <si>
    <t>83A-11-57-12A</t>
  </si>
  <si>
    <t>CL18001667-00</t>
  </si>
  <si>
    <t>Gregory</t>
  </si>
  <si>
    <t>Marcellus</t>
  </si>
  <si>
    <t>Shaundula</t>
  </si>
  <si>
    <t>(434) 258-1704</t>
  </si>
  <si>
    <t>P.O. Box 253</t>
  </si>
  <si>
    <t>2014-2018</t>
  </si>
  <si>
    <t xml:space="preserve">All that certain tract or parcel of land, with buildings and improvements thereon, and the privileges and appurtenances thereunto belonging, situate in the Town of Altavista, Campbell County, Virginia, being Lot 12, Block 57, as shown on the revised map of Altavista, dated January 7, 1911, and recorded in the Clerk's Office of the Circuit Court of Campbell County, Virginia, in Deed Book 89, at page 419; which said lot fronts 60 feet on the southerly side of 13th Street and runs back between parallel lines at right angles thereto, a distance of 140 feet, to a 20 foot alley.  </t>
  </si>
  <si>
    <t xml:space="preserve">Also that small irregular-shaped piece of land which lies west of the aforementioned Lot No. 12 and the easterly margin of the right of way boundary line of the Southern Railway right of way, and between the Southerly margin of 13th Street and the northerly margin of the alley aforesaid; said irregular-shaped lot being 140 feet in depth but varying width, as shown on the aforementioned revised Map of Altavista.  </t>
  </si>
  <si>
    <t>This being the same property conveyed unto Marcellus Preston Gregory and Shaundula D. Gregory, husband and wife, by deed dated April 20, 2011 from Marcellus Preston Gregory, and recorded in the aforementioned Clerk’s Office as Instrument No. 070000392.</t>
  </si>
  <si>
    <t>Instrument No. 170000237</t>
  </si>
  <si>
    <t>James C. Laney, Jr.</t>
  </si>
  <si>
    <t>1039 Main St.</t>
  </si>
  <si>
    <t>Instrument No. 170000056</t>
  </si>
  <si>
    <t>Instrument No. 150000364</t>
  </si>
  <si>
    <t>Platinum Financial Services Corp., a Maryland Corporation</t>
  </si>
  <si>
    <t>c/o Sarah J. Zecca</t>
  </si>
  <si>
    <t>192 Ballard Ct., #303</t>
  </si>
  <si>
    <t>Virginia Beach, VA  23462</t>
  </si>
  <si>
    <t>City of Virginia Beach</t>
  </si>
  <si>
    <t>Instrument No. 010000499</t>
  </si>
  <si>
    <t>90-5-3 &amp; 5A</t>
  </si>
  <si>
    <t>CL19001675-00</t>
  </si>
  <si>
    <t>Bradley</t>
  </si>
  <si>
    <t>Noble</t>
  </si>
  <si>
    <t>Mary</t>
  </si>
  <si>
    <t>176-27 12th Ave.</t>
  </si>
  <si>
    <t>Jamaica, NY  11434</t>
  </si>
  <si>
    <t>A certain tract of land situated on the Northwest side of the Falling River Road (now or formerly) and the Shuck Road (now or formerly), near Naruna, bounded by the lands now or formerly of R.W. Mason, Wesley Callahan, Thomas Whitley, the Shuck Road and the Falling River Road.  According to a plat of survey made of the said land by Fred Kabler, S.C.C. on November 20, 1914, the metes an bounds of the land are as follows:</t>
  </si>
  <si>
    <t>This being the same parcel conveyed from Cora and William Phelps, husband and wife, and Queenie V. Calloway Baker and Robert H. Baker, husband and wife to Noble and Mary L. Bradley, husband and wife, by Deed dated April 25, 1925, and recorded in the Clerk's Office of the Circuit Court of Campbell County, Virginia in Deed Book 116, page 230.</t>
  </si>
  <si>
    <t xml:space="preserve">Reference is also made to that certain plat of survey dated July 5, 1957 and recorded in the aforesaid Clerk's Office in Plat Cabinet A, slide 182, page 19 for a fuller description of the property by metes and bounds.  The said July 5, 1957 plat references an intention to convey parcel 3, current Campbell County Tax Map No. 90-5-3, to one Belle J. Wynn.  No Deed recorded prior to or subsequent to the date of the plat effected the conveyance of that parcel to Belle J. Wynn. </t>
  </si>
  <si>
    <t>Pursuant to those certain two Deeds both dated August 1, 1957 and recorded in the aforesaid Clerk's Office in Deed Book 303, page 516, and in Deed Book 303, page 583, Noble Bradley and Mary L. Bradley are both deceased, leaving as their heirs Loretta B. Williams, Ned Bradley, Willie G. Bradley, Garland Bradley, Elbert Bradley, Pearlie Bradley, Loise B. Freeman, Frank Bradley, and Elsie Yuille.  It was represented to the Court in that certain civil filing found in the case file of Campbell County Circuit Court Case No. CH04000028-00 that Loise Bradley Freeman is deceased, leaving as her sole heir Loiuse Bradley of Jamaica, NY.</t>
  </si>
  <si>
    <t>21-A-79</t>
  </si>
  <si>
    <t>Estate of</t>
  </si>
  <si>
    <t>Jordan</t>
  </si>
  <si>
    <t>Willie</t>
  </si>
  <si>
    <t>19217 Leesville Rd.</t>
  </si>
  <si>
    <t>LESS and EXCEPT that certain 3/4 acre parcel conveyed from Willie W. Jordan and Rosie J. Jordan, husband and wife to Letcher G. Hancock and Cora L. Hancock, husband and wife, by Deed dated May 17, 1951 and recorded in the aforesaid Clerk's Office in Deed Book 232, at page 371; and</t>
  </si>
  <si>
    <t>LESS and EXCEPT that certain 5.818 acre parcel of land conveyed from Willie W. Jordan, widowed, to Corrine Jordan Wooldridge by Deed dated September 14, 1972 and recorded in the aforesaid Clerk's Office in Deed Book 471, page 527; and</t>
  </si>
  <si>
    <t>LESS and EXCEPT that certain 1.371 acre parcel of land conveyed from the heirs of Willie W. Jordan to Edward D. Nuckles by Deed dated October 23, 2008 and recorded in the aforesaid Clerk's Office as Instrument No. 080007491; and</t>
  </si>
  <si>
    <t>LESS and EXCEPT that certain 0.596 acre parcel of land conveyed from the heirs of Willie W. Jordan to Russell H. Orrison by Deed dated October 23, 2019 and recorded in the aforesaid Clerk's Office as Instrument No. 080007492; and</t>
  </si>
  <si>
    <t>LESS and EXCEPT that certain property conveyed from the heirs of Willie W. Jordan to 4-D Construction, by Deed dated October 23, 2008 and recorded in the aforesaid Clerk's Office as Instrument No. 080007493.</t>
  </si>
  <si>
    <t xml:space="preserve">This being the same parcel conveyed from Joseph F. Jordan; Ira T. Jordan and Lillian E. Jordan, husband and wife; and Gordon Henderson to Willie W. Jordan by Deed dated January 1, 1925 and recorded in the aforesaid Clerk's Office in Deed Book 139, at page 260, less and except the listed off-conveyances.  This property is subject to </t>
  </si>
  <si>
    <t>Corrine J. Wooldridge</t>
  </si>
  <si>
    <t>692 Blackwater Rd.</t>
  </si>
  <si>
    <t>Marie Tompson</t>
  </si>
  <si>
    <t>2169 Hawkins Mill Rd.</t>
  </si>
  <si>
    <t>Lynchburg, VA  24503</t>
  </si>
  <si>
    <t>Wayne Wilson</t>
  </si>
  <si>
    <t>276 Tradewind Dr.</t>
  </si>
  <si>
    <t>81C-1-A-14</t>
  </si>
  <si>
    <t>Wooding</t>
  </si>
  <si>
    <t>Nathan</t>
  </si>
  <si>
    <t>Joshua Wooding</t>
  </si>
  <si>
    <t>11547 Barbet Ct.</t>
  </si>
  <si>
    <t>Moreno Valley, CA  92557</t>
  </si>
  <si>
    <t>This being the same parcel conveyed from Jane L. Anthony to Nathan Wooding by Deed dated November 21, 1904, and recorded in the aforesaid Clerk's Office in Deed Book 78, page 396.</t>
  </si>
  <si>
    <t>16-A-20</t>
  </si>
  <si>
    <t>Fleshman</t>
  </si>
  <si>
    <t>Earlene</t>
  </si>
  <si>
    <t>E.</t>
  </si>
  <si>
    <t>103 Country Rd.</t>
  </si>
  <si>
    <t>90-A-34</t>
  </si>
  <si>
    <t>Higginbotham</t>
  </si>
  <si>
    <t>Gerlinde</t>
  </si>
  <si>
    <t>Yuille</t>
  </si>
  <si>
    <t>Glen Allen, VA  23060</t>
  </si>
  <si>
    <t>Henrico County</t>
  </si>
  <si>
    <t>Walker</t>
  </si>
  <si>
    <t>103C-2-18A</t>
  </si>
  <si>
    <t>Unknown Owner</t>
  </si>
  <si>
    <t>87-4-12B</t>
  </si>
  <si>
    <t>12I-12-4</t>
  </si>
  <si>
    <t>CL19000569-00</t>
  </si>
  <si>
    <t>Karen</t>
  </si>
  <si>
    <t>828 Main St.</t>
  </si>
  <si>
    <t>6610 Everett Rd.</t>
  </si>
  <si>
    <t>Mr. &amp; Mrs.</t>
  </si>
  <si>
    <t>Angel</t>
  </si>
  <si>
    <t>Otis</t>
  </si>
  <si>
    <t>Phyllis</t>
  </si>
  <si>
    <t>114 Sycamore St.</t>
  </si>
  <si>
    <t>c/o Glenn Angel</t>
  </si>
  <si>
    <t>P.O. Box 770</t>
  </si>
  <si>
    <t>103B-3-1-47</t>
  </si>
  <si>
    <t>103B-3-1-48</t>
  </si>
  <si>
    <t>70D-2-4-12</t>
  </si>
  <si>
    <t>Bell</t>
  </si>
  <si>
    <t>Eric</t>
  </si>
  <si>
    <t>Patsy</t>
  </si>
  <si>
    <t>Madison Heights, VA  24572</t>
  </si>
  <si>
    <t>46B-1-12</t>
  </si>
  <si>
    <t>Bellford Corp.</t>
  </si>
  <si>
    <t>20566 Timberlake Rd.</t>
  </si>
  <si>
    <t>All that certain tract or parcel of land, situate, lying, and being in Rustburg Magisterial District, Campbell County, Virginia, and being designated as "Parcel 12" on that certain plat of survey entitled "Winfall Acres", dated May 29, 1986, made by Ralph P. Hines &amp; Associates, which said plat is recorded in the Clerk's Office for the Circuit Court of Campbell County, Virginia in Plat Cabinet A, slide 385, page 22.</t>
  </si>
  <si>
    <t>This being the residue of that certain 54.90 acres parcel conveyed from Burruss Timber Associates to Bellford Corporation by that certain Deed dated March 25, 1986 and recorded in the aforesaid Clerk's Office in Deed Book 629, page 110.</t>
  </si>
  <si>
    <t>12-11-9*</t>
  </si>
  <si>
    <t>James</t>
  </si>
  <si>
    <t>81-A-55</t>
  </si>
  <si>
    <t>Carter</t>
  </si>
  <si>
    <t>William</t>
  </si>
  <si>
    <t>A.P.</t>
  </si>
  <si>
    <t>II</t>
  </si>
  <si>
    <t>That certain lot or parcel of land, lying, situate, and being in the County of Campbell, Virginia, being all that tract known as the "Mill Lot", supposed to contain 3 acres, whether the same contain more or less, fronting on Goose Creek.</t>
  </si>
  <si>
    <t>This being the same parcel conveyed from William A. Carter and Esther V. Carter, divorced, to William A. Carter, individually, by deed dated December 9, 1975, and recorded in the Clerk's Office of the Circuit Court of Campbell County, Virginia, in Deed Book 505 page 399.</t>
  </si>
  <si>
    <t>William A. Carter died testate on August 7, 2001, his will being admitted to probate in the aforesaid Clerk's office on September 4, 2001, and recorded in Will Book 01, page 604.  Pursuant to said Will, the herein described parcel was devised to William Adolphus Perrow Carter, II and John Charles Carter.</t>
  </si>
  <si>
    <t>Additional Copy to:</t>
  </si>
  <si>
    <t>108 River Point Dr.</t>
  </si>
  <si>
    <t>Suffolk, VA  23434</t>
  </si>
  <si>
    <t>City of Suffolk</t>
  </si>
  <si>
    <t>81C-1-B-31</t>
  </si>
  <si>
    <t>Those certain lots or parcels of land, lying, situate, and being in Vista Magisterial District, now or formerly in the County of Campbell, Virginia, in the Village of Leesville, Virginia,  being parcel numbers 31 through 47, inclusive, as shown on that certain plat of the Town of Leesville, Virginia made by Maj'r Jesse Leftwich, recorded in the Clerk's Office of the Circuit Court of Campbell County, Virginia in Slide A66, page 94, and being comprised of Campbell County Tax Map Nos. 81C-1-B-31 through 81C-1-B-47, inclusive.</t>
  </si>
  <si>
    <t>This being a portion of the same property conveyed from Lon V. Boyd and Elizabeth Boyd to William A. Carter by Deed dated February 10, 1992 and recorded in the aforesaid Clerk's Office in Deed Book 745, at page 652.</t>
  </si>
  <si>
    <t>56-4-1</t>
  </si>
  <si>
    <t>Chapman</t>
  </si>
  <si>
    <t>Gwendolyn</t>
  </si>
  <si>
    <t>(434) 941-1470</t>
  </si>
  <si>
    <t>3270 Wards Rd.</t>
  </si>
  <si>
    <t>617 Calhoun Dr.</t>
  </si>
  <si>
    <t>Garden City, SC  29576</t>
  </si>
  <si>
    <t>27-A-70B</t>
  </si>
  <si>
    <t>S.</t>
  </si>
  <si>
    <t>61 Spring Mill Rd.</t>
  </si>
  <si>
    <t>Concord, VA  24538</t>
  </si>
  <si>
    <t>89-A-2</t>
  </si>
  <si>
    <t>Cornerstone Baptist Assoc.</t>
  </si>
  <si>
    <t>c/o Cilla P. Brown</t>
  </si>
  <si>
    <t>301 Lambs Church Rd.</t>
  </si>
  <si>
    <t>88-8-2B</t>
  </si>
  <si>
    <t>Phillip</t>
  </si>
  <si>
    <t>Gilbert</t>
  </si>
  <si>
    <t>103C-45-2</t>
  </si>
  <si>
    <t>Dalton</t>
  </si>
  <si>
    <t>Inez</t>
  </si>
  <si>
    <t>Ralph D. Dalton, Sr.</t>
  </si>
  <si>
    <t>(434) 568-7105</t>
  </si>
  <si>
    <t>111 Central St.</t>
  </si>
  <si>
    <t>That certain lot or parcel of land situate in the Town of Brookneal, Campbell County, Virginia, and being Lot No. Two (2) as shown on a plat of survey entitled "Oakdale Resubdivision" made by J. Walter Jones, Jr., C.L.S., dated January 10, 1969, a copy of which is recorded in the Clerk's Office of the Circuit Court for Campbell County, Virginia, in Deed Book 413, page 529, and being more particularly described by metes and bounds in that certain Deed dated January 6, 1970, and recorded in the aforesaid Clerk's Office in Deed Book 420, page 613.</t>
  </si>
  <si>
    <t>This being the same parcel conveyed from Neil T. Guthrie and Nell G. Guthrie, husband and wife, by Deed dated January 6, 1970 and recorded in the aforesaid Clerk's Office in Deed Book 420, page 613.</t>
  </si>
  <si>
    <t>9-A-15B</t>
  </si>
  <si>
    <t>Elliott</t>
  </si>
  <si>
    <t>Freda</t>
  </si>
  <si>
    <t>Joyce</t>
  </si>
  <si>
    <t>809 Pettigrew Dr.</t>
  </si>
  <si>
    <t>1624 Fillmore St., Apt. B</t>
  </si>
  <si>
    <t>All that certain tract or parcel of land, together with any improvements thereon, situate, lying, and being in Long Mountain Magisterial District, Campbell County, Virginia, on the Northerly side of Secondary Route 799, containing one (1) acre, more or less, and being more particularly described by that plat of survey made by Donald R. Miller, CLS, made DEcember 2, 198, and recorded in the Clerk's Office of the Circuit Court of Campbell County, Virginia in Deed Book 597, page 574.</t>
  </si>
  <si>
    <t>This being the same property conveyed from Benjamin Boatwright to Freda D. Elliott and Joyce A. Elliott by Deed dated January 17, 2012 and recorded in the aforesaid Clerk's Office as Instrument No. 120001432.</t>
  </si>
  <si>
    <t>Roger Carson, President</t>
  </si>
  <si>
    <t>Central Virginia Federal Credit Union</t>
  </si>
  <si>
    <t>20255 Timberlake Rd.</t>
  </si>
  <si>
    <t>Lynchburg, VA 24502</t>
  </si>
  <si>
    <t>66-A-20</t>
  </si>
  <si>
    <t>English</t>
  </si>
  <si>
    <t>34A-8-54, 54A &amp; 55</t>
  </si>
  <si>
    <t>Willis</t>
  </si>
  <si>
    <t>Franklin</t>
  </si>
  <si>
    <t>Those certain lots or parcels of land, situate in Rustburg Magisterial District, Campbell County, Virginia, being described as:</t>
  </si>
  <si>
    <t>Tax Map Nos. 34A-8-54 &amp; 55: Those certain lots or parcels of land designated as Lots 54 and 55, as shown on the plat of survey made by W.S. Peet for the heirs of W.C. Perrow, and recorded in the Clerk's Office of the Circuit Court of Campbell County, Virginia in Deed Book 54, page 426 and 427.  These lots adjoin each other and lie on the North-West side of the Norfolk and Western Railroad, and in rear of the Parsonage property, being bound on the South-East by said Parsonage property; on the South-West by Lot No. 53 of the said survey and plat; and on the North-West by what was designated on said plat as Pine Street.</t>
  </si>
  <si>
    <t>This being the same property conveyed from John W. Harvey and Ora N. Harvey, husband and wife, dated October 18, 1904, and recorded in the aforesaid Clerk's Office in Deed Book 76, page 176.</t>
  </si>
  <si>
    <t>ALSO CONVEYED: Tax Map No. 34A-8-54A: That certain lot or parcel of land being described as lying north west of the right of way of the Norfolk &amp; Western Railroad at Rustburg, Campbell County, Virginia, which formerly constituted a part of the Parsonage Lot, as shown on a plat of W.C. Perrows Estate, made by W.S. Peet, and recorded in the aforesaid Clerk's Office in Deed Book 54, pages 426 &amp; 427, and appears as a triangular lot lying along the said right of way and bounded by said right of way and Lots 52, 53, 54 &amp; 55, as shown on said plat.</t>
  </si>
  <si>
    <t>This being the same property conveyed from Jon M. Fore and Rosa E. Fore, husband and wife, to Willis Franklin by Deed dated June 10, 1914, and recorded in the aforesaid Clerk's Office in Deed Book 99, page 347.</t>
  </si>
  <si>
    <t>57-A-25A</t>
  </si>
  <si>
    <t>Guthrie</t>
  </si>
  <si>
    <t>Vercia</t>
  </si>
  <si>
    <t>M. Viar</t>
  </si>
  <si>
    <t>107 Theta Mill Rd.</t>
  </si>
  <si>
    <t>45-3-2A</t>
  </si>
  <si>
    <t>Helm</t>
  </si>
  <si>
    <t>Mae P.</t>
  </si>
  <si>
    <t>2465 Rocky Rd.</t>
  </si>
  <si>
    <t>71-A-45J</t>
  </si>
  <si>
    <t>Buddy</t>
  </si>
  <si>
    <t>Geraldine</t>
  </si>
  <si>
    <t>K.</t>
  </si>
  <si>
    <t>83A-34-28</t>
  </si>
  <si>
    <t>Kershner</t>
  </si>
  <si>
    <t>Darl</t>
  </si>
  <si>
    <t>Shirley</t>
  </si>
  <si>
    <t>63A-3-2</t>
  </si>
  <si>
    <t>Livick</t>
  </si>
  <si>
    <t>Barbara</t>
  </si>
  <si>
    <t>(434) 283-7976</t>
  </si>
  <si>
    <t>126 Harvest Hill Dr.</t>
  </si>
  <si>
    <t>83A-19-12</t>
  </si>
  <si>
    <t>Merritt</t>
  </si>
  <si>
    <t>A.W.</t>
  </si>
  <si>
    <t>24-A-19K</t>
  </si>
  <si>
    <t>Moore</t>
  </si>
  <si>
    <t>Aubrey</t>
  </si>
  <si>
    <t>Carol</t>
  </si>
  <si>
    <t>April M. Moore</t>
  </si>
  <si>
    <t>(434) 266-1243</t>
  </si>
  <si>
    <t>129 Valley Dr.</t>
  </si>
  <si>
    <t>4213 Sunnymeade Rd.</t>
  </si>
  <si>
    <t>45-3-2</t>
  </si>
  <si>
    <t>Payne</t>
  </si>
  <si>
    <t>Thomas</t>
  </si>
  <si>
    <t>9C-2-5</t>
  </si>
  <si>
    <t>Pettigrew</t>
  </si>
  <si>
    <t>Chester</t>
  </si>
  <si>
    <t>P.O. Box 914</t>
  </si>
  <si>
    <t>43C-4-14</t>
  </si>
  <si>
    <t>CL19001102-00</t>
  </si>
  <si>
    <t>Pribble</t>
  </si>
  <si>
    <t>Claude</t>
  </si>
  <si>
    <t>c/o Ralph Noel</t>
  </si>
  <si>
    <t>5000 Fairbanks Ave., MPO157</t>
  </si>
  <si>
    <t>Alexandria, VA  22311</t>
  </si>
  <si>
    <t>City of Alexandria</t>
  </si>
  <si>
    <t xml:space="preserve">Those certain lots or parcels of land, situate in Campbell County, Virginia, on the west side of Old U.S. Highway No. 29 (locally known as Wards Road), about 13 miles south of the corporate limits of the City of Lynchburg, as shown on a plat made by Fred Kabler, Surveyor, dated June 20 and July 28, 1940, and recorded in the Clerk's Office for the Circuit Court of Campbell County, Virginia in Plat Book 5, at page 75, said lots being designated as Lots Nos. 14, 15, 16, 17, and 18, and according to said plat the said lots front 500 feet on the Old U.S. Highway No. 29, having a depth on their southerly side of 999.5 feet and on their northerly side of 818 feet.  </t>
  </si>
  <si>
    <t>This being the same parcel conveyed from Mosby G. Perrow, Jr., Trustee to Claude A. Pribble by Deed dated October 12, 1954 and recorded in the aforesaid Clerk's Office in deed Book 266, at page 178.</t>
  </si>
  <si>
    <t>Courtesy Copy to:  Carolyn Adkins</t>
  </si>
  <si>
    <t>7803 Ballston Ct.</t>
  </si>
  <si>
    <t>Springfield, VA  22153</t>
  </si>
  <si>
    <t>50A-1-2</t>
  </si>
  <si>
    <t>Randolph</t>
  </si>
  <si>
    <t>Larthenia</t>
  </si>
  <si>
    <t>32-A-98</t>
  </si>
  <si>
    <t>Smith</t>
  </si>
  <si>
    <t>Pat</t>
  </si>
  <si>
    <t>83A-45-25</t>
  </si>
  <si>
    <t>CL19001103-00</t>
  </si>
  <si>
    <t>TR Wind Down, Inc., formerly Thomasville Retail, Inc.</t>
  </si>
  <si>
    <t>Corporation Service Company</t>
  </si>
  <si>
    <t>100 Shockhoe Slip, Fl. 2</t>
  </si>
  <si>
    <t>401 E. Main St.</t>
  </si>
  <si>
    <t>Thomasville, NC  27360</t>
  </si>
  <si>
    <t>All that certain tract or parcel of land, lying, situate, and being in the Town of Altavista, Campbell County, Virginia, and known and designated as Parcel "B2", containing 25.99 acres, more or less, as shown on that certain plat entitled, "Plat of Lane Company, Inc., Showing a Part of Tax Parcel # 083A-450000-025-0 being 59.92 acres showing New Division Line" made by John David Jacobs, CLS, dated MArch 22, 2002, recorded April 3, 2002 in the Clerk's Office of the Circuit Court of Campbell County, Virginia as Instrument No. 02003055, to which reference is made for a more particular description of the property herein conveyed.</t>
  </si>
  <si>
    <t>This being the same parcel conveyed to Thomasville Retail, Inc, from The Lane Company, Inc. by Quitclaim Deed dated December 9, 2011 and recorded in the aforesaid Clerk's Office as Instrument No. 110006024.</t>
  </si>
  <si>
    <t>Kristen Moye, Trustee</t>
  </si>
  <si>
    <t>McGuire Woods</t>
  </si>
  <si>
    <t>1750 Tysons Blvd., Suite 1800</t>
  </si>
  <si>
    <t>Tysons, VA 22102-4215</t>
  </si>
  <si>
    <t>Carol W. Hahn, Trustee</t>
  </si>
  <si>
    <t>Faggert &amp; Frieden</t>
  </si>
  <si>
    <t>222 Central Park Ave., Suite 1300</t>
  </si>
  <si>
    <t>Virginia Beach, VA 23462</t>
  </si>
  <si>
    <t>103-15-1</t>
  </si>
  <si>
    <t>Tinney</t>
  </si>
  <si>
    <t>Tammy</t>
  </si>
  <si>
    <t>516 Cook Ave.</t>
  </si>
  <si>
    <t>All that certain tract or parcel of land, together with any and all improvements thereon and all privileges and appurtenances thereunto belonging, situate, lying, and being in Brookneal Magisterial District, Campbell County, Virginia, and designated as Lot No. 1 on a plat entitled, "Plat of Subdivision of Lands of Burruss Land &amp; Lumber Co., Inc., Adjacent to Town of Brookneal, Campbell County, Virginia", made by Alfred H. Carter, CLS, dated June 18, 1969, said plat being recorded in the Office of the Clerk of the Circuit Court of Campbell County, Virginia in Plat Book 19, at page 18.</t>
  </si>
  <si>
    <t>This being the same parcel conveyed from Doris Eggleston, Michael Eggleston, Diane Paulk, and Cheryl Gielow to Tammy J. Tinney by Deed dated March 28, 2006 and recorded in the aforesaid Clerk's Office as Instrument No. 060002850.</t>
  </si>
  <si>
    <t>Capital One Bank (USA), NA</t>
  </si>
  <si>
    <t>Instrument No. 110001468</t>
  </si>
  <si>
    <t>Dianne J. Manning, R/A</t>
  </si>
  <si>
    <t>Jormandy, LLC</t>
  </si>
  <si>
    <t>6363 Center Dr., Bldg. 6, Ste. 203</t>
  </si>
  <si>
    <t>Norfolk, VA  23502</t>
  </si>
  <si>
    <t>City of Norfolk</t>
  </si>
  <si>
    <t>Instrument No. 110003071</t>
  </si>
  <si>
    <t>36A-1-1</t>
  </si>
  <si>
    <t>US Bank &amp; Trust, NA</t>
  </si>
  <si>
    <t>CL19000766-00</t>
  </si>
  <si>
    <t>Viar</t>
  </si>
  <si>
    <t>Gracie</t>
  </si>
  <si>
    <t>Boysaw</t>
  </si>
  <si>
    <t>c/o Roger H. Viar</t>
  </si>
  <si>
    <t>4151 Covered Bridge Rd.</t>
  </si>
  <si>
    <t>This being the same property conveyed from Rodger H. Viar and Ruby M. Viar, husband and wife to Boysaw Ernest Viar and Gracie Beatrice M. Viar, husband and wife, by deed dated December 13, 1972 and recorded in the aforesaid Clerk's Office in Deed Book 458, at page 814.</t>
  </si>
  <si>
    <t>102-A-84</t>
  </si>
  <si>
    <t>Emma</t>
  </si>
  <si>
    <t>68-A-31</t>
  </si>
  <si>
    <t>Williams</t>
  </si>
  <si>
    <t>David</t>
  </si>
  <si>
    <t>(434) 841-0384</t>
  </si>
  <si>
    <t>727 Old Pocket Rd.</t>
  </si>
  <si>
    <t>All that certain tract or parcel of land, with all improvements thereon, lying and being situated in Campbell County, Virginia, and more particularly described as shown on that certain Plat of a tract of land made by W.S. Walker, C.L.S., dated April, 1965, a copy of which plat was recorded in the Clerk's Office of the Circuit Court of Campbell County, Virginia in Deed Book 371, at page 102.</t>
  </si>
  <si>
    <t>This being the same parcel that was conveyed from English's Incorporated to Walter Williams and Jean L. Williams, husband and wife, by deed dated May 31, 1965 and recorded in the aforesaid Clerk's Office in Deed Book 371, at page 98.</t>
  </si>
  <si>
    <t>This further being the same property which was devised unto David L. Williams, divorced, by Will dated November 6, 2001 and probated August 18, 2003, said will being of record in the aforesaid Clerk's Office as Will Book No. 030000527.</t>
  </si>
  <si>
    <t>James England</t>
  </si>
  <si>
    <t>7200 Main St.</t>
  </si>
  <si>
    <t>Phenix, VA  23959</t>
  </si>
  <si>
    <t>Charlotte County</t>
  </si>
  <si>
    <t>Instrument No. 180000555</t>
  </si>
  <si>
    <t>88-A-18D1</t>
  </si>
  <si>
    <t>Williamson</t>
  </si>
  <si>
    <t>Joan</t>
  </si>
  <si>
    <t>475 Goat Island Rd.</t>
  </si>
  <si>
    <t>Hurt, VA  24563</t>
  </si>
  <si>
    <t>Pittsylvania County</t>
  </si>
  <si>
    <t>88-3-1C</t>
  </si>
  <si>
    <t>103C-30-63D</t>
  </si>
  <si>
    <t>Wodi, Inc.</t>
  </si>
  <si>
    <t>68E-4-2</t>
  </si>
  <si>
    <t>Woodruff</t>
  </si>
  <si>
    <t>G.</t>
  </si>
  <si>
    <t>Margaret</t>
  </si>
  <si>
    <t>55-A-52</t>
  </si>
  <si>
    <t>Nettie</t>
  </si>
  <si>
    <t>Cooper</t>
  </si>
  <si>
    <t>72A-1-4</t>
  </si>
  <si>
    <t>Clarke</t>
  </si>
  <si>
    <t>Chauncey &amp; Donna</t>
  </si>
  <si>
    <t>That certain tract or parcel of land lying about 2200 feet south of Virginia Highway 699 in Patrick Henry Magisterial District, Campbell County, Virginia, designated as Lot 4 on a plat of survey by Hurt &amp; Proffitt, Inc., dated December 15, 1987, entitled “Subdivision of Property of Ethel Clarke Brown and Heirs of Mamie Poindexter”, a copy of which is recorded in Plat Book 31, page 87 in the Campbell County Circuit Court Clerk’s Office, to which reference is made for a more particular description thereof, and containing 3.477 acres.</t>
  </si>
  <si>
    <t>C. Matthew Fariss</t>
  </si>
  <si>
    <t>243B Livestock Rd.</t>
  </si>
  <si>
    <t>42-A-22B</t>
  </si>
  <si>
    <t>Seal</t>
  </si>
  <si>
    <t>Timothy</t>
  </si>
  <si>
    <t>(434) 989-2929</t>
  </si>
  <si>
    <t>153 Poplar Grove Rd.</t>
  </si>
  <si>
    <t>43L-1-3</t>
  </si>
  <si>
    <t>Adams</t>
  </si>
  <si>
    <t>Betty</t>
  </si>
  <si>
    <t>Aubrey H. Hall, III, President &amp; CEO</t>
  </si>
  <si>
    <t>First National Bank of Altavista</t>
  </si>
  <si>
    <t>622 Broad Street</t>
  </si>
  <si>
    <t>27A-6-3</t>
  </si>
  <si>
    <t>CL18001021-00</t>
  </si>
  <si>
    <t>Tucker</t>
  </si>
  <si>
    <t>Marion</t>
  </si>
  <si>
    <t>1253 Hickory Creek Rd.</t>
  </si>
  <si>
    <t>Campbell County Utilities and Service Authority</t>
  </si>
  <si>
    <t>31 Dragon Fire Lane</t>
  </si>
  <si>
    <t>103-A-60A</t>
  </si>
  <si>
    <t>CL18001022-00</t>
  </si>
  <si>
    <t>1169 Staunton Hill Rd.</t>
  </si>
  <si>
    <t>91-A-51</t>
  </si>
  <si>
    <t xml:space="preserve">Mr. </t>
  </si>
  <si>
    <t>Elizabeth</t>
  </si>
  <si>
    <t>Nathalie, VA  24577</t>
  </si>
  <si>
    <t>310 First Street, S.W., Room 906</t>
  </si>
  <si>
    <t>Roanoke, VA  24011-1935</t>
  </si>
  <si>
    <t>78-A-41</t>
  </si>
  <si>
    <t>CL17001926-00</t>
  </si>
  <si>
    <t>Armistead</t>
  </si>
  <si>
    <t>J.D.</t>
  </si>
  <si>
    <t>Pauline</t>
  </si>
  <si>
    <t>15F-1-2</t>
  </si>
  <si>
    <t>CL18000790-00</t>
  </si>
  <si>
    <t>Barbour</t>
  </si>
  <si>
    <t>2857 Clarks Rd.</t>
  </si>
  <si>
    <t>Barley</t>
  </si>
  <si>
    <t>Evans</t>
  </si>
  <si>
    <t>131 Claytor Rd.</t>
  </si>
  <si>
    <t>Brookneal</t>
  </si>
  <si>
    <t>P.O. Box 452</t>
  </si>
  <si>
    <t>Barnett</t>
  </si>
  <si>
    <t xml:space="preserve">Estrello </t>
  </si>
  <si>
    <t>Brenda</t>
  </si>
  <si>
    <t>83A-33-11</t>
  </si>
  <si>
    <t>CL17001925-00</t>
  </si>
  <si>
    <t xml:space="preserve">Billy </t>
  </si>
  <si>
    <t>Amherst County</t>
  </si>
  <si>
    <t>Gordon M. Kent, Trustee</t>
  </si>
  <si>
    <t>525 7th St.</t>
  </si>
  <si>
    <t>20644 Timberlake Rd.</t>
  </si>
  <si>
    <t>71-A-35</t>
  </si>
  <si>
    <t>Clayborne</t>
  </si>
  <si>
    <t>71-8-5D</t>
  </si>
  <si>
    <t>CL18000666-00</t>
  </si>
  <si>
    <t xml:space="preserve">Ms. </t>
  </si>
  <si>
    <t>Couch</t>
  </si>
  <si>
    <t>Sadie</t>
  </si>
  <si>
    <t>Calloway, Life Tenant</t>
  </si>
  <si>
    <t>Holly B. Trent, R/A</t>
  </si>
  <si>
    <t>Centra Health, Inc.</t>
  </si>
  <si>
    <t>72-A-27</t>
  </si>
  <si>
    <t>CL18000665-00</t>
  </si>
  <si>
    <t>73-A-12</t>
  </si>
  <si>
    <t>CL17001922-00</t>
  </si>
  <si>
    <t>Lula</t>
  </si>
  <si>
    <t>c/o Abraham Turner</t>
  </si>
  <si>
    <t>404 Stuckhardt Rd.</t>
  </si>
  <si>
    <t>Trotwood, OH  25426</t>
  </si>
  <si>
    <t>All that certain piece or parcel of land in Campbell County, Virginia, and being a part of the same land formerly conveyed to Susan and Bowling Moorman by M. B. Haythe and wife by deed dated October 22, 1907, recorded in the Campbell County Circuit Court Clerk’s Office in Deed Book 83, Page 590 and bounded as follows, to-wit:</t>
  </si>
  <si>
    <t xml:space="preserve">BEGINNING at new corner pointers in, nor or formerly, E. B. Herndon’s line at a branch, thence with Herndon N.E. 10 poles to old corner with Herndon and Nichols, thence with Nichols S. 42 ½ E. 21-20/100 po. to new corner pointers in Nichols line, thence new line S. 67 W. 8 po. to new corner Maple on a small branch thence down said branch as it meanders N. 49 W. 14-72/100 po. To the BEGINNING, containing one acre. </t>
  </si>
  <si>
    <t>This being the same property conveyed unto Lula Davis from Susan Moorman and Bowling Moorman by Deed dated October 10, 1914, and recorded in the Clerk’s Office of the Circuit Court of Campbell County, Virginia, in Deed Book 102, Page 29.</t>
  </si>
  <si>
    <t>P.O. Box 100</t>
  </si>
  <si>
    <t>30-A-34</t>
  </si>
  <si>
    <t>Floyd</t>
  </si>
  <si>
    <t>Helen</t>
  </si>
  <si>
    <t>R.</t>
  </si>
  <si>
    <t xml:space="preserve">83A-11-59-4 </t>
  </si>
  <si>
    <t>CL18001669-00</t>
  </si>
  <si>
    <t>700 13th St.</t>
  </si>
  <si>
    <t xml:space="preserve">103C-10-11-1 </t>
  </si>
  <si>
    <t>CL17001924-00</t>
  </si>
  <si>
    <t xml:space="preserve">Annie </t>
  </si>
  <si>
    <t xml:space="preserve">Carl </t>
  </si>
  <si>
    <t>776 Village Highway</t>
  </si>
  <si>
    <t>CT Corporation System, R/A</t>
  </si>
  <si>
    <t>4701 Cox Road, Suite 285</t>
  </si>
  <si>
    <t>Capital One Bank</t>
  </si>
  <si>
    <t>Martin</t>
  </si>
  <si>
    <t>49A-1-21</t>
  </si>
  <si>
    <t xml:space="preserve">Massie </t>
  </si>
  <si>
    <t>Randall</t>
  </si>
  <si>
    <t>4701 Cox Rd., Suite 285</t>
  </si>
  <si>
    <t>59-A-10A</t>
  </si>
  <si>
    <t>CL18000668-00</t>
  </si>
  <si>
    <t>Rice</t>
  </si>
  <si>
    <t>Troy</t>
  </si>
  <si>
    <t>Paul</t>
  </si>
  <si>
    <t>27-A-67</t>
  </si>
  <si>
    <t>CL19000546-00</t>
  </si>
  <si>
    <t>Stephens</t>
  </si>
  <si>
    <t>Richard</t>
  </si>
  <si>
    <t>Albermarle County</t>
  </si>
  <si>
    <t>101  A  32</t>
  </si>
  <si>
    <t>Benson</t>
  </si>
  <si>
    <t>Catherine</t>
  </si>
  <si>
    <t>78-A-23</t>
  </si>
  <si>
    <t xml:space="preserve">Mr. and Mrs. </t>
  </si>
  <si>
    <t>Bertness</t>
  </si>
  <si>
    <t>Evelyn</t>
  </si>
  <si>
    <t>83A-17-15</t>
  </si>
  <si>
    <t>CL18001020-00</t>
  </si>
  <si>
    <t>Booth</t>
  </si>
  <si>
    <t>Regina</t>
  </si>
  <si>
    <t>2015-2016</t>
  </si>
  <si>
    <t>11A-5-1-12</t>
  </si>
  <si>
    <t>Bowles</t>
  </si>
  <si>
    <t>Terry</t>
  </si>
  <si>
    <t>Britt</t>
  </si>
  <si>
    <t>Angela</t>
  </si>
  <si>
    <t>Alexander</t>
  </si>
  <si>
    <t>97-A-4</t>
  </si>
  <si>
    <t>George</t>
  </si>
  <si>
    <t>83A-11-55-2B</t>
  </si>
  <si>
    <t>CL18001915-00</t>
  </si>
  <si>
    <t>Cook</t>
  </si>
  <si>
    <t>Frances</t>
  </si>
  <si>
    <t>55-A-50A</t>
  </si>
  <si>
    <t>Dabney</t>
  </si>
  <si>
    <t>Alice</t>
  </si>
  <si>
    <t>Jepson</t>
  </si>
  <si>
    <t>55B-1-29</t>
  </si>
  <si>
    <t>CL180001366-00</t>
  </si>
  <si>
    <t>Eckel</t>
  </si>
  <si>
    <t>Claudia</t>
  </si>
  <si>
    <t>41-A-44</t>
  </si>
  <si>
    <t>Farmer</t>
  </si>
  <si>
    <t>Ellen</t>
  </si>
  <si>
    <t>90-A-91</t>
  </si>
  <si>
    <t>David W. &amp; Robin F. Keesee</t>
  </si>
  <si>
    <t>160 Blackwater Rd.</t>
  </si>
  <si>
    <t>Rebecca</t>
  </si>
  <si>
    <t xml:space="preserve">32J-2-1 </t>
  </si>
  <si>
    <t>Kathy</t>
  </si>
  <si>
    <t>42-A-16B</t>
  </si>
  <si>
    <t>Frink</t>
  </si>
  <si>
    <t>O.J.</t>
  </si>
  <si>
    <t xml:space="preserve">Goergie </t>
  </si>
  <si>
    <t>West</t>
  </si>
  <si>
    <t>23F-1-31</t>
  </si>
  <si>
    <t>CL18000663-00</t>
  </si>
  <si>
    <t>Haley</t>
  </si>
  <si>
    <t>Larry</t>
  </si>
  <si>
    <t>Deborah</t>
  </si>
  <si>
    <t>88-8-1C</t>
  </si>
  <si>
    <t>CL18002094-00</t>
  </si>
  <si>
    <t>Herbert</t>
  </si>
  <si>
    <t>Zula</t>
  </si>
  <si>
    <t>103C-39-C-41</t>
  </si>
  <si>
    <t>Harvey</t>
  </si>
  <si>
    <t>Ozelia</t>
  </si>
  <si>
    <t>Frank A. Wright, Jr.</t>
  </si>
  <si>
    <t>776 Village Hwy.</t>
  </si>
  <si>
    <t>47C-7-1</t>
  </si>
  <si>
    <t>CL18001023-00</t>
  </si>
  <si>
    <t>Hegmann</t>
  </si>
  <si>
    <t>Christian</t>
  </si>
  <si>
    <t>Jefferson</t>
  </si>
  <si>
    <t>14-4-1</t>
  </si>
  <si>
    <t>Hendricks</t>
  </si>
  <si>
    <t>Joseph</t>
  </si>
  <si>
    <t>101-A-41</t>
  </si>
  <si>
    <t>Irby</t>
  </si>
  <si>
    <t>40-A-72</t>
  </si>
  <si>
    <t>CL19000545-00</t>
  </si>
  <si>
    <t>Irvine</t>
  </si>
  <si>
    <t>N.H</t>
  </si>
  <si>
    <t>Hampton, VA  23666</t>
  </si>
  <si>
    <t>9-A-16A</t>
  </si>
  <si>
    <t>Bruce</t>
  </si>
  <si>
    <t xml:space="preserve">Debra </t>
  </si>
  <si>
    <t>45  A  58A</t>
  </si>
  <si>
    <t>Johnson</t>
  </si>
  <si>
    <t>Lisa</t>
  </si>
  <si>
    <t>46-1-1A</t>
  </si>
  <si>
    <t>Jones</t>
  </si>
  <si>
    <t>Lois</t>
  </si>
  <si>
    <t>Bobby A. Howard, R/A</t>
  </si>
  <si>
    <t>The Bank of Charlotte County</t>
  </si>
  <si>
    <t>47F-1-7</t>
  </si>
  <si>
    <t>Kauff</t>
  </si>
  <si>
    <t>37A-1-9</t>
  </si>
  <si>
    <t>CL18001912-00</t>
  </si>
  <si>
    <t>Litchford</t>
  </si>
  <si>
    <t>Leo</t>
  </si>
  <si>
    <t>73E-3-6</t>
  </si>
  <si>
    <t>Lovelace</t>
  </si>
  <si>
    <t>Ollie</t>
  </si>
  <si>
    <t>Campbell</t>
  </si>
  <si>
    <t>91D-2-2</t>
  </si>
  <si>
    <t>Maley</t>
  </si>
  <si>
    <t>Annabel</t>
  </si>
  <si>
    <t>I.</t>
  </si>
  <si>
    <t>24-A-32</t>
  </si>
  <si>
    <t>Manley</t>
  </si>
  <si>
    <t>Arline</t>
  </si>
  <si>
    <t>Terrance J. Dunn, R/A</t>
  </si>
  <si>
    <t>1045 Cottontown Rd.</t>
  </si>
  <si>
    <t>Bedford</t>
  </si>
  <si>
    <t>95-1-23</t>
  </si>
  <si>
    <t>529 Nickland Dr.</t>
  </si>
  <si>
    <t>83A-18-11</t>
  </si>
  <si>
    <t>J.F.</t>
  </si>
  <si>
    <t>103C-26-15A</t>
  </si>
  <si>
    <t>Trustees of the Mosby Living Trust</t>
  </si>
  <si>
    <t>Mosby</t>
  </si>
  <si>
    <t>Sr., Trustee</t>
  </si>
  <si>
    <t>Mosby, Trustee</t>
  </si>
  <si>
    <t>Marie</t>
  </si>
  <si>
    <t>Robinson</t>
  </si>
  <si>
    <t>58  A  2A</t>
  </si>
  <si>
    <t>Mountjoy</t>
  </si>
  <si>
    <t>Dennis</t>
  </si>
  <si>
    <t>68B-4-9</t>
  </si>
  <si>
    <t>CL18001019-00</t>
  </si>
  <si>
    <t>Pillow</t>
  </si>
  <si>
    <t>Bryan</t>
  </si>
  <si>
    <t>Bragg</t>
  </si>
  <si>
    <t>Lydia</t>
  </si>
  <si>
    <t>616 Patterson Rd.</t>
  </si>
  <si>
    <t>101A-1-3</t>
  </si>
  <si>
    <t>Ratliff</t>
  </si>
  <si>
    <t>Michael</t>
  </si>
  <si>
    <t>Alex</t>
  </si>
  <si>
    <t>56-A-57D</t>
  </si>
  <si>
    <t>Roberts</t>
  </si>
  <si>
    <t>Howard</t>
  </si>
  <si>
    <t>Seamster</t>
  </si>
  <si>
    <t>104-A-18F</t>
  </si>
  <si>
    <t>CL18001913-00</t>
  </si>
  <si>
    <t>Willard</t>
  </si>
  <si>
    <t>Ruth</t>
  </si>
  <si>
    <t>Tanner</t>
  </si>
  <si>
    <t>Rosser</t>
  </si>
  <si>
    <t>Bernard</t>
  </si>
  <si>
    <t>Taylor</t>
  </si>
  <si>
    <t>Scott</t>
  </si>
  <si>
    <t>Adell</t>
  </si>
  <si>
    <t>Lynchburg, VA  24505</t>
  </si>
  <si>
    <t>32C-3-5A</t>
  </si>
  <si>
    <t>42-A-22</t>
  </si>
  <si>
    <t>73E-1-22</t>
  </si>
  <si>
    <t>Owen</t>
  </si>
  <si>
    <t>67-1-4A1</t>
  </si>
  <si>
    <t>Smither</t>
  </si>
  <si>
    <t>Jennifer</t>
  </si>
  <si>
    <t>622 Broad St.</t>
  </si>
  <si>
    <t>Texas</t>
  </si>
  <si>
    <t>1579 Wards Rd.</t>
  </si>
  <si>
    <t xml:space="preserve">87-3-3 </t>
  </si>
  <si>
    <t xml:space="preserve">35-1-1 </t>
  </si>
  <si>
    <t>CL19000075-00</t>
  </si>
  <si>
    <t>Terrell</t>
  </si>
  <si>
    <t>Bessie</t>
  </si>
  <si>
    <t>41-A-32</t>
  </si>
  <si>
    <t>Thompson</t>
  </si>
  <si>
    <t>Watts</t>
  </si>
  <si>
    <t>Emily</t>
  </si>
  <si>
    <t>32-A-120</t>
  </si>
  <si>
    <t>Turpin Fuel Company, Inc.</t>
  </si>
  <si>
    <t>32-5-1</t>
  </si>
  <si>
    <t>Wheaton</t>
  </si>
  <si>
    <t>Roger Carson, CEO</t>
  </si>
  <si>
    <t>1638 Mount Athos Rd</t>
  </si>
  <si>
    <t>32E-3-9</t>
  </si>
  <si>
    <t>CL18001017-00</t>
  </si>
  <si>
    <t>Tweedy</t>
  </si>
  <si>
    <t>Linda</t>
  </si>
  <si>
    <t>70-A-77</t>
  </si>
  <si>
    <t>Alvin</t>
  </si>
  <si>
    <t>Jason</t>
  </si>
  <si>
    <t>42-A-38D</t>
  </si>
  <si>
    <t>43H-6-5</t>
  </si>
  <si>
    <t>Weir</t>
  </si>
  <si>
    <t>Rhonda</t>
  </si>
  <si>
    <t>Melissa</t>
  </si>
  <si>
    <t>Gretna, VA  24557</t>
  </si>
  <si>
    <t>Harold L. Martin</t>
  </si>
  <si>
    <t>6713 Long Island Rd.</t>
  </si>
  <si>
    <t>Long Island, VA  24561</t>
  </si>
  <si>
    <t>87-3-4</t>
  </si>
  <si>
    <t>CL18001620-00</t>
  </si>
  <si>
    <t>Haley, Trustee</t>
  </si>
  <si>
    <t>Rejetor</t>
  </si>
  <si>
    <t>Warrick</t>
  </si>
  <si>
    <t>103C-39-C-32</t>
  </si>
  <si>
    <t>Clem</t>
  </si>
  <si>
    <t>Appomattox, VA  24522</t>
  </si>
  <si>
    <t>8-A-42C</t>
  </si>
  <si>
    <t>15-11-2</t>
  </si>
  <si>
    <t>White</t>
  </si>
  <si>
    <t>Appomattox County</t>
  </si>
  <si>
    <t>15-11-3</t>
  </si>
  <si>
    <t>21-A-85A</t>
  </si>
  <si>
    <t>Wilson</t>
  </si>
  <si>
    <t>Clayton</t>
  </si>
  <si>
    <t>99-2-A-10</t>
  </si>
  <si>
    <t>21-A-136</t>
  </si>
  <si>
    <t>CL18001914-00</t>
  </si>
  <si>
    <t>Woodson</t>
  </si>
  <si>
    <t>Ed</t>
  </si>
  <si>
    <t>9-2-B1</t>
  </si>
  <si>
    <t>CL18001018-00</t>
  </si>
  <si>
    <t>Tracy</t>
  </si>
  <si>
    <t>26F-3-25</t>
  </si>
  <si>
    <t>CL18001024-00</t>
  </si>
  <si>
    <t>Wooldridge</t>
  </si>
  <si>
    <t>33G-1-42</t>
  </si>
  <si>
    <t>The Haden and Riley Company, Inc.</t>
  </si>
  <si>
    <t>32-A-108A</t>
  </si>
  <si>
    <t>CL19000276-00</t>
  </si>
  <si>
    <t>Jackson, life tenant</t>
  </si>
  <si>
    <t>Samuel</t>
  </si>
  <si>
    <t>Smith, remainderperson</t>
  </si>
  <si>
    <t>Tami</t>
  </si>
  <si>
    <t>Fred</t>
  </si>
  <si>
    <t>71-8-5D1</t>
  </si>
  <si>
    <t>30-A-20</t>
  </si>
  <si>
    <t>91D-2-3</t>
  </si>
  <si>
    <t>91D-2-1</t>
  </si>
  <si>
    <t>91D-2-4</t>
  </si>
  <si>
    <t>73-2-7A1</t>
  </si>
  <si>
    <t>Bonnie</t>
  </si>
  <si>
    <t>73-2-5A</t>
  </si>
  <si>
    <t>73-8-5</t>
  </si>
  <si>
    <t>20F-3-17</t>
  </si>
  <si>
    <t>Adkins</t>
  </si>
  <si>
    <t>81A-2-10</t>
  </si>
  <si>
    <t>Walter</t>
  </si>
  <si>
    <t>Doris</t>
  </si>
  <si>
    <t>50-A-12E</t>
  </si>
  <si>
    <t>Asher</t>
  </si>
  <si>
    <t>Carolyn</t>
  </si>
  <si>
    <t>P.O. Box 702</t>
  </si>
  <si>
    <t>83A-11-42-4</t>
  </si>
  <si>
    <t>Ashwell</t>
  </si>
  <si>
    <t>46-A-30F</t>
  </si>
  <si>
    <t>Brooks</t>
  </si>
  <si>
    <t>Herman</t>
  </si>
  <si>
    <t>20347 Timberlake Rd., Suite B</t>
  </si>
  <si>
    <t>101-A-7A</t>
  </si>
  <si>
    <t>Bryant</t>
  </si>
  <si>
    <t>Barry</t>
  </si>
  <si>
    <t>41-3-B5</t>
  </si>
  <si>
    <t>17-A-2J</t>
  </si>
  <si>
    <t>1703 Eudora Ln.</t>
  </si>
  <si>
    <t>c/o Patricia Pennix</t>
  </si>
  <si>
    <t>208 Avalon Gardens Dr.</t>
  </si>
  <si>
    <t>Nanuet, NY  10954</t>
  </si>
  <si>
    <t>9-A-60</t>
  </si>
  <si>
    <t>9-6-9B</t>
  </si>
  <si>
    <t>42D-1-C-3</t>
  </si>
  <si>
    <t>17E-1-15</t>
  </si>
  <si>
    <t xml:space="preserve">Clayton </t>
  </si>
  <si>
    <t>Farris</t>
  </si>
  <si>
    <t>Matthew</t>
  </si>
  <si>
    <t>103C-5-5-7A</t>
  </si>
  <si>
    <t>71E-1-1</t>
  </si>
  <si>
    <t>Calloway</t>
  </si>
  <si>
    <t>Edward</t>
  </si>
  <si>
    <t xml:space="preserve">William </t>
  </si>
  <si>
    <t>Joanne</t>
  </si>
  <si>
    <t>12J-14-A</t>
  </si>
  <si>
    <t>CAP Investments, Inc.</t>
  </si>
  <si>
    <t>42C-1-13</t>
  </si>
  <si>
    <t>Carwile</t>
  </si>
  <si>
    <t>83A-55-22</t>
  </si>
  <si>
    <t>Clark</t>
  </si>
  <si>
    <t>Lillian</t>
  </si>
  <si>
    <t>2599 Colonial Hwy.</t>
  </si>
  <si>
    <t>103C-30-63B</t>
  </si>
  <si>
    <t>Cohen</t>
  </si>
  <si>
    <t>Jonathan</t>
  </si>
  <si>
    <t>3996 Bear Creek Rd.</t>
  </si>
  <si>
    <t>Instrument No. 090001953</t>
  </si>
  <si>
    <t>Instrument No. 130002181</t>
  </si>
  <si>
    <t>68-A-159</t>
  </si>
  <si>
    <t>43-A-51A2</t>
  </si>
  <si>
    <t>Lynette</t>
  </si>
  <si>
    <t>Gary</t>
  </si>
  <si>
    <t>24-A-31</t>
  </si>
  <si>
    <t>Debernard</t>
  </si>
  <si>
    <t>Tony</t>
  </si>
  <si>
    <t>Juanita</t>
  </si>
  <si>
    <t>32-A-9C1</t>
  </si>
  <si>
    <t>CL19000273-00</t>
  </si>
  <si>
    <t>Dukes</t>
  </si>
  <si>
    <t>Josephine</t>
  </si>
  <si>
    <t>LRL, LLC</t>
  </si>
  <si>
    <t>1717 Sugar Hill Rd.</t>
  </si>
  <si>
    <t>103A-3-1-1</t>
  </si>
  <si>
    <t>Elder</t>
  </si>
  <si>
    <t>Charlie</t>
  </si>
  <si>
    <t>Edna</t>
  </si>
  <si>
    <t>23-A-85B</t>
  </si>
  <si>
    <t>Cecil</t>
  </si>
  <si>
    <t>James C. Adams, Jr.</t>
  </si>
  <si>
    <t>76 Brian Dr.</t>
  </si>
  <si>
    <t>34A-25-3</t>
  </si>
  <si>
    <t>Faith Assembly Christian Center, TLW, Inc.</t>
  </si>
  <si>
    <t>56C-1-1</t>
  </si>
  <si>
    <t>Mays</t>
  </si>
  <si>
    <t>Fariss</t>
  </si>
  <si>
    <t>61-A-25</t>
  </si>
  <si>
    <t>P.O. Box 492</t>
  </si>
  <si>
    <t>36A-1-3</t>
  </si>
  <si>
    <t>Fink (a.k.a. Trejo)</t>
  </si>
  <si>
    <t>Tara</t>
  </si>
  <si>
    <t>70-A-18A</t>
  </si>
  <si>
    <t>83A-17-32</t>
  </si>
  <si>
    <t>Grasty</t>
  </si>
  <si>
    <t>Gabriel</t>
  </si>
  <si>
    <t>Florence</t>
  </si>
  <si>
    <t>32-A-9C</t>
  </si>
  <si>
    <t>CL19000274-00</t>
  </si>
  <si>
    <t>Hamilton</t>
  </si>
  <si>
    <t>Jessie</t>
  </si>
  <si>
    <t>103-A-60C</t>
  </si>
  <si>
    <t>Irvin</t>
  </si>
  <si>
    <t>Kelvin</t>
  </si>
  <si>
    <t>7-A-59</t>
  </si>
  <si>
    <t>CL19000192-00</t>
  </si>
  <si>
    <t>Harris</t>
  </si>
  <si>
    <t>103C-39-C-10</t>
  </si>
  <si>
    <t>103C-30-59A</t>
  </si>
  <si>
    <t>Hubbard</t>
  </si>
  <si>
    <t>103C-47-5-25A</t>
  </si>
  <si>
    <t>50-A-36E</t>
  </si>
  <si>
    <t>Jackson</t>
  </si>
  <si>
    <t>Corinie</t>
  </si>
  <si>
    <t>21H-1-A-17</t>
  </si>
  <si>
    <t>Kidd</t>
  </si>
  <si>
    <t>Donald</t>
  </si>
  <si>
    <t>Camille</t>
  </si>
  <si>
    <t>60-2-E1</t>
  </si>
  <si>
    <t>Klein</t>
  </si>
  <si>
    <t>N.</t>
  </si>
  <si>
    <t>83A-41122-11</t>
  </si>
  <si>
    <t>Lambert</t>
  </si>
  <si>
    <t>103A-3-1-20K</t>
  </si>
  <si>
    <t>Laprade</t>
  </si>
  <si>
    <t>50D-1-4</t>
  </si>
  <si>
    <t>Lawson</t>
  </si>
  <si>
    <t>Angelia</t>
  </si>
  <si>
    <t>Monroe, VA  24574</t>
  </si>
  <si>
    <t>34A-A-55</t>
  </si>
  <si>
    <t>CL18001368-00</t>
  </si>
  <si>
    <t>Quinn</t>
  </si>
  <si>
    <t>Larissa</t>
  </si>
  <si>
    <t>678 Salem Rd.</t>
  </si>
  <si>
    <t>1516 Pierce St.</t>
  </si>
  <si>
    <t>81-A-17A</t>
  </si>
  <si>
    <t>Lee</t>
  </si>
  <si>
    <t>Beulah</t>
  </si>
  <si>
    <t>Simmers</t>
  </si>
  <si>
    <t>74-A-48</t>
  </si>
  <si>
    <t>McCraw</t>
  </si>
  <si>
    <t>43H-2-6</t>
  </si>
  <si>
    <t>Owens</t>
  </si>
  <si>
    <t>Gail</t>
  </si>
  <si>
    <t>73A-2-2</t>
  </si>
  <si>
    <t>Pannell</t>
  </si>
  <si>
    <t>Fannie</t>
  </si>
  <si>
    <t>73A-2-5</t>
  </si>
  <si>
    <t>73-8-6J</t>
  </si>
  <si>
    <t>Heirs of the Estate of Henry</t>
  </si>
  <si>
    <t>73A-1-6</t>
  </si>
  <si>
    <t>619 Chapel Grove Rd.</t>
  </si>
  <si>
    <t>23-A-154B</t>
  </si>
  <si>
    <t>21-A-119</t>
  </si>
  <si>
    <t>Phipps</t>
  </si>
  <si>
    <t>Ruby</t>
  </si>
  <si>
    <t>74A-1-78A</t>
  </si>
  <si>
    <t>Piedmont Community Impact Organization</t>
  </si>
  <si>
    <t>23B-1-26</t>
  </si>
  <si>
    <t>Powell</t>
  </si>
  <si>
    <t>Warner</t>
  </si>
  <si>
    <t>43-9-1A</t>
  </si>
  <si>
    <t>Pressley</t>
  </si>
  <si>
    <t>12J-14-A2</t>
  </si>
  <si>
    <t>Price</t>
  </si>
  <si>
    <t>103C-26-4</t>
  </si>
  <si>
    <t>CL19000267-00</t>
  </si>
  <si>
    <t>34A-8-53B</t>
  </si>
  <si>
    <t>J.B.</t>
  </si>
  <si>
    <t>20M-2-15</t>
  </si>
  <si>
    <t>CL18001364-00</t>
  </si>
  <si>
    <t>Shupe</t>
  </si>
  <si>
    <t>Darrell</t>
  </si>
  <si>
    <t>62-A-52D</t>
  </si>
  <si>
    <t>Ernest</t>
  </si>
  <si>
    <t>30-A-37D</t>
  </si>
  <si>
    <t>Simpson</t>
  </si>
  <si>
    <t>9-A-35</t>
  </si>
  <si>
    <t>Smalls</t>
  </si>
  <si>
    <t>Janice</t>
  </si>
  <si>
    <t>32-A-9G</t>
  </si>
  <si>
    <t>County of Campbell, Virginia</t>
  </si>
  <si>
    <t>12I-12-27</t>
  </si>
  <si>
    <t>Stanley</t>
  </si>
  <si>
    <t>47C-5-5</t>
  </si>
  <si>
    <t>Chris</t>
  </si>
  <si>
    <t>Amber</t>
  </si>
  <si>
    <t>20580 Timberlake Rd.</t>
  </si>
  <si>
    <t>55-A-81A</t>
  </si>
  <si>
    <t>Frank</t>
  </si>
  <si>
    <t>Valerie</t>
  </si>
  <si>
    <t>Spout Spring, VA  24593</t>
  </si>
  <si>
    <t>43C-2-4A</t>
  </si>
  <si>
    <t>Tracey</t>
  </si>
  <si>
    <t>Daniel</t>
  </si>
  <si>
    <t>43C-2-6A</t>
  </si>
  <si>
    <t>47-A-59</t>
  </si>
  <si>
    <t>8-A-4A</t>
  </si>
  <si>
    <t>Riverbends, Inc.</t>
  </si>
  <si>
    <t>20 Maple Ln.</t>
  </si>
  <si>
    <t>243-B Livestock Rd.</t>
  </si>
  <si>
    <t>78-A-45E</t>
  </si>
  <si>
    <t>Givens</t>
  </si>
  <si>
    <t>90-A-93</t>
  </si>
  <si>
    <t>73-11-2</t>
  </si>
  <si>
    <t>CL15000280-00</t>
  </si>
  <si>
    <t>Hall, Trustee</t>
  </si>
  <si>
    <t>83-A-34A</t>
  </si>
  <si>
    <t>CL16000023-00</t>
  </si>
  <si>
    <t>Gray</t>
  </si>
  <si>
    <t>Susan</t>
  </si>
  <si>
    <t>Goodbar</t>
  </si>
  <si>
    <t>68E-3-H</t>
  </si>
  <si>
    <t>CL16000032-00</t>
  </si>
  <si>
    <t>42-12-5E</t>
  </si>
  <si>
    <t>CL16000762-00</t>
  </si>
  <si>
    <t>21-A-23A</t>
  </si>
  <si>
    <t>CL16000754-00</t>
  </si>
  <si>
    <t>Marsh</t>
  </si>
  <si>
    <t>CL11000138-00</t>
  </si>
  <si>
    <t>102-A-92</t>
  </si>
  <si>
    <t>CL19000722-00 </t>
  </si>
  <si>
    <t>Hunter</t>
  </si>
  <si>
    <t>Elbert</t>
  </si>
  <si>
    <t>21H-1-A-16</t>
  </si>
  <si>
    <t>Hannah</t>
  </si>
  <si>
    <t>103A-3-3-5</t>
  </si>
  <si>
    <t>Hensley</t>
  </si>
  <si>
    <t>68-A-145</t>
  </si>
  <si>
    <t>Patricia</t>
  </si>
  <si>
    <t>68-A-146</t>
  </si>
  <si>
    <t>Bedford, VA  24523</t>
  </si>
  <si>
    <t>107-A-1D1</t>
  </si>
  <si>
    <t>Roper</t>
  </si>
  <si>
    <t>Executor of the Estate of Clayton C. Bryant, Sr.</t>
  </si>
  <si>
    <t>Sharon</t>
  </si>
  <si>
    <t>20C-3-15</t>
  </si>
  <si>
    <t>Canyon Vision, LLC</t>
  </si>
  <si>
    <t>45-A-29</t>
  </si>
  <si>
    <t>Charlton</t>
  </si>
  <si>
    <t>Therese</t>
  </si>
  <si>
    <t>17A-A-4</t>
  </si>
  <si>
    <t>Dickerson</t>
  </si>
  <si>
    <t>17A-2-94</t>
  </si>
  <si>
    <t>17A-2-104</t>
  </si>
  <si>
    <t>6447 Colonial Hwy.</t>
  </si>
  <si>
    <t>17A-2-106</t>
  </si>
  <si>
    <t>Wright</t>
  </si>
  <si>
    <t>9B-1-16</t>
  </si>
  <si>
    <t>29C-1-C</t>
  </si>
  <si>
    <t>Leonard</t>
  </si>
  <si>
    <t>29C-1-H</t>
  </si>
  <si>
    <t>31-A-32C</t>
  </si>
  <si>
    <t>CL19000769-00</t>
  </si>
  <si>
    <t>Godfrey</t>
  </si>
  <si>
    <t>Robert</t>
  </si>
  <si>
    <t>OBAN Land &amp; Realty, LLC</t>
  </si>
  <si>
    <t>22-5-3A1</t>
  </si>
  <si>
    <t>Freemont</t>
  </si>
  <si>
    <t>Jason D. Watts</t>
  </si>
  <si>
    <t>71A-1-6</t>
  </si>
  <si>
    <t>Greg S. Steele</t>
  </si>
  <si>
    <t>6474 Bethany Rd.</t>
  </si>
  <si>
    <t>83A-11-30-A05</t>
  </si>
  <si>
    <t>Melvin L. Graves, Sr.</t>
  </si>
  <si>
    <t>301 Robin Rd.</t>
  </si>
  <si>
    <t>83A-11-52-1</t>
  </si>
  <si>
    <t>Carole P. Johnson</t>
  </si>
  <si>
    <t>4069 Gladys Rd.</t>
  </si>
  <si>
    <t>23-A-39</t>
  </si>
  <si>
    <t>Janet</t>
  </si>
  <si>
    <t>Allen B. Lewis</t>
  </si>
  <si>
    <t>1217 Smokey Hollw Rd.</t>
  </si>
  <si>
    <t>70E-1-11</t>
  </si>
  <si>
    <t>43H-1-44</t>
  </si>
  <si>
    <t>Thomas R. McDaniel</t>
  </si>
  <si>
    <t>5766 Marysville Rd.</t>
  </si>
  <si>
    <t>16A-2-4</t>
  </si>
  <si>
    <t>Henderson</t>
  </si>
  <si>
    <t>Roderick</t>
  </si>
  <si>
    <t>22-A-72B</t>
  </si>
  <si>
    <t>CL19001101-00</t>
  </si>
  <si>
    <t>34A-8-43</t>
  </si>
  <si>
    <t>15-A-25B1</t>
  </si>
  <si>
    <t>Maybrook Investments, Inc.</t>
  </si>
  <si>
    <t>21H-1-A-19</t>
  </si>
  <si>
    <t>Metz</t>
  </si>
  <si>
    <t>Rudolph</t>
  </si>
  <si>
    <t>Dorothy</t>
  </si>
  <si>
    <t>74A-1-42</t>
  </si>
  <si>
    <t>Miles</t>
  </si>
  <si>
    <t>Torrence</t>
  </si>
  <si>
    <t>Charles</t>
  </si>
  <si>
    <t>69C-5-23A</t>
  </si>
  <si>
    <t>Mitchell</t>
  </si>
  <si>
    <t>Walter &amp; Margaret Tweedy</t>
  </si>
  <si>
    <t>132 Virginia Circle</t>
  </si>
  <si>
    <t>18-A-88</t>
  </si>
  <si>
    <t>Moody</t>
  </si>
  <si>
    <t>1606 School St.</t>
  </si>
  <si>
    <t>8-A-55B</t>
  </si>
  <si>
    <t>Louise</t>
  </si>
  <si>
    <t>c/o Nicole Calloway</t>
  </si>
  <si>
    <t>225 Long Branch Ct.</t>
  </si>
  <si>
    <t>That certain Lot or Parcel of lane situate, lying, and being in the Town of Altavista, Campbell County, Virginia, designated as Lot (2B), containing 0.098 acres as shown on that certain plat of survey by John D. Jacobs, C.L.S., dated April 15, 1997, entitled "Plat of Survey for Frank C. Moorman, a copy of which plat is recorded in the Clerk's Office of the Circuit Court of Campbell County, Virginia in Plat Cabinet B, Slide 210, Page 902.</t>
  </si>
  <si>
    <t xml:space="preserve">This being the same property conveyed, in part, from Tonya L. Cook to Frances D. Cook by Deed dated March 6, 1998 and recorded in the aforementioned Clerk's Office in Deed Book 916, at page 607.  This property also being the same conveyed, in part, by deed dated August 2, 1997 from Frances D. Cook, Charles B. Nelson, Donnie L. Cook, Charlene C. Monroe, Bonnie C. Pannell, Nicole F. Cook, all heirs at law of Charles Anthony Cook, Jr. and Walter Worthington Cook, to Frances D. Cook by Deed dated March 6, 1998 and recorded in the aforementioned Clerk's Office in Deed Book 916, at page 603. </t>
  </si>
  <si>
    <t>Ronald H. Harbin</t>
  </si>
  <si>
    <t>T/A Home Shopper</t>
  </si>
  <si>
    <t>119 Mayfield Dr.</t>
  </si>
  <si>
    <t>Instrument No. 01000019</t>
  </si>
  <si>
    <t>County of Campbell</t>
  </si>
  <si>
    <t>Ronald D. Harbin, T/A Home Shopper</t>
  </si>
  <si>
    <t>29-A-20A</t>
  </si>
  <si>
    <t>Otter River Holdings, LLC</t>
  </si>
  <si>
    <t>c/o Charlie Hall</t>
  </si>
  <si>
    <t>821 Winden Dr.</t>
  </si>
  <si>
    <t>Bristol, PA  19007</t>
  </si>
  <si>
    <t xml:space="preserve"> All that certain tract or parcel of land, with buildings and improvements thereon, and the privileges and appurtenances thereunto belonging, situate in Seneca Magisterial District, Campbell County, Virginia, containing 7/10 acre, more or less, as shown on plat of survey entitled "Plat Showing 3 Lots, Supposed to Contain 2 Acres Total, and leaving 8 acres of the Original 10 Acres", made by W.S. Walker, LS, dated November 14, 1952, and recorded in the Clerk's Office of the Circuit Court of Campbell County, Virginia, in Deed Book 243, at page 325.  </t>
  </si>
  <si>
    <t xml:space="preserve">This being the same parcel apportioned to Herbert Hall, who was at that time or later married to Zula Hall, by Decree of Partition entered January 14, 1953, which said Decree is recorded in the aforementioned Clerk's Office in Deed Book 243, at page 323.  </t>
  </si>
  <si>
    <t xml:space="preserve">Pursuant to the recitations in that certain Deed recorded in the aformentioned Clerk's Office in Deed Book 809, at page 886, Herbert &amp; Zula Hall both died intestate, leaving as their joint heirs: Lula Hall, Bernice H. Stone, Martha H. Stone, Floyd Jimmy Hall, Roshie Lewis Hall, Gladys Earnestine Hall, Frances H. Murrell, Herbert Hall, Jr., Caroline H. Slayton, MacArthur Hall, and Michael Hall.  </t>
  </si>
  <si>
    <t>43H-2-5</t>
  </si>
  <si>
    <t>Salyer</t>
  </si>
  <si>
    <t>Delmar</t>
  </si>
  <si>
    <t>c/o Wayne C. Farmer</t>
  </si>
  <si>
    <t>102 W. Colton Ln.</t>
  </si>
  <si>
    <t>Williamstown, NJ  08094</t>
  </si>
  <si>
    <t xml:space="preserve">All that certain lot or parcel of land, being the residue parcel of the combined total of the three properties conveyed to N.H. Irvine, to wit: </t>
  </si>
  <si>
    <t>That lot or parcel of land conveyed from L.C. Haden and wife to Nick H. Irvine by Deed dated December 19, 1896 and recorded in the Clerk's Office of the Circuit Court for Campbell County, Virginia in Deed Book 63, at page 406; and</t>
  </si>
  <si>
    <t>That lot or parcel of land conveyed from Edward Irvine to Nick H. Irvine by Deed dated December 18, 1896 and recorded in the aforesaid Clerk's Office in Deed Book 63, at page 407; and</t>
  </si>
  <si>
    <t>That lot or parcel of land conveyed from J.J. Davis and R.S. Davis, husband and wife to Nick H. Irvine by Deed dated February 15, 1904 and recorded in the aforesaid Clerk's Office in Deed Book 74, at page 524.</t>
  </si>
  <si>
    <t>Nick H. Irvine died intestate in 1925, naming as heirs Matilda Irvine, his wife; and children Virginia Irvine, Charles Irvine, Jesse Irvine, Nick Irvine, Jr., Ella J. Irvine, Annie B. Irvine, and Robert Irvine.  The aforesaid heirs made certain off-conveyances from the described property, to wit:</t>
  </si>
  <si>
    <t>LESS and EXCEPT that certain property conveyed from the heirs of N.H. Irvine to Thomas W. Tweedy, by Deed dated December 23, 1958, and recorded in the aforesaid Clerk's Office in Deed Book 303, at page 414.</t>
  </si>
  <si>
    <t>Further LESS and EXCEPT that certain property conveyed from the heirs of N.H. Irvine to Curtis R. Turner, by Deed dated May 1, 1967, and recorded in the aforesaid Clerk's Office in Deed Book 391, at page 109.</t>
  </si>
  <si>
    <t>Further LESS and EXCEPT that certain property conveyed from the heirs of N.H. Irvine to James L. Austin and Alfreda M. Austin, husband and wife, by Deed dated July 26, 1967, and recorded in the aforesaid Clerk's Office in Deed Book 392, at page 181.</t>
  </si>
  <si>
    <t>Further LESS and EXCEPT that certain property conveyed from the heirs of N.H. Irvine to John H. Hicks and Bascom T. Hicks, husband and wife, by Deed dated May 21, 1971, and recorded in the aforesaid Clerk's Office in Deed Book 442, at page 108.</t>
  </si>
  <si>
    <t>The said conveyances and off-conveyances leave a residue parcel of approximatley 1 acre, more or less.</t>
  </si>
  <si>
    <t>42G-3-1</t>
  </si>
  <si>
    <t>42-A-49</t>
  </si>
  <si>
    <t>386 Mt. Hermon Rd.</t>
  </si>
  <si>
    <t>P.O. Box 661</t>
  </si>
  <si>
    <t>All those certain lots or parcels of land with improvements thereon and privileges and appurtenances thereunto belonging, situate, lying and being in Vista Magisterial District, Campbell County, Virginia, fronting on Old State Highway #43 which leads from Altavista to Leesville, and more particularly described as follows:</t>
  </si>
  <si>
    <t>Lot No, 9 as shown on a plat of twenty-seven (27) lots made for John E. Stinnette by Fred Kabler, S.C.C., dated January, 1941, which plat is recorded in the Clerk's Office of the Circuit Court of Campbell County, Virginia in Plat Cabinet A, Slide 83, page 148, said lot No. 9 fronting one hundred (100) feet on said Leesville Highway and running back at right angles between parallel lines a distance of two hundred fifty (250) feet.</t>
  </si>
  <si>
    <t xml:space="preserve">This being the same property conveyed from Jane Bragg Pillow (formerly Jane B. Lopez) and Bryan Sean Pillow, her husband to Jane Bragg Pillow and Bryan Sean Pillow, husband and wife by Deed dated June 19, 1998 and recorded in the aforementioned Clerk's Office in Deed Book 917, and page 1, and to which reference is made for a more particular description of the property.  </t>
  </si>
  <si>
    <t>Jane Bragg Pillow being one and the same person as Lydia Jane Bragg, pursuant to the name change order recorded in the aformentioned Clerk's Office as Instrument No. 120000217</t>
  </si>
  <si>
    <t>Brian S. Pillow</t>
  </si>
  <si>
    <t>909 Moore Dr.</t>
  </si>
  <si>
    <t>Pittsylvania</t>
  </si>
  <si>
    <t>Gordon M. Kent</t>
  </si>
  <si>
    <t>Deed Book 860, page 279</t>
  </si>
  <si>
    <t>20B-3-6</t>
  </si>
  <si>
    <t>Carroll</t>
  </si>
  <si>
    <t>c/o Roberta Woodson</t>
  </si>
  <si>
    <t>29 Rohr St.</t>
  </si>
  <si>
    <t>Buffalo, NY  14211</t>
  </si>
  <si>
    <t xml:space="preserve">All that certain lot or tract of land situate in Otter River Magisterial District, Campbell County, Virginia, being Lot No. 2, as shown on that certain plat of survey made by Robert A. Russell, Surveyor, dated June 20, 1913, and entered into evidence in that certain Chancery cause in the Circuit Court of Campbell County, Virginia known as Ed Woodson v. Lillie Yuille, et al, which said plat is recorded in the Clerk's Office for the Circuit Court of Campbell County, Virginia in Deed Book 96, at Page 474.  </t>
  </si>
  <si>
    <t xml:space="preserve">This being the same parcel of land decreed to be divided in kind to Ed Woodson, by Order of the Circuit Court of Campbell County, Virginia in the July term of that Court in 1913, as stated in that certain Note for Decree recorded in the aforementioned Clerk's Office in Deed Book 96, at Page 475.  </t>
  </si>
  <si>
    <t>103C-43-4-2A &amp; 3B</t>
  </si>
  <si>
    <t>8-A-42A</t>
  </si>
  <si>
    <t>69-A-41B</t>
  </si>
  <si>
    <t>69-A-41A</t>
  </si>
  <si>
    <t>Daniel Todd Hall</t>
  </si>
  <si>
    <t>31 Kitty Hawk Sq.</t>
  </si>
  <si>
    <t>71-A-32A</t>
  </si>
  <si>
    <t>Lloyd &amp; Lula</t>
  </si>
  <si>
    <t>(434) 363-8229</t>
  </si>
  <si>
    <t>218 Virginia Ave.</t>
  </si>
  <si>
    <t>1011 Depot Rd.</t>
  </si>
  <si>
    <t>That certain lot or parcel of land situate in the Town of Brookneal, Campbell County, Virginia, known as the Willie K. Booth Lot, fronting on Virginia Avenue for a distance of 125 feet.</t>
  </si>
  <si>
    <t>This being the same parcel conveyed from Carolyn J. Hurren and James J. Randall to James J. Randall and Carolyn J. Hurren, Husband and Wife, by Deed dated March 1, 2011 and recorded in the Clerk's Office of the Circuit Court for Campbell County, Virginia as Instrument No. 110001507.</t>
  </si>
  <si>
    <t xml:space="preserve">Carolyn J. Hurren Randall died December 20, 2011 as stated in the Probate file located in the aformentioned Clerk's Office, according the the list of heirs filed as Instrument No. 120000690, vesting sole title in James J. Randall.  </t>
  </si>
  <si>
    <t>Crown Asset Management, LLC</t>
  </si>
  <si>
    <t>as assignee of First National Bank of Omaha</t>
  </si>
  <si>
    <t>Instrument No. 080002259</t>
  </si>
  <si>
    <t>Nevada Corporate Headquarters, Inc., R/A</t>
  </si>
  <si>
    <t>Worldwide Asset Management, LLC</t>
  </si>
  <si>
    <t>4730 S. Fort Apache Rd., Suite 300</t>
  </si>
  <si>
    <t>Las Vegas, NV  89147-7947</t>
  </si>
  <si>
    <t>Instrument No. 080002498</t>
  </si>
  <si>
    <t>72-A-23A</t>
  </si>
  <si>
    <t>Buddy R.</t>
  </si>
  <si>
    <t>73-A-23</t>
  </si>
  <si>
    <t>Dillard</t>
  </si>
  <si>
    <t>Robert &amp; Mary</t>
  </si>
  <si>
    <t>That certain lot or parcel of land, together with all improvements thereon, located in Falling River Magisterial District, Campbell County, Virginia, near Cakewalk, previously estimated to contain approximately 0.90 acre, but more likely containing 0.55 acre, more or less, and more particularly described by reference to a plat of survey made by Charles H. Kirkland, C.L.S., dated February 4, 1950, recorded in the Clerk's Office of the Circuit Court of Campbell County, Virginia in Plat Book 10, at page 138, as follows:</t>
  </si>
  <si>
    <t xml:space="preserve">Pursuant to that certain Disclaimer dated April 19, 2006 and recorded in the aforesaid Clerk's Office as Instrument No. 060003488, Elbert M. Hunter died intestate, unmarried March 23, 2006.  The disclaimant therein, Elbert M. Hunter, Jr. represented he was the sole heir of Elbert M. Hunter.  </t>
  </si>
  <si>
    <t>Halifax County</t>
  </si>
  <si>
    <t>81A-2-9</t>
  </si>
  <si>
    <t>Moon</t>
  </si>
  <si>
    <t xml:space="preserve">L. </t>
  </si>
  <si>
    <t>Justin</t>
  </si>
  <si>
    <t>87-3-4A</t>
  </si>
  <si>
    <t>87-A-18B</t>
  </si>
  <si>
    <t>Graves</t>
  </si>
  <si>
    <t xml:space="preserve">Rondell </t>
  </si>
  <si>
    <t>90A-A-2</t>
  </si>
  <si>
    <t>Alta Enterprises, Inc.</t>
  </si>
  <si>
    <t>96A-6-309</t>
  </si>
  <si>
    <t>Shaver</t>
  </si>
  <si>
    <t>Bruce &amp; Mary</t>
  </si>
  <si>
    <t>103A-3-1-17, 18 &amp; 19</t>
  </si>
  <si>
    <t>Cilva</t>
  </si>
  <si>
    <t>103A-3-1-18A &amp; 19A</t>
  </si>
  <si>
    <t>Sylvia</t>
  </si>
  <si>
    <t>103A-3-1-20F</t>
  </si>
  <si>
    <t>36-A-49</t>
  </si>
  <si>
    <t>CL17000026-00</t>
  </si>
  <si>
    <t>40-A-20</t>
  </si>
  <si>
    <t>CL17000031-00</t>
  </si>
  <si>
    <t>Heard</t>
  </si>
  <si>
    <t>62-1-5B</t>
  </si>
  <si>
    <t xml:space="preserve">CL17000035-00 </t>
  </si>
  <si>
    <t>Garris</t>
  </si>
  <si>
    <t>47-A-55B</t>
  </si>
  <si>
    <t>Steven</t>
  </si>
  <si>
    <t>Vincello</t>
  </si>
  <si>
    <t>83A-35-3-20</t>
  </si>
  <si>
    <t>Mattox</t>
  </si>
  <si>
    <t>Victoria</t>
  </si>
  <si>
    <t>2000-2019</t>
  </si>
  <si>
    <t>Treasurer's Sale?</t>
  </si>
  <si>
    <t>BEGINNING at corner stone on driveway, at the southeast corner of the property now or formerly owned by J. R. Hunter and Lillie Mae Hunter, thence N. 73 1/4° W. 114 feet; thence a new line N. 27 1/2° E. a straight line to spring branch; thence up said branch as it meanders to corner in creek at the line of the property now or formerly owned by J. R. Hunter and Lillie Mae Hunter, thence S. 27 1/2° W. 342 feet to the point of BEGINNING.</t>
  </si>
  <si>
    <t>(434) 665-1180</t>
  </si>
  <si>
    <t>23-A-41</t>
  </si>
  <si>
    <t>Cox</t>
  </si>
  <si>
    <t>(434) 907-4386</t>
  </si>
  <si>
    <t>46 Sunnymeade Rd.</t>
  </si>
  <si>
    <t>Deanna</t>
  </si>
  <si>
    <t>CL20000116-00</t>
  </si>
  <si>
    <t>CL19001697-00</t>
  </si>
  <si>
    <t>This being the same parcel conveyed from Geraldine G. Pettigrew to Chester O. Pettigrew by Deed dated June 21, 1991, and recorded in the aforesaid Clerk's Office in Deed Book 726, page 440.</t>
  </si>
  <si>
    <t>OrthoVirginia, Inc.</t>
  </si>
  <si>
    <t>Succ'r to Ortho. Cntr. of Central VA</t>
  </si>
  <si>
    <t>200 South 10th St., Ste. 1600</t>
  </si>
  <si>
    <t>Instrument No. 050000125</t>
  </si>
  <si>
    <t>Instrument No. 080001237</t>
  </si>
  <si>
    <t>CL20000135-00</t>
  </si>
  <si>
    <t>CL20000142-00</t>
  </si>
  <si>
    <t>CL2000195-00</t>
  </si>
  <si>
    <t>2009-2019</t>
  </si>
  <si>
    <t>53-3-2</t>
  </si>
  <si>
    <t>Patrick</t>
  </si>
  <si>
    <t>4406 Tardy Mtn. Rd.</t>
  </si>
  <si>
    <t>69-A-19</t>
  </si>
  <si>
    <t>69-A-24</t>
  </si>
  <si>
    <t>53B-1-8</t>
  </si>
  <si>
    <t>103C-33-7</t>
  </si>
  <si>
    <t>Buster</t>
  </si>
  <si>
    <t>Meade</t>
  </si>
  <si>
    <t>207 Main St.</t>
  </si>
  <si>
    <t>10094 Clarkton Rd.</t>
  </si>
  <si>
    <t>6758 Bedford Hwy.</t>
  </si>
  <si>
    <t>William A.P. Carter, II</t>
  </si>
  <si>
    <t>(434) 466-5210</t>
  </si>
  <si>
    <t>90B-1-26</t>
  </si>
  <si>
    <t>Ralph</t>
  </si>
  <si>
    <t>90B-1-1</t>
  </si>
  <si>
    <t>Bernice</t>
  </si>
  <si>
    <t>15A-1-20</t>
  </si>
  <si>
    <t>Almond</t>
  </si>
  <si>
    <t>Teresa</t>
  </si>
  <si>
    <t>c/o Teresa Billiter</t>
  </si>
  <si>
    <t>Latoya</t>
  </si>
  <si>
    <t>83A-11-58-8A</t>
  </si>
  <si>
    <t>816 12th St.</t>
  </si>
  <si>
    <t>6113 Three Creeks Rd.</t>
  </si>
  <si>
    <t>5615 Three Creeks Rd.</t>
  </si>
  <si>
    <t>67-A-3</t>
  </si>
  <si>
    <t>Austin</t>
  </si>
  <si>
    <t>3624 Leesville Rd.</t>
  </si>
  <si>
    <t>1310 Chapel Grove Rd.</t>
  </si>
  <si>
    <t>102C-1-4</t>
  </si>
  <si>
    <t>12 Chambers Ln.</t>
  </si>
  <si>
    <t>9-8-7A</t>
  </si>
  <si>
    <t>Leroy</t>
  </si>
  <si>
    <t>Valentin</t>
  </si>
  <si>
    <t>Jose</t>
  </si>
  <si>
    <t>833 Pettigrew Ln.</t>
  </si>
  <si>
    <t>64-A-24B</t>
  </si>
  <si>
    <t>Bennett</t>
  </si>
  <si>
    <t>57-A-21A</t>
  </si>
  <si>
    <t>Bomar</t>
  </si>
  <si>
    <t>Arlene</t>
  </si>
  <si>
    <t>103C-39-E-7</t>
  </si>
  <si>
    <t>Cathy</t>
  </si>
  <si>
    <t>V.</t>
  </si>
  <si>
    <t>72-A-32B</t>
  </si>
  <si>
    <t>67-A-6</t>
  </si>
  <si>
    <t>Ethel</t>
  </si>
  <si>
    <t>3972 Leesville Rd.</t>
  </si>
  <si>
    <t>56-2-3</t>
  </si>
  <si>
    <t>Grace</t>
  </si>
  <si>
    <t>50B-1-2</t>
  </si>
  <si>
    <t>60-A-34B</t>
  </si>
  <si>
    <t>CMF Farms, LLC</t>
  </si>
  <si>
    <t>C. Matthew Fariss, R/A</t>
  </si>
  <si>
    <t>79-A-10A</t>
  </si>
  <si>
    <t>491 Gilliam Rd.</t>
  </si>
  <si>
    <t>P.O. Box 83</t>
  </si>
  <si>
    <t>Red House, VA  23963</t>
  </si>
  <si>
    <t>48-A-31</t>
  </si>
  <si>
    <t>Crowther</t>
  </si>
  <si>
    <t>Douglas</t>
  </si>
  <si>
    <t>Sandra</t>
  </si>
  <si>
    <t>71-8-5F</t>
  </si>
  <si>
    <t>Aaron</t>
  </si>
  <si>
    <t>42D-1-D-3</t>
  </si>
  <si>
    <t>Cyrus</t>
  </si>
  <si>
    <t>Lillie</t>
  </si>
  <si>
    <t>2 Lucinda Dr.</t>
  </si>
  <si>
    <t>3030 Fulton St.</t>
  </si>
  <si>
    <t>96A-9-174</t>
  </si>
  <si>
    <t>Dahlgren</t>
  </si>
  <si>
    <t>1510 Brighton Dam Rd.</t>
  </si>
  <si>
    <t>Brookeville, MD  20833</t>
  </si>
  <si>
    <t>24-A-5</t>
  </si>
  <si>
    <t>Calvin</t>
  </si>
  <si>
    <t>32-7-4</t>
  </si>
  <si>
    <t>32-7-4A</t>
  </si>
  <si>
    <t>Sallie</t>
  </si>
  <si>
    <t>17A-1-212, 213, 214 &amp; 215</t>
  </si>
  <si>
    <t>11A-2-16</t>
  </si>
  <si>
    <t>Depew</t>
  </si>
  <si>
    <t>177 Wellington Dr.</t>
  </si>
  <si>
    <t>21G-6-B-10</t>
  </si>
  <si>
    <t>Dishman</t>
  </si>
  <si>
    <t>96A-15-373</t>
  </si>
  <si>
    <t>Eagleburger</t>
  </si>
  <si>
    <t>Lawrence</t>
  </si>
  <si>
    <t>Marlene</t>
  </si>
  <si>
    <t>1450 Owensville Rd.</t>
  </si>
  <si>
    <t>Charlottesville, VA  22901</t>
  </si>
  <si>
    <t>47-A-89</t>
  </si>
  <si>
    <t>Fariss &amp; Fariss Land Company</t>
  </si>
  <si>
    <t>47-A-69A</t>
  </si>
  <si>
    <t>9B-1-15</t>
  </si>
  <si>
    <t>Gunter</t>
  </si>
  <si>
    <t>Hayli</t>
  </si>
  <si>
    <t>74A-1-66</t>
  </si>
  <si>
    <t>Haythe</t>
  </si>
  <si>
    <t>M.B.</t>
  </si>
  <si>
    <t>1111 E. Main St., Ste. 150</t>
  </si>
  <si>
    <t>23-A-1B</t>
  </si>
  <si>
    <t>Huber</t>
  </si>
  <si>
    <t>Marian</t>
  </si>
  <si>
    <t>650 Goucher St.</t>
  </si>
  <si>
    <t>Johnstown, PA  15905</t>
  </si>
  <si>
    <t>In Good Company, LLC</t>
  </si>
  <si>
    <t>36D-1-1</t>
  </si>
  <si>
    <t>17-A-76</t>
  </si>
  <si>
    <t>JBLC, LLC</t>
  </si>
  <si>
    <t>17-2-1</t>
  </si>
  <si>
    <t>17-2-2</t>
  </si>
  <si>
    <t>35-A-61</t>
  </si>
  <si>
    <t>Kelly</t>
  </si>
  <si>
    <t>Cheryl</t>
  </si>
  <si>
    <t>3632 Renan Rd.</t>
  </si>
  <si>
    <t>58-A-35C</t>
  </si>
  <si>
    <t>Ladd</t>
  </si>
  <si>
    <t>Crystal</t>
  </si>
  <si>
    <t>2625 Village Hwy.</t>
  </si>
  <si>
    <t>Mackay</t>
  </si>
  <si>
    <t>Sherri</t>
  </si>
  <si>
    <t>606 Fairview Ter.</t>
  </si>
  <si>
    <t>White River Junction, VT 05001</t>
  </si>
  <si>
    <t>70-12-5</t>
  </si>
  <si>
    <t>70-A-40</t>
  </si>
  <si>
    <t>c/o Sherri Mackay Mamahon</t>
  </si>
  <si>
    <t>31 Bank Rd.</t>
  </si>
  <si>
    <t>Chesterfield County</t>
  </si>
  <si>
    <t>30-A-41</t>
  </si>
  <si>
    <t>Nellum</t>
  </si>
  <si>
    <t>23-2-5</t>
  </si>
  <si>
    <t>Nicholas</t>
  </si>
  <si>
    <t>Julia</t>
  </si>
  <si>
    <t>55-A-49</t>
  </si>
  <si>
    <t>Roy</t>
  </si>
  <si>
    <t>c/o Catherine Payne</t>
  </si>
  <si>
    <t>815 Garden Pkwy., Apt. 612</t>
  </si>
  <si>
    <t>43-A-22</t>
  </si>
  <si>
    <t>Pearson</t>
  </si>
  <si>
    <t>90A-1-15</t>
  </si>
  <si>
    <t>Poe</t>
  </si>
  <si>
    <t>108 Culbertson Ave.</t>
  </si>
  <si>
    <t>Trenton, NJ  08609</t>
  </si>
  <si>
    <t>74A-4-5</t>
  </si>
  <si>
    <t>Rackley</t>
  </si>
  <si>
    <t>118 Laughlin Dr.</t>
  </si>
  <si>
    <t>56-A-19B</t>
  </si>
  <si>
    <t>Reynolds</t>
  </si>
  <si>
    <t>531 Nickland Dr.</t>
  </si>
  <si>
    <t>53-A-12</t>
  </si>
  <si>
    <t>Victor</t>
  </si>
  <si>
    <t>74-A-6</t>
  </si>
  <si>
    <t>Roper, Trustee</t>
  </si>
  <si>
    <t>101-A-3</t>
  </si>
  <si>
    <t>Russell</t>
  </si>
  <si>
    <t>Katherine</t>
  </si>
  <si>
    <t>2823 Whipping Creek Rd.</t>
  </si>
  <si>
    <t>Bronx, NY  10463</t>
  </si>
  <si>
    <t>32-A-54A</t>
  </si>
  <si>
    <t>Haywood</t>
  </si>
  <si>
    <t>706 Deer Path</t>
  </si>
  <si>
    <t>42C-1-4</t>
  </si>
  <si>
    <t>Seneca Creek Property, LLC</t>
  </si>
  <si>
    <t>625 Stone Rd.</t>
  </si>
  <si>
    <t>72 Applegate Ln.</t>
  </si>
  <si>
    <t>11A-7-2-3</t>
  </si>
  <si>
    <t>Snyder</t>
  </si>
  <si>
    <t>Eugene</t>
  </si>
  <si>
    <t>Sobola</t>
  </si>
  <si>
    <t>107-A-1K1</t>
  </si>
  <si>
    <t>Spradlin</t>
  </si>
  <si>
    <t>Kimberly</t>
  </si>
  <si>
    <t>23A-2-51, 53, 54, 55</t>
  </si>
  <si>
    <t>69-A-61</t>
  </si>
  <si>
    <t>TBL Properties, LLC</t>
  </si>
  <si>
    <t>100 Shockhoe Slip</t>
  </si>
  <si>
    <t xml:space="preserve">TCM Properties, Inc. </t>
  </si>
  <si>
    <t>21A-3-A, B</t>
  </si>
  <si>
    <t>83A-5-71-B04</t>
  </si>
  <si>
    <t>Trent</t>
  </si>
  <si>
    <t>1411 Broad St.</t>
  </si>
  <si>
    <t>20C-3-10, 11, 12, 13 &amp; 14</t>
  </si>
  <si>
    <t>Virginia Skyline Ventures, LLC</t>
  </si>
  <si>
    <t>83A-11-58-19</t>
  </si>
  <si>
    <t>Wells Fargo Bank, NA</t>
  </si>
  <si>
    <t>3476 Stateview Blvd.</t>
  </si>
  <si>
    <t>Fort Mill, SC  29715</t>
  </si>
  <si>
    <t>88-3-1B</t>
  </si>
  <si>
    <t>912 Goat Island Rd.</t>
  </si>
  <si>
    <t>Jetty</t>
  </si>
  <si>
    <t>21B-1-68A, 69, 70</t>
  </si>
  <si>
    <t>163 Homewood Dr.</t>
  </si>
  <si>
    <t>86-4-2</t>
  </si>
  <si>
    <t>Yeatts</t>
  </si>
  <si>
    <t>Frederick</t>
  </si>
  <si>
    <t>96-1-45A</t>
  </si>
  <si>
    <t>Zappia</t>
  </si>
  <si>
    <t>Freda D. Elliott</t>
  </si>
  <si>
    <t>CL20000427-00</t>
  </si>
  <si>
    <t>CL20000426-00</t>
  </si>
  <si>
    <t>(434) 219-7113</t>
  </si>
  <si>
    <t>CL20000498-00</t>
  </si>
  <si>
    <t>(434) 661-8961</t>
  </si>
  <si>
    <t>708 Dearborn Rd.</t>
  </si>
  <si>
    <t>Holmes</t>
  </si>
  <si>
    <t>Lucy C. Holmes</t>
  </si>
  <si>
    <t>311 Goat Island Rd.</t>
  </si>
  <si>
    <t>Naser # 2 of Brookneal, VA</t>
  </si>
  <si>
    <t>CL20000502-00</t>
  </si>
  <si>
    <t>Richmond, VA  23229</t>
  </si>
  <si>
    <t>Rhondia</t>
  </si>
  <si>
    <t>10 S. Jefferson St., Suite 1400</t>
  </si>
  <si>
    <t xml:space="preserve">TOGETHER WITH AND SUBJECT TO the right of ingress and egress over the present road leading from Tracts 2, 3, 4 and 5 to Virginia Route No. 712, as shown on the aforesaid plat. </t>
  </si>
  <si>
    <t xml:space="preserve">SUBJECT TO the agreement to share equally with the owners of Tracts 2, 3 and 4 in the upkeep, maintenance and repair of said road and any action required to be taken concerning the road and the amount spent annually to adequately maintain the road shall be decided by a majority vote of the owners of Tracts 2, 3, 4 and 5. </t>
  </si>
  <si>
    <t xml:space="preserve">This being the same property conveyed unto Sterling G. MacKay by deed dated December 11, 2003, and recorded in the aforesaid Clerk's Office as Instrument No. 040000085. </t>
  </si>
  <si>
    <t>Pursuant to that certain List of Heirs recorded in the aforesaid Clerk's Office as Will File Instrument No. 060000224, Sterling G. MacKay died intestate August 9, 2005, leaving as his heirs Mark William MacKay, Darlene A. Fulton &amp; Sherri B. MacKay</t>
  </si>
  <si>
    <t>Pursuant to that certain Deed of Gift recorded in the aforesaid Clerk's Office as Instrument No. 150005621, Darlene A. Fulton granted unto Sherri McMahon, f/k/a/ Sherri B. MacKay all of Darlene A. Fulton's 1/3 undivided interest in the herein described property.</t>
  </si>
  <si>
    <t>Notice to: Mark W. MacKay</t>
  </si>
  <si>
    <t>P.O. Box 543</t>
  </si>
  <si>
    <t>All of that certain tract or parcel of real estate, together with any buildings and improvements thereon, and the privileges and appurtenances thereunto belonging, situate, lying and being in the Vista Magisterial District of Campbell County, Virginia, containing 5.64 acres, and being designated as Tract No. 5, as shown on a plat of survey made by John David Jacobs, C.L.S., dated May 1976, and recorded in the Clerk's Office of the Circuit Court of Campbell County, Virginia, in Plat Book 22, at page 77.  Reference is hereby made to the said plat for a more detailed and complete description of the real estate, and the metes and bounds contained therein are incorporated herein by reference the same as if fully written out herein.</t>
  </si>
  <si>
    <t xml:space="preserve">All of that certain tract or parcel of real estate, together with the buildings and improvements thereon, and the privileges and appurtenances thereunto belonging, situate, lying and being in the Vista Magisterial District of Campbell County, Virginia, located approximately two and one-half miles Northeast of Altavista, Virginia, and more particularly described as follows: </t>
  </si>
  <si>
    <t>Beginning at a stake in the center of used road leading from State Road No. 712 in an Eastern direction as shown on the hereinafter referred map; thence N. 14° 07' W. 211.4 feet to a stake; thence N. 68° 42' E. 406 feet; thence S. 21° 47' E. 499.18 feet; thence S. 68° 28' W. 238.41 feet to a point in the center of old road; thence N. 55° 36' W. 351.6 feet to a stake and the point of beginning, containing 4.28 acres, as shown on map showing survey of lots for Lawson E. Hedrick, dated March 16, 1966 made by H.S. Pierce, a copy of which map is attached to ad recorded with a deed dated November 16, 1966, from Lawson E. Hedrick and Marie J. Hedrick, to James Winston McCormick and Joann Floyd McCormick, in the Clerk's Office of the Circuit Court of Campbell County, Virginia, in Deed Book 385, at page 386.</t>
  </si>
  <si>
    <t xml:space="preserve">This being the same property conveyed unto Sterling G. MacKay by deed dated August 6, 1979, and recorded in the aforesaid Clerk's Office in Deed Book 553, at page 628. </t>
  </si>
  <si>
    <t>4701 Cox Rd., Ste 285</t>
  </si>
  <si>
    <t>20C-3-6</t>
  </si>
  <si>
    <t xml:space="preserve">All that certain tract or parcel of land, together with the privileges and appurtenances thereunto belonging, situate, lying and being in Campbell County, Virginia, and designated as Lot 4, containing 4.46 acres as shown on plat of survey entitled "Breeden Acres, Patrick Henry District, Campbell County, Virginia", made by William W. Dickerson, Jr., L.S., April 22, 1988, revised August 14, 1990, September 14, 1990, September 24, 1990, and November 12, 1990 which said plat is of record in the Campbell County Circuit Court Clerk's Office, in Deed Book 719, page 317. </t>
  </si>
  <si>
    <t>This being the same property conveyed unto Patricia Bailey from Andrea S. Ponce and Angelina R. Blackmon by Deed dated April 28, 2017 and recorded in the aforesaid Clerk's Office as Instrument No. 170003393.</t>
  </si>
  <si>
    <t>Sherwood S. Day, Trustee</t>
  </si>
  <si>
    <t>1047 Vista Park Dr., Ste. D</t>
  </si>
  <si>
    <t>Instrument No. 170003394</t>
  </si>
  <si>
    <t>21B-1-83, 84, 86, 87 &amp; 88</t>
  </si>
  <si>
    <t>Mary J. Wither, R/A</t>
  </si>
  <si>
    <t>All those certain lots or parcels of land, lying, situate, and being in the Town of Brookneal, Campbell County, Virginia, and being Lots 44 through 49, inclusive of Block One of the "Joseph C. LaPrade Subdivision" plat made by Fred Kabler, S.C.C., dated June 10, 1947, and recorded in the Clerk's Office of the Circuit Court of Campbell County, Virginia in Plat Book 9, page 53.</t>
  </si>
  <si>
    <t xml:space="preserve">LESS and EXCEPT that certain parcel labeled as Lot 46 on the aforesaid plat, which was foreclosed upon by virtue of that certain Trustee's Deed from ALG Trustee, LLC, substitute trustee to U.S. Bank Trust, N.A. dated February 8, 2019 and recorded in the aforesaid Clerk's Office as Instrument No. 190000940. </t>
  </si>
  <si>
    <t>This being the same property conveyed from Effie W. Angel to Otis Conway Angel and Phyllis F. Angel, husband and wife, by Deed dated August 14, 1980 and recorded in the aforesaid Clerk's Office in Deed Book 563, page 833.</t>
  </si>
  <si>
    <t>Notice Also Provided to:</t>
  </si>
  <si>
    <t>103B-3-1-44, 45, 47, 48 &amp; 49</t>
  </si>
  <si>
    <t>2194 Goodman Crossing</t>
  </si>
  <si>
    <t xml:space="preserve">Said Lot is more particularly described as: BEGINNING at a point on the dividing linebetween lots 53 and 54 and on a line between said lots and said Parsonage lot, according to said plat of Wm. C. Perrows estate, thence along said line between said Parsonage lot and said Lots 54&amp; 55 N. 59° 15' E. to a point where said line intersects the North or West right of way line of the N&amp;W Ry., thence South-Westerly along said right of way line to a point, said point being the divind line between lots 53 &amp; 54, thence North-Westerly along said line produced to the beginning.  </t>
  </si>
  <si>
    <t>Sports Properties, LLC</t>
  </si>
  <si>
    <t>17011 Forest Rd.</t>
  </si>
  <si>
    <t>This being the same property conveyed unto Marian Tyler Huber from Tyron E. Huber, Jr. and Marian Tyler Huber, husband and wife, by Deed dated August 28, 2017 and recorded in the aforesaid Clerk's Office as Instrument No. 170004634.</t>
  </si>
  <si>
    <t xml:space="preserve">All that certain lot or parcel or land situated, lying and being in Patrick Henry Magisterial District, Campbell County, Virginia, on State Roule No. 648 and designated as Lot No. 26 on Sheet Number Two containing 0.46 acre on plat or survey by Ralph P. Hines, C.L.S., dated March 29, 1972, or Younger Estates, Section I, surveyed for the Lescott Corporation, a copy of which plat is recorded in Plat Book 19, Pages 152 and 153 in the Clerk's Office of the Circuit Court of Campbell County, Virginia, and to which reference is hereby expressly made for a more particular description of said property. Said property is described by metes and bounds on said plat as follows: </t>
  </si>
  <si>
    <t>Being the same property conveyed from Eleanor F. Elliott to Ralph Adams by Deed dated February 21, 1995 and recorded in the aforesaid Clerk's Office in Deed Book 822, page 314.</t>
  </si>
  <si>
    <t>Raleigh M. Felton, III</t>
  </si>
  <si>
    <t>1099 Philpott Rd.</t>
  </si>
  <si>
    <t>South Boston, VA  24592</t>
  </si>
  <si>
    <t>Instrument No. 120000600</t>
  </si>
  <si>
    <t>P.O. Box 117</t>
  </si>
  <si>
    <t>That certain tract or parcel of land, together with any buildings and improvements thereon and any appurtenances thereunto belonging, situate in the Vista Magisterial District, Campbell County, Virginia and designated as Lot No. 174, Phase IX, Runaway Bay, containing 2.021 acres and more particularly shown upon a plat of survey dated August 15, 1998, made by Thomas C. Brooks, Sr., L.S., entitled "Map IX, Phase IX, RUNAWAY BAY, Vista District, Campbell County, Virginia", which said plat is recorded in the Clerk's Office of the Circuit Court of Campbell County, Virginia in Plat Cabinet B, Slide 257, pages 1378-1379.</t>
  </si>
  <si>
    <t>Together with all rights to that the easement conveyed from River Oaks Investments of Virginia, Inc. to Donald J. Dahlgren and Barbara B. Dahlgren, husband and wife, by that certain Deed dated September 7, 2001 and recorded in the aforesaid Clerk’s Office as Instrument No. 010006645, said easement granting the right to use the drainfield located on other property owned by River Oaks Investments of Virginia, Inc. (now or formerly) with the further right to install, repair and maintain, if necessary, lines to connect the drainfield with the septic system located on Lot No. 174 and the right of access to use and service said easement.</t>
  </si>
  <si>
    <t>This conveyance is subject to all restrictions, reservations, easements and conditions of record and now binding upon subject property, specifically those certain restrictions appearing of record in Deed Book 928, at page 464, Deed Book 928, page 471, Deed Book 959, page 904, Deed Book 995, page 204 and Deed Book 999, at page 425 and Deed Book 1003, at page 198.</t>
  </si>
  <si>
    <t>This being the same property conveyed from River Oaks Investments of Virginia, Inc. to Donald J. Dahlgren and Barbara B. Dahlgren, husband and wife, by that certain Deed dated September 7, 2001 and recorded in the aforesaid Clerk’s Office as Instrument No. 010006645.</t>
  </si>
  <si>
    <t>Instrument No. 180003616</t>
  </si>
  <si>
    <t>Instrument No. 190003985</t>
  </si>
  <si>
    <t>All that certain lot or parcel of land, together with the buildings and improvements thereon, and the privileges and appurtenances thereunto belonging, situate, lying and being in Campbell County, Virginia, and designated as Lot No. 16, and shown on "Amended Plat of Section 4, Rainbow Forest", dated December 27, 1967, by Adrian Overstreet, S. C. S., which plat is attached to a Deed of Dedication dated May 29, 1968 from Penn Development Corporation to the County of Campbell, Virginia, and of record in the Clerk's Office of the Circuit Court for the said County of Campbell in Plat Book 18, at page 113.</t>
  </si>
  <si>
    <t>The property conveyed is known as 177 Wellington Drive, Lynchburg, Virginia 24502.</t>
  </si>
  <si>
    <t>It being the same property conveyed by Allie Howard Parrish, Jr. Aad Barbara S. Ferguson Parrish, husband and wife, unto Margaret Ann Depew, divorced, by Deed dated June 19, 1978, recorded in the aforesaid Clerk's Office in Deed Book 538, at page 635.</t>
  </si>
  <si>
    <t>725 Church St # 14</t>
  </si>
  <si>
    <t>Lynchburg, VA 24504</t>
  </si>
  <si>
    <t>Robert E. Evans, Trustee</t>
  </si>
  <si>
    <t>Instrument No. 100002173</t>
  </si>
  <si>
    <t>Boston Lumber Company</t>
  </si>
  <si>
    <t>Instrument No. 060000182</t>
  </si>
  <si>
    <t>Instrument No. 080000370</t>
  </si>
  <si>
    <t>Tammy J. Fuller</t>
  </si>
  <si>
    <t>1300 Pierce St.</t>
  </si>
  <si>
    <t>Instrument No. 160001039</t>
  </si>
  <si>
    <t>1300 Enterprise Dr.</t>
  </si>
  <si>
    <t>Frank L. Davis, Jr., Administrator</t>
  </si>
  <si>
    <t>Instrument No. 190002172</t>
  </si>
  <si>
    <t>SERVE: Civil Process Clerk</t>
  </si>
  <si>
    <t>Western District of Virginia</t>
  </si>
  <si>
    <t>Robertson</t>
  </si>
  <si>
    <t>2033 Sunnymeade Rd.</t>
  </si>
  <si>
    <t>90-A-65A4</t>
  </si>
  <si>
    <t>87-A-52</t>
  </si>
  <si>
    <t>(434) 944-5261</t>
  </si>
  <si>
    <t>CL20000885-00</t>
  </si>
  <si>
    <t>CL20000886-00</t>
  </si>
  <si>
    <t>CL20000879-00</t>
  </si>
  <si>
    <t>CL20000882-00</t>
  </si>
  <si>
    <t>CL20000881-00</t>
  </si>
  <si>
    <t>Cavalry SPV I, LLC</t>
  </si>
  <si>
    <t>CT Corporation System</t>
  </si>
  <si>
    <t>Glen Allen, VA  23060-6808</t>
  </si>
  <si>
    <t>Instrument No. 20000668</t>
  </si>
  <si>
    <t>All that certain lot or parcel of land commonly known as 816 12th Street, Altavista, Virginia and designated as part of Block 58, situate, lying, and being in the Town of Altavista, Campbell County, Virginia, being more particularly described as a small triangular parcel of land lying to the west of the property previously owned by Daisy Tanks Culpepper, and as more particularly described in that certain plat of survey dated December 23, 2015 by the Southeast Survey Group, Ltd., entitled "Plat Showing RESURVEY of the Land Described in Deed Book 445, Page 861" a copy of which is recorded together with that certain Deed from Daisy Tanks Culpepper to Wells Fargo Bank, N.A., dated November 22, 2016 and recorded in the Clerk's Office of the Circuit Court of Campbell County, Virginia, as Instrument No. 160006091.</t>
  </si>
  <si>
    <t>This being the same property conveyed from Daisy Tanks Culpepper to Wells Fargo Bank, N.A., by Deed dated November 22, 2016 and recorded in the Clerk's Office of the Circuit Court of Campbell County, Virginia, as Instrument No. 160006091.</t>
  </si>
  <si>
    <t>190002074/2000016777</t>
  </si>
  <si>
    <t>(802) 356-4601</t>
  </si>
  <si>
    <t>Sherri Mackay</t>
  </si>
  <si>
    <t>8:45 A.M.</t>
  </si>
  <si>
    <t xml:space="preserve">That certain lot or parcel of land together with the buildings and improvements thereon, and the privileges and appurtenances thereunto belonging, situate, lying and being in Patrick Henry Magisterial District, Campbell County, Virginia, designated as Lot 5 containing 1.34 ac., both as shown on a plat entitled "IVY KNOLL SUBDIVISION, Section I", dated September 21, 1972, revised July 16, 1974, made by Ralph P. Hines, C.L.S., which said plat is recorded in the Clerk's Office of the Circuit Court of Campbell County, Virginia, in Plat Cabinet A, Slide 266, page 34. </t>
  </si>
  <si>
    <t>This being a portion of the property conveyed from Margaret Bailey Rackley and Joel Lee Rackley, joint tenants, to Margaret Bailey Rackley, individually, by Deed dated August 2, 2007 and recorded in the aforesaid Clerk's Office as Instrument No. 070006208.</t>
  </si>
  <si>
    <t>That certain tract or parcel of land, with improvements thereon and appurtenances thereunto belonging, situate in the County of Campbell, Virginia, being a portion of Lot 7-A, such portion now containing 2.24 acres, being the residue and remainder of lot 7-A, as shown on that certain plat of survey made by Carroll Gillespie, C.L.S., dated May 16, 1974, recorded in the Clerk's Office of the Circuit Court for the County of Campbell, Virginia in Plat Book 20, at page 150, after deduction therefrom of a one (1) acre lot described in Deed Book 697, at page 628 and shown on plat recorded in Deed Book 897, at page 630.</t>
  </si>
  <si>
    <t>This being the same property conveyed from Lindwood C. Whindleton to Leroy Bedford by Deed dated December 1, 1999 and recorded in the Clerk's Office of the Circuit Court of Campbell County, Virginia in Deed Book 975, page 76.</t>
  </si>
  <si>
    <t>This further being the same property which Leroy Bedford, in turn, conveyed unto Leroy Bedford, as Custodian for Jose T. Valentin, Jr. by Deed dated July 22, 2009 and recorded in the aforesaid Clerk's Office as Instrument No. 090004708.</t>
  </si>
  <si>
    <t>By Deed of Exchange dated July 18, 2008, recorded during Leroy Bedford's tenancy, that certain triangular parcel of land was modified as shown on a plat dated April 8, 2008 entitled "Plat Showing Reconfiguration of Lot 7 and Lot 7 A, Jasper Pettigrew Estate on Newton Place Long Mountain Dist., Campbell Co., Virginia", made by Russell E. Nixon, L.S., and recorded in the Campbell County Circuit Court Clerk's Office July 14, 2008, as Instrument Number 080004781 containing 0.194 Acre (Part of TM#9-8-7A); conveyed by Leroy Bedford unto Ollie Ferguson Whindleton, said deed of exchange recorded August 4, 2008 in the Clerk's Office of the aforesaid Circuit Court as Instrument Number 080005319.</t>
  </si>
  <si>
    <t>Palisades Collection, LLC</t>
  </si>
  <si>
    <t>Instrument No. 160001293</t>
  </si>
  <si>
    <t>That certain lot or parcel of land containing 2.35 acres, more or less, situated about 1/2-mile northerly from Naruna, in Falling River Magisterial District, Campbell County, Virginia, and being designated, as lot No. 15 on a plat of lots surveyed for Thomas Whately, Esq., dated August 8, 1928, and recorded in the Clerk's Office of the Circuit Court of Campbell County in Plat Book No. 4, at page 61, and is the Lot designated as No. 15, containing 2.35 acres, in the deed from Queen P. Whately, widow, to the said H.V. Pillow dated May 1st, 1942 and recorded in the said Clerk's Office in Deed Book No. 189, at page 417, to which deed and plat reference is hereby made.</t>
  </si>
  <si>
    <t>This being the same property conveyed from H.V. Pillow and Murriel C. Pillow, Husband and Wife to Fred William Poe by Deed dated April 11, 1944 and recorded in the aforesaid Clerk’s Office in Deed Book194, at page 495.</t>
  </si>
  <si>
    <t>That certain tract or parcel of land in Seneca Magisterial District, Campbell County, Virginia, on Road No. 693; and being more particularly described as follows:</t>
  </si>
  <si>
    <t>BEGINNING at the Northwest corner of lot sold by Clyde Lee to Charles Edward McDaniel and wife by deed recorded in the Clerk’s Office of the Circuit Court of Campbell County, Virginia in deed Book 273, page 620, plat of which is recorded on page 622; thence along said Road No. 693 N. 46° W. 100 feet to a new point; thence S. 58° 13’ W. 400 feet; thence S. 46° E. 100 feet; and thence N. 58° 13’ E. 400 feet to said Highway No. 693 and the point of BEGINNING.</t>
  </si>
  <si>
    <t>This being the same property conveyed from Clyde Lee, Jr. and Mary A. Lee, Husband and Wife to Roy A. Payne by Deed dated February 9, 1961 and recorded in the aforesaid Clerk’s Office in Deed Book 323, at page 389.</t>
  </si>
  <si>
    <t>All that certain lot or parcel of land, together with all improvements thereon, and privileges and appurtenances thereunto belonging, lying and being in Long Mountain Magisterial District, Campbell County, Virginia, being part of Lot 20, as shown upon a plat of Eastbrook Addition, made by DeMott and Magruder, Engineers, of record in the Clerk’s Office of the Circuit Court of Campbell County, Virginia, in Plat Book 5, page 124, containing 1.8 acres more or less, and being described with reference to a plat of said lot dated March 14, 1955, made by Charles H. Kirkland, C.C.S., of record in said Clerk’s Office in Deed Book 263, page 117, as follows, to-wit:</t>
  </si>
  <si>
    <t>BEGINNING at a point in Eastbrook Road as shown upon the aforesaid plat of Eastbrook Addition, corner to Lot 21 as shown on said plat and running thence S. 4° 45' E. 468.5 feet more or less, to a stake corner to property designated on said plat, dated March 14, 1955, as "Clarence Wm. Woody, Jr. and Agnes Waldrop Woody, 1 acre"; and running thence with the northerly line of the said Woody lot N. 87° 23' W. 174.4 feet to a stake in the dividing line between Lots 19 and 20, as shown upon the aforesaid plat of Eastbrook Addition, and thence running with said dividing line N. 4° 45' w. 413.5 feet, more or less, to a point in the line of Eastbrook Road; and running thence N. 7° 30' E. 176 feet to the BEGINNING, being all of the residue of the said Lot 20, Eastbrook Addition, after deducting therefrom that portion of the said Lot 20 conveyed by W. to Virgil Carrico and Laura Campbell Carrico, his wife, to Clarence William Woody, Jr. and Agnes Waldrop Woody, his wife, by deed dated March 18, 1955, and recorded in the aforesaid Clerk’s Office in Deed Book 263, page 116.</t>
  </si>
  <si>
    <t xml:space="preserve">This being the same property conveyed from Cecil W. Almond and Joann R. Almond, divorced, to Cecil W. Almond, in his sole right, by Deed dated April 24, 1990 and recorded in the aforesaid Clerk’s office in Deed Book 704, page 73.  </t>
  </si>
  <si>
    <t xml:space="preserve">That certain lot or parcel of land located in the Town of Brookneal, Campbell County, Virginia, it being a portion of Lot 7, J.E. Webb Subdivision, on a plat made by C.L. DeMott, C.E., dated December 1916, recorded in the Clerk's Office of the Circuit Court of Campbell County, Virginia, in Plat Book 6, page 154; and being more particularly described as follows: </t>
  </si>
  <si>
    <t xml:space="preserve">BEGINNING at a point being the intersection of Main Street and the southeast corner of the lot designated "Price" on the aforesaid plat, and said point also being the northeast corner of Lot 7 on said plat; thence in a westerly direction with the said "Price" line 70 feet to a point on the edge of Lot 9 on the aforesaid plat; thence in a southerly direction with the boundary of Lot 9, 16 feet 5-1 /8 inches to a point on the boundary of said Lot 9; thence in an easterly direction, along the center of a party wall, 70 feet to a point on Main Street; thence in a northerly direction 16 feet 5-1/8 inches to the point of BEGINNING. </t>
  </si>
  <si>
    <t>This being the same property conveyed from Lona J. Asher &amp; Geraldine A. Clark to Meade C. Buster by Deed dated November 20, 2006 and recorded in the Clerk's Office of the Circuit Court of Campbell County, Virginia as Instrument No. 060008973.</t>
  </si>
  <si>
    <t>Frank A Wright, Jr., Trustee</t>
  </si>
  <si>
    <t>Overbey, Hawkins, Wright &amp; Vance</t>
  </si>
  <si>
    <t>Instrument Nos. 100003382 &amp; 100003383</t>
  </si>
  <si>
    <t>Barry S. Washington, 3916 Old Lexington Rd.</t>
  </si>
  <si>
    <t>Tuscaloosa, AL  35405</t>
  </si>
  <si>
    <t>That certain lot or parcel of land, together with the buildings and improvements thereon, and the privileges and appurtenances thereunto belonging, situate, lying, and being in the County of Campbell, Virginia, the present dwelling thereon being known as No. 15 Homewood Drive, and described as beginning at a point of  intersection of the southwesterly line of Homewood Drive by the dividing line of Lots Nos. 67 and 68, as shown on plat hereinafter described, thence leaving the said line of Homewood Drive, S. 40° 281 W. 40. 5 feet to the line of “Well Lot”, thence with the said line of “Well Lot” N. 49 ° 421 W. 8 feet, S. 40° 28’ W. 7 feet, and S. 49° 32’ E. 8 feet; thence S. 40° 28’ W. 144.48 feet; thence N. 44° 51’ W. 75.24 feet; thence N. 40° 28’ E. 190.84 feet to the said line of Homewood Drive; and thence with the said line of Homewood Drive S. 49° 32’ E. 75 feet to the point of beginning; being Lots 69, 70 and a part of Lot 68 as shown on plat of “Subdivision of Part of Thompson and Cox Property, Campbell County, Virginia”, made by Adrian Overstreet, S. C. S., dated October 29, 1947, of record in the Clerk’s Office of the Circuit Court for the said County of Campbell, Virginia in Plat Book 9, at page 115.</t>
  </si>
  <si>
    <t>This being the same property conveyed from Glenn Arthur Stitt and Margaret W. Stitt, husband and wife, to Otis G. Wright and Jetty C. Wright, husband and wife, by Deed dated April 4, 1978 and recorded in the aforesaid Clerk’s Office in Deed Book 534, at page 825.</t>
  </si>
  <si>
    <t>(814) 915-4294</t>
  </si>
  <si>
    <t>Haskins</t>
  </si>
  <si>
    <t>103 Tumblewood Tr.</t>
  </si>
  <si>
    <t>CL20001024-00</t>
  </si>
  <si>
    <t>CL20001069-00</t>
  </si>
  <si>
    <t>CL20001039-00</t>
  </si>
  <si>
    <t>CL20001042-00</t>
  </si>
  <si>
    <t>CL20001064-00</t>
  </si>
  <si>
    <t>CL20001061-00</t>
  </si>
  <si>
    <t>All that certain tract or parcel of land, lying and being in Patrick Henry Magisterial District, Campbell County, Virginia, containing 1.00 acre and fronting on State Road 639 a distance of 150 feet as shown on plat of survey made March 26, 1973, by Alfred H. Carter, C.L.S., a copy of which plat is recorded in the Clerk's Office of the Circuit Court of Campbell County in Deed Book 464, page 116.</t>
  </si>
  <si>
    <t>This being the same property conveyed from the United States Farmers Home Administration, USDA, to John &amp; Josephine Coleman by Deed dated May 19, 1988 and recorded in the aforesaid Clerk's Office in Deed Book 670, page 880.</t>
  </si>
  <si>
    <t>Arthur L. Mitchell, Jr. &amp; Stephen L. Peyton, Trustees</t>
  </si>
  <si>
    <t>United States Department of Agriculture</t>
  </si>
  <si>
    <t>1606 Santa Rosa Road, Suite 238</t>
  </si>
  <si>
    <t>Deed Book 670, Page 882</t>
  </si>
  <si>
    <t>This being the same property conveyed unto Patrick H. Tweedy from Burruss Land and Lumber Company, Inc. by Deed dated July 29, 1964 and recorded in the aforesaid Clerk's Office  in Deed Book 361, page 89.</t>
  </si>
  <si>
    <t xml:space="preserve">That certain tract or parcel of land with improvements, appurtenances and rights thereunto belonging, containing 7 acres, more or less, exclusive of the right of way of Highway Route 626, located in Otter River Magisterial District, Campbell County, Virginia, about 3 miles north of Lynch’s Station, being designated Tract 2 and more particularly described with reference to plat by Erskine W. Proffitt, C.L.S., dated July 22, 1964, a copy of which plat is recorded in the Clerk’s Office of the Circuit Court of Campbell County, Virginia in Plat Book 17, page 128, and to which reference is made for a more particular description by metes and bounds.  </t>
  </si>
  <si>
    <t>Instrument No. 090001031</t>
  </si>
  <si>
    <t>CL20000880-00</t>
  </si>
  <si>
    <t>47-3-B</t>
  </si>
  <si>
    <t>Driskill</t>
  </si>
  <si>
    <t>(434) 579-2556</t>
  </si>
  <si>
    <t>P.O. Box 1311</t>
  </si>
  <si>
    <t>Halifax, VA  24558</t>
  </si>
  <si>
    <t>Meade C. Buster</t>
  </si>
  <si>
    <t>This being the same property conveyed unto Rawley Dennis Kelly from Emma Sue K. D. Droog and R. Dennis Kelly, divorced, by deed dated November 17, 1993, and recorded in the aforesaid Clerk's Office in Deed Book 863, page 696.</t>
  </si>
  <si>
    <t>CL20001522-00</t>
  </si>
  <si>
    <t>CL20001513-00</t>
  </si>
  <si>
    <t>CL20001515-00</t>
  </si>
  <si>
    <t>CL20001517-00</t>
  </si>
  <si>
    <t>CL20001518-00</t>
  </si>
  <si>
    <t>CL20001519-00</t>
  </si>
  <si>
    <t>CL20001524-00</t>
  </si>
  <si>
    <t>CL20001526-00</t>
  </si>
  <si>
    <t>David L. Williams</t>
  </si>
  <si>
    <t>CL19001666-00</t>
  </si>
  <si>
    <t>CL20001421-00</t>
  </si>
  <si>
    <t>Joyce T. Brogden</t>
  </si>
  <si>
    <t>Brogden</t>
  </si>
  <si>
    <t>(434) 610-3121</t>
  </si>
  <si>
    <t>101 Berkley St.</t>
  </si>
  <si>
    <t>Phenix, VA  23595</t>
  </si>
  <si>
    <t>Instrument No. 050000618</t>
  </si>
  <si>
    <t>Instrument No. 070000780</t>
  </si>
  <si>
    <t>1220 17th St. Apt. 3</t>
  </si>
  <si>
    <r>
      <t>BEGINNING al iron on margin of State Route 648, corner with Lots 25 and 26; thence S. 17</t>
    </r>
    <r>
      <rPr>
        <sz val="11"/>
        <rFont val="Calibri"/>
        <family val="2"/>
      </rPr>
      <t>º</t>
    </r>
    <r>
      <rPr>
        <sz val="11"/>
        <rFont val="Calibri"/>
        <family val="2"/>
        <scheme val="minor"/>
      </rPr>
      <t xml:space="preserve"> 15' W. 100.00 feet along margin of State Route 648 to iron comer with Lot 27; thence N. 72º 45' W. 200.00 feet to iron; thence N. 17º 15' E. 100.00 feet to iron; thence S. 72º 45' E. 200.00 feet to point of BEGINNING.</t>
    </r>
  </si>
  <si>
    <t>26-A-1SP, including 26G-3-19 &amp; 26G-3-20</t>
  </si>
  <si>
    <t>CL20001816-00</t>
  </si>
  <si>
    <t>2020 Tax</t>
  </si>
  <si>
    <t>% of TPI of Assess</t>
  </si>
  <si>
    <t>17774 Brookneal Hwy.</t>
  </si>
  <si>
    <t>All that certain tract or parcel of land being Lot No. six (6) of Block 58, fronting 60 feet on the North side of Twelfth Street and extending back between parallel lines for a distance of 140 feet to a twenty foot alley as shown on the revised map of Altavista, Virginia, recorded in the Clerk's Office of the Circuit Court of Campbell County, Virginia, in Deed Book 89, at page 419.</t>
  </si>
  <si>
    <t xml:space="preserve">This being the same property conveyed from J.F. Minnis and Martha A. Minnis, husband and wife, to  by Deed dated January 20, 1966, and recorded in the aforementioned Clerk's Office in Deed Book 378, at page 616.  </t>
  </si>
  <si>
    <t>This being the same property conveyed from J.R. Hunter and Lillie Mae Hunter to Elbert M. Hunter by Deed dated March 25, 1961 and recorded in the aforesaid Clerk's Office in Deed Book 324, at page 531.</t>
  </si>
  <si>
    <t>This being further the same property conveyed from F.E. "Tripp" Isenhour, III, Special Commissioner acting on behalf of the Heirs of Elbert M. Hunter to the County of Campbell, Virginia by Deed dated December 7, 2018 and recorded in the aforesaid Clerk's Office as Instrument No. 190005941.</t>
  </si>
  <si>
    <t>This being further the same property conveyed from F.E. "Tripp" Isenhour, III, Special Commissioner acting on behalf of Lula Davis to the County of Campbell, Virginia by Deed dated September 6, 2019 and recorded in the aforesaid Clerk's Office as Instrument No. 180005756.</t>
  </si>
  <si>
    <t>This being further the same property conveyed from F.E. "Tripp" Isenhour, III, Special Commissioner acting on behalf of James J. Randall to the County of Campbell, Virginia by Deed dated September 6, 2019 and recorded in the aforesaid Clerk's Office as Instrument No. 190005937.</t>
  </si>
  <si>
    <t>This being further the same property conveyed from F.E. "Tripp" Isenhour, III, Special Commissioner acting on behalf of Ed Woodson to the County of Campbell, Virginia by Deed dated September 6, 2019 and recorded in the aforesaid Clerk's Office as Instrument No. 190005936.</t>
  </si>
  <si>
    <t>This being further the same property conveyed from F.E. "Tripp" Isenhour, III, Special Commissioner acting on behalf of Bryan S. Pillow and Jane B. Pillow to the County of Campbell, Virginia by Deed dated September 6, 2019 and recorded in the aforesaid Clerk's Office as Instrument No. 190005935.</t>
  </si>
  <si>
    <t>County Sale Amt.</t>
  </si>
  <si>
    <t>It being the same identical property which was conveyed unto Chauncey R. Clarke and Donna R. Clarke by Deed of Gift dated December 22, 1988 and of record in the aforesaid Clerk's Office in Deed Book 870, at page 343.</t>
  </si>
  <si>
    <t>This being further the same property conveyed from David W. Shreve, Special Commissioner acting on behalf of Chauncey R. Clarke and Donna R. Clarke to the County of Campbell, Virginia by Deed dated July 29, 2014 and recorded in the aforesaid Clerk's Office as Instrument No. 140003233.</t>
  </si>
  <si>
    <r>
      <t>BEGINNING at corner stone on driveway, at the southeast corner of the property now or formerly owned by J. R. Hunter and Lillie Mae Hunter, thence N. 73 1/4° W. 114 feet; thence a new line N. 27 1/2</t>
    </r>
    <r>
      <rPr>
        <sz val="11"/>
        <color theme="1"/>
        <rFont val="Calibri"/>
        <family val="2"/>
        <scheme val="minor"/>
      </rPr>
      <t>° E. a straight line to spring branch; thence up said branch as it meanders to corner in creek at the line of the property now or formerly owned by J. R. Hunter and Lillie Mae Hunter, thence S. 27 1/2° W. 342 feet to the point of BEGINNING.</t>
    </r>
  </si>
  <si>
    <t>This being further the same property conveyed from F.E. "Tripp" Isenhour, III, Special Commissioner acting on behalf of Herbert Hall, et als. to the County of Campbell, Virginia by Deed dated September 6, 2019 and recorded in the aforesaid Clerk's Office as Instrument No. 190005933.</t>
  </si>
  <si>
    <t>This being further the same property conveyed from F.E. "Tripp" Isenhour, III, Special Commissioner acting on behalf of Frances Cook, et als. to the County of Campbell, Virginia by Deed dated November 18, 2019 and recorded in the aforesaid Clerk's Office as Instrument No. 190005942.</t>
  </si>
  <si>
    <t>43C-4-14, 15, 16, 17 &amp; 18</t>
  </si>
  <si>
    <t>81C-1-A-14, 15 &amp; 16</t>
  </si>
  <si>
    <t>Pursuant to that certain Disclaimer dated April 19, 2006 and recorded in the aforesaid Clerk's Office as Instrument No. 060003488, Elbert M. Hunter died intestate, unmarried March 23, 2006.  The disclaimant therein, Elbert M. Hunter, Jr. represented he was the sole heir of Elbert M. Hunter.</t>
  </si>
  <si>
    <t>This being further the same property conveyed from F.E. "Tripp" Isenhour, III, Special Commissioner acting on behalf of the heirs of Elbert M. Hunter to the County of Campbell, Virginia by Deed dated September 6, 2019 and recorded in the aforesaid Clerk's Office as Instrument No. 190005941.</t>
  </si>
  <si>
    <t>The residue parcel of approximatley 1 acre being further the same property conveyed from F.E. "Tripp" Isenhour, III, Special Commissioner acting on behalf of the heirs of N.H. Irvine, et als. to the County of Campbell, Virginia by Deed dated September 6, 2019 and recorded in the aforesaid Clerk's Office as Instrument No. 190005934.</t>
  </si>
  <si>
    <t>BEGINNING at a point on the Marysville Road (State Route 633) marked by a large pine tree where the road makes a sharp curve in an easterly direction as shown on the aforementioned plat; thence with said road in an easterly direction 307 yards to a point marked by an iron stake; thence leaving said road in a north westerly direction 90 yards to an iron stake; thence in a northwesterly direction 52 yards to an iron stake; thence in a northwesterly direction 160 yards to an iron stake; thence in a northerly direction yards to a point on Seneca Creek; thence with the line of Seneca Creek and the Mill Pond in a general southwesterly direction 232 yards to its intersection with the Marysville Road as shown on said plat; and thence 129 yards along said Marysville Road to the point of BEGINNING.</t>
  </si>
  <si>
    <t>BEGINNING at a point 13 feet southeast of the Stone dam as shown on plats of E. R. Farmer, Civil Engineer, recorded in the aforesaid Clerk's Office in Plat Book 1 page 92, and Plat Book 2, page 30; thence running a uniform distance of 13 feet from the edge of said Mill Pond and up Seneca Creek to the point on said plats which is marked "Pheasant Branch“ plats as described in paragraph two of the deed from J. K. Andrews, and others, to Willie L. Hall, dated April 10, 1962, and recorded in the aforementioned Clerk's Office in Deed Book 334, page 692.</t>
  </si>
  <si>
    <t xml:space="preserve">All that certain lot, tract, or parcel of land, lying, being, and situate in Falling River Magisterial District, Campbell County, Virginia more particularly described as follows: </t>
  </si>
  <si>
    <t>Beginning at a point on the Falling River Road, near Evergreen Baptist Church, thence N. and E. 145 feet to an old planted stone; thence N. 14 E. 905 feet in a straight line to an iron stake, pine and white oak pointers; thence N. 32 1/2 W. in a straight line to stone, pine and black oak pointers; thence N. 53 E. 267 feet in a straight line to stone, pine and maple pointers; thence S. 28 1/2 E. 85 feet in a straight line to the middle of Shuck Road; thence following Shuck Road S. 24 W. 300 feet; thence following Shuck Road S. 35 W. 190 feet to Falling River Road; thence following Falling River Road S. 74 1/2 W. 829 feet to the point of beginning.</t>
  </si>
  <si>
    <t>All those certain lots or parcels of land together with all privileges and appurtenances thereunto belonging, situate, lying and being in the Village of Leesville, County of Campbell, Virginia, in the being parcel numbers 14 through 16, inclusive, as shown on that certain plat of the Town of Leesville, Virginia made by Maj'r Jesse Leftwich, recorded in the Clerk's Office of the Circuit Court of Campbell County, Virginia in Slide A66, page 94, and being comprised of Campbell County Tax Map Nos. 81C-1-A-14 through 81C-1-A-16, inclusive.</t>
  </si>
  <si>
    <t>All that certain tract or parcel of ground together with the privileges and appurtenances thereunto belonging, situate, lying, and being in Long Mountain District, Campbell County, Virginia, designated as Lot No. 5, containing 0.551 acres, as shown on a plat entitled, "PLAT SHOWING SECTION I SASOON PLACE LONG MOUNTAIN DISTRICT CAMPBELL COUNTY, VA.  SURVEYED FOR: LOUIS I. PETTIGREW, SR.", dated November 3, 1983, revised January 26, 1984, revised March 21, 1984, revised September 9, 1985, made by Donald R. Miller, C.L.S., which said plat is recorded in the Clerk's Office of the Circuit Court of Campbell County, Virginia in Plat Book 29, at page 38.</t>
  </si>
  <si>
    <t>That certain tract or parcel of land situate in Patrick Henry Magisterial District, Campbell County, Virginia, containing 0.96 acre as shown on a plat of survey made by Thomas T. Adams, dated September 1952, a copy of which is recorded in the Clerk's Office of the Circuit Court of Campbell County, Virginia, in Deed Book 242, at page 369.</t>
  </si>
  <si>
    <t>That certain tract or parcel of land, together with the privileges and appurtenances thereunto belonging, situate, lying, and being in Campbell County, Virginia, near the headwaters of Opposum Creek on Candlers Mountain, containing 7.7 acres, more or less, and designated as Parcel B as shown on a plat entitled "Plat of Part of Lot 3, John Candler Estate, Mary C. Tyler, Conveyed to Tyron E. and Marian Tyler Huber and J. Andrew and Dorothy Tyler Obrochta", made by S.M. Tyler, CLS, dated August 9, 1975, a copy of which plat is attached to that certain plat recorded in the Clerk's Office for the Circuit Court of Campbell County, Virginia in Plat Book 22, page 98, together with a perpetual right of way of ingress and egress over the existing roadway extending from the southern boundary line of the property hereby conveyed at a point near the southwest corner thereof, in a generally southerly direction across Parcel A shown on the plat previously mentioned, and continuing thence over the existing access road running from the southern boundary line of Parcel A in a southeasterly direction to State Route 670.</t>
  </si>
  <si>
    <t>That certain tract or parcel of land containing 3.924 acres, more or less, located on State Highway No. 24 about 1 ½  miles east of Rustburg Magisterial District, Campbell County, Virginia, more particularly described with reference to a sketch by Charles H, Kirkland, surveyor, a copy of which sketch is recorded in the Clerk’s Office of the Circuit Court of Campbell County, Virginia, and more particularly described as follows: BEGINNING at 2 ½  inch pipe set; thence N. 44° E. 75 feet; thence N. 26° W. 466 feet; thence N. 32 ½° W. 295 feet; thence S. 37° W. 363 feet; thence S. 50 1/2 E. 252 feet; thence S. 27 ¾° E. 137 feet; thence S. 61° E. 310 feet to the point of BEGINNING.</t>
  </si>
  <si>
    <t xml:space="preserve">BEGINNING at new corner pointers in, now or formerly, E. B. Herndon’s line at a branch, thence with Herndon N.E. 10 poles to old corner with Herndon and Nichols, thence with Nichols S. 42 ½ E. 21-20/100 po. to new corner pointers in Nichols line, thence new line S. 67 W. 8 po. to new corner Maple on a small branch thence down said branch as it meanders N. 49 W. 14-72/100 po. To the BEGINNING, containing one acre. </t>
  </si>
  <si>
    <t>All that certain tract or parcel of land lying on the waters of Flat and Dreaming Creeks and both sides of the Lynchburg and Leesville and Waterlick Roads in Brookville and Otter River Magisterial Districts (now or formely), Campbell County, Virginia being said to contain 12 acres, more or less, and being more particularly described by a plat of survey made part of a Deed dated December 21, 1849 from Samuel G. Martin and wife to Samuel Jordan and recorded in the Clerk's Office of the Circuit Court for Campbell County, Virginia in Deed Book 28, at page 124, the tract herein conveyed being the first of two seperate tracts of land described and conveyed from Joseph F. Jordan; Ira T. Jordan and Lillian E. Jordan, husband and wife; and Gordon Henderson to Willie W. Jordan by Deed dated January 1, 1925 and recorded in the aforesaid Clerk's Office in Deed Book 139, at page 260.</t>
  </si>
  <si>
    <t>EXR LLC</t>
  </si>
  <si>
    <t>25 Perlman Road</t>
  </si>
  <si>
    <t>Spring Valley, NY 10977</t>
  </si>
  <si>
    <t>2019-2020</t>
  </si>
  <si>
    <t xml:space="preserve">LESS and EXCEPT that certain parcel containing 1.05 acre, more or less, lying about 1.2 miles northeast of Virginia Highway 615 conveyed to Rawley Dennis Kelly by Deed recorded in the aforesaid Clerk's Office in Deed Book 524, page 886.   </t>
  </si>
  <si>
    <t>The remainder parcel, thought to contain 2.88 acres, more or less, further being the same property which was devised unto Cheryl Kelly, by Will dated August 13, 2014 and probated October 15, 2014, said Will being of record in the aforesaid Clerk's Office in Will File No. 140000624.</t>
  </si>
  <si>
    <t>Latoya Anthony</t>
  </si>
  <si>
    <t>1110 McConville Rd.</t>
  </si>
  <si>
    <t>JAAI, LLC</t>
  </si>
  <si>
    <t>Jonathan M. Dunn</t>
  </si>
  <si>
    <t>284 Sunnybank Dr.</t>
  </si>
  <si>
    <t>2899 Leesville Rd.</t>
  </si>
  <si>
    <t>Doug Rogers</t>
  </si>
  <si>
    <t>P.O. Box 744</t>
  </si>
  <si>
    <t>Bennie Hawkins</t>
  </si>
  <si>
    <t>1478 Theta Mill Rd.</t>
  </si>
  <si>
    <t>C. Alvin Watts &amp; Jason D. Watts</t>
  </si>
  <si>
    <t>6927 Colonial Hwy</t>
  </si>
  <si>
    <t>Perry Meisenbach &amp; Tracy Meisenbach</t>
  </si>
  <si>
    <t>527 Cook Ave.</t>
  </si>
  <si>
    <t>18121 River Rd.</t>
  </si>
  <si>
    <t>Chesterfield, VA  23238</t>
  </si>
  <si>
    <t>Daniel M. Freed</t>
  </si>
  <si>
    <t>108 Dove Dr.</t>
  </si>
  <si>
    <t>3282 Theta Mill Rd.</t>
  </si>
  <si>
    <t>Jerry Overstreet</t>
  </si>
  <si>
    <t>2067 Lawyers Rd.</t>
  </si>
  <si>
    <t>C. Alvin Watts</t>
  </si>
  <si>
    <t>116 St. Johns Dr.</t>
  </si>
  <si>
    <t>Surplus P&amp;L</t>
  </si>
  <si>
    <t>7200 Phenix Main St.</t>
  </si>
  <si>
    <t>Cody &amp; Samantha Holt</t>
  </si>
  <si>
    <t>Michael Monroe</t>
  </si>
  <si>
    <t>4803 Three Creeks Rd.</t>
  </si>
  <si>
    <t>Chadwick Irvin Roakes</t>
  </si>
  <si>
    <t>2774 Theta Mill Rd.</t>
  </si>
  <si>
    <t>Runaway Bay HOA</t>
  </si>
  <si>
    <t>Lien Satisfied?</t>
  </si>
  <si>
    <t>N</t>
  </si>
  <si>
    <t>CL130001767-00</t>
  </si>
  <si>
    <t>5127 Gladys Rd.</t>
  </si>
  <si>
    <t>Tarry R. Pribble &amp; Kayla W. Pribble and George M. Evans, Jr. &amp; Vickie R. Evans</t>
  </si>
  <si>
    <t>Leslie Watton</t>
  </si>
  <si>
    <t>Steven W. Poindexter</t>
  </si>
  <si>
    <t>All that certain lot or parcel of land, being the remainder of the one hundred and fifty acres that was conveyed to the said Sallie H. Payne and Emmanuel Payne jointly after deducting the fifty acres fully described on the that certain plat made by Fred Kabler, S.C.C. on the 21st day of April 1923, being, to-wit: one hundred acres, more or less, and described as to the outside lines by the plat attached to deed bearing date March 11, 1904, and the boundaries adjacent to the fifty-acre tract being described by the plat of fifty acres attached to deed dated June 15, 1926 conveying the same to Sallie H Payne's heirs to which reference is made.</t>
  </si>
  <si>
    <t>LESS and EXCEPT that certain tract of  land, now or formerly in Seneca Magisterial District, Campbell County, Virginia, said to contain approximately 80 or 85 acres and being all the land on the Northwest side of Hill Creek as shown on a plat of survey made by Fred Kabler, Surveyor, February 19, 1904, and recorded in the Clerk's Office of the Circuit Court of Campbell County in Deed Book 74, page 418.</t>
  </si>
  <si>
    <t>John P. Dowdy</t>
  </si>
  <si>
    <t>37 Cardinal Lane</t>
  </si>
  <si>
    <t>2020 Penalty</t>
  </si>
  <si>
    <t>2020 Interest</t>
  </si>
  <si>
    <t>2020 Int./Mo.</t>
  </si>
  <si>
    <t>2020 Int. # Mo.</t>
  </si>
  <si>
    <t>2020 Total</t>
  </si>
  <si>
    <t>That certain lot or parcel of land situated lying and being in Patrick Henry Magisterial District, Campbell County, Virginia, fronting State Route 703 and containing 1.122 acres as shown on plat of survey by Donald R. Miller, C.L.S., dated August 14, 1986, a copy of which plat is recorded in the Clerk's Office of the Circuit Court of Campbell County, Virginia in Deed Book 642, page 757.</t>
  </si>
  <si>
    <t>This being the same exact property which was conveyed from Harrison Payne and Frances Payne, Husband and Wife, to Phillip M. Cunningham and Ruth C. Gilbert as joint tenants by Deed dated December 15, 1986 and recorded in the aforesaid Clerk's Office in Deed Book 642, page 755.</t>
  </si>
  <si>
    <t>Campbell County Land &amp; Cattle Company </t>
  </si>
  <si>
    <t>2018-2020</t>
  </si>
  <si>
    <t>34-6-B</t>
  </si>
  <si>
    <t>90B-1-27</t>
  </si>
  <si>
    <t>Eileen</t>
  </si>
  <si>
    <t>21D-1-24</t>
  </si>
  <si>
    <t>Tyree</t>
  </si>
  <si>
    <t>Priscilla</t>
  </si>
  <si>
    <t>The James and Beatrice Ashley Revocable Living Trust</t>
  </si>
  <si>
    <t>23-8-5</t>
  </si>
  <si>
    <t>68-A-113B</t>
  </si>
  <si>
    <t>74-9-9</t>
  </si>
  <si>
    <t>20F-2-3</t>
  </si>
  <si>
    <t>Benedict</t>
  </si>
  <si>
    <t>Nora</t>
  </si>
  <si>
    <t>11A-5-5-26</t>
  </si>
  <si>
    <t>Johnston Family Trust</t>
  </si>
  <si>
    <t>53-A-13</t>
  </si>
  <si>
    <t>53-A-15</t>
  </si>
  <si>
    <t>Jesse</t>
  </si>
  <si>
    <t>8-1-8D</t>
  </si>
  <si>
    <t>Amanda's Redi-Mix, LLC</t>
  </si>
  <si>
    <t>22C-5-5-B</t>
  </si>
  <si>
    <t>Cash</t>
  </si>
  <si>
    <t>87E-1-9</t>
  </si>
  <si>
    <t>Cleary</t>
  </si>
  <si>
    <t>87E-1-10</t>
  </si>
  <si>
    <t>21D-2-39</t>
  </si>
  <si>
    <t>Nelson</t>
  </si>
  <si>
    <t>Lynn</t>
  </si>
  <si>
    <t>Fink</t>
  </si>
  <si>
    <t>Sellick</t>
  </si>
  <si>
    <t>53-4-4</t>
  </si>
  <si>
    <t>Critchley</t>
  </si>
  <si>
    <t>Danny</t>
  </si>
  <si>
    <t>15E-2-3</t>
  </si>
  <si>
    <t>36B-2-4</t>
  </si>
  <si>
    <t>Reeder</t>
  </si>
  <si>
    <t>Vicki</t>
  </si>
  <si>
    <t>9-2-A</t>
  </si>
  <si>
    <t>Driggers</t>
  </si>
  <si>
    <t>Eddie</t>
  </si>
  <si>
    <t>17-A-46</t>
  </si>
  <si>
    <t>Luna</t>
  </si>
  <si>
    <t>104-A-71</t>
  </si>
  <si>
    <t>Krapf</t>
  </si>
  <si>
    <t>Allan</t>
  </si>
  <si>
    <t>40-A-53C</t>
  </si>
  <si>
    <t>Glynn</t>
  </si>
  <si>
    <t>40C-1-5</t>
  </si>
  <si>
    <t>79-A-24</t>
  </si>
  <si>
    <t>32-A-92</t>
  </si>
  <si>
    <t>Cabler</t>
  </si>
  <si>
    <t>15-A-67</t>
  </si>
  <si>
    <t>71-A-40</t>
  </si>
  <si>
    <t>Jennings</t>
  </si>
  <si>
    <t>Cilla</t>
  </si>
  <si>
    <t>M.P.</t>
  </si>
  <si>
    <t>45-A-58A</t>
  </si>
  <si>
    <t>22-3-4A</t>
  </si>
  <si>
    <t>W.T.</t>
  </si>
  <si>
    <t>18-A-134A</t>
  </si>
  <si>
    <t>Kenneth</t>
  </si>
  <si>
    <t>9C-1-1</t>
  </si>
  <si>
    <t>Loving</t>
  </si>
  <si>
    <t>Nowlin</t>
  </si>
  <si>
    <t>Beunice</t>
  </si>
  <si>
    <t>10-1-6*</t>
  </si>
  <si>
    <t>Haggerty</t>
  </si>
  <si>
    <t>Debra</t>
  </si>
  <si>
    <t>50-A-12A</t>
  </si>
  <si>
    <t>Gillispie</t>
  </si>
  <si>
    <t>23-13-30</t>
  </si>
  <si>
    <t>Hubert</t>
  </si>
  <si>
    <t>23-13-29</t>
  </si>
  <si>
    <t>63A-3-4</t>
  </si>
  <si>
    <t>32H-1-4</t>
  </si>
  <si>
    <t>Morris</t>
  </si>
  <si>
    <t>Marsha</t>
  </si>
  <si>
    <t>40-A-46B</t>
  </si>
  <si>
    <t>Mumford</t>
  </si>
  <si>
    <t>Bettye</t>
  </si>
  <si>
    <t>74-A-76C3</t>
  </si>
  <si>
    <t>Wells</t>
  </si>
  <si>
    <t>32-A-91A</t>
  </si>
  <si>
    <t>Patterson</t>
  </si>
  <si>
    <t>Clyde</t>
  </si>
  <si>
    <t>71C-4-3</t>
  </si>
  <si>
    <t>Sonja</t>
  </si>
  <si>
    <t>45C-1-10</t>
  </si>
  <si>
    <t>Stratton</t>
  </si>
  <si>
    <t>Lewis</t>
  </si>
  <si>
    <t>32C-4-A4</t>
  </si>
  <si>
    <t>32C-4-A3</t>
  </si>
  <si>
    <t>40-A-74A</t>
  </si>
  <si>
    <t>Elma</t>
  </si>
  <si>
    <t>41-A-30</t>
  </si>
  <si>
    <t>41-A-31</t>
  </si>
  <si>
    <t>79-A-8A</t>
  </si>
  <si>
    <t>Winston</t>
  </si>
  <si>
    <t>17-A-69A</t>
  </si>
  <si>
    <t>24-A-27B1</t>
  </si>
  <si>
    <t>Worth</t>
  </si>
  <si>
    <t>34-A-7A1</t>
  </si>
  <si>
    <t>64-A-18A</t>
  </si>
  <si>
    <t>Thornton</t>
  </si>
  <si>
    <t>Margie</t>
  </si>
  <si>
    <t>22K-1-1</t>
  </si>
  <si>
    <t>Flat Creek Properties, LLC</t>
  </si>
  <si>
    <t>22K-1-12</t>
  </si>
  <si>
    <t>22K-1-13</t>
  </si>
  <si>
    <t>22K-1-14</t>
  </si>
  <si>
    <t>22K-1-15</t>
  </si>
  <si>
    <t>83A-11-57-6</t>
  </si>
  <si>
    <t>83A-11-58-8</t>
  </si>
  <si>
    <t>83A-11-57-5</t>
  </si>
  <si>
    <t>Turner</t>
  </si>
  <si>
    <t>Bonds</t>
  </si>
  <si>
    <t>Fallen</t>
  </si>
  <si>
    <t>Kevin</t>
  </si>
  <si>
    <t>103C-36-9</t>
  </si>
  <si>
    <t>102B-1-B-1</t>
  </si>
  <si>
    <t>Duran</t>
  </si>
  <si>
    <t>Manuel</t>
  </si>
  <si>
    <t>Elsa</t>
  </si>
  <si>
    <t>23-A-138A</t>
  </si>
  <si>
    <t>Myers</t>
  </si>
  <si>
    <t>710 15th St.</t>
  </si>
  <si>
    <t>56 Alexander Ln.</t>
  </si>
  <si>
    <t>2491 Ingleside Dr.</t>
  </si>
  <si>
    <t>High Point, NC  27265</t>
  </si>
  <si>
    <t>815 W. Chestnut St.</t>
  </si>
  <si>
    <t>Covington, VA  24426</t>
  </si>
  <si>
    <t>Covington City</t>
  </si>
  <si>
    <t>P.O. Box 113</t>
  </si>
  <si>
    <t>6137 Three Creeks Rd.</t>
  </si>
  <si>
    <t>2197 Crews Shop Rd.</t>
  </si>
  <si>
    <t>Myrna</t>
  </si>
  <si>
    <t>7104 Wild Rose Ct.</t>
  </si>
  <si>
    <t>Forestville, MD  20747</t>
  </si>
  <si>
    <t>103A-3-1-9D, 10A, 11A</t>
  </si>
  <si>
    <t>200 Chestnut Creek Dr.</t>
  </si>
  <si>
    <t>706 12th St.</t>
  </si>
  <si>
    <t>1254 Broad Rock Blvd.</t>
  </si>
  <si>
    <t>Richmond, VA  23224</t>
  </si>
  <si>
    <t>240 Clarks Rd.</t>
  </si>
  <si>
    <t>483 Butterfly Ln.</t>
  </si>
  <si>
    <t>c/o Mary E. Calloway</t>
  </si>
  <si>
    <t>403 Winebarger Cir.</t>
  </si>
  <si>
    <t>Amanda P. Breeden, R/A</t>
  </si>
  <si>
    <t>5501 Covered Bridge Rd.</t>
  </si>
  <si>
    <t>699 Johnson Creek Rd.</t>
  </si>
  <si>
    <t>2979 Stage Rd.</t>
  </si>
  <si>
    <t>734 Drinkard Rd.</t>
  </si>
  <si>
    <t>819 Federal St.</t>
  </si>
  <si>
    <t>204 Marshall St.</t>
  </si>
  <si>
    <t>103C-39-F-6, 7, 8, 9, 10, 11, 12 &amp; 13</t>
  </si>
  <si>
    <t>6388 Staunton Hill Rd.</t>
  </si>
  <si>
    <t>176 Royal Ridge Cir.</t>
  </si>
  <si>
    <t>395 Berkeley Ln.</t>
  </si>
  <si>
    <t>8442 Dogwood Rd.</t>
  </si>
  <si>
    <t>Baltimore, MD  21244</t>
  </si>
  <si>
    <t>569 Flying W Rd.</t>
  </si>
  <si>
    <t>106 Bocock Rd.</t>
  </si>
  <si>
    <t>3131 N. Druid Hills Rd., Apt. 9101</t>
  </si>
  <si>
    <t>Decatur, GA  30033</t>
  </si>
  <si>
    <t>1998 East Ferry Rd.</t>
  </si>
  <si>
    <t>c/o William T. Coles</t>
  </si>
  <si>
    <t>70 W. Lucerne Cir. Apt. 1604</t>
  </si>
  <si>
    <t>Orlando, FL  32801</t>
  </si>
  <si>
    <t>3625 Wandering Ln., NE</t>
  </si>
  <si>
    <t>Hickory, NC  28601</t>
  </si>
  <si>
    <t>637 Dawnridge Dr.</t>
  </si>
  <si>
    <t>142 Stratford Rd.</t>
  </si>
  <si>
    <t>1136 Depot Rd.</t>
  </si>
  <si>
    <t>1009 Pettigrew Dr.</t>
  </si>
  <si>
    <t>762 Pettigrew Dr.</t>
  </si>
  <si>
    <t>276 Meadow Ct.</t>
  </si>
  <si>
    <t>New Braunfels, TX  78130</t>
  </si>
  <si>
    <t>330 Deer Path</t>
  </si>
  <si>
    <t>c/o Krista Rhodes</t>
  </si>
  <si>
    <t>150 Berkeley Ln.</t>
  </si>
  <si>
    <t>254 Deborah Dr.</t>
  </si>
  <si>
    <t>509 Patterson Rd.</t>
  </si>
  <si>
    <t>4662 W. Lynchburg Salem Trpk.</t>
  </si>
  <si>
    <t>Thaxton, VA  24174</t>
  </si>
  <si>
    <t>788 Long Island Rd.</t>
  </si>
  <si>
    <t>3030 Bear Creek Rd.</t>
  </si>
  <si>
    <t>87-5-4B, 4C &amp; 4D</t>
  </si>
  <si>
    <t>974 Seneca Rd.</t>
  </si>
  <si>
    <t>1504 Santa Rosa Rd., Rm. 204</t>
  </si>
  <si>
    <t>103C-47-1-1B1 &amp; 1B2</t>
  </si>
  <si>
    <t>227 Frontier Ln.</t>
  </si>
  <si>
    <t>312 Marshall St.</t>
  </si>
  <si>
    <t>165 Tracie Dr.</t>
  </si>
  <si>
    <t>120-O Erskine Pl. Apt. 8E</t>
  </si>
  <si>
    <t>Bronx, NY  10475</t>
  </si>
  <si>
    <t>239 Liberty Lake Rd.</t>
  </si>
  <si>
    <t>c/o Bernard Bonds</t>
  </si>
  <si>
    <t>2167 Waterlick Rd.</t>
  </si>
  <si>
    <t>704 Candlemakers Ln.</t>
  </si>
  <si>
    <t>70-9-TR1G1</t>
  </si>
  <si>
    <t>7398 Gladys Rd.</t>
  </si>
  <si>
    <t>P.O. Box 461</t>
  </si>
  <si>
    <t>793 Pigeon Run Rd.</t>
  </si>
  <si>
    <t>1304 Hummingbird Ln.</t>
  </si>
  <si>
    <t>c/o Kay-Dee Hirtz</t>
  </si>
  <si>
    <t>6536 Sugar Hill Rd.</t>
  </si>
  <si>
    <t>183 Plantation Rd.</t>
  </si>
  <si>
    <t>(434) 660-1653</t>
  </si>
  <si>
    <t>Kay-Dee Winston-Cruz</t>
  </si>
  <si>
    <t>Winston-Cruz</t>
  </si>
  <si>
    <t>(434) 258-9638</t>
  </si>
  <si>
    <t>David W. Walker</t>
  </si>
  <si>
    <t>(434) 941-9486</t>
  </si>
  <si>
    <t>P.O. Box 221</t>
  </si>
  <si>
    <t>Beunice L. Nowlin</t>
  </si>
  <si>
    <t>(434) 941-1448</t>
  </si>
  <si>
    <t>448 Pettigrew Dr.</t>
  </si>
  <si>
    <t>(434) 993-3414</t>
  </si>
  <si>
    <t>(434) 941-9879</t>
  </si>
  <si>
    <t>2016-2020</t>
  </si>
  <si>
    <t>That certain tract or parcel of land situate in Long Mountain Magisterial District, Campbell County, Virginia, on the west side of State Route 655, containing 0, 988 acre as shown on a plat of survey made by John G. Cargill, Jr., C.L.S., dated June 11, 1969, a copy of which plat is recorded in the Clerk's Office of the Circuit Court of Campbell County, Virginia in Deed Book 414, at page 390, to which reference is made for a description by metes and bounds.</t>
  </si>
  <si>
    <t>This being the same property conveyed from Thomas Payne to Willie Mae P. Helm by Deed dated July 16, 1969, and recorded in the aforesaid Clerk's Office in Deed Book 414, at page 389.</t>
  </si>
  <si>
    <t xml:space="preserve">All that certain tract or parcel of land lying on the northwest side of the Rocky Road between Rustburg and Winfall, in Rustburg Magisterial District, Campbell County, Virginia, containing 12.3 acres, more or less, and being Lot No. 2 of the plat of survey of Fred Kabler, S.C.C., bearing date of September, 1937, a copy of which plat is recorded in the Clerk's Office of the Circuit Court of Campbell County, Virginia in Plat Book 6, page 36 (Plat Cabinet A, Slide 75, page 36).  </t>
  </si>
  <si>
    <t>This being the same property conveyed from Robert A. Russell to Thomas E. Payne by Deed dated June 11, 1938, and recorded in the aforesaid Clerk's Office in Deed Book 178, at page 11.</t>
  </si>
  <si>
    <t>First National Bank of Altavista, Executor and Trustee</t>
  </si>
  <si>
    <t>Aubrey H. Hall, III, President</t>
  </si>
  <si>
    <t>Ann Merritt Hutchinson</t>
  </si>
  <si>
    <t>25 Central Park West, Apt. 3J</t>
  </si>
  <si>
    <t>New York, NY  10023</t>
  </si>
  <si>
    <t>Oswald A. Merritt and Geraldine E. Merritt</t>
  </si>
  <si>
    <t>Address Unknown</t>
  </si>
  <si>
    <t>John E. Hutchinson</t>
  </si>
  <si>
    <t>814 Route 9w S</t>
  </si>
  <si>
    <t>Nyack, NY 10960</t>
  </si>
  <si>
    <t>Instrument No. 060007352</t>
  </si>
  <si>
    <t>That certain lot or parcel of land situated in Patrick Henry Magisterial District of Campbell County, Virginia, fronting on Virginia State Route No. 603, containing 0.97 of an acre, more or less, and being Lot No. 2 as shown on a plat of survey made by Ralph P. Hines, C.L.S., dated September 16, 1974 and revised October 17, 1974, which plat is recorded in the Clerk’s Office of the Circuit Court of Campbell County, Virginia in Plat Book 21, page 46 (Plat Cabinet A, Slide 267, page 46).</t>
  </si>
  <si>
    <t>This being the same property conveyed from J.A. Williams and Grace S. Williams, Husband and Wife, to Larthenia Randolph by Deed dated August 12, 1977 and recorded in the aforesaid Clerk's Office in Deed Book 547, at page 429</t>
  </si>
  <si>
    <t>All of that certain tract or parcel of land in the Town of Altavista, Virginia toward the North West from 14th Street in what is known as the Mosley Heights section; the said tract or parcel being joined and entirely bounded by the property of Henry Martin, Baltimore Arnold, Norman Minnis and the said A.W. Merritt; supposed to contain about one acre but sold as a boundary and not by acreage, and being described as Lot No. 12 in that certain plat of survey made by H.M. Lane, Engr., entitled "Plat of the Alex Merritt Addition in Altavista, Virginia, dated March 1924, and recorded in the Clerk's Office of the Circuit Court of Campbell County, Virginia in Deed Book 138, at page 68</t>
  </si>
  <si>
    <t>This being the same property conveyed from The Altavista Land and Improvement Company to A.W. Merritt by Deed dated September 25, 1925 and recorded in the aforesaid Clerk's Office  in Deed Book 143, at page 552</t>
  </si>
  <si>
    <t>All that certain tract of land in Rustburg District, Campbell County, Virginia, between Yellow Branch and Lawyers containing three and three quarters acres, and described as “3 ¾ Acres Lucy J. Clements sold to Pat Smith” on that certain plat of survey made by Fred Kabler, S.C.C., dated April 27, 1946 and recorded in the Clerk’s Office of the Circuit Court of Campbell, Virginia in Plat Book 9, page 59 (Plat Cabinet A, Slide 111, page 59), to which plat reference is made for a description by metes and bounds.</t>
  </si>
  <si>
    <t>This being the same property conveyed from Lucy J. Clement to Pat Smith by Deed dated July 1, 1947 and recorded in the aforesaid Clerk's Office in Deed Book 212, page 61.</t>
  </si>
  <si>
    <t xml:space="preserve">LESS and EXCEPT those certain off-conveyances found of record in the aforesaid Clerk's Office described in Deed Book 338, page 659; Deed Book 346, page 492; Deed Book 387, page 30; and Deed Book 489, page 812.  The remainder parcel believed to contain 1.06 acre, more or less.  </t>
  </si>
  <si>
    <t>James William Smith, Jr.</t>
  </si>
  <si>
    <t>Clara B. Smith</t>
  </si>
  <si>
    <t>Richard L. Jefferson</t>
  </si>
  <si>
    <t>(434) 209-2384</t>
  </si>
  <si>
    <t>85 Carden Lane</t>
  </si>
  <si>
    <t>(434) 316-8590</t>
  </si>
  <si>
    <t>Phillip M. Cunningham, Sr.</t>
  </si>
  <si>
    <t>205 Longview Rd #9</t>
  </si>
  <si>
    <t>Ruth C. Gilbert</t>
  </si>
  <si>
    <t>1618 Fillmore St</t>
  </si>
  <si>
    <t>This being the same property conveyed to Archie P. Monroe, Coolidge E. Rhodes, Dora Cunningham, Franklin Waller, Jochebed Payne, Cilla P. Brown, and Delano Douglas, Trustees of the Cornerstone Baptist Association from David W. Shreve, Special Commissioner who was conveying the interest of Emanuel Payne and his heirs, by Deed dated August 16, 2000 and recorded in the Clerk's Office of the Circuit Court of Campbell County, Virginia, in Deed Book 1002, at page 293.</t>
  </si>
  <si>
    <t>All that certain tract or parcel of land, lying and being in the County of Campbell, Virginia, about 1 1/2 miles east of Ward's Road, U.S. Highway 29 and between the Candlers Mountain Road, secondary highway 680.</t>
  </si>
  <si>
    <t>This being the same property conveyed from James D. Ashley to The James &amp; Beatrice Ashley Revocable Living Trust by Deed dated February 28, 2003 and recorded in the Clerk's Office of the Circuit Court of Campbell County, Virginia as Instrument No. 060005760.</t>
  </si>
  <si>
    <t>That certain tract or parcel of land, together with the buildings and improvements thereon, and the privileges and appurtenances thereunto belonging, situate, lying, and being in the Long Mountain Magisterial District of Campbell County, Virginia, on State Route 651, designated as ot 3, Section A, Riley Subdivision, containing 3.6 acres, more or less, as shown on a plat of survey made by F.T. Seargent, C.L.S., dated October 26, 1983, a copy of which plat is recorded in the Clerk's Office of the Circuit Court of Campbell County, Virginia in Plat Book 28, at page 12.</t>
  </si>
  <si>
    <t>This being the same property conveyed from Susan E. Hargis to Tara R. Fink, by Deed dated August 19, 2005 and recorded in the aforesaid Clerk's Office as Instrument No. 050006630.</t>
  </si>
  <si>
    <t>Dianna J. Manning, R/A</t>
  </si>
  <si>
    <t>Jormandy LLC</t>
  </si>
  <si>
    <t>6363 Center Drive, Bldg 6, Suite 203</t>
  </si>
  <si>
    <t>Chase Bank USA, NA</t>
  </si>
  <si>
    <t>C.T. Corporation System, R/A</t>
  </si>
  <si>
    <t>This being the same property conveyed from Triangle Ford-Mercury, Inc. to Manuel Duran and Elsa Duran, husband and wife, by Deed dated March 22, 2018 and recorded in the aforesaid Clerk's Office as Instrument No. 180001454.</t>
  </si>
  <si>
    <t>Instrument No. 180001455</t>
  </si>
  <si>
    <t>All that certain tract or parcel of land, together with the buildings and improvements located thereon and the privileges and appurtenances thereunto belonging, situate, lying, and being in the Patrick Henry Magisterial District of Campbell County, Virginia, fronting on State Route 761 (Long Island Road), designated as Lot No. 9, containing 3.02 acres and more particularly shown upon that certain plat of survey made by William W. Dickerson, Jr., L.S., dated April 3, 1997 and June 8, 1998, entitled "Sheet 1 of 2 Llewellyn Subdivision Addition I", which said plat is recorded in the Clerk's Office of the Circuit Court of Campbell County, Virginia in Plat Cabinet B, Slide 213, pages 931 and 932.</t>
  </si>
  <si>
    <t>This being the same property conveyed from Green Tree Servicing, LLC to Lisa G. Price by Deed dated April 20, 2004 and recorded in the aforesaid Clerk's Office as instrument No. 040003637.</t>
  </si>
  <si>
    <t>Instrument No. 110000887</t>
  </si>
  <si>
    <t>R. Edward Howell, R/A</t>
  </si>
  <si>
    <t>UVA Medical Center</t>
  </si>
  <si>
    <t>1215 Lee St.</t>
  </si>
  <si>
    <t>Charlottesville, VA  22908</t>
  </si>
  <si>
    <t>City of Charlottesville</t>
  </si>
  <si>
    <t>Instrument No. 130002640</t>
  </si>
  <si>
    <t>Instrument No. 130002839</t>
  </si>
  <si>
    <t>Grange Insurance Company</t>
  </si>
  <si>
    <t>Instrument No. 200000814</t>
  </si>
  <si>
    <t>All that certain lot or parcel of land, together with the buildings and improvements thereon, and the privileges and appurtenances thereunto belonging, situate, lying and being in Campbell County, Virginia, and designated as Lot No. 39, and shown on a plat entitled "Plat of Stonegate, Campbell County, Virginia", made by Adrian Overstreet, S.C.S., dated July 26, 1972, which plat is attached to a Deed of Dedication from H.D.M. Corporation to the County of Campbell, Virginia and recorded in the Clerk's Office of the Circuit Court of Campbell County, Virginia in Plat Book 20, page 2.</t>
  </si>
  <si>
    <t>This being the same property conveyed from Jesse R. Coffey and Martha S. Coffey, husband and wife, to Lynn P. Nelson by Deed dated June 26, 2008 and recorded in the aforesaid Clerk's Office as Instrument No. 080004476.</t>
  </si>
  <si>
    <t>T. Henry Clarke, IV, Trustee</t>
  </si>
  <si>
    <t>311 West Main St.</t>
  </si>
  <si>
    <t>County of Bedford</t>
  </si>
  <si>
    <t>Instrument No. 080004477</t>
  </si>
  <si>
    <t>Barbara Lacina, Director</t>
  </si>
  <si>
    <t>Instrument No. 060000153</t>
  </si>
  <si>
    <t>Fink's Jewelers, Incorporated</t>
  </si>
  <si>
    <t>Marc S. Fink, R/A</t>
  </si>
  <si>
    <t>3545 Electric Rd.</t>
  </si>
  <si>
    <t>Roanoke, VA  24029</t>
  </si>
  <si>
    <t>Instrument No. 060000713</t>
  </si>
  <si>
    <t>Instrument No. 060001029</t>
  </si>
  <si>
    <t>Instrument No. 060001477</t>
  </si>
  <si>
    <t>All that certain tract or parcel of land, lying, situate, and being in Campbell County, Virginia and designated as Lot No. 24 on that certain plat entitled "Plat of L.C. Hancock subdivision near Lawyers, Campbell County, Virginia, made by Adrian Overstreet dated September 30, 1952", and of record in the Clerk's Office of the Circuit Court of Campbell County, Virginia in Plat Book 12, at page 71 (Plat Cabinet A, Slide 149, page 71) to which plat reference is made for a more particular description by metes and bounds.</t>
  </si>
  <si>
    <t>Subject to the rights in and to the use and maintenance of the well on Lot 25 adjacent to the property herein described, which rights and obligations are more particularly described in that certain deed recorded in the aforesaid Clerk's Office in Deed Book 247, at page 232.</t>
  </si>
  <si>
    <t>This being the same property conveyed from Priscilla A. Tyree and Ruth V. Arthur to Priscilla A. Tyree and Ollie Tyree, husband and wife, by Deed dated January 26, 2012 and recorded in the aforesaid Clerk's Office as Instrument No. 120000691.</t>
  </si>
  <si>
    <t>4701 Cox Rd., Suite 301</t>
  </si>
  <si>
    <t>Instrument No. 120000692</t>
  </si>
  <si>
    <t>FNC Title Services, LLC, Trustee</t>
  </si>
  <si>
    <t>David Dwyer, Housing Progam Officer, Trustee</t>
  </si>
  <si>
    <t>600 E. Broad St., 3d Floor</t>
  </si>
  <si>
    <t>Instrument No. 120000693</t>
  </si>
  <si>
    <t>Frank A. Wright, Jr. and A. David Hawkins, Trustees</t>
  </si>
  <si>
    <t>2017-2020</t>
  </si>
  <si>
    <t>John B. Haggerty, Jr.</t>
  </si>
  <si>
    <t>214 Bloomsbury Ave.</t>
  </si>
  <si>
    <t>Baltimore, MD  21228</t>
  </si>
  <si>
    <t>All that certain tract or parcel of land lying on the westerly side of Old State Road, Route 609, about three miles northwest of the Village of Concord on the waters of Archer's Creek; beginning at the center line of said road; corner to property now or formerly of W.A. Pendleton; thence, leaving said center line of Road S. 31-45 E. 210 feet; thence leaving said road, S. 33-15 W. 674 feet to pipe; S. 56-45 E. 537 feet to old stone and pipe; S. 33-15 W. 923 feet to old planted stone; N. 21-36 W. 1283 feet to pipe; and N. 52-00 E. 1000 feet to beginning; containing 18.599 acres as shown on "Plat of Survey of a Tract Containing 18.599 Acres", revised June 12, 1961, by Charles Kirkland, C.L.S., recorded in the Clerk's Office of the Circuit Court of Campbell County, Virginia in Deed Book 332, at page 112.</t>
  </si>
  <si>
    <t>This being the same property conveyed from the Faye Maguire Trust by virtue of a series of deeds to John Burton Haggarty and Debra A. Haggerty, as custodians for the then-minor John Burton Haggerty, Jr., said deeds being recorded in the aforesaid Clerk's Office as Instrument Nos. 030003864; 030003865; 030003866; and 030003867.</t>
  </si>
  <si>
    <t xml:space="preserve">The standing timber on said tract was conveyed from John Burton Haggerty, Jr. to Timbco, LLC by Deed dated February 27, 2018 and recorded in the aforesaid Clerk's Office as Instrument No.180001060. </t>
  </si>
  <si>
    <t>416 Blue Ridge Ln.</t>
  </si>
  <si>
    <t>Pursuant to the Amended List of Heirs recorded in the aforesaid Clerk's Office as Instrument No. 090000607, Catherine J. Anderson died intestate on March 27, 2009, vesting sole title with William T. Anderson.</t>
  </si>
  <si>
    <t>succs'r by Merger to Piedmont Orthopaedic Surgery, Inc.</t>
  </si>
  <si>
    <t>Instrument No. 080001645</t>
  </si>
  <si>
    <t>All that certain tract or parcel of land, together with the buildings and improvements thereon, and the privileges and appurtenances thereunto belonging, situate, lying, and being in Long Mountain Magisterial District, Campbell County, Virginia, and designated as Parcel "7B" containing 3.0 acres as shown on a plat of survey entitled "3.00 Acres Cut Off the Catherine Griggs Property", dated June 6, 2006 and made by James C. May, Land Surveyor, a copy of which plat is recorded in teh Clerk's Office of the Circuit Court of Campbell County, Virignia in Plat Cabinet B, Slide 388, page 2783.</t>
  </si>
  <si>
    <t>This being the same property conveyed from Catherine M. Griggs and John L. Edwards to Allen W. Krapf by Deed dated May 24, 2010 and recorded in the aforesaid Clerk's Office as Instrument No. 100002995.</t>
  </si>
  <si>
    <t>Hugh J. M. Jones, Trustee</t>
  </si>
  <si>
    <t>Instrument No. 100002996</t>
  </si>
  <si>
    <t>Daniel P. Bubar, Acting District Attorney</t>
  </si>
  <si>
    <t>Instrument No. 140001200</t>
  </si>
  <si>
    <t>1040 income Tax</t>
  </si>
  <si>
    <t>Allen W. Krapf</t>
  </si>
  <si>
    <t>Baltimore, MD</t>
  </si>
  <si>
    <t>All that certain tract or parcel of land, with all improvements thereon, lying and being situated in Campbell County, Virginia, and more particularly described in that certain deed recorded in the Clerk's Office of the Circuit Court of Campbell County, Virginia in Deed Book 395, page 84.  Said lot being known locally as Lot 61 in the Seneca District, 301 Lambs Church Road, Altavista, Virginia.</t>
  </si>
  <si>
    <t>This being the same property conveyed from _____ to Cilla P. Jennings by Deed dated October 30, 1967 and recorded in the aforesaid Clerk's Office in Deed Book 395, at page 84.</t>
  </si>
  <si>
    <t>Trste, Inc., Trustee</t>
  </si>
  <si>
    <t>201  S. Jefferson St.</t>
  </si>
  <si>
    <t>Instrument No. 030003890</t>
  </si>
  <si>
    <t>Instrument No. 070005426</t>
  </si>
  <si>
    <t>Amanda P. Breeden</t>
  </si>
  <si>
    <t>325 S. Alleghany Ave.</t>
  </si>
  <si>
    <t>City of Covington</t>
  </si>
  <si>
    <t>All that certain tract or parcel of land, together with the buildings and improvements thereon and the privileges and appurtenances thereunto belonging, situate, lying, and being in the County of Campbell, Virginia, fronting on the southerly line of Mt. Athos Rd. (State Route 726) as shown on a plat of survey entitled "Plat Showing Resurvey of 0.868 Acre, property of Nina Poe Fugate (Estate)", dated July 31, 1998, made by Douglas A. Lee, L.S. of Lee Surveying, Inc., of record in the Clerk's Office of the Circuit Court of Campbell County, Virginia in Deed Book 959, at page 88.</t>
  </si>
  <si>
    <t>This being the same property conveyed from Blue Ridge Property, LLC to Amanda's Redi-Mix, LLC by Deed dated September 13, 2013 and recorded in the aforesaid Clerk's Office as Instrument No. 130005580.</t>
  </si>
  <si>
    <t>All that certain lot or parcel of land, together with the buildings and improvements thereon and the privileges and appurtenances thereunto belonging, situate, lying, and being in Campbell County, Virginia, designated and described as Tract No. 29, containing 7.46 acres, as shown upon a plat of survey entitled "Plat of Survey for W.H. Burruss, Jr., Situate Flat Creek District, Campbell County, Virginia", dated July 15, 1977, which said plat is recorded in the Circuit Court of Campbell County, Virginia in Plat Book 23, at page 71, and to which plat reference is made for a more particular description by metes and bounds.</t>
  </si>
  <si>
    <t>All that certain lot or parcel of land, together with the buildings and improvements thereon and the privileges and appurtenances thereunto belonging, situate, lying, and being in Campbell County, Virginia, designated and described as Tract No. 30, containing 5.45 acres, as shown upon a plat of survey entitled "Plat of Survey for W.H. Burruss, Jr., Situate Flat Creek District, Campbell County, Virginia", dated July 15, 1977, which said plat is recorded in the Circuit Court of Campbell County, Virginia in Plat Book 23, at page 71, and to which plat reference is made for a more particular description by metes and bounds.</t>
  </si>
  <si>
    <t>This being the same property conveyed from Thornton E. Rosser unto Hubert P. Mitchell and Eileen C. Mitchell, husband and wife, by Deed dated January 11, 1978 and recorded in the aforesaid Clerk's Office in Deed Book 534, at page 387.</t>
  </si>
  <si>
    <t>Robert R. Chapman, III &amp; Harry P. Umberger, Trustees</t>
  </si>
  <si>
    <t>Instrument No. 030005156, modified by Instrument No. 040005128, dated May 25, 2004</t>
  </si>
  <si>
    <t>LESS and EXCEPT that certain 0.113 acre strip of land being shown on sheet 4 of that certain plat recorded in the aforesaid Clerk's Office in State Highway Plat Book 18, at page 34, which said strip of property was conveyed unto the Commonwealth of Virginia, Department of Transportation, by Deed dated February 5, 2004 and recorded in the aforesaid Clerk's Office as Instrument No. 040003582</t>
  </si>
  <si>
    <t>That certain lot or parcel of land, together with all the buildings and improvements thereon and the privileges and appurtenances thereunto belonging, situate, lying, and being in Campbell County, Virginia, and designated as Parcel "A" on a plat entitled "Resurvey of Parcel 'A', Property Described in DB. 845, PG. 216, and Lot No. 5, Alanwood, Flat Creek Mag. Dist., Campbell Co., Virginia", made by James C. Mays, Jr., L.S., dated February 24, 1998, which said plat is recorded in the Clerk's Office of the Circuit Court of Campbell County, Virginia in Deed Book 906, at page 133.</t>
  </si>
  <si>
    <t>That certain lot or parcel of land, together with all the buildings and improvements thereon and the privileges and appurtenances thereunto belonging, situate, lying, and being in Campbell County, Virginia, and designated as Lot No. 5 on a plat entitled "Resurvey of Parcel 'A', Property Described in DB. 845, PG. 216, and Lot No. 5, Alanwood, Flat Creek Mag. Dist., Campbell Co., Virginia", made by James C. Mays, Jr., L.S., dated February 24, 1998, which said plat is recorded in the Clerk's Office of the Circuit Court of Campbell County, Virginia in Deed Book 906, at page 133.</t>
  </si>
  <si>
    <t>This being the same property conveyed from Christina M. Glynn to Dennis E. Glynn by Deed dated January 14, 2015 and recorded in the aforesaid Clerk's Office as Instrument No. 150000723.</t>
  </si>
  <si>
    <t xml:space="preserve">Pursuant to that  certain Recovable Transfer on Death Deed dated February 27, 2015 and recorded in the aforesaid Clerk's Office as Instrument No. 150000943, the tranferee upon the death of Dennis E. Glynn shall be Edward Robert Glynn, unless otherwise revoked.  </t>
  </si>
  <si>
    <t>Edward R. Glynn</t>
  </si>
  <si>
    <t>152 Blydenburg Ave.</t>
  </si>
  <si>
    <t>New London, CT  06320</t>
  </si>
  <si>
    <t>All that certain tract or parcel of land, together with the privileges and appurtenances thereunto belonging, situate, lying and being in Campbell County, Virginia, on State Secondary Route No. 609, and designated at Lot A, containing 3.84 acres, as shown on plat by C.H. Kirkland, C.L.S., dated July 8, 1960, and of record in the Clerk's Office of the Circuit Court of Campbell County, Virginia in Deed Book 328, at page 622</t>
  </si>
  <si>
    <t>This being the same property conveyed from Lois Driggers to Eddie &amp; Brenda Driggers by Deed dated January 19, 2011 and recorded in the aforesaid Clerk's Office as Instrument No. 110000336.</t>
  </si>
  <si>
    <t>All that certain tract or parcel of land known as 734 Drinkard Rd., Lynchburg, VA  24504, located off State Route No. 819, in Long Mountain Magisterial District, Campbell County, Virginia, and containing one (1) acre, and more particularly described by reference to plat of survey made by James C. May, Jr., C.L.S., dated January 4, 1977, and recorded in the Clerk's Office of the Circuit Court of Campbell County, Virginia in Deed Book 519, at page 730.</t>
  </si>
  <si>
    <t>This being the same property conveyed from Dennis S. Anderson and Holly W. Corey to Brenda G. Driggers by Deed dated September 9, 2011 and recorded in the aforesaid Clerk's Office as Instrument No. 110004227.</t>
  </si>
  <si>
    <t>Parcel 1: All that certain tract or parcel of land, together with the privileges and appurtenances thereunto belonging, situate, lying and being in Campbell County, Virginia, in Vista Magisterial District, and designated as Lot 4, containing 10.00 acres, and shown on a plat showing the division of the Annie Idolene Anthony Tract made by L.P. Crocker, Jr., C.L.S., dated August 1, 1972, and revised October 20, 1972, a copy of which plat is attached to and recorded with a deed from E. Bruce Harvey, Special Commissioner, et als., to George Rowland Brown, IV, et als., dated July 18, 1973, and recorded in the Clerk's Office of the Circuit Court of Campbell County, Virginia in Deed Book 476, at page 86.</t>
  </si>
  <si>
    <t>Parcel 2: All that certain tract or parcel of land, together with the privileges and appurtenances thereunto belonging, situate, lying and being in Campbell County, Virginia, and containing approximately 0.309 acre, as shown on a "Plat Showing Addition to Lot 4 John W. Anthony Estate for William Anthony Fenimore, Vista Magisterial District, Campbell County, Virginia", made by Lemon &amp; Guffey and dated April 10, a copy of which plat is attached to the Deed recorded in the aforesaid Clerk's Office in Deed Book 579, page 592.</t>
  </si>
  <si>
    <t>This being the same property conveyed from Rodney L. Critchley to Danny Critchley by Deed dated July 9, 2014 and recorded in the aforesaid Clerk's Office as Instrument No. 140002944.</t>
  </si>
  <si>
    <t>All those certain tracts or parcels of land situate, lying, and being in Patrick Henry Magisterial District, Campbell County, Virginia, being all the real estate owned by Joseph Billups Wiles that was inherited by him under the Last Will and Testament of Harriette Wiles duly recorded in the Clerk's Office of the Circuit Court of Campbell County, Virginia, in Will Book 76, at page 872, and carried on the land records of Campbell County, Virginia, as 0.85 acre, and all property conveyed unto Joseph Billups Wiles by Deed dated January 13, 1988, and recorded in the aforesaid Clerk's Office in Deed Book 669, at page 28, from the heirs of Thomas A. Wiles, III, and carried on the land records of Campbell County, Virginia, as 2.30 acres.  Also See Plat Book 11, at page 127.</t>
  </si>
  <si>
    <t>This being the same property conveyed from James W. Crabtree to James P. Sellick and Shirley C. Sellick by Deed dated June 18, 2003 and recorded in the aforesaid Clerk's Office as Instrument No. 030007895.</t>
  </si>
  <si>
    <t>Shirley C. Sellick, being the same person as Shirley Mae Crabtree and Shirley C. Hailey, divorced James P. Sellick on May 21, 2014 and pursuant to that certain certain Deed dated June 11, 2014, conveyed all of her right, title, and interest into the property to James P. Sellick, which said deed is recorded in the aforesaid Clerk's Office as Instrument No. 140002423, and a deed correcting that 2014 deed, itself dated September 21, 2015, is recorded in the aforesaid Clerk's Office as Instrument No. 150004864.</t>
  </si>
  <si>
    <t>All that certain tract or parcel of land, with improvements thereon and appurtenances thereunto belonging, situate in the County of Campbell, Virginia, located on State Route No. 615 (Red House Road), and being designated as Lot No. 5, containing 3.00 acres as shown on a plat of survey by Michael Ray Goin, L.S. of Dickerson Surveying, LLC, dated April 11, 2014, revised May 30, 2014, which said plat is recorded in the Clerk's Office of the Circuit Court of Campbell County, Virginia in Plat Cabinet C, Slide 117, page 1169, to which plat reference is made for a more particular description by metes and bounds.</t>
  </si>
  <si>
    <t>This being the same property conveyed from Edward Thornton and Shirley Thornton, husband and wife, to Margie L. Thornton by Deed dated July 1, 2014 and recorded in the aforesaid Clerk's Office as Instrument No. 140002809.</t>
  </si>
  <si>
    <t>Instrument No. 110004445</t>
  </si>
  <si>
    <t>Clyde L. Patterson, Jr.</t>
  </si>
  <si>
    <t>547 Patterson Rd.</t>
  </si>
  <si>
    <t>All that certain tract or parcel of land, with improvements thereon and appurtenances thereunto belonging, situate in the County of Campbell, Virginia, containing ____</t>
  </si>
  <si>
    <t>Instrument No. 070000079</t>
  </si>
  <si>
    <t>(434) 942-0414</t>
  </si>
  <si>
    <t>Hewitt-Moultrie</t>
  </si>
  <si>
    <t>Rosalind</t>
  </si>
  <si>
    <t>All that certain lot or parcel of land, lying, situate, and being in Campbell County, Virginia and being more particularly described as:</t>
  </si>
  <si>
    <t>This being the same property conveyed from Diane Wilmot, Nana Wilmot and Shakema Wilmot to Rosalind Hewitt-Moultrie by Deed dated October 30, 2008 and recorded in the Clerk's Office of the Circuit Court of Campbell County, Virginia as Instrument No. 120001447.</t>
  </si>
  <si>
    <t>BEGINNING at poplar corner on White line (now or formerly) and then N.W. crossing branch 70 yards in a straight line to corner rock and thence with Hunter's line (now or formerly) S.W. 350 yards to a corner on Hunter's line, thence S.E. on White's line (now or formerly) to corner rock 70 yards and thence with White's line (now or formerly) 350 yards to the BEGINNING, containing Five acres, more or less.</t>
  </si>
  <si>
    <t>Frank L. Moore</t>
  </si>
  <si>
    <t>882 Noel Frst.</t>
  </si>
  <si>
    <t>All that certain tract or parcel of land, together with the buildings and improvements thereon, and the privileges and appurtenances thereunto belonging, situate, lying, and being in Patrick Henry Magisterial District, Campbell County, Virginia, and being Lot No. 4, Section III of Harvest Hills as shown on a plat by Hurt and Profitt, Inc., dated July 16, 1986, revised August 13, 1986, and of record in the Clerk's Office of the Circuit Court of Campbell County, Virginia in Plat Book 30, at page 61.  This lot fronts on Harvest Hills Drive and containes 3.053 acres, more or less.</t>
  </si>
  <si>
    <t>This being the same property conveyed from Douglas C. Rogers to Frank L. Moore by Deed dated June 24, 1998 and recorded in the aforesaid Clerk's Office in Deed Book 917, at page 267.</t>
  </si>
  <si>
    <t>All that certain tract or parcel of land, together with the buildings and improvements thereon and the privileges and appurtenances thereunto belonging, situate, lying, and being in the County of Campbell, Virginia,, and designated as Lot 3, containing 0.795 acre, Castanea Hills as shown on that certain plat entitled "Plat Showing Castanea Hills, College District, Campbell Co., Virginia" made by Erskine W. Proffitt, C.L.S., dated September 10, 1986, and recorded in the Clerk's Office of the Circuit Court of Campbell County, Virginia in Plat Book 30, at page 73.  Reference is also made to that certain Deed of Dedication dated April 3, 1987, with attached Reservations and Restrictions, which said deed is recorded in the aforesaid Clerk's Office in Deed Book 647, at page 407; and to that certain Amended Deed of Dedication dated May 5, 1987, and recorded in the aforesaid Clerk's Office in Deed Book 649, at page 879.</t>
  </si>
  <si>
    <t>This being the same property conveyed from James E. Robinson, III and Robin G. Robinson to Charles H. Benedict and Nora E. Benedict, Husband and Wife by Deed dated April 1, 1992 and recorded in the aforesaid Clerk's Office in Deed Book 742, at page 693.</t>
  </si>
  <si>
    <t>Pursuant to the recitations stated in that certain Deed recorded in the aforesaid Clerk's Office as Instrument No. 120001289 Charles H. Benedict died March 2007, thereby vesting sole title with Nora E. Benedict.</t>
  </si>
  <si>
    <t>John J. O'Keefe, Jr., Trustee</t>
  </si>
  <si>
    <t>828 Main St., Suite 1803</t>
  </si>
  <si>
    <t>Deed Book 742, page 695</t>
  </si>
  <si>
    <t>400 North Eighth Street </t>
  </si>
  <si>
    <t>Richmond, VA  23240</t>
  </si>
  <si>
    <t>Arthur L. Mitchell, Jr., Trustee</t>
  </si>
  <si>
    <t>All that certain tract or parcel of land, together with the buildings and improvements thereon, and the privileges and appurtenances thereunto belonging, situate, lying, and being in Flat Creek Magisterial District, Campbell County, Virginia, described as Lot No. 4 on a certain plat entitled "Plat Showing Sub-Division of a Part of the Property of Robert W. Falwell, Flat  Creek Magisterial District, Campbell County, Virginia" made by L.P. Crocker, Jr., C.L.S., dated February 15, 1975, and recorded in the Clerk's Office for the Circuit Court of Campbell County, Virginia in Plat Book 21, page 85, to which plat reference is made for a more particular description by metes and bounds.</t>
  </si>
  <si>
    <t>This being the same property conveyed unto Marsha Marie Morris from Chris Alan Gutting and Marsha Marie Morris Gutting pursuant to Deed pursuant to Divorce dated November 21, 1990 and recorded in the aforesaid Clerk's Office in Deed Book 784, at page 380.</t>
  </si>
  <si>
    <t>Andrea M. Calloway</t>
  </si>
  <si>
    <t>(434) 525-3084</t>
  </si>
  <si>
    <t>1175 Chestnut Grove Rd.</t>
  </si>
  <si>
    <t>CL21000469-00</t>
  </si>
  <si>
    <t>CL21000470-00</t>
  </si>
  <si>
    <t>CL21000472-00</t>
  </si>
  <si>
    <t>Buffalo Creek Land Company, LLC</t>
  </si>
  <si>
    <t>378 Pannils Rd.</t>
  </si>
  <si>
    <t xml:space="preserve">w/copy to: </t>
  </si>
  <si>
    <t>Charles O. Boyles, Executor</t>
  </si>
  <si>
    <t>1504 Santa Rosa Road # 107</t>
  </si>
  <si>
    <t>w/copy to:</t>
  </si>
  <si>
    <t>1600 Westbrook Ave Apt 830</t>
  </si>
  <si>
    <t>Richmond, VA, 23227-3322</t>
  </si>
  <si>
    <t>w/copy to: Buffalo Creek Land Company, LLC</t>
  </si>
  <si>
    <t>Frank A. Wright, Jr., Trustee</t>
  </si>
  <si>
    <t>Instrument No. 140002845</t>
  </si>
  <si>
    <t>All that certain piece or parcel of land, identified as Tax Parcel No. 103C-36-9, with improvements thereon and appurtenances thereunto belonging, lying and being in Campbell County, Virginia, having dimensions of 50' x 210' and lying adjacent to property commonly known as 311 W. Main Street, Town of Brookneal, Campbell County, Virginia.</t>
  </si>
  <si>
    <t>This being the same property first conveyed from Charles O. Boyles, Executor under the Will of Stanley Smith, Jr. to Buffalo Creek Land Company, LLC by Deed dated July 9, 2009 and recorded in the Clerk's Office of the Circuit Court of Campbell County, Virginia as Instrument No. 080004960, said conveyance being confirmed by that certain Deed of Confirmation dated May 24, 2018 and recorded in the aforesaid Clerk's Office as Instrument No. 180002647.</t>
  </si>
  <si>
    <t>All that certain tract or parcel of land with the buildings and improvements thereon and the privileges and appurtenances thereunto belonging, lying and being  between Cook Avenue and Barksdale Street in the Town of Brookneal, Campbell County, Virginia, having the address of 511 Cook Street, containing 1.52 acres and being Lots 1, 2,3, and the adjoining dwelling lot which fronts 114' on Cook Avenue as shown on a plat of survey made by W.S. Walker, C.L.S., Dated October 13, 1967, said plat having been attached to and made a part of a deed dated March 11, 1976, and recorded in the Clerk's Office of the Circuit Court of Campbell County, Virginia in Deed Book 508 at Page 333.</t>
  </si>
  <si>
    <t>This being the same property conveyed from Franklin B. Reynolds, Jr. to Stanley Smith, Jr. by Deed dated June 12, 2003 and recorded in the aforesaid Clerk's Office as Instrument No. 030006365.</t>
  </si>
  <si>
    <t>LESS and EXCEPT those parcels conveyed unto the Buffalo Creek Land Company, LLC by Deed from Charles O. Boyles, Executor of the Will of Stanley Smith, Jr. by Deed dated May 23, 2016 and recorded in the aforesaid Clerk's Office as Instrument No. 160002483.</t>
  </si>
  <si>
    <t>That certain lot or parcel of land in the Town of Brookneal, Campbell County, Virginia, situated south of the Norfolk &amp; Western Railway, being a part of the land belonging to the estate of Joseph A. Jeffress, deceased, and described by a plat and survey of Fred Kabler, S.C.C., made September 6th, 1947, as follows:</t>
  </si>
  <si>
    <r>
      <t xml:space="preserve">Beginning at a stake on Central Street, thence N. 4 </t>
    </r>
    <r>
      <rPr>
        <sz val="11"/>
        <rFont val="Calibri"/>
        <family val="2"/>
      </rPr>
      <t>¾° E 75 feet along Central Street, thence S. 82° E. 225 feet to a stake, thence S. 4 ¾° W. 75 feet to a stake, thence N. 82° W. 225 feet to the place of Beginning at a stake on Central Street.</t>
    </r>
  </si>
  <si>
    <t>This being the same property conveyed from Adelle J. Scott &amp; George Scott, Husband and Wife, Theodore Jeffress &amp; Marjorie Jeffress, Husband and Wife, Esther J. Holmes &amp; Carroll Holmes, Husband and Wife, Ruby J. Hamlett &amp; Alpha Hamlett, Husband and Wife, Nannie J. Wilson &amp; Allen A. Wilson, Husband and Wife, and Arnette L. Jeffress, unmarried to Evans A. Barley by Deed dated September 29, 1947 and recorded in the Clerk's Office of the Circuit Court of Campbell County, Virginia in Deed Book 214, and page 597.</t>
  </si>
  <si>
    <t>All that certain lot or parcel of land located in the Town of Altavista, Campbell County, Virginia, being known as Lot Six (6) of Block No. Fifty-Seven (57) as shown on the revised map of the Town of Altavista recorded in the Clerk's Office of the Circuit Court of Campbell County, Virginia in Deed Book 89, at page 419.</t>
  </si>
  <si>
    <t>This being the same property conveyed unto John H. Mosley by Deed dated November 25, 1918 and recorded in the aforesaid Clerk's Office in Deed Book 113, at page 240.</t>
  </si>
  <si>
    <t>John H. Mosley died testate, and pursuant to that certain Will recorded in the aforesaid Clerk's Office in Will Book 37, page 480, devised the herein described property to Callie A. Mosley and Loise M. Bonds as Joint Tenants.</t>
  </si>
  <si>
    <t>Callie A. Mosley died testate, and pursuant to that certain Will recorded in the aforesaid Clerk's Office in Will Book 53, page 22, devised her share in the herein described property to Bernard Bonds.</t>
  </si>
  <si>
    <t>All that certain lot of land situate, lying, and being in the Town of Altavista, Campbell County, Virginia, on the Revised Map of the Town of Altavista, Virginia, dated January 7, 1911, and recorded in the Clerk's Office of the Circuit Court of Campbell County, Virginia in Deed Book 89, page 419.</t>
  </si>
  <si>
    <t>This being the same property conveyed from Edith Shelton, unmarried, and James Mitchell and Betty Mitchell, Husband and Wife, to Louise M. Bonds by Deed dated August 23, 1989 and recorded in the aforesaid Clerk's Office in Deed Book 637, page 826.</t>
  </si>
  <si>
    <t>CL21000587-00</t>
  </si>
  <si>
    <t>CL21000380-00</t>
  </si>
  <si>
    <t>CL21000303-00</t>
  </si>
  <si>
    <t>All that certain lot or parcel of land situated, lying, and being in Patrick Henry Magisterial District, Campbell County, Virginia on State Road No. 648 and designated as Lot No. 27 on sheet no. two containing 0.87 acre on a plat of survey made by Ralph P. Hines, C.L.S., dated March 29, 1972 of Younger Estates Section 1, surveyed for The Lescott Corporation, a copy of which plat is recorded in the Clerk's Office for the Circuit Court of Campbell County, Virginia in Plat Book 19, at pages 152 and 153, to which plat reference is made for a more particular description of the property by metes and bounds.</t>
  </si>
  <si>
    <t>This being the same property conveyed from the Lescott Corporation to William T. Anderson and Catherine Anderson, husband and wife, by Deed dated April 25, 1973 and recorded in the aforesaid Clerk's Office in Deed Book 465, at page 359.</t>
  </si>
  <si>
    <t>1604 Graves Mill Rd.</t>
  </si>
  <si>
    <t>Current Monthly</t>
  </si>
  <si>
    <t>Total Pay Plan</t>
  </si>
  <si>
    <t>1232 Chestnut Mtn. Rd.</t>
  </si>
  <si>
    <t>Donnie M. Gilbert, Jr.</t>
  </si>
  <si>
    <t>(434) 546-1197</t>
  </si>
  <si>
    <t>4236 Village Hwy.</t>
  </si>
  <si>
    <t>This being the same property conveyed from Citifinancial, Inc. to Heidi L. Knoedler and Roger L. Shultz,Jr., as Tenants in Common with survivorship by Deed dated November 22, 2013 and recorded in the aforesaid Clerk's Office as Instrument No. 130006824.</t>
  </si>
  <si>
    <t>Aubrey Rosser, Esquire</t>
  </si>
  <si>
    <t>rosserlaw@aol.com</t>
  </si>
  <si>
    <t>CL21000670-00</t>
  </si>
  <si>
    <t>David Ashley</t>
  </si>
  <si>
    <t>Ashley</t>
  </si>
  <si>
    <t>(757) 397-9650</t>
  </si>
  <si>
    <t>407 Patrick St.</t>
  </si>
  <si>
    <t>Portsmouth, VA  23707</t>
  </si>
  <si>
    <t>CL21000662-00</t>
  </si>
  <si>
    <t>CL21000654-00</t>
  </si>
  <si>
    <t>CL21000655-00</t>
  </si>
  <si>
    <t>CL21000660-00</t>
  </si>
  <si>
    <t>CL21000669-00</t>
  </si>
  <si>
    <t>All that certain tract or parcel of land, together with the buildings and improvements thereon and the privileges and appurtenances thereunto belonging, situate, lying, and being in Long Mountain (formerly Rustburg) Magisterial District, Campbell County, Virginia, about two miles south of Rustburg, on U.S. Highway Route No. 501, containing approximately 4.02 acres, more or less, and being the remaining portion of Lot "B", as shown on a plat by Charles H. Kirkland, Surveyor, dated June 17, 1960, which said plat is of record in the Clerk’s Office of the Circuit Court of Campbell County, Virginia, in Plat Book 16, at page 47,  LESS AND EXCEPT, HOWEVER, those certain off-conveyances detailed in that certain deed dated August 18, 1989, and recorded in the aforesaid Clerk’s Office in Deed Book 692, page 390.</t>
  </si>
  <si>
    <t>This being the same property conveyed from John Alexander to Robert Alexander and Eileen Alexander, by Deed dated August 18, 1989 and recorded in the Clerk's Office of the Circuit Court of Campbell County, Virginia, in Deed Book 692, page 390.</t>
  </si>
  <si>
    <t>This being the same property conveyed from Thornton E. Rosser and Barbara B. Rosser, husband and wife, unto Hubert P. Mitchell and Eileen C. Mitchell, husband and wife, by Deed dated December 8, 1978 and recorded in the aforesaid Clerk's Office in Deed Book 545, at page 78.</t>
  </si>
  <si>
    <t>Deed Book 605, page 345</t>
  </si>
  <si>
    <t>Terry Rosta, Acting State Director</t>
  </si>
  <si>
    <t>USDA Rural Development</t>
  </si>
  <si>
    <t>418 Main St.</t>
  </si>
  <si>
    <t>Instrument No. 190002192</t>
  </si>
  <si>
    <t>All that certain tract or parcel of land, together with the privileges and appurtenances thereunto belonging, situate, lying and being in Patrick Henry Magisterial District, Campbell County, Virginia, on State Secondary Route No. 771, containing 1 Acre, more or less, and being as described in that certain plat of survey made by Ralph P. Hines, C.L.S., dated June 28, 1971, entitled "PLAT OF 1.0 ACRE OF LAND SURVEYED FOR GEORGE G. MARTIN, BEING A PORTION OF A 96 ACRE TRACT OWNED BY MAGGIE CLAYTON", which said plat is recorded in the Clerk's Office of the Circuit Court of Campbell County, Virginia in Deed Book 445, at page 697.</t>
  </si>
  <si>
    <t>This being the same parcel of property conveyed from Lawrence L. Martin, Edna E. Williams, Larry Martin, Darniese L. Martin and George Martin, Jr. to Scott Gillispie by Deed dated June 20, 2013 and recorded in the aforesaid Clerk's Office as Instrument No. 130004064.</t>
  </si>
  <si>
    <t>That certain tract or parcel of land situate in Campbell County, Virginia, on State Secondary Route 725, containing two (2) acres, more or less, and being more particularly described as:</t>
  </si>
  <si>
    <t>This being the same property conveyed from James L. Austin and Alfreda M. Austin, Husband &amp; Wife, to Samuel Thompson and Elma Thompson, Husband &amp; Wife, by deed dated September 23, 1969 and recorded in the Clerk's Office of the Circuit Court of Campbell County, Virginia in Deed Book 416, at page 605.</t>
  </si>
  <si>
    <t>All that certain tract or parcel of land, together withte buildings and improvements thereon, and the privileges and appurtenances thereunto belonging, lying, situate, and being in Campbell County, Virginia, and designated as Lot 9, SWAN CREEK as shown on a plat of survey made by Berkley Howell &amp; Asso., P.C., dated January 22, 1991, recorded in the Clerk's Office of the Circuit Court of Campbell County, Virginia in Plat Book 36, at pages 79-81.</t>
  </si>
  <si>
    <t>This being the same property conveyed from Alvin T. Brockman, Cabell S. Brockman, and Jeanette D. Kitts to Gary L. Cleary by Deed dated June 11, 1997 and recorded in the aforesaid Clerk's Office in Deed Book 885, at page 164.</t>
  </si>
  <si>
    <t>All that certain tract or parcel of land, together withte buildings and improvements thereon, and the privileges and appurtenances thereunto belonging, lying, situate, and being in Campbell County, Virginia, and designated as Lot 10, SWAN CREEK as shown on a plat of survey made by Berkley Howell &amp; Asso., P.C., dated January 22, 1991, recorded in the Clerk's Office of the Circuit Court of Campbell County, Virginia in Plat Book 36, at pages 79-81.</t>
  </si>
  <si>
    <t>Gregory W. Smith &amp; Ronald D. Henderson, Trustees</t>
  </si>
  <si>
    <t>4449 S. Amherst Hwy.</t>
  </si>
  <si>
    <t>Instrument No. 070004886</t>
  </si>
  <si>
    <t>Beacon Credit Union</t>
  </si>
  <si>
    <t>Greg McConville, R/A</t>
  </si>
  <si>
    <t>Instrument No. 010001083</t>
  </si>
  <si>
    <t>107 Leroy Bowen Dr.</t>
  </si>
  <si>
    <t>Instrument No. 140001627</t>
  </si>
  <si>
    <t>Instrument No. 150001059</t>
  </si>
  <si>
    <t>Instrument No. 150002405</t>
  </si>
  <si>
    <t>CL21000754-00</t>
  </si>
  <si>
    <t>CL21000762-00</t>
  </si>
  <si>
    <t>CL21000764-00</t>
  </si>
  <si>
    <t>CL21000771-00</t>
  </si>
  <si>
    <t>CL21000753-00</t>
  </si>
  <si>
    <t>CL21000755-00</t>
  </si>
  <si>
    <t>CL21000759-00</t>
  </si>
  <si>
    <t>CL21000760-00</t>
  </si>
  <si>
    <t>CL21000793-00</t>
  </si>
  <si>
    <t>CL21000794-00</t>
  </si>
  <si>
    <t>CL21000656-00</t>
  </si>
  <si>
    <t>Christine B. Callahan</t>
  </si>
  <si>
    <t>Callahan</t>
  </si>
  <si>
    <t>6708 Colonial Hwy.</t>
  </si>
  <si>
    <t>(434) 856-2306</t>
  </si>
  <si>
    <t>All that certain tract or parcel of land, lying, situate, and being in Campbell County, Virginia and and thought to contain 1.04 acres as shown on that certain plat entitled "Plat Showing Single Lot Division Containing 1.04 Acres, Patrick Henry Dist., Campbell County, Va.", made by Reeves Surveyors, Tax Map No. 74-A-76-C3, which said plat is dated MArch 8, 1991, and of record in the Clerk's Office of the Circuit Court of Campbell County, Virginia as Instrument No. 080005187.</t>
  </si>
  <si>
    <t xml:space="preserve">This being the same property conveyed from Binford B. Nash, Jr. &amp; Susan R. Nash, Deborah Nash Burman &amp; Buddy Don Burman, and Bessie B. Nash to Charlie F. Wells by Deed dated October 19, 2016 and recorded in the aforesaid Clerk's Office as Instrument No. 180002846. </t>
  </si>
  <si>
    <t>T.H. Kemper, R/A</t>
  </si>
  <si>
    <t>Adams Construction Company</t>
  </si>
  <si>
    <t>Roanoke, VA  24038</t>
  </si>
  <si>
    <t>Instrument Nos. 190001125 and 190001085</t>
  </si>
  <si>
    <t>(830) 500-0786</t>
  </si>
  <si>
    <t>213 Village Park Dr.</t>
  </si>
  <si>
    <t>Georgetown, TX  78633</t>
  </si>
  <si>
    <t>(336) 543-3669</t>
  </si>
  <si>
    <t>1344 Depot Rd.</t>
  </si>
  <si>
    <t>Kent</t>
  </si>
  <si>
    <t>James P. Kent, Jr., Esquire</t>
  </si>
  <si>
    <t>by email to: kentkentpc.com</t>
  </si>
  <si>
    <t>(434) 221-6410</t>
  </si>
  <si>
    <t>2450 Greene St.</t>
  </si>
  <si>
    <t>CL21000866-00</t>
  </si>
  <si>
    <t>CL21000865-00</t>
  </si>
  <si>
    <t>All those lots situated in the Town of Brookneal, Campbell County, Virginia, and being designated as Lots Nos. 6, 7, 8, 9, 10, 11, 12 and 13 in Block F as shown on a Map of Brookneal Plan A, part of what is known as the Rush Land which has been subdivided into lots and is designated on the plat or map of said lands made by S.S. Lynn, Surveyor, and of record in the Office of the Clerk of the Circuit Court of Campbell County, Virginia, in Plat Book 1 at page 68, now Plat Cabinet A, Slide 15.</t>
  </si>
  <si>
    <t>This being the same property conveyed unto Kevin William Fallen and Robert William Fallen, Joint Tenants with Survivorship, by that certain Deed dated March 7, 2012 and recorded in the Clerk's Office of the Circuit Court of Campbell County, Virginia as Instrument No. 120001499.</t>
  </si>
  <si>
    <t>AmeriGas Propane, Inc.</t>
  </si>
  <si>
    <t>Succs'r to Columbia Propane Corp.</t>
  </si>
  <si>
    <t xml:space="preserve">All that certain lor or tract of land, lying, situate, and being in Campbell County, Virginia, on the southeast side of Johnson's Creek, containing ten (10) acres, more or less, and adjoining the lands, now or formely of Reeves Dowdy, William Robertson and James Calloway.  </t>
  </si>
  <si>
    <t>This being the same parcel conveyed from Arch Brown and Carrie Brown, husband and wife, to James Calloway, by Deed dated March 30, 1946 and recorded in the Clerk's Office of the Circuit Court of Campbell County, Virginia in Deed Book 206, at page 476.</t>
  </si>
  <si>
    <t>Beginning at Minnis Martin's corner (now or formerly) on the east side of a branch which is a tributary of Johnson's Creek, and thence with Minnis Martin's line, leaving the said branch and following an old road which has long been recognized as an outlet for all of the adjoining owners, and along the said outlet road to Victor Robinson's corner (now or formerly); thence with Victor Robinson's line to Arch Brown's corner (now or formerly); thence with Arch Brown's line to Jerry Hensley's and Johnie Rhoades corner (now or formerly) on the said branch; thence up said branch with Johnie Rhodes, a new line, to the beginning, together with the joint use of said old road as an outlet to the public road near Minnis Martin's house (now or formerly).</t>
  </si>
  <si>
    <t xml:space="preserve">This being the same property conveyed from Johnie Rhodes and Clara Rhodes, husband and wife, by Deed dated July 17, 1943 and recorded in the Clerk's Office of the Circuit Court of Campbell County, Virginia in Deed Book 192, page 606.  </t>
  </si>
  <si>
    <t>CL21000963-00</t>
  </si>
  <si>
    <t>CL21000965-00</t>
  </si>
  <si>
    <r>
      <t xml:space="preserve">BEGINNING at corner Red Oak on William Alexander's line (now or formerly) thence with Charles Watts' Line (now or formerly) N 49 </t>
    </r>
    <r>
      <rPr>
        <sz val="11"/>
        <rFont val="Calibri"/>
        <family val="2"/>
      </rPr>
      <t>½</t>
    </r>
    <r>
      <rPr>
        <sz val="11"/>
        <rFont val="Calibri"/>
        <family val="2"/>
        <scheme val="minor"/>
      </rPr>
      <t xml:space="preserve"> </t>
    </r>
    <r>
      <rPr>
        <sz val="11"/>
        <rFont val="Calibri"/>
        <family val="2"/>
      </rPr>
      <t xml:space="preserve">° E 610 feet to stake one foot from Oak in branch; thence N. 16 ¼ </t>
    </r>
    <r>
      <rPr>
        <sz val="11"/>
        <rFont val="Calibri"/>
        <family val="2"/>
        <scheme val="minor"/>
      </rPr>
      <t>° W 140 feet to corner Poplar in branch; thence N 89 ° W 1491 feet to corner and pointer S on Black's line (now or formerly); thence S 62 ° E 1201 feet to the point of BEGINNING, and containing 10.67 acres, more or less.</t>
    </r>
  </si>
  <si>
    <r>
      <t>BEGINNING at a point on State Route 725 corner with Tweedy (now or formerly), thence along said road N. 45</t>
    </r>
    <r>
      <rPr>
        <sz val="11"/>
        <rFont val="Calibri"/>
        <family val="2"/>
      </rPr>
      <t>° E. 49-½</t>
    </r>
    <r>
      <rPr>
        <sz val="11"/>
        <rFont val="Calibri"/>
        <family val="2"/>
        <scheme val="minor"/>
      </rPr>
      <t xml:space="preserve"> feet to a stake, thence leaving said road N. 39° W. 230 feet to a stake, thence N. 51° W. 758 feet to a stake in Hick's line (now or formerly); thence with Hick's line S. 42-</t>
    </r>
    <r>
      <rPr>
        <sz val="11"/>
        <rFont val="Calibri"/>
        <family val="2"/>
      </rPr>
      <t>½° W. 15 feet to a corner with Irvine (now or formerly), thence S. 61° E. 760 feet to a corner with Tweedy (now or formerly); thence with Tweedy's line S. 39° E. 230 feet to the point of BEGINNING.</t>
    </r>
  </si>
  <si>
    <t>James Haythe, Jr.</t>
  </si>
  <si>
    <t>(980) 318-2983</t>
  </si>
  <si>
    <t>by email to: james.haythe@atriumhealth.org</t>
  </si>
  <si>
    <t>All that certain lot or parcel of land situate in Brookville Magisterial District, Campbell County, Virginia, about two and one half miles from the corporate limits of the City of Lynchburg, containing two acres of land, more or less, and adjoining the lands (now or formerly) of J.E. Bell, M. Davis, Russell, and others, as shown by a plat of survey dated September 20, 1932, which survey is attached to that certain deed dated September 28, 1932 and recorded in the Clerk's Office of the Circuit Court of Campbell County, Virginia in Deed Book 188, at pages 249 and 250.</t>
  </si>
  <si>
    <t>This being the same property conveyed from J.E. Bell and Sallie Bell, husband and wife, to Samuel H. Carter and Annie D. Carter by deed dated September 28, 1932 and recorded in the aforesaid Clerk's Office in Deed Book 188, at pages 249 and 250.</t>
  </si>
  <si>
    <t>Pursuant to that certain Will dated July 12, 1961 and recorded in the aforesaid Clerk's Office in Will Book 40, pages 291 and 292, Annie D. Carter devised the herein described property to W.T. Johnson, Jr.</t>
  </si>
  <si>
    <t>Pursuant to that certain inventory and appraisal dated June 7, 1960 and recorded in the aforesaid Clerk's Office in Will Book 39, pages 290 to 292, Samuel H. Carter predeceased Annie D. Carter, vesting sole title to the herein described property in Annie D. Carter.</t>
  </si>
  <si>
    <t>Joel Kramar</t>
  </si>
  <si>
    <t>Kramar</t>
  </si>
  <si>
    <t>by email to: joelkramar@aol.com</t>
  </si>
  <si>
    <t>Heidi Knoedler</t>
  </si>
  <si>
    <t>Mrs.</t>
  </si>
  <si>
    <t>CL21001150-00</t>
  </si>
  <si>
    <t>CL21001152-00</t>
  </si>
  <si>
    <t>CL21001153-00</t>
  </si>
  <si>
    <t>CL21001154-00</t>
  </si>
  <si>
    <t>CL21001149-00</t>
  </si>
  <si>
    <t>CL21001151-00</t>
  </si>
  <si>
    <t xml:space="preserve">Angela Davis </t>
  </si>
  <si>
    <t>(434) 420-8888</t>
  </si>
  <si>
    <t>2675 Lonejack Rd.</t>
  </si>
  <si>
    <t>32-A-53</t>
  </si>
  <si>
    <t>1201 Long Meadows Dr., Apt B10</t>
  </si>
  <si>
    <t>(434) 229-4574</t>
  </si>
  <si>
    <t>212 Oak Grove Dr.</t>
  </si>
  <si>
    <t>Adrian L. Brown</t>
  </si>
  <si>
    <t>Anthony Rubilar</t>
  </si>
  <si>
    <t>Rubilar</t>
  </si>
  <si>
    <t>(518) 703-0191</t>
  </si>
  <si>
    <t>CL21001303-00</t>
  </si>
  <si>
    <t>30 Hall St. (Right Side)</t>
  </si>
  <si>
    <t>North Adams, MA  02147</t>
  </si>
  <si>
    <t xml:space="preserve">All that certain tract or parcel of land, with buildings and improvements thereon, and the privileges and appurtenances thereunto belonging, situate in the Town of Altavista, Campbell County, Virginia, and being described as that small irregular-shaped piece of land which lies west of the aforementioned Lot No. 12 and the easterly margin of the right of way boundary line of the Southern Railway right of way, and between the Southerly margin of 13th Street and the northerly margin of the alley aforesaid; said irregular-shaped lot being 140 feet in depth but varying width, as shown on the aforementioned revised Map of Altavista.  </t>
  </si>
  <si>
    <t>This being a portion of the same property conveyed unto Marcellus Preston Gregory and Shaundula D. Gregory, husband and wife, by deed dated January 17, 2007 from Marcellus Preston Gregory, and recorded in the aforementioned Clerk’s Office as Instrument No. 070000392.</t>
  </si>
  <si>
    <t>This also being the same property conveyed unto the County of Campbell from F.E. "Tripp" Isenhour, III, Special Commissioner, conveying the interest of Chester O. Pettigrew by Deed dated January 28, 2021 and recorded in the aforesaid Clerk's office as Instrument No. 210000676.</t>
  </si>
  <si>
    <t xml:space="preserve">This also being the same property conveyed unto the County of Campbell from F.E. "Tripp" Isenhour, III, Special Commissioner, conveying the interest of Marcellus P. &amp; Shaundula D. Gregory by Deed dated January 28, 2021 and recorded in the aforesaid Clerk's office as Instrument No. 210000677.  </t>
  </si>
  <si>
    <t>2021 Tax</t>
  </si>
  <si>
    <t>Copy cost Calc</t>
  </si>
  <si>
    <t>Envelopes:</t>
  </si>
  <si>
    <t>Postage:</t>
  </si>
  <si>
    <t>Copies:</t>
  </si>
  <si>
    <t>Total:</t>
  </si>
  <si>
    <t>Per File</t>
  </si>
  <si>
    <t>2021 Penalty</t>
  </si>
  <si>
    <t>2021 Interest</t>
  </si>
  <si>
    <t>2021 Int./Mo.</t>
  </si>
  <si>
    <t>2021 Int. # Mo.</t>
  </si>
  <si>
    <t>2021 Total</t>
  </si>
  <si>
    <t>Brenda J. Mitchell</t>
  </si>
  <si>
    <t>(434) 660-9163</t>
  </si>
  <si>
    <t>78 Carters Crossing Ln</t>
  </si>
  <si>
    <t>30F-3-4</t>
  </si>
  <si>
    <t>Abbott</t>
  </si>
  <si>
    <t>6408 Lawyers Rd.</t>
  </si>
  <si>
    <t>7530 Blue Ridge Dr.</t>
  </si>
  <si>
    <t>Gretna, VA  24563</t>
  </si>
  <si>
    <t>Pittsylsvania County</t>
  </si>
  <si>
    <t>35-A-2</t>
  </si>
  <si>
    <t>Avante at Lynchburg, Inc.</t>
  </si>
  <si>
    <t>4601 Sheridan St., Ste 500</t>
  </si>
  <si>
    <t>Hollywood, FL  33021</t>
  </si>
  <si>
    <t>62-A-53</t>
  </si>
  <si>
    <t>705 Roundtree Rd.</t>
  </si>
  <si>
    <t>Bunnell</t>
  </si>
  <si>
    <t>27A-7-2</t>
  </si>
  <si>
    <t>6080 Campbell Hwy</t>
  </si>
  <si>
    <t>36-A-15L</t>
  </si>
  <si>
    <t>Birtell</t>
  </si>
  <si>
    <t>Scotty</t>
  </si>
  <si>
    <t>3727 Bear Creek Rd.</t>
  </si>
  <si>
    <t>3818 Pebble Rd.</t>
  </si>
  <si>
    <t>Florence, SC  29501</t>
  </si>
  <si>
    <t>32F-1-1F</t>
  </si>
  <si>
    <t>Jeffrey</t>
  </si>
  <si>
    <t>6375 Boulder Trail Dr., Apt. 308-5</t>
  </si>
  <si>
    <t>Roanoke, VA  24019</t>
  </si>
  <si>
    <t>Roanoke County</t>
  </si>
  <si>
    <t>81A-2-2A</t>
  </si>
  <si>
    <t>Burton</t>
  </si>
  <si>
    <t>Tyrone</t>
  </si>
  <si>
    <t>Shenise</t>
  </si>
  <si>
    <t>1764 Chellis Ford Rd.</t>
  </si>
  <si>
    <t>355 Parkman Ave. #8</t>
  </si>
  <si>
    <t>Los Angeles, CA  90026</t>
  </si>
  <si>
    <t>22-A-5A12</t>
  </si>
  <si>
    <t>Tessy Plastics, LLC</t>
  </si>
  <si>
    <t>Kenneth F. Beck</t>
  </si>
  <si>
    <t>231 Jefferson Ridge Pkwy</t>
  </si>
  <si>
    <t>1057 Oakhaven Ln.</t>
  </si>
  <si>
    <t>341 Myrtle Ln.</t>
  </si>
  <si>
    <t>Michele</t>
  </si>
  <si>
    <t>40B-3-2</t>
  </si>
  <si>
    <t>72 Otterwood Ct.</t>
  </si>
  <si>
    <t>83A-17-55</t>
  </si>
  <si>
    <t>Clay</t>
  </si>
  <si>
    <t>Landon</t>
  </si>
  <si>
    <t>Scruggs</t>
  </si>
  <si>
    <t>Dorinda</t>
  </si>
  <si>
    <t>6542 Bedford Hwy</t>
  </si>
  <si>
    <t>83A-17-54</t>
  </si>
  <si>
    <t>M.L.</t>
  </si>
  <si>
    <t>Cook Management Co., LLC</t>
  </si>
  <si>
    <t>12D-1-351</t>
  </si>
  <si>
    <t>Terrance J. Dunn</t>
  </si>
  <si>
    <t>144 Kitty Hawk Sq.</t>
  </si>
  <si>
    <t>P.O. Box 8265</t>
  </si>
  <si>
    <t>Wichita Falls, TX  76301</t>
  </si>
  <si>
    <t>24-A-4B</t>
  </si>
  <si>
    <t>Randy</t>
  </si>
  <si>
    <t>5000 Corporate Woods Drive, Suite 300</t>
  </si>
  <si>
    <t xml:space="preserve">Virginia Beach, VA  23462-4345 </t>
  </si>
  <si>
    <t>119 Candlemakers Lane</t>
  </si>
  <si>
    <t>48-A-12B</t>
  </si>
  <si>
    <t>Dingee</t>
  </si>
  <si>
    <t>1359 Farmcrest Rd.</t>
  </si>
  <si>
    <t>42-B-2</t>
  </si>
  <si>
    <t>251 Hawkins Ln</t>
  </si>
  <si>
    <t>42-B-5</t>
  </si>
  <si>
    <t>42-B-4</t>
  </si>
  <si>
    <t>Emanuel</t>
  </si>
  <si>
    <t>42-B-1</t>
  </si>
  <si>
    <t>83A-5-71-A01A</t>
  </si>
  <si>
    <t>Gill</t>
  </si>
  <si>
    <t>Deedee</t>
  </si>
  <si>
    <t>408 Westwood Dr.</t>
  </si>
  <si>
    <t>342 Mountview Ct. SE</t>
  </si>
  <si>
    <t>Concord, NC  28025</t>
  </si>
  <si>
    <t>Greene</t>
  </si>
  <si>
    <t>20E-7-1A</t>
  </si>
  <si>
    <t>123 Shady Grove Ln.</t>
  </si>
  <si>
    <t>Clinton</t>
  </si>
  <si>
    <t>Louetta</t>
  </si>
  <si>
    <t>99A-1-A-67</t>
  </si>
  <si>
    <t>P.O. Box 14</t>
  </si>
  <si>
    <t>83A-11-53-9</t>
  </si>
  <si>
    <t>Elsie</t>
  </si>
  <si>
    <t>705 11th St.</t>
  </si>
  <si>
    <t>11A-6-7-5</t>
  </si>
  <si>
    <t>Hartley</t>
  </si>
  <si>
    <t>Brett</t>
  </si>
  <si>
    <t>1007 Rainbow Forest Dr.</t>
  </si>
  <si>
    <t>76-3-2A</t>
  </si>
  <si>
    <t>Hevey</t>
  </si>
  <si>
    <t>Celia</t>
  </si>
  <si>
    <t>4880 Three Creeks Rd.</t>
  </si>
  <si>
    <t>17-A-44</t>
  </si>
  <si>
    <t>Hutcherson</t>
  </si>
  <si>
    <t>Eidenour</t>
  </si>
  <si>
    <t>Raymond</t>
  </si>
  <si>
    <t>87 Sunset Dr.</t>
  </si>
  <si>
    <t>68-A-25</t>
  </si>
  <si>
    <t>Huynh</t>
  </si>
  <si>
    <t>Cecilia</t>
  </si>
  <si>
    <t>2575 Bedford Hwy</t>
  </si>
  <si>
    <t>P.O. Box 241</t>
  </si>
  <si>
    <t>42-A-57</t>
  </si>
  <si>
    <t>Belinda</t>
  </si>
  <si>
    <t>152 Hazel Dr.</t>
  </si>
  <si>
    <t>55-A-96B</t>
  </si>
  <si>
    <t>Khabir</t>
  </si>
  <si>
    <t>Qadeera</t>
  </si>
  <si>
    <t>11323 Long Acre St.</t>
  </si>
  <si>
    <t>Detroit, MI  48227</t>
  </si>
  <si>
    <t>68F-4-2</t>
  </si>
  <si>
    <t>L S G Properties, LLC</t>
  </si>
  <si>
    <t>James P. Kent, Jr.</t>
  </si>
  <si>
    <t>525 Seventh St.</t>
  </si>
  <si>
    <t>532 Oak Ridge Dr.</t>
  </si>
  <si>
    <t>3911 Long Island Rd.</t>
  </si>
  <si>
    <t>Allen</t>
  </si>
  <si>
    <t>73-A-15</t>
  </si>
  <si>
    <t>Moorman</t>
  </si>
  <si>
    <t>Bowling</t>
  </si>
  <si>
    <t>328 Collins Ferry Rd.</t>
  </si>
  <si>
    <t>42D-1-B-1</t>
  </si>
  <si>
    <t>Eva</t>
  </si>
  <si>
    <t>374 Lucinda Dr.</t>
  </si>
  <si>
    <t>350 Lucinda Dr.</t>
  </si>
  <si>
    <t>Foster</t>
  </si>
  <si>
    <t>2704 Ellicott Dr.</t>
  </si>
  <si>
    <t>Baltimore, MD  21216</t>
  </si>
  <si>
    <t>18D-2-E</t>
  </si>
  <si>
    <t>Shorter</t>
  </si>
  <si>
    <t>P.O. Box 132</t>
  </si>
  <si>
    <t>103C-39-C-16</t>
  </si>
  <si>
    <t>226 R Street NE</t>
  </si>
  <si>
    <t>Washington, DC  20002</t>
  </si>
  <si>
    <t>63A-2-112</t>
  </si>
  <si>
    <t>Waycaster</t>
  </si>
  <si>
    <t>13858 Red House Rd.</t>
  </si>
  <si>
    <t>56B-1-1-19</t>
  </si>
  <si>
    <t>Etta</t>
  </si>
  <si>
    <t>4553 Wards Rd.</t>
  </si>
  <si>
    <t>36-A-64</t>
  </si>
  <si>
    <t>Wingo</t>
  </si>
  <si>
    <t>Thomas E. Wingo</t>
  </si>
  <si>
    <t>1501 Reynovia Dr.</t>
  </si>
  <si>
    <t>Charlottesville, VA  22902</t>
  </si>
  <si>
    <t>(434) 610-9152</t>
  </si>
  <si>
    <t>Julie A. Abbott</t>
  </si>
  <si>
    <t>Emanuel B. Farmer</t>
  </si>
  <si>
    <t>245 Hawkins Ln</t>
  </si>
  <si>
    <t>(434) 426-1069</t>
  </si>
  <si>
    <t>Brinson C. White, II</t>
  </si>
  <si>
    <t>brinson@jjwlawva.com</t>
  </si>
  <si>
    <t>LMST Ventures, LLC</t>
  </si>
  <si>
    <t>121 River Rd.</t>
  </si>
  <si>
    <t>Carlos Hutcherson</t>
  </si>
  <si>
    <t>P.O. Box 2192</t>
  </si>
  <si>
    <t>Don L. Myers</t>
  </si>
  <si>
    <t>Robert L. McConville &amp; Tammy C. Powell</t>
  </si>
  <si>
    <t>2502 Rocky Rd.</t>
  </si>
  <si>
    <t>MB Development, LLC</t>
  </si>
  <si>
    <t>P.O. Box 10038</t>
  </si>
  <si>
    <t>Lynchburg, VA  24506</t>
  </si>
  <si>
    <t>Enyap Land &amp; Realty, LLC</t>
  </si>
  <si>
    <t>P.O. Box 12093</t>
  </si>
  <si>
    <t>4657 Stage Rd.</t>
  </si>
  <si>
    <t>Concord, VA 24538</t>
  </si>
  <si>
    <t>Melissa Foxx Goode</t>
  </si>
  <si>
    <t>1085 Ridge Rd.</t>
  </si>
  <si>
    <t>4971 Stage Rd.</t>
  </si>
  <si>
    <t>James Allen Borland Trust</t>
  </si>
  <si>
    <t>200 Russell Woods Dr.</t>
  </si>
  <si>
    <t>1018 Mistwood Pl.</t>
  </si>
  <si>
    <t>Charles D. Inge &amp; Linda W. Inge</t>
  </si>
  <si>
    <t>2525 Buffalo Mill Rd.</t>
  </si>
  <si>
    <t>Campbell County Land &amp; Cattle Co.</t>
  </si>
  <si>
    <t>2839 Leesville Rd.</t>
  </si>
  <si>
    <t>P.O. Box 947</t>
  </si>
  <si>
    <t>615 Church St.</t>
  </si>
  <si>
    <t>Lance C. Hemric &amp; Lorraine L. Hemric</t>
  </si>
  <si>
    <t>933 Brownwood Dr.</t>
  </si>
  <si>
    <t>Winston-Salem, NC  27105</t>
  </si>
  <si>
    <t>Frank Johnson, III &amp; Tonya Johnson</t>
  </si>
  <si>
    <t>1058 Patterson Rd.</t>
  </si>
  <si>
    <t>P.O. Box 248</t>
  </si>
  <si>
    <t>Mill Creek, WV  26280</t>
  </si>
  <si>
    <t>Hans Ulrich</t>
  </si>
  <si>
    <t>1550 Mohawk Rd.</t>
  </si>
  <si>
    <t>Campbell Excess:</t>
  </si>
  <si>
    <t>Brookneal Excess:</t>
  </si>
  <si>
    <t>Dolland</t>
  </si>
  <si>
    <t>Beckham</t>
  </si>
  <si>
    <t>492 Waterlick Rd.</t>
  </si>
  <si>
    <t>Audrey A. Roberts</t>
  </si>
  <si>
    <t>Catherine M. Fitzgerald &amp; Michelle F. Wooten</t>
  </si>
  <si>
    <t>John F. Kabler, Trustee of the John F. Kabler Revocable Trust Agreement Dated March 7, 2001, as amended</t>
  </si>
  <si>
    <t>Adolphus D. Barley, Jr.</t>
  </si>
  <si>
    <t>TAJ Property Investors, LLC, a Nevada Limited Liability Company</t>
  </si>
  <si>
    <t>Mount Athos, LLC</t>
  </si>
  <si>
    <t>Dr. James T. Wingo</t>
  </si>
  <si>
    <t>48 Beverly Hills Dr.</t>
  </si>
  <si>
    <t>Newport News, VA  23206</t>
  </si>
  <si>
    <t>(757) 876-8318</t>
  </si>
  <si>
    <t>Natasha Thomas</t>
  </si>
  <si>
    <t xml:space="preserve">Mr. &amp; Mrs. </t>
  </si>
  <si>
    <t>(434) 942-1673</t>
  </si>
  <si>
    <t>Darrell &amp; Ella Johnson</t>
  </si>
  <si>
    <t>Less and Except that certain 0.448 acre parcel conveyed unto the Commonwealth of Virginia, Department of Transportation by Deed dated June 17, 2011 and recorded in the aforesaid Clerk's Office as Instrument No. 110003802; and</t>
  </si>
  <si>
    <t>Less and Except that certain 3.77 acres parcel of property conveyed unto William H. Tweedy and Tonya Tweedy by Deed dated May 19, 2020 and recorded in the aforesaid Clerk's Office as Instrument No. 200002635.</t>
  </si>
  <si>
    <t>2018-2021</t>
  </si>
  <si>
    <t>2019-2021</t>
  </si>
  <si>
    <t>38-A-2</t>
  </si>
  <si>
    <t>83A-11-59-4</t>
  </si>
  <si>
    <t>2020-2021</t>
  </si>
  <si>
    <t>83A-14-3</t>
  </si>
  <si>
    <t>83A-14-4</t>
  </si>
  <si>
    <t>83A-14-5</t>
  </si>
  <si>
    <t>83A-14-6</t>
  </si>
  <si>
    <t>83A-14-7</t>
  </si>
  <si>
    <t>43C-9-A</t>
  </si>
  <si>
    <t>54-A-23</t>
  </si>
  <si>
    <t>69C-3-109, 109A, 110, 110A, 111, 111A</t>
  </si>
  <si>
    <t>22-A-66</t>
  </si>
  <si>
    <t>22-A-67</t>
  </si>
  <si>
    <t>99-2-A-29</t>
  </si>
  <si>
    <t>99-2-A-30</t>
  </si>
  <si>
    <t>47D-1-5</t>
  </si>
  <si>
    <t>21B-1-90, 91 &amp; 92</t>
  </si>
  <si>
    <t>34A-23-18</t>
  </si>
  <si>
    <t>9-5-1C</t>
  </si>
  <si>
    <t>9C-5-3</t>
  </si>
  <si>
    <t>21B-1-47</t>
  </si>
  <si>
    <t>21B-1-148</t>
  </si>
  <si>
    <t>11A-5-5-33</t>
  </si>
  <si>
    <t>9-A-67</t>
  </si>
  <si>
    <t>12J-7-8D</t>
  </si>
  <si>
    <t>96A-9-322</t>
  </si>
  <si>
    <t>103C-3-G-3B</t>
  </si>
  <si>
    <t>83A-20-13</t>
  </si>
  <si>
    <t>83A-20-14</t>
  </si>
  <si>
    <t>39-A-6D</t>
  </si>
  <si>
    <t>30F-5-2</t>
  </si>
  <si>
    <t>50-A-18</t>
  </si>
  <si>
    <t>81A-2-3A</t>
  </si>
  <si>
    <t>83A-14-2</t>
  </si>
  <si>
    <t>87-A-5</t>
  </si>
  <si>
    <t>103C-30-54</t>
  </si>
  <si>
    <t>9B-1-38</t>
  </si>
  <si>
    <t>56B-1-2-25</t>
  </si>
  <si>
    <t>56B-1-2-17</t>
  </si>
  <si>
    <t>15A-8-7B</t>
  </si>
  <si>
    <t>22C-6-6-41, 42, 43, 44A, 45A, 46A, 47A &amp; 48A</t>
  </si>
  <si>
    <t>103A-1-2-4, 5, 6, 7 &amp; 8</t>
  </si>
  <si>
    <t>35H-1-2</t>
  </si>
  <si>
    <t>34C-1-23</t>
  </si>
  <si>
    <t>83A-5-70-16</t>
  </si>
  <si>
    <t>42A-3-9</t>
  </si>
  <si>
    <t>21D-5-A-1A</t>
  </si>
  <si>
    <t>46A-3-2</t>
  </si>
  <si>
    <t>83A-11-58-21</t>
  </si>
  <si>
    <t>17A-1-350</t>
  </si>
  <si>
    <t>102B-1-B-20, 22 &amp; 23</t>
  </si>
  <si>
    <t>27-A-79</t>
  </si>
  <si>
    <t>30-A-25A</t>
  </si>
  <si>
    <t>103B-3-1-46</t>
  </si>
  <si>
    <t>103C-10-20-4, 5 &amp; 6</t>
  </si>
  <si>
    <t>22C-8-11G</t>
  </si>
  <si>
    <t>83A-55-17</t>
  </si>
  <si>
    <t>69E-1-3</t>
  </si>
  <si>
    <t>62-A-2</t>
  </si>
  <si>
    <t>61-A-29</t>
  </si>
  <si>
    <t>61-A-33</t>
  </si>
  <si>
    <t>61-A-33C</t>
  </si>
  <si>
    <t>58A-1-9</t>
  </si>
  <si>
    <t>49-A-2H</t>
  </si>
  <si>
    <t>49-A-2I</t>
  </si>
  <si>
    <t>49-A-2L</t>
  </si>
  <si>
    <t>47E-1-1</t>
  </si>
  <si>
    <t>47E-1-2</t>
  </si>
  <si>
    <t>47-A-32D</t>
  </si>
  <si>
    <t>43-12-3</t>
  </si>
  <si>
    <t>43-A-56D</t>
  </si>
  <si>
    <t>41-A-76B</t>
  </si>
  <si>
    <t>37C-1-8</t>
  </si>
  <si>
    <t>34A-8-14</t>
  </si>
  <si>
    <t>34A-8-15</t>
  </si>
  <si>
    <t>34-A-44</t>
  </si>
  <si>
    <t>33H-1-11</t>
  </si>
  <si>
    <t>32-A-96A</t>
  </si>
  <si>
    <t>32-A-43</t>
  </si>
  <si>
    <t>27A-7-16</t>
  </si>
  <si>
    <t>26F-3-18</t>
  </si>
  <si>
    <t>103C-38-11</t>
  </si>
  <si>
    <t>15B-10-1</t>
  </si>
  <si>
    <t>55-A-62</t>
  </si>
  <si>
    <t>45-A-70E</t>
  </si>
  <si>
    <t>21H-1-B-1A, 1B &amp; 2</t>
  </si>
  <si>
    <t>15A-1-19</t>
  </si>
  <si>
    <t>90-A-80</t>
  </si>
  <si>
    <t>90-A-81</t>
  </si>
  <si>
    <t>90-A-85</t>
  </si>
  <si>
    <t>99A-1-G-21, 22, 23, 24 &amp; 25</t>
  </si>
  <si>
    <t>99A-1-A-23 &amp; 24</t>
  </si>
  <si>
    <t>99A-1-A-39 through 86</t>
  </si>
  <si>
    <t>99A-1-C-1</t>
  </si>
  <si>
    <t>99A-1-C-9 &amp; 10</t>
  </si>
  <si>
    <t>99A-1-E-8, 9, 10, 11, 12 &amp; 13</t>
  </si>
  <si>
    <t>50-A-19A</t>
  </si>
  <si>
    <t>83A-17-33, 34 &amp; 35</t>
  </si>
  <si>
    <t>20-A-86</t>
  </si>
  <si>
    <t>35-8-B4</t>
  </si>
  <si>
    <t>25C-4-4-3</t>
  </si>
  <si>
    <t>34E-1-8</t>
  </si>
  <si>
    <t>26-A-35B</t>
  </si>
  <si>
    <t>93-A-3A</t>
  </si>
  <si>
    <t>42D-1-D-6</t>
  </si>
  <si>
    <t>42D-1-D-7</t>
  </si>
  <si>
    <t>103A-3-1-20G</t>
  </si>
  <si>
    <t>42-A-83</t>
  </si>
  <si>
    <t>69-1-1</t>
  </si>
  <si>
    <t>69-1-2</t>
  </si>
  <si>
    <t>20-A-30</t>
  </si>
  <si>
    <t>22-A-64A</t>
  </si>
  <si>
    <t>21B-1-46</t>
  </si>
  <si>
    <t>69B-1-87-9A</t>
  </si>
  <si>
    <t>55-A-36A</t>
  </si>
  <si>
    <t>55-A-54</t>
  </si>
  <si>
    <t>55-A-54E</t>
  </si>
  <si>
    <t>55D-2-1</t>
  </si>
  <si>
    <t>32-A-30</t>
  </si>
  <si>
    <t>55-A-101T</t>
  </si>
  <si>
    <t>56C-6-2-7</t>
  </si>
  <si>
    <t>17A-1-150</t>
  </si>
  <si>
    <t>15-A-157</t>
  </si>
  <si>
    <t>14-A-32</t>
  </si>
  <si>
    <t>27A-2-6, 7 &amp; 8</t>
  </si>
  <si>
    <t>21G-2-J-8</t>
  </si>
  <si>
    <t>102-A-65</t>
  </si>
  <si>
    <t>37-A-34</t>
  </si>
  <si>
    <t>20H-1WQD-3</t>
  </si>
  <si>
    <t>103C-3-G-4D</t>
  </si>
  <si>
    <t>34G-1-3</t>
  </si>
  <si>
    <t>53-A-38</t>
  </si>
  <si>
    <t>53-A-38B</t>
  </si>
  <si>
    <t>53-A-38C</t>
  </si>
  <si>
    <t>68C-1-3, 4 &amp; 5</t>
  </si>
  <si>
    <t>93-A-19G</t>
  </si>
  <si>
    <t>49A-1-14</t>
  </si>
  <si>
    <t>15A-15-4</t>
  </si>
  <si>
    <t>107-A-1J1</t>
  </si>
  <si>
    <t>20Q-1-4</t>
  </si>
  <si>
    <t>20Q-1-6</t>
  </si>
  <si>
    <t>27A-7-57</t>
  </si>
  <si>
    <t>30F-1-4</t>
  </si>
  <si>
    <t>60-A-29A1</t>
  </si>
  <si>
    <t>68D-2-8</t>
  </si>
  <si>
    <t>88-6-3</t>
  </si>
  <si>
    <t>88-6-3A</t>
  </si>
  <si>
    <t>25C-9-1-2</t>
  </si>
  <si>
    <t>62A-1-13</t>
  </si>
  <si>
    <t>86-A-32</t>
  </si>
  <si>
    <t>16-A-28A</t>
  </si>
  <si>
    <t>16-A-31A</t>
  </si>
  <si>
    <t>16-A-31B</t>
  </si>
  <si>
    <t>93-A-19</t>
  </si>
  <si>
    <t>91-6-1A</t>
  </si>
  <si>
    <t>86-7-3</t>
  </si>
  <si>
    <t>34A-17-A-26A &amp; 27A</t>
  </si>
  <si>
    <t>103C-A-11</t>
  </si>
  <si>
    <t>15-A-128</t>
  </si>
  <si>
    <t>21-A-86</t>
  </si>
  <si>
    <t>73B-1-4</t>
  </si>
  <si>
    <t>34A-A-39</t>
  </si>
  <si>
    <t>Vercie</t>
  </si>
  <si>
    <t>Curtis</t>
  </si>
  <si>
    <t>3946 Bedford Hwy</t>
  </si>
  <si>
    <t>30 Monica Blvd, Box 244</t>
  </si>
  <si>
    <t>P.O. Box 634</t>
  </si>
  <si>
    <t>83A-11-19-2 &amp; 2A</t>
  </si>
  <si>
    <t>5653 Yank St.</t>
  </si>
  <si>
    <t>Arvado, CO  80002</t>
  </si>
  <si>
    <t>6320 Wards Rd.</t>
  </si>
  <si>
    <t>103C-27-6-1, 2, 3 &amp; 5</t>
  </si>
  <si>
    <t>Burruss Timber Assoc.</t>
  </si>
  <si>
    <t>7 Bliss Ln.</t>
  </si>
  <si>
    <t>Lyme, NH  03768</t>
  </si>
  <si>
    <t>103C-47-1-1</t>
  </si>
  <si>
    <t>Crawford</t>
  </si>
  <si>
    <t>Dawn</t>
  </si>
  <si>
    <t>108 Valley View Dr.</t>
  </si>
  <si>
    <t>226 Buffalo Mill Rd.</t>
  </si>
  <si>
    <t>7215 Long Island Rd.</t>
  </si>
  <si>
    <t>147 Railroad Ave.</t>
  </si>
  <si>
    <t>99A-1-A-35, 36, 37 &amp; 38</t>
  </si>
  <si>
    <t>Herndon</t>
  </si>
  <si>
    <t>7038 Red House Rd.</t>
  </si>
  <si>
    <t>Hogan</t>
  </si>
  <si>
    <t>B</t>
  </si>
  <si>
    <t>20S-4-3</t>
  </si>
  <si>
    <t>Ingmire Family Revocable Living Trust</t>
  </si>
  <si>
    <t>212 Willow Oak Ter.</t>
  </si>
  <si>
    <t>Casey</t>
  </si>
  <si>
    <t>270 Plum Branch Rd.</t>
  </si>
  <si>
    <t>1602 Village Hwy.</t>
  </si>
  <si>
    <t>114 Knight St.</t>
  </si>
  <si>
    <t>636 Pettigrew Dr.</t>
  </si>
  <si>
    <t>21-A-215</t>
  </si>
  <si>
    <t>Maddox</t>
  </si>
  <si>
    <t>220 Anniebelle Ln.</t>
  </si>
  <si>
    <t>766 Oak Dr.</t>
  </si>
  <si>
    <t>Blue Ridge, VA  24064</t>
  </si>
  <si>
    <t>Botetourt County,</t>
  </si>
  <si>
    <t>Secretary of Housing &amp; Urban Development</t>
  </si>
  <si>
    <t>2401 NW 23rd St., Ste 1A1</t>
  </si>
  <si>
    <t>Oklahoma City, OK  73107</t>
  </si>
  <si>
    <t>12H-2-1-9</t>
  </si>
  <si>
    <t>1657 Rainbow Forest Dr.</t>
  </si>
  <si>
    <t>Mateus</t>
  </si>
  <si>
    <t>Fernandes De Oliveira</t>
  </si>
  <si>
    <t>779 Dawnridge Dr.</t>
  </si>
  <si>
    <t>84 Kitty Hawk Sq.</t>
  </si>
  <si>
    <t>22H-3-E1</t>
  </si>
  <si>
    <t>12F-6-R</t>
  </si>
  <si>
    <t>Parton</t>
  </si>
  <si>
    <t>Nancy</t>
  </si>
  <si>
    <t>57 Shore Line Dr.</t>
  </si>
  <si>
    <t>Adolph</t>
  </si>
  <si>
    <t>Edgar</t>
  </si>
  <si>
    <t>45 Mountain View Dr.</t>
  </si>
  <si>
    <t>13 Mountain View Dr.</t>
  </si>
  <si>
    <t>Cristy</t>
  </si>
  <si>
    <t>2681 Swinging Bridge Rd.</t>
  </si>
  <si>
    <t>23-A-96</t>
  </si>
  <si>
    <t>11B-10-22</t>
  </si>
  <si>
    <t>73-A-1</t>
  </si>
  <si>
    <t>99A-1-G-1, 2 &amp; 3</t>
  </si>
  <si>
    <t>Shull</t>
  </si>
  <si>
    <t>2104 Suburban Rd.</t>
  </si>
  <si>
    <t>Stowe</t>
  </si>
  <si>
    <t>Gayle</t>
  </si>
  <si>
    <t>382 Horizon Dr.</t>
  </si>
  <si>
    <t>Trents Mill Logging, Inc.</t>
  </si>
  <si>
    <t>5854 Trent Mill Rd.</t>
  </si>
  <si>
    <t>Dillwyn, VA  23936</t>
  </si>
  <si>
    <t>Buckingham County</t>
  </si>
  <si>
    <t>Bobbie W. Taylor, R/A</t>
  </si>
  <si>
    <t>Susie</t>
  </si>
  <si>
    <t>Abbitt</t>
  </si>
  <si>
    <t>Clara</t>
  </si>
  <si>
    <t>374 Harris Rd.</t>
  </si>
  <si>
    <t>62 Ventura Dr.</t>
  </si>
  <si>
    <t>P.O. Box 15039</t>
  </si>
  <si>
    <t>Arati's House, LLC</t>
  </si>
  <si>
    <t>16006 Woodview Ter.</t>
  </si>
  <si>
    <t>Laurel, MD  20707</t>
  </si>
  <si>
    <t>Elena</t>
  </si>
  <si>
    <t>916 Lynchburg Ave.</t>
  </si>
  <si>
    <t>Bon Aire Assoc. Inc.</t>
  </si>
  <si>
    <t>Cilla P. Brown</t>
  </si>
  <si>
    <t>Boston</t>
  </si>
  <si>
    <t>Lorraine</t>
  </si>
  <si>
    <t>2835 Johnson Mtn. Rd.</t>
  </si>
  <si>
    <t>49 E. Booker Ave.</t>
  </si>
  <si>
    <t>Wyandanch, NY  11798</t>
  </si>
  <si>
    <t>166 Plain Ridge Dr.</t>
  </si>
  <si>
    <t>Brookneal Ventures, LLC</t>
  </si>
  <si>
    <t>Elridge</t>
  </si>
  <si>
    <t>Melita</t>
  </si>
  <si>
    <t>476 Mud St.</t>
  </si>
  <si>
    <t>P.O. Box 526</t>
  </si>
  <si>
    <t>Roosevelt</t>
  </si>
  <si>
    <t>12604 Prestwick Dr.</t>
  </si>
  <si>
    <t>Fort Washington, MD  20744</t>
  </si>
  <si>
    <t>5444 Marysville Rd.</t>
  </si>
  <si>
    <t>56 Long Island Rd.</t>
  </si>
  <si>
    <t>Callaham</t>
  </si>
  <si>
    <t>579 S. Mountain View Rd.</t>
  </si>
  <si>
    <t>Castle Rock, CO  80109</t>
  </si>
  <si>
    <t>Castle Craig Water Co., Inc.</t>
  </si>
  <si>
    <t>David G. Petrus, R/A</t>
  </si>
  <si>
    <t>1807 Murry Rd., S.W., Suite O</t>
  </si>
  <si>
    <t>Roanoke, VA  24018</t>
  </si>
  <si>
    <t>P.O. Box 21173</t>
  </si>
  <si>
    <t>Castle Craig Water Works, Inc.</t>
  </si>
  <si>
    <t>Cheatham</t>
  </si>
  <si>
    <t>Valanche</t>
  </si>
  <si>
    <t>272 Mud St.</t>
  </si>
  <si>
    <t>Parker</t>
  </si>
  <si>
    <t>120 Tudor Dr.</t>
  </si>
  <si>
    <t>4628 Fairmont Ave.</t>
  </si>
  <si>
    <t>Todd</t>
  </si>
  <si>
    <t>84 Winebarger Cir.</t>
  </si>
  <si>
    <t>Crabtree</t>
  </si>
  <si>
    <t>Candace</t>
  </si>
  <si>
    <t>116 Laughlin Rd.</t>
  </si>
  <si>
    <t>Crider</t>
  </si>
  <si>
    <t>699 Red House Rd.</t>
  </si>
  <si>
    <t>Crump</t>
  </si>
  <si>
    <t>412 Brookneal Hwy.</t>
  </si>
  <si>
    <t>119 Indigo Ter.</t>
  </si>
  <si>
    <t>Williamsburg, VA  23185</t>
  </si>
  <si>
    <t>City of Williamsburg</t>
  </si>
  <si>
    <t>Emmett</t>
  </si>
  <si>
    <t>1411 Bedford Ave.</t>
  </si>
  <si>
    <t>Robin</t>
  </si>
  <si>
    <t>687 Autumn Dr.</t>
  </si>
  <si>
    <t>Dang</t>
  </si>
  <si>
    <t>Bong</t>
  </si>
  <si>
    <t>295 White Pine Dr.</t>
  </si>
  <si>
    <t>Charlotte</t>
  </si>
  <si>
    <t>1916 Winfall Rd.</t>
  </si>
  <si>
    <t>P.O. Box 355</t>
  </si>
  <si>
    <t>903 13th St.</t>
  </si>
  <si>
    <t>1206 Avondale Dr.</t>
  </si>
  <si>
    <t>Dawson</t>
  </si>
  <si>
    <t>Shanee</t>
  </si>
  <si>
    <t>190 Hill-N-Dale Dr.</t>
  </si>
  <si>
    <t>P.O. Box 341</t>
  </si>
  <si>
    <t>21 Carriage Ln.</t>
  </si>
  <si>
    <t>Edwin</t>
  </si>
  <si>
    <t>Cora</t>
  </si>
  <si>
    <t>116 Sycamore St.</t>
  </si>
  <si>
    <t>600 Reusens Rd., Apt H92</t>
  </si>
  <si>
    <t>C. Matthew</t>
  </si>
  <si>
    <t>30 Overton Dr.</t>
  </si>
  <si>
    <t>1706 Eudora Ln.</t>
  </si>
  <si>
    <t>1357 Tardy Mtn. Rd.</t>
  </si>
  <si>
    <t>315 Peal Rd.</t>
  </si>
  <si>
    <t>10224 Red House Rd.</t>
  </si>
  <si>
    <t>116 Theta Mill Rd.</t>
  </si>
  <si>
    <t>571 Red Oak School Rd.</t>
  </si>
  <si>
    <t>581 Red Oak School Rd.</t>
  </si>
  <si>
    <t>48-A-37B</t>
  </si>
  <si>
    <t>3567 Nowlins Mill Rd.</t>
  </si>
  <si>
    <t>236 Rhonda Rd.</t>
  </si>
  <si>
    <t>6019 Wards Rd.</t>
  </si>
  <si>
    <t>5787 Wards Rd.</t>
  </si>
  <si>
    <t>11676 Leesville Rd.</t>
  </si>
  <si>
    <t>174 Tweedy Rd.</t>
  </si>
  <si>
    <t>65 Depot Rd.</t>
  </si>
  <si>
    <t>123 Village Hwy.</t>
  </si>
  <si>
    <t>Harker</t>
  </si>
  <si>
    <t>42 Ballard Ct.</t>
  </si>
  <si>
    <t>32-A-96</t>
  </si>
  <si>
    <t>396 Clarks Rd.</t>
  </si>
  <si>
    <t>784 Clarks Rd.</t>
  </si>
  <si>
    <t>30D-1-3A</t>
  </si>
  <si>
    <t>13470 Leesville Rd.</t>
  </si>
  <si>
    <t>258 Coffey Rd.</t>
  </si>
  <si>
    <t>305 Plum Branch Rd.</t>
  </si>
  <si>
    <t>Foundation for Sustainable Research and Development</t>
  </si>
  <si>
    <t>103 Adams Ferry Rd.</t>
  </si>
  <si>
    <t>Sheree</t>
  </si>
  <si>
    <t>11 Lively Ln.</t>
  </si>
  <si>
    <t>Goad</t>
  </si>
  <si>
    <t>Carrie</t>
  </si>
  <si>
    <t>4476 Wards. Rd.</t>
  </si>
  <si>
    <t>Goodman</t>
  </si>
  <si>
    <t>530 Dewdrop Ln. NW</t>
  </si>
  <si>
    <t>Christiansburg, VA  24073</t>
  </si>
  <si>
    <t>Montgomery County</t>
  </si>
  <si>
    <t>710 Winfall Rd.</t>
  </si>
  <si>
    <t>Gristmill Land Holdings, LLC</t>
  </si>
  <si>
    <t>20334 Leesville Rd.</t>
  </si>
  <si>
    <t>P.O. Box 15067</t>
  </si>
  <si>
    <t>Runk &amp; Pratt Healthcare Enterprises, Inc., R/A</t>
  </si>
  <si>
    <t>5106 Waterlick Rd.</t>
  </si>
  <si>
    <t>Grubb</t>
  </si>
  <si>
    <t>3437 Eastbrook Rd.</t>
  </si>
  <si>
    <t>Hackney</t>
  </si>
  <si>
    <t>Jerome</t>
  </si>
  <si>
    <t>13090 Brookneal Hwy.</t>
  </si>
  <si>
    <t>5503 Chloe Dr.</t>
  </si>
  <si>
    <t>Oxon Hill, MD  20745</t>
  </si>
  <si>
    <t>411 Sweeney Cir.</t>
  </si>
  <si>
    <t>7099 Long Island Rd.</t>
  </si>
  <si>
    <t>Long Island, VA 24569</t>
  </si>
  <si>
    <t>99A-1-A-1, 2, 3, 4, 5, 6, 7, 8 &amp; 9</t>
  </si>
  <si>
    <t>99A-1-A-10, 11 &amp; 12</t>
  </si>
  <si>
    <t>13 Marble Ave</t>
  </si>
  <si>
    <t>7142 Long Islard Rd.</t>
  </si>
  <si>
    <t>Iazzi</t>
  </si>
  <si>
    <t>Courtney</t>
  </si>
  <si>
    <t>548 Mud St.</t>
  </si>
  <si>
    <t>1230 Walnut Hollow Rd.</t>
  </si>
  <si>
    <t>Eunice</t>
  </si>
  <si>
    <t>902 14th St.</t>
  </si>
  <si>
    <t>1869 Sunburst Rd.</t>
  </si>
  <si>
    <t>Alpesh Patel, R/A</t>
  </si>
  <si>
    <t>1853 Sunburst Rd.</t>
  </si>
  <si>
    <t>556 Mimosa Ln.</t>
  </si>
  <si>
    <t>830 Butler Ave.</t>
  </si>
  <si>
    <t>Winchester, VA  22601</t>
  </si>
  <si>
    <t>Frederick County</t>
  </si>
  <si>
    <t>Nikki</t>
  </si>
  <si>
    <t>204 Rustwood Ct.</t>
  </si>
  <si>
    <t>Sandy</t>
  </si>
  <si>
    <t>96 Lucinda Dr.</t>
  </si>
  <si>
    <t>100 Lucinda Dr.</t>
  </si>
  <si>
    <t>126 Phillips Cir.</t>
  </si>
  <si>
    <t>83A-11-37-6</t>
  </si>
  <si>
    <t>83A-11-37-7</t>
  </si>
  <si>
    <t>Kirby</t>
  </si>
  <si>
    <t>Samantha</t>
  </si>
  <si>
    <t>221 Reed Creek Ln.</t>
  </si>
  <si>
    <t>Audrey</t>
  </si>
  <si>
    <t>468 Masons Mill Rd.</t>
  </si>
  <si>
    <t>172 Turkey Mountain Rd.</t>
  </si>
  <si>
    <t>Amherst, VA  24521</t>
  </si>
  <si>
    <t>M.J.</t>
  </si>
  <si>
    <t>1316 Tardy Mountain Rd.</t>
  </si>
  <si>
    <t>1299 Tardy Mountain Rd.</t>
  </si>
  <si>
    <t>Lowery</t>
  </si>
  <si>
    <t>Lacy</t>
  </si>
  <si>
    <t>908 Alum Springs Rd.</t>
  </si>
  <si>
    <t>MacArthur</t>
  </si>
  <si>
    <t>Hugh</t>
  </si>
  <si>
    <t>3323 Clarks Rd.</t>
  </si>
  <si>
    <t>201 Leonard Ln.</t>
  </si>
  <si>
    <t>310 Ogden Rd.</t>
  </si>
  <si>
    <t>1252 Dearborn Rd.</t>
  </si>
  <si>
    <t>1110 Chapel Grove Rd.</t>
  </si>
  <si>
    <t>907 Chapel Grove Rd.</t>
  </si>
  <si>
    <t>953 Chapel Grove Rd.</t>
  </si>
  <si>
    <t>1650 Chapel Grove Rd.</t>
  </si>
  <si>
    <t>Mason</t>
  </si>
  <si>
    <t>100 South Broad St. Ste. 1355</t>
  </si>
  <si>
    <t>Philladelphia, PA  19110</t>
  </si>
  <si>
    <t>60 New Joy Dr.</t>
  </si>
  <si>
    <t>Masters Inn, Inc.</t>
  </si>
  <si>
    <t>445 Mitchell Springs Dr.</t>
  </si>
  <si>
    <t>James E. Sanders, R/A</t>
  </si>
  <si>
    <t>McDaniel</t>
  </si>
  <si>
    <t>Tabatha</t>
  </si>
  <si>
    <t>349 Hensley Dr.</t>
  </si>
  <si>
    <t>Gloria</t>
  </si>
  <si>
    <t>9087 Village Hwy.</t>
  </si>
  <si>
    <t>Mills</t>
  </si>
  <si>
    <t>2525 Eastbrook Rd.</t>
  </si>
  <si>
    <t>Addimae, LLC</t>
  </si>
  <si>
    <t>127 Pheasant Dr.</t>
  </si>
  <si>
    <t>Ronald Maxwell, R/A</t>
  </si>
  <si>
    <t>117 York Dr.</t>
  </si>
  <si>
    <t>Moreno</t>
  </si>
  <si>
    <t>Salvador</t>
  </si>
  <si>
    <t>P.O. Box 224</t>
  </si>
  <si>
    <t>910 New Hampshire Ave.</t>
  </si>
  <si>
    <t>Jean</t>
  </si>
  <si>
    <t>526 W. Washington St.</t>
  </si>
  <si>
    <t>New Castle, PA  16101</t>
  </si>
  <si>
    <t>Napier</t>
  </si>
  <si>
    <t>Doretha</t>
  </si>
  <si>
    <t>Beatrice</t>
  </si>
  <si>
    <t>17649 Brookneal Hwy.</t>
  </si>
  <si>
    <t>P.O. Box 353</t>
  </si>
  <si>
    <t>Ogden</t>
  </si>
  <si>
    <t>234 Farmcrest Rd.</t>
  </si>
  <si>
    <t>Oglesby</t>
  </si>
  <si>
    <t>2309 Heron Hill Pl.</t>
  </si>
  <si>
    <t>Ottey</t>
  </si>
  <si>
    <t>111 Caroline Ave.</t>
  </si>
  <si>
    <t>73 Randall Ln.</t>
  </si>
  <si>
    <t>Bart</t>
  </si>
  <si>
    <t>1106 8th St.</t>
  </si>
  <si>
    <t>15 Dogwood Ln.</t>
  </si>
  <si>
    <t>110 Patricks Dr.</t>
  </si>
  <si>
    <t>249 Wileman Rd.</t>
  </si>
  <si>
    <t>204 Wileman Rd.</t>
  </si>
  <si>
    <t>Perrow</t>
  </si>
  <si>
    <t>P.O. Box 308</t>
  </si>
  <si>
    <t>Pfau</t>
  </si>
  <si>
    <t>Shawn</t>
  </si>
  <si>
    <t>Harold</t>
  </si>
  <si>
    <t>P.O. Box 598</t>
  </si>
  <si>
    <t>Phillips</t>
  </si>
  <si>
    <t>2528 Vincent Ave.</t>
  </si>
  <si>
    <t>Norfolk, VA  23509</t>
  </si>
  <si>
    <t>2675 Eastbrook Rd.</t>
  </si>
  <si>
    <t>Preston</t>
  </si>
  <si>
    <t>Elaine</t>
  </si>
  <si>
    <t>Delores R. Davis, R/A</t>
  </si>
  <si>
    <t>831 CookAve.</t>
  </si>
  <si>
    <t>Brookneal, VA  24258</t>
  </si>
  <si>
    <t>P.O. Box 831</t>
  </si>
  <si>
    <t>Pruitt House Holdings, LLC</t>
  </si>
  <si>
    <t>Rainsford</t>
  </si>
  <si>
    <t>Tage</t>
  </si>
  <si>
    <t>Bird</t>
  </si>
  <si>
    <t>Daniella</t>
  </si>
  <si>
    <t>Vicky</t>
  </si>
  <si>
    <t>227 Coffey Rd.</t>
  </si>
  <si>
    <t>Rocha</t>
  </si>
  <si>
    <t>Jackie</t>
  </si>
  <si>
    <t>6310 Lawyers Rd.</t>
  </si>
  <si>
    <t>3725 Henry Hudson Pkwy. Apt 12A</t>
  </si>
  <si>
    <t>Delana</t>
  </si>
  <si>
    <t>210 June Way.</t>
  </si>
  <si>
    <t>Schrock</t>
  </si>
  <si>
    <t>3865 Pigeon Run Rd.</t>
  </si>
  <si>
    <t>Mark B. Phillips, R/A</t>
  </si>
  <si>
    <t>13617 Wards Rd.</t>
  </si>
  <si>
    <t>22C-1-14D</t>
  </si>
  <si>
    <t>22C-1-14C</t>
  </si>
  <si>
    <t>Shelby</t>
  </si>
  <si>
    <t>352 Lynch Mill Rd.</t>
  </si>
  <si>
    <t>Sligh</t>
  </si>
  <si>
    <t>4556 Long Island Rd.</t>
  </si>
  <si>
    <t>4348 Long Island Rd.</t>
  </si>
  <si>
    <t>Snow</t>
  </si>
  <si>
    <t>Monica</t>
  </si>
  <si>
    <t>Ronald</t>
  </si>
  <si>
    <t>1932 Smoky Hollow Rd.</t>
  </si>
  <si>
    <t>Stiles</t>
  </si>
  <si>
    <t>121 Essex Ct.</t>
  </si>
  <si>
    <t>Thurman</t>
  </si>
  <si>
    <t>Wilbur</t>
  </si>
  <si>
    <t>2280 Tabor Rd.</t>
  </si>
  <si>
    <t>Tomlinson</t>
  </si>
  <si>
    <t>Tiffany</t>
  </si>
  <si>
    <t>219 Oak Grove Rd.</t>
  </si>
  <si>
    <t>623 Lonesome Oak Trl.</t>
  </si>
  <si>
    <t>Vashti, LLC</t>
  </si>
  <si>
    <t>1925 Burnt Bridge Rd., Apt 622</t>
  </si>
  <si>
    <t>Roselio Rioseco, R/A</t>
  </si>
  <si>
    <t>977 Winfall Rd.</t>
  </si>
  <si>
    <t>937 Sugar Hill Rd.</t>
  </si>
  <si>
    <t>P.O. Box 2</t>
  </si>
  <si>
    <t>Hartley, DE  19953</t>
  </si>
  <si>
    <t>Corine</t>
  </si>
  <si>
    <t>260 Lily Ln.</t>
  </si>
  <si>
    <t>Naruna, VA  24576</t>
  </si>
  <si>
    <t>Waller</t>
  </si>
  <si>
    <t>Tamara</t>
  </si>
  <si>
    <t>2312 Green St. SE # 103</t>
  </si>
  <si>
    <t>Washington, DC  20020</t>
  </si>
  <si>
    <t>54 Gold Dust Trl.</t>
  </si>
  <si>
    <t>Jeremy</t>
  </si>
  <si>
    <t>West End. St.</t>
  </si>
  <si>
    <t>218 Mattox St.</t>
  </si>
  <si>
    <t>226 Pleasant Hill Rd.</t>
  </si>
  <si>
    <t>Y.</t>
  </si>
  <si>
    <t>13605 Forest Rd.</t>
  </si>
  <si>
    <t>184 Lisa Ln.</t>
  </si>
  <si>
    <t>Younger</t>
  </si>
  <si>
    <t>897 Long Island Rd.</t>
  </si>
  <si>
    <t>P.O. Box 314</t>
  </si>
  <si>
    <t>Maxine</t>
  </si>
  <si>
    <t>1205 Village Hwy.</t>
  </si>
  <si>
    <t>(434) 394-5628</t>
  </si>
  <si>
    <t>Jesse J. Padgett</t>
  </si>
  <si>
    <t>Padgett</t>
  </si>
  <si>
    <t>430 Main St.</t>
  </si>
  <si>
    <t>Ethel E. Beckham</t>
  </si>
  <si>
    <t>364 Lime Rock Rd.</t>
  </si>
  <si>
    <t>Mary Scott</t>
  </si>
  <si>
    <t>Christopher Scott</t>
  </si>
  <si>
    <t xml:space="preserve">That certain tract or parcel of land, together with the privileges and appurtenances thereunto belonging situate, lying, and being in Central Magisterial District, Campbell County, Virginia, designated as 11 acres, more or less, on plat of survey by Fred Kabler, S.C.C., dated April 27, 1932, a copy of which plat is duly recorded in Plat Book 6, page 54 in the aforesaid Clerk’s office, reference to which is hereby expressly made for a more particular description thereof. </t>
  </si>
  <si>
    <t xml:space="preserve">LESS AND EXCEPT, one acre, more or less, conveyed to Virginia S. Mason and Willie Mason by deed dated March 17, 1965, together with the right of ingress and egress, which deed is duly recorded in Deed Book 367, page 506 in the aforesaid Clerk's Office, and </t>
  </si>
  <si>
    <t>LESS AND EXCEPT one acre, more or less, conveyed to Willie Mason by deed dated May 17, 1973, and recorded in the aforesaid Clerk’s Office in Deed Book 465, page 696.</t>
  </si>
  <si>
    <t xml:space="preserve">This being the same property conveyed from Herman Forman and Edna Forman, husband and wife, to John C. Scott, unmarried.  </t>
  </si>
  <si>
    <t xml:space="preserve">This also being the same property from which John C. Scott, unmarried conveyed two one-third undivided interests, one one-third undivided interest to Dolland Scott, and one one-third undivided interest to Fred Beckham, by Deed dated July 12, 1988, and recorded in the aforesaid Clerk’s Office in Deed Book 676, page 746. </t>
  </si>
  <si>
    <t xml:space="preserve">The Circuit Court of Campbell County Virginia made finding in that certain action filed as County of Campbell, Virginia v. Haywood Scott, et al. made finding that John C. Scott was deceased, and that his heirs at law are Ethel E. Beckham, Dolland Scott, Mary Scott, and Christopher Scott.  </t>
  </si>
  <si>
    <t>That certain tract or parcel of land situate in Rustburg Magisterial District, Campbell County, Virginia, near Lawyers, containing one (1) acre, and being more particularly described by reference to a survey made by T. W. Saunders, C.L.S., dated October 22, 1966, said plat being recorded in the Clerk’s Office of the Circuit Court for the County of Campbell, Virginia in Deed Book 367, at page 508.</t>
  </si>
  <si>
    <t>This being the same property conveyed from Steptoe Ward and Lizzie O. Ward, husband and wife, to Willie Mason and Virginia Mason, husband and wife, by Deed dated March 17, 1965 and recorded in the aforesaid Clerk’s Office in Deed Book 367, page 506.</t>
  </si>
  <si>
    <t>By Will recorded in the aforesaid Clerk’s Office as Instrument No. 080000838, Virginia Mason devised the above-described property to Linda Mae Scott.</t>
  </si>
  <si>
    <t>All that certain tract or parcel of land situate in Flat Creek Magisterial District, Campbell County, Virginia containing one acre, more or less, and more particularly described according to a sketch of the lot at Yellow Branch recorded in the aforesaid Clerk’s Office in Deed Book 465, at page 699, to-wit:</t>
  </si>
  <si>
    <t>BEGINNING at a point marked by an iron, which said point is the northwest corner of a one-acre lot previously conveyed by the party of the first part to said parties of the second part by deed dated March 17, 1965 and recorded in the Clerk's Office of the Circuit Court of Campbell County in Deed Book 307, page 506; thence S. 87° 30' W. 100 feet to a point; thence N. 12° 45' W. 143 feet to a point; thence N. 87° 30’ E. 308 feet to a point; thence S. 12° 45' E. 143 feet to a point; thence S. 87° 30’ W. 209 feet to an iron, being the point of BEGINNING.</t>
  </si>
  <si>
    <t>This being the same property conveyed from Steptoe Ward and Lizzie O. Ward, husband and wife, to Willie Mason and Virginia Mason, husband and wife, by Deed dated May 17, 1973 and recorded in the aforesaid Clerk’s Office in Deed Book 465, page 696.</t>
  </si>
  <si>
    <t>By Will recorded in the aforesaid Clerk’s Office as Instrument No. 080000838, Virginia Mason devised the above-described property to Haywood Scott.</t>
  </si>
  <si>
    <t xml:space="preserve">Central Virginia Federal Credit Union </t>
  </si>
  <si>
    <t>Instrument No. 080001291</t>
  </si>
  <si>
    <t>Instrument No. 090000756</t>
  </si>
  <si>
    <t xml:space="preserve">RACVA Holdings, Inc., </t>
  </si>
  <si>
    <t>Instrument No. 080002412</t>
  </si>
  <si>
    <t>Parks Finance Service, Inc.</t>
  </si>
  <si>
    <t>Instrument No. 090001603</t>
  </si>
  <si>
    <t>James W. Parks, R/A</t>
  </si>
  <si>
    <t>182 Spotnap Rd., Ste B-2</t>
  </si>
  <si>
    <t>Justin Smart</t>
  </si>
  <si>
    <t>Smart</t>
  </si>
  <si>
    <t>jsmart@daylawva.com</t>
  </si>
  <si>
    <t>Garrett</t>
  </si>
  <si>
    <t>(434) 941-3325</t>
  </si>
  <si>
    <t>(434) 851-6996</t>
  </si>
  <si>
    <t>Renita Broggin</t>
  </si>
  <si>
    <t>Broggin</t>
  </si>
  <si>
    <t>Maria D. Loving</t>
  </si>
  <si>
    <t>(434) 546-1202</t>
  </si>
  <si>
    <t>684 Pettigrew Dr.</t>
  </si>
  <si>
    <t>Debra Whitten</t>
  </si>
  <si>
    <t>Whitten</t>
  </si>
  <si>
    <t>(434) 534-5889</t>
  </si>
  <si>
    <t>Newport News, VA  23602</t>
  </si>
  <si>
    <t>4 Oneonta Dr.</t>
  </si>
  <si>
    <t>(757) 503-4941</t>
  </si>
  <si>
    <t>Keonia Y. Douglas</t>
  </si>
  <si>
    <t>(434) 568-0583</t>
  </si>
  <si>
    <t>Corine A. Walker</t>
  </si>
  <si>
    <t>(434) 944-6653</t>
  </si>
  <si>
    <t>(434) 485-6362</t>
  </si>
  <si>
    <t>Edgar R. Payne</t>
  </si>
  <si>
    <t>Jarrett Parton</t>
  </si>
  <si>
    <t>(434) 832-3247</t>
  </si>
  <si>
    <t>jarrett.parton@framatome.com</t>
  </si>
  <si>
    <t>(434) 485-4607</t>
  </si>
  <si>
    <t>(434) 238-4912</t>
  </si>
  <si>
    <t>Jennifer Mattox</t>
  </si>
  <si>
    <t>CL220000178</t>
  </si>
  <si>
    <t>(434) 215-8417</t>
  </si>
  <si>
    <t>304 Peerman School Rd.</t>
  </si>
  <si>
    <t>Tracey G. Preas</t>
  </si>
  <si>
    <t xml:space="preserve">All that certain lot or parcel 0£ land, together with the buildings and improvements thereon, and the privileges and appurtenances thereunto belonging, situate, lying and being in the County of Campbell, Virginia, designated and described as Lot 17 upon a plat entitled "Plat Showing ALDRIDGE SUBDIVISION, College District, Campbell County, Virginia", dated November 15, 1996, by Doyle B. Allen, L.S., a copy of which is of record in the Clerk's Office of the Circuit Court of Campbell County, Virginia, in Plat Cabinet B, Slide 174, page 541. </t>
  </si>
  <si>
    <t>This being the same property conveyed from A&amp;L Builders, Inc. to Joseph Adkins by Deed dated December 11, 2000 and recorded in the aforesaid Clerk's Office in Deed Book 1012, page 673, otherwise known as Instrument No. 000008508.</t>
  </si>
  <si>
    <t>This being the same property conveyed from Scott Gillispie to Christopher J. Barry by Deed dated October 13, 2015 and recorded in the aforesaid Clerk's Office as Instrument No. 150005249.</t>
  </si>
  <si>
    <t>That certain tract or parcel of land, together with the buildings and improvements thereon and the privileges and appurtenances thereunto fronting on State Highway No. 771 about 0.6 miles West of its intersection with State Road No. 646, located in Patrick Henry Magisterial District (formerly Falling River), Campbell County, Virginia, more particularly described as follows, to-wit:</t>
  </si>
  <si>
    <r>
      <t>BEGINNING at a point on the North right of way State Route 771, 0.6 miles West of its intersection with State Route 771, 0.6 miles West of its intersection with State Route 646, at Cor (1); thence S. 76</t>
    </r>
    <r>
      <rPr>
        <sz val="11"/>
        <rFont val="Calibri"/>
        <family val="2"/>
      </rPr>
      <t>° 15' W. 200.0 feet to a stake at Cor. (2); thence N. 14° 30' E. 247.25 feet to a stake at Cor. (3); thence N. 76° 15' E. 200.0 feet to a stake at Cor. (4); thence S. 14° 30'</t>
    </r>
    <r>
      <rPr>
        <sz val="12.65"/>
        <rFont val="Calibri"/>
        <family val="2"/>
      </rPr>
      <t xml:space="preserve"> </t>
    </r>
    <r>
      <rPr>
        <sz val="11"/>
        <rFont val="Calibri"/>
        <family val="2"/>
        <scheme val="minor"/>
      </rPr>
      <t>W. 247.25 feet to point of BEGINNING enclosing 1.0 acres, more or less, as shown on plat of survey made by Erskine W. Proffitt, C.L.S., dated October 26, 1961, and recorded in the Clerk's Office of the Circuit Court of Campbell County in Deed Book 330, page 493.</t>
    </r>
  </si>
  <si>
    <t xml:space="preserve">That certain tract or parcel of land, together with the buildings and improv-ts thereon, and the privileges and appurtenances thereunto belonging, situate, lying and being in Long Mountain Magisterial District, Campbell County, Virginia, on State Route No. 651, containing 5.11 acres, as shown on a plat of survey certified by W. Stratton Walker, C.L.S., dated April 19, 1977, which said survey is recorded with a deed into Irvin Nelson Davis and Ruby Lee Davis dated April 18, 1977, recorded in the Clerk's Office of the Circuit Court of Campbell County, Virginia, in Deed Book 522, at page 126. </t>
  </si>
  <si>
    <t>This being the same property conveyed from Rhea M. Adams and Diane W. Adams, husband and wife, to Scotty James Birtell by Deed dated January 18, 2001 and recorded in the aforesaid Clerk's Office in Deed Book 1017, page 119, also known as Instrument No. 010000670.</t>
  </si>
  <si>
    <t>ALL that certain tract or parcel of land situate (now or formerly) in College Magisterial District, Campbell County, Virginia, being designated as Lot 3 containing 0.344 acre, more or less, as shown on a plat of survey entitled "Plat Showing Section Four, Moss Creek Village for Pin Oak Associates", made by Thomas W. Guffey, C.L.S., dated July 12, 1983, and recorded in the Clerk's Office of the Circuit Court of Campbell County, Virginia in Plat Book 28, pages 7 and 8.</t>
  </si>
  <si>
    <t>This further being the same property convyed from Donald R. Ingmire and Ruie P. Ingmire, husband and wife, to Donald R. Ingmire and Ruie P. Ingmire, Trustees of the Ingmire Family Revocable Living Trust by Deed dated January 30, 2003 and recorded in the aforesaid Clerk's Office as Instrument No. 030002173.</t>
  </si>
  <si>
    <t>43-7-6B, 6B1 &amp; 6B2</t>
  </si>
  <si>
    <t>PARCEL 1: That certain tract or parcel of land, together with the privileges and appurtenances thereunto appertaining, and the buildings and improvements, if any, thereon, situate, lying and being in Campbell County, Virginia, containing 4.09 acres, more or less, and shown and designated as Parcel 1 on a plat made by Ralph P. Hines, C.L.S., dated October 27, 1977, recorded in the Clerk's Office of the Circuit Court for the County of Campbell, Virginia, in Deed Book 529, at Page 876.</t>
  </si>
  <si>
    <t xml:space="preserve">PARCEL 2: That certain parcel of land, together with the privileges and appurtenances thereunto appertaining, and the buildings and improvements, if any, thereon, situate, lying and being in Campbell County, Virginia, containing 0.52 acre, more or less, and shown and designated as Parcel 2 on the aforesaid plat made by Ralph P. Hines, C.L.S., dated October 27, 1977, recorded in the Clerk's Office of the Circuit Court for the County of Campbell, Virginia, in Deed Book 529, at Page 876, which property was formerly known as the "Bowling Cemetery" and is also shown and designated as "Cemetery" on a plat made by Fred Kabler, S.C.C., dated December 1932 and February 1933, recorded in the aforesaid Clerk's Office in Plat Book 5, at Page 55, together with the 23 feet wide outlet shown on the last mentioned plat. The remains buried in said cemetery have been removed and the reservation of the cemetery and any rights therein as set forth in a partition of the real estate of William J. Bowling, recorded in the aforesaid Clerk's Office in Deed Book 164, at Page 74, was terminated and eliminated by order of the Circuit Court of Campbell County, Virginia, entered January 5, 1988, recorded in the aforesaid Clerk's Office in Chancery Order Book 35, at Page 535, and Deed Book 663, at Page 399. Howard L. Bowling has occupied and claimed title to all of the said "Cemetery" and 23 feet wide outlet since prior to October 15, 1987, under claim of title and by virtue of exclusive, open, notorious and continuous adverse possession, without objection or disturbance. </t>
  </si>
  <si>
    <t xml:space="preserve">These three (3) parcels of land now known as Campbell County Tax Map parcels 43-7-6B, 43-7-6B1 and 43-7-6B2 being the exact same real property conveyed from Pearl Wiley Staton and Jeffrey S. Allen, trustees in liquidation of Central Virginia Trucking Co., Inc. to 1248 Opportunity Fund, LLC, a Colorado Limited Liability Company by Deed dated April 8, 2019 and recorded in the aforesaid Clerk's Office as Instrument No. 190001716.  </t>
  </si>
  <si>
    <t>Reference is also made to that certain subdivision plat entitled "SUBDIVISION PLAT OF PARCEL ID# 43-7-6B, NEW PARCELS "A" &amp; "B", JOHN PUCKET CORNER, FLATE CREEK MAGISTERIAL DISTRICT, CAMPBELL COUNTY, VIRGINIA", which said plat is recorded in the aforesaid Clerks Office as Instrument No. 200003061 dividing the aforesaid two parcels into three separate parcels, now known as Campbell County Tax Map parcels 43-7-6B, 43-7-6B1 and 43-7-6B2.</t>
  </si>
  <si>
    <t xml:space="preserve">Parcel 1: All those certain lots or parcels of land located lying and being in Campbell County, Virginia, known and designated as Lots 43, 44A, 45A, and 46A, Block 6, as shown on a plat Entitled "Plat Of Part Of Block 6, Shown in P.B. 8, P. 69: This Being Part of J. L. Winebarger Subdivision, Brookville Magisterial Dist., Campbell County, VA" recorded March 31, 1951 in the Campbell County Clerk's Office in Plat Book 11, page 97. This being a subdivision of a portion of what is known as Lyn-Dan Heights subdivision, as shown on plat by Fred Kabler, S. C. C., dated March, 1946, recorded in the said Clerk's Office in Plat Book 8, page '69. This being a portion of the real estate conveyed to Sarah C. Winebarger by J. L. Winebarger, by deed dated June 21, 1950, and recorded in the said Clerk's Office in deed book 227, page 373. Sarah C. Winebarger and J. L. Winebarger thereafter conveyed lots 43, 44 ,45 and 46 to E. T. Anderson and Edith A. Anderson, or to the survivor, by deed dated September 23, 1950 recorded in the said Clerk's Office in deed book 229, page 282.  Thereafter, by deed dated November 9th, 1950, and recorded in the said Clerk's Office in Deed Book 231, page 513, E.T. and Edith A. Anderson conveyed parts oflots 44, 45 and 46 to Myrtle B. Carey, as shown on the plat referenced above recorded March 31, 1951 in the said Clerk's Office in Plat Book 11, page 97. The conveyance of parts of the said lots caused the Jots to be renamed as Jots 44A, 45A and 46A titled to E.T. and Edith A. Anderson, or the survivor, and lots 44B,45B and 46B to Myrtle B. Carey. Lot 43 remained undivided and titled to E.T. and Edith A. Anderson or the survivor. By deed of the same date, November 9th, 1950, recorded in the said Clerk's Office in Deed Book 231, page 514, Myrtle B. Carey conveyed Jots 47 and 48 of the same Block and Sub Division to E.T. and Edith A. Anders.on or the survivor. </t>
  </si>
  <si>
    <t xml:space="preserve">Parcel 2: All those certain lots or parcels of land in Campbell County, Virginia, known and designated as Lots 41 and 42, in Block 6, as shown on plat of survey made by Fred Kabler, S. C. C., March, 1946, referenced above and recorded in the said Clerk's Office in Plat Book 8, page 69, being a portion of the real estate conveyed to Sarah S. Winebarger, as Sarah C. Winebarger, by J. L. Winebarger by deed dated June 21, 1950 and recorded in the said clerk's office in deed book 227, at page 373. These lots were conveyed to E. T. Anderson and Edith A. Anderson, with right of survivorship, by Sarah S. Winebarger and J. L. Winebarger by deed dated August 21, 1952 recorded in the said clerk's office in deed book 245, page 507. That deed erroneously purported to convey lot 43, which had previously been conveyed to E. T. Anderson and Edith A. Anderson, or survivor, by deed dated September 23, 1950 recorded in the said Clerk's Office in deed book 229, page 282, referenced hereinabove. </t>
  </si>
  <si>
    <t>Both parcels, together comprising Campbell County Tax Map Nos. 22C-6-6-41, 42, 43, 44A, 45A, 46A, 47A &amp; 48A were conveyed from Allen T. Anderson, Executor of the Estate of Edith A. Anderson to Todd Matthew Cox by Deed dated August 23, 2017 and recorded in the aforesaid Clerk's Office as Instrument No. 170004329.</t>
  </si>
  <si>
    <t>All that certain tract or parcel of land lying in Otter River Magisterial District, Campbell County, Virginia, on Otter River about 4 miles from Ward's Bridge, containing 119 acres, more or less, a plat of said land made by Fred Kabler. S.C.C., dated August 7, 1937, recorded in the Clerk's Office of the Circuit Court of Campbell County in Plat Book 6, page 20, and reference is hereby made to said plat for a description of the land hereby conveyed by metes and bounds.</t>
  </si>
  <si>
    <t>This being the same property conveyed from W.R. Brown and Mildred F. Brown, husband and wife, to William R. Brown, Jr. by Deed dated October 5, 1993 and recorded in the aforesaid Clerk's Office in Deed Book 784, at page 122.</t>
  </si>
  <si>
    <t>William R. Brown, Jr. died testate, and pursuant to Article Eight the Will of William R. Brown, Jr., recorded in the aforesaid Clerk's Office as Instrument No 130000272, the above-described property was devised to William Rhett Brown.</t>
  </si>
  <si>
    <t>William R. Brown, Jr. died testate, and pursuant to Article Nine the Will of William R. Brown, Jr., recorded in the aforesaid Clerk's Office as Instrument No 130000272, the above-described property was devised to William Rhett Brown.</t>
  </si>
  <si>
    <t>All that certain lot or parcel of land being "Lot 'A', 8.619 Ac." as shown on that certain plat of survey entitled, "PLAT SHOWING WRB ESTATES, FLAT CREEK DISTRICT, CAMPBELL COUNTY, VA", dated October 10, 1995, made by Douglas A. Lee, Land Surveyor, and recorded in the Clerk's Office of the Circuit Court of Campbell County, Virginia in Plat Cabinet B, Slide 154, page 348.</t>
  </si>
  <si>
    <t>This being a portion of the property conveyed from Mildred Brown unto William R. Brown, Jr. by Deed dated June 13, 1995 and recorded in the aforesaid Clerk's Office in Deed Book 827 at page 538.</t>
  </si>
  <si>
    <t>Heena &amp; Sisters, LLC</t>
  </si>
  <si>
    <t>That certain tract or parcel of land, together with the buildings and improvements thereon, privileges and appurtenances thereumo appertaining, situate, lying and being in Timberlake (fomerly Brookville) Magisterial District, Campbell County, Virginia, containing 2 acres, more or less, more particularly described according to a plat made by Erskine W. Proffitt, C.L.S., dated March 10, 1963 attached to and recorded with a Deed dated January 28, 1971, from Horace Fowler, widower, to Norman Wayne Maddox and wife, of record in the Clerk's Office of the Circuit Court of Campbell County, Virginia, in Deed Book 432,  page 402, to which Deed and the aforesaid plat reference is here made as follows:</t>
  </si>
  <si>
    <t>BEGINNING at an iron on Sunburst Road, as shown on said plat; thence along the line of Elizabeth McDermott, N. 25° 15' W. 443.03 feet to an iron; thence a new line N. 85° 18' E. 210 feet to iron in the line of Horace Fowler; thence S. 25° 15' E. 443.03 feet to an iron found on Sunburst Road;  thence along road S. 85° 18' W. 210 feet to iron and the point of BEGINNING.</t>
  </si>
  <si>
    <t>This being the same property conveyed from S&amp;S Regmi Corp. to Heena &amp; Sisters, LLC, a Virginia Limited Liability Company by Deed dated March 20, 2018 and recorded in the aforesaid Clerk's Office as Instrument No. 180001327.</t>
  </si>
  <si>
    <t>Union Service Corporation, Trustee</t>
  </si>
  <si>
    <t>1051 East Cary St., Suite 1200</t>
  </si>
  <si>
    <t>Instrument No. 180001328</t>
  </si>
  <si>
    <t>All that certain lot or parcel of land lying, situate, and being in the Town of Altavista, Campbell County, Virginia, and more particularly described as follows:</t>
  </si>
  <si>
    <t xml:space="preserve">Being one-half of Lot No. One (1) of Block No. Seventy-One (71), said lot fronting on Fourteenth Street a distance of eighty (80) feet and extending back at right angles between parallel lines with Hillcrest Street a distance of eighty (80) feet andadjoining on the West side one-half of said lot conveyed to Lulie M. Owen.  </t>
  </si>
  <si>
    <t xml:space="preserve">This being the same property conveyed from the W.C.E. Company to Lucy G. Fore by Deed dated April 27, 1973 and recorded in the Clerk's Office of the Circuit Court of Campbell County, Virginia in Deed Book 471, at page 112. </t>
  </si>
  <si>
    <t xml:space="preserve">Lucy G. Fore died testate, and pursuant to that certain list of heirs recorded in the aforesaid Clerk's Office as Will File Instrument No. 150000082, devised all of her real property to Deedee Kay Gill.  </t>
  </si>
  <si>
    <t xml:space="preserve">BEGINNING at an iron in the easterly line of Dawnridge Drive 179.18 feet northwardly of P.T.; thence, with Dawnridge Drive N. 08-12 E. 100 feet to iron; thence, leaving Dawnridge Drive S. 18-48 E. 200 feet to iron; S. 08-12 W. 100 feet to iron; and N. 18-48 W. 200 feet to Dawnridge Drive at the point of Beginning; being Lot 33, in Block 5, the dwelling thereon being known as 303 Dawnridge Drive; as shown on a plat entitled "PLAT OF SURVEY SHOWING LOT 33, SECTION 2, RAINBOW FOREST", dated February 18, 1971, made by Adrian Overstreet, S.C.S., a copy of which is attached to a deed dated February 18, 1971 from C.B. Mills, Jr., Inc., to William R. Ball and wife, said deed being of record in the Clerk's Office of the Circuit Court of Campbell County, Virginia, in Deed Book 433, at page 224. </t>
  </si>
  <si>
    <t xml:space="preserve">All that certain tract or parcel of land, together with the buildings and improvements thereon and the privileges and appurtenances thereunto appertaining, situate, lying and being in Campbell County, Virginia and more particularly described as follows: </t>
  </si>
  <si>
    <t>This being the same property conveyed from WBW Investments, LLC to Mateus F. Fernandes De Oliveira by Deed dated April 2, 2019 and recorded in the aforesaid Clerk's Office as Instrument No. 190001893.</t>
  </si>
  <si>
    <t>James W. McAlister, Jr., Trustee</t>
  </si>
  <si>
    <t>150 Peppers Ferry Rd, NE</t>
  </si>
  <si>
    <t>Christopher P. Taylor, Trustee</t>
  </si>
  <si>
    <t>Hevey, Life Tenants</t>
  </si>
  <si>
    <t>Margaret W. Carwile</t>
  </si>
  <si>
    <t>7059 Lewis Ford Rd.</t>
  </si>
  <si>
    <t>H. Melvin Carwile Testamentary Trust</t>
  </si>
  <si>
    <t>184 Laurel Drive</t>
  </si>
  <si>
    <t>Danny M. Carwile, Trustee</t>
  </si>
  <si>
    <t xml:space="preserve">Being a portion of the 85.9 acres as shown on a plat of survey made by Ralph P. Hines, C.L.S., dated November 3, 1976, a copy of which is recorded in the Clerk's Office of the Circuit Court of Campbell County, Virginia, in Deed Book 518, page 530, together with all rights of way appurtenant to said property. </t>
  </si>
  <si>
    <t>All that certain parcel of ground, together with all improvements thereon, and the privileges and appurtenances thereunto belonging, situate, lying and being in Patrick Henry Magisterial District, Campbell County, Virginia, being on the easterly side of State Route 648, and being that certain 9.045 acres tract reserved as a life estate for John D. Hevey and Celia Grace Clark Hevey described by that certain plat by Berkley Howell &amp; Associates, P.C&gt;, dated July 20, 2005 and recorded with that certain May 6, 2005 contract  described in that certain deed recorded in the Clerk's Office of the Circuit Court of Campbell County, Virginia as Instrument No. 050006318.</t>
  </si>
  <si>
    <t xml:space="preserve">This being the same property conveyed from  John D. Hevey and Celia Grace Clark Hevey to Margaret W. Carwile and the H. Melvin Carwile Testamentary Trust by Deed dated August 8, 2005 and recorded in the aforesaid Clerk's Office as Instrument No. 050006318.  By that same deed, John D. Hevey and Celia Grace Clark Hevey reserved for themselves a life estate in and to the 9.045 acres parcel herein described. </t>
  </si>
  <si>
    <t xml:space="preserve">All that certain lot or parcel of land, together with the buildings and improvements thereon and the privileges and appurtenances thereunto belonging, situate, lying and being in Vista Magisterial District, Campbell County, Virginia, designated as New Parcel, containing 3.00 Ac., more or less, as shown on plat of survey entitled "PLAT SHOWING SUBDlVISION OF PROPERTY OF MATTHEW FARISS VISTA MAGISTERIAL DISTRICT, CAMPBELL COUNTY, VIRGINIA", dated January 13, 2011, made by Perkins &amp; Orrison, Engineers-Planners-Surveyors, a copy of which is attached to and recorded with a deed dated March 21, 2011 as Instrument No. 110001527. </t>
  </si>
  <si>
    <t>This being the same property conveyed from C. Matthew Fariss to Qadeera Puanani Khabir by Deed dated April 11, 2011 and recorded in the aforesaid Clerk's Office as Instrument No. 110002088.</t>
  </si>
  <si>
    <t>Seth E. Twery, Trustee</t>
  </si>
  <si>
    <t>715 Court Street, 2d Floor</t>
  </si>
  <si>
    <t>4/15/201</t>
  </si>
  <si>
    <t>Instrument No. 1100020889</t>
  </si>
  <si>
    <t>353 Tomlin Rd.</t>
  </si>
  <si>
    <t xml:space="preserve">All that certain tract or parcel of land, together with the buildings and improvements thereon, and the privileges and appurtenances thereunto belonging, situate, lying and being in Timberlake Magisterial District, Campbell County, Virginia, designated Parcel "B 11 as :;hown on plat attached to the next hereinafter mentioned deed entitled "Division of Tract Owned by William M. and Ethel M. Greene Near Timber Lake Campbell County - Va.", dated February 20, 1971, made by Adrian Overstreet, S.C.S. </t>
  </si>
  <si>
    <t>This being the same property conveyed from Jeanita M. Greene unto Jessie J. Greene, Sr. and Alice Greene, husband and wife, by Deed dated July 22, 1976 and recorded in the aforesaid Clerk's Office in Deed Book 513, at page 269.</t>
  </si>
  <si>
    <t>Pursuant to that certain Real Estate Affidavit dated June 28, 2021 and recorded in the aforesaid Clerk's Office in Will File 2100000552, Jessie J. Greene Sr. died intestate February 25, 2016, his wife having predeceased him, and leaving as his sole heir at law Jessie J. Greene, Jr.</t>
  </si>
  <si>
    <t xml:space="preserve">All that certain lot or parcel of land, together with the buildings and improvements thereon, and the privileges and appurtenances thereunto belonging, situate, lying and being in Tomahawk Magisterial District, Campbell County, Virginia, being LOT NO. 22, as shown on plat entitled "PLAT SHOWING SECTION 1, THE CROSSINGS, TOMAHAWK DISTRICT, CAMPBELL COUNTY, VIRGINIA," dated April 5, 2000, made by Hurt &amp; Proffitt, Inc., which said plat is of record in the Clerk's Office of the Circuit Court of Campbell County, Virginia in Plat Cabinet B, Slide 251, page 1319 and 1320. </t>
  </si>
  <si>
    <t>The property hereby conveyed is the same identical real estate which was conveyed from Phyllis Louise Stowe to Gayle F. Stowe by Deed dated August 15, 2007 and recorded in the aforesaid Clerk's Office as Instrument No. 070006837.</t>
  </si>
  <si>
    <t>This being the same property which was conveyed from Claude M. Royal and Virginia H. Royal to Michele Lynn Clark by Deed dated February 15, 2018 and recorded in the aforesaid Clerk's Office as Instrument No. 180000825.</t>
  </si>
  <si>
    <t>Jewish Family Services, Conservator</t>
  </si>
  <si>
    <t>Parcel 1: All that certain tract or parcel of land, located on State Route No. 921, in Flat Creek Magisterial District, Campbell County, Virginia, containing 0.838 acre, and more particularly described with reference to plat of Neighbors &amp; Miller, P.L.S., dated February 15, 1984, a copy of which plat is attached hereto and recorded in the Clerk's Office of the Circuit Court of Campbell County, Virginia in Deed Book 601, at page 187.</t>
  </si>
  <si>
    <t xml:space="preserve">Parcel 2: All that certain tract or parcel of land with any improvements thereon situate in Flat Creek District, Campbell County, Virginia, designated as Parcel I containing 0.468 acre as shown on a plat of survey entitled, "PLAT SHOWING PARCEL 1, PART OF THE PROPERTY OR RICHARD M. GREEN ... ", dated July 17, 1998, made by Douglas A. Lee, Land Surveyor, which said plat is recorded in the aforesaid Clerk's Office in Plat Cabinet B, Slide 214, page 948, and to which reference is hereby made for a more particular description by metes and bounds. </t>
  </si>
  <si>
    <t>Parcel 1 being the same property conveyed from Calvin W. Dalton and Nettie B. Dalton to Randy W. Dalton by Deed dated March 23, 1984 and recorded in the aforesaid Clerk's Office in Deed Book 601, at page 186.</t>
  </si>
  <si>
    <t>Parcel 2 being the same property conveyed from Richard M. Green to Randy W. Dalton by Deed dated August 26, 1998 and recorded in the aforesaid Clerk's Office in Deed Book 924, at page 458.</t>
  </si>
  <si>
    <t>Instrument No. 170002156</t>
  </si>
  <si>
    <t xml:space="preserve">All that certain tract or parcel of land, together with the building and improvements thereon and the privileges and appurtenances thereunto belonging, situate, lying and being in the County of Campbell, Virginia, designated and described as Lot 2, containing 3.077 acres, more or less, as shown upon a plat entitled "PLAT SHOWING SECTION 3, OTTERWOOD ESTATES, FLAT CREEK MAGISTERIAL DISTRICT, CAMPBELL COUNTY, VIRGINIA", dated February 9, 1995, made by F.T. Seargeant, L.S., a copy of which plat is ofrecord in the Clerk's Office of the Circuit Court of Campbell County, Virginia, in Plat Cabinet B, Slide 147, pages 273 and 274. </t>
  </si>
  <si>
    <t>All that certain tract or parcel of land, together with the building and improvements thereon and the privileges and appurtenances thereunto belonging, situate, lying and being in the County of Campbell, Virginia, being 1.00 acre on Route 646, as shown upon that certain plat entitled "Plat Showing Property of Phyllis C. Spruce, Long Mountain District, Campbell County, Virginia", dated January 7, 1987, made by Donald R. Miller, Land Surveyor, which said plat is recorded in the Clerk's Office of the Circuit Court of Campbell County, Virginia in Deed Book 643, at page 413.</t>
  </si>
  <si>
    <t>This being the same property conveyed from Phyllis C. Spruce to Willie A. Colmean and Mary S. Coleman, husband and wife, by deed dated January 9, 1987 and recorded in the aforesaid Clerk's Office in Deed Book 643, at page 411.</t>
  </si>
  <si>
    <t>Sheila M. Smith, Treasurer</t>
  </si>
  <si>
    <t>Instrument No. 030000654</t>
  </si>
  <si>
    <t>Jason S. Miyares, Attorney General</t>
  </si>
  <si>
    <t>Commonwealth of Virginia, Department of Taxation</t>
  </si>
  <si>
    <t>202 North Ninth St.</t>
  </si>
  <si>
    <t>Instrument No. 070001633</t>
  </si>
  <si>
    <t>Southside Electric Cooperative</t>
  </si>
  <si>
    <t>Frank F. Rennie, IV, R/A</t>
  </si>
  <si>
    <t>1930 Huguenot Rd.</t>
  </si>
  <si>
    <t>Richmond, VA  23235</t>
  </si>
  <si>
    <t>Instrument No. 140002572</t>
  </si>
  <si>
    <t>DBA: Brookneal Auto Parts</t>
  </si>
  <si>
    <t>Instrument No. 170000743</t>
  </si>
  <si>
    <t>Stephanie Rozier-Allen</t>
  </si>
  <si>
    <t>Rozier-Allen</t>
  </si>
  <si>
    <t>(434) 485-4939</t>
  </si>
  <si>
    <t>137 Jochebed Ln.</t>
  </si>
  <si>
    <t>(434) 665-1179</t>
  </si>
  <si>
    <t>HOLD till 4/13</t>
  </si>
  <si>
    <t>Brenda M. Trent</t>
  </si>
  <si>
    <t>(434) 942-4591</t>
  </si>
  <si>
    <t>(434) 338-9224</t>
  </si>
  <si>
    <t>CL22000181-00</t>
  </si>
  <si>
    <t>No action till 4/1</t>
  </si>
  <si>
    <t>2017-2021</t>
  </si>
  <si>
    <t>103C-38-30, 31, 32, 33, 34, 35, 36, 37 &amp; 38</t>
  </si>
  <si>
    <t xml:space="preserve">All those certain lots or parcels ofland, situated, lying and being in the Town of Altavista, formerly Vista Magisterial District, Campbell County, Virginia, more particularly described as Lots 109, 109A, 110, 110A, 111, 111A of the Valley View Heights Division as described on survey of the same ofrecord in Plat Book 5, Page 135, in the Clerk's Office of the Circuit Court of Campbell County, Virginia, and being more particularly shown on plat ofresurvey made by John D. Jacobs, C. L. S., dated November 26, 1976, a copy of which plat is recorded in the aforesaid Clerk's Office in Deed Book 517, Page 774, said property being more particularly described with reference to said plat as follows: </t>
  </si>
  <si>
    <t xml:space="preserve">BEGINNING at iron set on margin of Valley View Drive which iron is 125 feet from iron found at intersection of Valley View Drive and then unnamed street as shown on said plat; thence S. 32° 06' W. 304.33 feet to iron set; thence N. 56° 21' W. 75.03 feet to iron set; thence N. 32° 06' E. 302.31 feet to iron on margin of Valley View Drive; thence S. 57° 54' E. 75.00 feet along the margin of Valley View Drive to the point of beginning. </t>
  </si>
  <si>
    <t>This being the same property conveyed from First Properties, Inc. to Dawn M. Crawford by Deed Dated March 7, 2016 and recorded in the aforesaid Clerk's Office as Instrument No. 160001206.</t>
  </si>
  <si>
    <t>Aubrey H. Hall, III</t>
  </si>
  <si>
    <t xml:space="preserve">All those six (6) lots, together with all buildings and improvements thereon and appurtenances thereunto belonging, situate in the Town of Brookneal, Campbell County, Virginia, designated on the plat of Wickliff-Rush Addition as Lots 9, 10, 11, 12, 13 and 14 in Block 17. </t>
  </si>
  <si>
    <t>This being the same property conveyed from Hope V. Wright to Cristy Nicole Scott by Deed dated November 20, 2006 and recorded in the aforesaid Clerk's Office as Instrument No. 060009654.</t>
  </si>
  <si>
    <t>Douglas Huson, Trustee</t>
  </si>
  <si>
    <t>477 Viking Dr., Suite 100</t>
  </si>
  <si>
    <t>Virginia Beach, VA  23452</t>
  </si>
  <si>
    <t>Gary Zell, Trustee</t>
  </si>
  <si>
    <t>6164 Fuller Court</t>
  </si>
  <si>
    <t>Alexandria, VA  22310</t>
  </si>
  <si>
    <t>Elijah</t>
  </si>
  <si>
    <t xml:space="preserve">That certain tract or parcel of land, together with the buildings and improvements thereon, and the privileges and appurtenances thereunto belonging, situate, lying and being in the Town of Altavista, Campbell County, Virginia, and described as follows: </t>
  </si>
  <si>
    <t xml:space="preserve">BEGINNING at an iron stake on the westerly side of the alley between Bedford Avenue and Hillcrest Street 400 feet from the North side of Fourteenth Street; thence along the side of said alley 40.85 feet to an iron stake; thence turning an angle at 115° 33' 128.6 feet to a point on property line of said Bedford Avenue extended; thence along said Bedford Avenue extended on a 16 degree curve 104.0 feet; thence 153.4 feet on a line parallel to said Fourteenth St. to the point of BEGINNING. </t>
  </si>
  <si>
    <t xml:space="preserve">LESS AND EXCEPT any and all off conveyances for highway purposes of record affecting said property. </t>
  </si>
  <si>
    <t>This being the same property conveyed from Roger T. Eubank to Emmett P. Cunningham by Deed dated October 7, 2019 and recorded in the Clerk's Office of the Circuit Court for Campbell County, Virginia as Instrument No. 190005387.</t>
  </si>
  <si>
    <t>Pursuant to that certain List of Heirs recorded in the aforesaid Clerk's Office as Will File Instrument No. 220000033, Emmett P. Cunningham died intestate August 16, 2020, leaving as his sole heir at law Emmett P. Cunningham, Jr.</t>
  </si>
  <si>
    <t>Emmett P. Cunningham, Jr.</t>
  </si>
  <si>
    <t>9713 Stipp St.</t>
  </si>
  <si>
    <t>Burke, VA  22015</t>
  </si>
  <si>
    <t>Lynchburg, VA 24501</t>
  </si>
  <si>
    <t>That certain lot or parcel of land situate in Flat Creek Magisterial District, Campbell County, Virginia, and designated as Lot No, 3, in E-lock D, as shown on "Plat Showing Section 1 - Blocks A-B-C-D Hallwood Hills",  made by A. E. Neighbors, Jr., P.L.S., May 12, 1981, and of record in the Clerk's Office of the Circuit Court  for the said County of Campbell in Plat Book Z6, at page 544 along with a Deed of Dedication dated June 9, 1981.</t>
  </si>
  <si>
    <t>This being the same property conveyed from Clyde H. Goodman &amp; Elizabeth K. Cox to Donald L. Cyrus &amp; Lillie D. Cyrus, husband and wife, by Deed dated March 1, 1982 and recorded in the aforesaid Clerk's Office in Deed Book 579, at page 79.</t>
  </si>
  <si>
    <t xml:space="preserve">That certain tract or parcel of ground situate, lying and being on the eastern or northeastern side of U.S. Route No. 29 and more particularly described on the plat entitled, "Plat Showing a Lot Cut from the Land of Gertrude H. Stephens, being part of the land conveyed to her by M.F. Stephens on September 11, 1942 and recorded in Deed Book 191, page 4, Brookville Magisterial District, Campbell County, Virginia," dated December 30, 1961, made by Erskine W. Proffitt, a copy of which is recorded in the Clerk's Office of the Circuit Court of Campbell County, Virginia in Deed Book 332, page 488. LESS AND EXCEPT, 0.132 acre, more or less, conveyed unto the Commonwealth of Virginia by deed dated April 5, 1965, recorded in Deed Book 369, page 366. </t>
  </si>
  <si>
    <t>This being the same property conveyed from George B. Phillips, Executor of the Estate of Joan S. Foster to Seneca Creek Property, LLC by Deed dated February 3, 2016 and recorded in the aforesaid Clerk's Office as Instrument No. 16000548.</t>
  </si>
  <si>
    <t xml:space="preserve">All that certain tract or parcel of land, together with the privileges and appurtenances thereunto belonging, situate, lying and being in Campbell County, Virginia, and designated as Lot No. Four (4), containing 5. 10 acres, more or less, as shown on a plat entitled "Sheet 2 02 2 Sheets Map of Crescent Hills Property of Penn Development Corp.", made by T. P. Parker &amp; Son, Engrs. &amp; Surveyors April 27, 1977 and of record in the Clerk's Office of the Circuit Court for the said County of Campbell in Plat Book 23, at pages 90 and 91 . </t>
  </si>
  <si>
    <t>This being the same property conveyed from DET, Inc. to Seneca Creek Property, LLC by Deed dated February 3, 2016 and recorded in the aforesaid Clerk's Office as Instrument No. 100004682.</t>
  </si>
  <si>
    <t>R.H. Gilliam, Jr.</t>
  </si>
  <si>
    <t>Instrument No. 100004683</t>
  </si>
  <si>
    <t>775 Village Hwy.</t>
  </si>
  <si>
    <t>Instrument No. 160000549</t>
  </si>
  <si>
    <t>All those certain tracts or parcels of land with improvements, appurtenances, and rights thereunto belonging, located, lying, and being near Main Street and Locust Drive in the Town of Brookneal, Campbell County, Virginia, known and designated as all of the rest and remainder of Lots 30, 31, 32, 33, 34, 35, 36, 37, and 38, inclusive, as shown on plat of C.L. Demott recorded in the Clerk's Office of the Circuit Court of Campbell County, Virginia in Deed Book 324, page 434, less and except those certain off-conveyances noted in that certain Deed from Old Main Associates to Brookneal Ventures, LLC dated January 29, 1999 and recorded in the aforesaid Clerk’s Office in Deed Book 943, at page 583.</t>
  </si>
  <si>
    <t>Through two deeds of correction, both dated June 18, 2004 and recorded in the aforesaid Clerk's Office as Instrument Nos. 040005402 &amp; 040005448, the parties to the aforesaid deed from Old Main Associates to Brookneal Ventures, L.L.C. recorded at Deed Book 944, at page 583 confirmed that Brookneal Ventures, L.L.C. was never an entity in good standing with the Virginia Corporation Commission.  The parties to the deed of correction confirmed that title to Campbell County Tax Map Parcels 103C-52-5, 103C-52-6 &amp; 103C-52-7 is and should be vested in Stanley Smith and that title to Campbell County Tax Map Parcels 103C-52-1, 103C-52-2 &amp; 103C-52-3 is and should be vested in Douglas C. Rogers.  Neither deed of correction provided information concerning the current beneficial ownership of Campbell County Tax Map Parcels 103C-38-30, 31, 32, 33, 34, 35, 36, 37 &amp; 38.</t>
  </si>
  <si>
    <t>This being the same property conveyed or attempted to have been conveyed from Old Main Associates, a Virginia general partnership to Brookneal Ventures, L.L.C. by Deed dated January 29, 1999 and recorded in the aforesaid Clerk's Office in Deed Book 944, at page 583.  Old Main Associates received title to the aforesaid lots 30, 31, 32, 33, 34, 35, 36, 37, and 38, inclusive, together with certain Lots 1, 2, 3, 5, 6 &amp; 7 upon which are situtated townhouses known as "Grandview" by Deed dated December 22, 1982 and recorded in the aforesaid Clerk's Office in Deed Book 587, at page 221.  The deed from Old Main Associates to Brookneal Ventures, L.L.C. recorded at Deed Book 944, at page 583 purported to convey unto Brookneal Ventures, L.L.C. lots 1, 2, 3, 5, 6 &amp; 7 as well as lots 30, 31, 32, 33, 34, 35, 36, 37, and 38.</t>
  </si>
  <si>
    <t>Gary W. Case</t>
  </si>
  <si>
    <t>307 Brook Park Pl</t>
  </si>
  <si>
    <t>Forest, VA 24551</t>
  </si>
  <si>
    <t>Arthur Thomas Dunn</t>
  </si>
  <si>
    <t>142 Samson Way</t>
  </si>
  <si>
    <t>Madison Heights, VA 24572</t>
  </si>
  <si>
    <t>Littleton G. Blanks, III</t>
  </si>
  <si>
    <t>100 Westwood Dr</t>
  </si>
  <si>
    <t>That certain lot or parcel containing 2.91 acres, and described as Lot 1, Section 2, Chapel Grove Manor on plat of survey made by F. T. Seargent, L.S., Surveyor, dated January 1, 1994, and entitled "'Plat Showing Family Division, Section 2, Chapel Grove Manor'" a copy of said plat being of record in the Clerk's Office of the Circuit Court of Campbell County, Virginia, in Deed Book 803, page 521.</t>
  </si>
  <si>
    <t>This being the same property conveyed from Catherine P. Giles and Delores P. Goggin to Tony W. Martin and Rebecca A. Martin, husband and wife, by Deed dated June 11, 1999 and recorded in the aforesaid Clerk's Office in Deed Book 959, page 717.</t>
  </si>
  <si>
    <t xml:space="preserve">Pursuant to that certain List of Heirs dated August 24, 2012 and recorded in the aforesaid Clerk's Office in Will File 1200000555, Tony W. Martin died intestate June 7, 2012, his wife having survived him, thereby vesting sole title in the property herein described in Rebecca Ann Martin. </t>
  </si>
  <si>
    <t xml:space="preserve">Those certain lots or parcels of land situate, lying and being in the Town of Brookneal, Campbell County, Virginia, and being Lots Four (4), Five (5), and Six (6) of Block 20 of the Wickliffe-Rush Addition to the Town of Brookneal, fronting on the north side of Marshall Street all as shown on a plat recorded in the Clerk's Office of the Circuit Court of Campbell County in Deed Book 90, page 378. BEING the identical property conveyed unto </t>
  </si>
  <si>
    <t xml:space="preserve">This being the same parcel conveyed from Robert William Fallen to Kevin William Fallen and Robert William Fallen, by that certain Deed of Gift dated March 7, 2012 and recorded in the Clerk's Office of the Circuit Court of Campbell County, Virginia as Instrument No. 120001498. </t>
  </si>
  <si>
    <t>150 David Bruce Ave.</t>
  </si>
  <si>
    <t>Charlotte CH, VA  23923</t>
  </si>
  <si>
    <t>Instrument No. 150005154</t>
  </si>
  <si>
    <t>Instrument No. 060009655</t>
  </si>
  <si>
    <t>Instrument No.160001207</t>
  </si>
  <si>
    <t>Instrument No. 160001207</t>
  </si>
  <si>
    <t>Tyler E. Williams, III, Trustee</t>
  </si>
  <si>
    <t>Calvin R. Short, Trustee</t>
  </si>
  <si>
    <t>That certain lot or parcel of land lying on Secondary Highway No. 660, Holcomb Path Road, a short distance northwest of Opossum Creek, and about one mile southeast of U.S. Highway No. 501, in Long Mountain Magisterial District, Campbell County, Virginia, and being Lot No. 4 on plat of survey made January 5, 1955, by Charles H. Kirkland C.L.S., a copy of which plat is recorded with a deed dated January 15, 1955, from Viola Brown Preston and husband to Constance P. Wood and husband in the Campbell County Circuit Court Clerk's Office in Deed Book 261, page 343.</t>
  </si>
  <si>
    <t>This being the same property conveyed from Elijah E. Preston and Elaine L. Preston, his wife to Elijah E. Preston and Elaine L. Preston, husband and wife, by Deed dated August 7, 1992 and recorded in the aforesaid Clerk's Office in Deed Book 752, page 408.</t>
  </si>
  <si>
    <t>10 South Jefferson St., Suite 1800</t>
  </si>
  <si>
    <t>All of those certain lots or parcels of real estate, together with any and all improvements thereon, situate, lying and being in the County of Campbell, Virginia, fronting on State Secondary Route 656, described as Parcel A and Parcel B, as shown and described on plat of survey entitled, "Survey and Map Showing 3 Parcels of Land to be Exchanged between the Wills for Greater Road Frontage and the Mills for a Larger Lot on Route 656 in Campbell County, Virginia," by F. T. Seargent, C.L.S., dated May 12, 1981, page 454.  Said property is further described on a plat of survey entitled “Resurvey of Parcels "A" and “B” containing 1.473 Acres on s. R. 656, Long Mountain Mag. Dist., Campbell Co., Virginia," made by James C. May, Jr., L.S., dated March 30, 1998, which said plat is recorded in the Clerk’s Office of the Circuit Court for the County of Campbell, Virginia in Deed Book 909, page 378.</t>
  </si>
  <si>
    <t>Pursuant to that certain List of Heirs dated July 11, 2018 and recorded in the aforesaid Clerk's Office in Will File 180000508, Roger Lee Christian died intestate May 7, 2018, leaving Casey Jackson as his sole heir at law.</t>
  </si>
  <si>
    <t>This being the same property conveyed from Martha A. Perry to Roger Lee Christian, unmarried and Eleanor Olivia Jackson, unmarried, by Deed dated February 19, 1998 and recorded in the aforesaid Clerk's Office in Deed Book 909, at page 376.</t>
  </si>
  <si>
    <t>Eleanor</t>
  </si>
  <si>
    <t>Jerome G. Hackney, Jr.</t>
  </si>
  <si>
    <t>5916 Terrell Ave</t>
  </si>
  <si>
    <t>Oxon Hill, MD 20745</t>
  </si>
  <si>
    <t>All that certain tract or parcel of land, lying, situate, and being in Campbell County, Virginia, near Naruna and designated "Cora Callaham Lot” and estimated to be 10 acres, more or less; conveyed to J. W. Callaham by Cora Callaham Jackson and others by deed dated July 12, 1915, recorded in Deed Book 103, page 483.</t>
  </si>
  <si>
    <t>This being the same property conveyed from W.H. Overbey and William L. Wilson to Thomas Delano Jenkins and Shirley Temple Jenkins by Deed dated December 31, 1981 and recorded in the Clerk’s Office of the Circuit Court of Campbell County, Virginia, in Deed Book 577, page 886.</t>
  </si>
  <si>
    <t>Shirley T. Hackney, being one and the same as Shirley T. Jenkins, quitclaimed her right title and interest in the same property to Jerome G. Hackney by Deed dated November 23, 2010 and recorded in the aforesaid Clerk’s Office as Instrument No. 100006266.</t>
  </si>
  <si>
    <t>All that certain tract or parcel of land, lying, situate, and being in Campbell County, Virginia, near Naruna and designated as the “Louise McIvor Lot”, LESS the 29/100 acre conveyed to State Highway Commissioner for improvement of Route 501 and the 67/100 acre allotted to Pauline C. Thomas Smith in this proceeding. The remainder is estimated to be 9.04 acres.</t>
  </si>
  <si>
    <t>All that certain tract or parcel of land, lying, situate, and being in Campbell County, Virginia, near Naruna and designated "George Elliott Lot", LESS the 1.1 acre conveyed to State Highway Commissioner for improvement of Route 501, and the 2 acres shown on plat of W. S. Walker, C.L.S., dated June 27, 1966 and recorded with deed of William L. Wilson and E, Bruce Harvey, Commissioners, dated July 7, 1966 to Walthall &amp; Florence Bradley, of record in Deed Book 382, page 241.</t>
  </si>
  <si>
    <t>90-4-8F1</t>
  </si>
  <si>
    <t>Ns.</t>
  </si>
  <si>
    <t>(434) 941-7876</t>
  </si>
  <si>
    <t>All that certain tract or parcel of land situate in Long Mountain Magisterial District, Campbell County, Virginia, on State Secondary Route 607, and being Lot No. Two (2) of ''Bear Cub Subdivision", as shown on a plat by Alfred H. Carter, C.L.S. recorded in the Clerk's Office of the Circuit Court of Campbell County in Plat Book 21, page 52.</t>
  </si>
  <si>
    <t>This being the same property conveyed from Bennie's Mobile Home Sales, Inc. to Charlotte J. Davis, by deed dated October 22, 1975 and recorded in the aforementioned Clerk's Office in Deed Book 503 at page 278.</t>
  </si>
  <si>
    <t>All that certain lot or parcel of real estate, together with any and all improvements thereon, and the privileges and appurtenances thereunto belonging, situate, lying and being in the Flat Creek Magisterial District of Campbell County, Virginia, being shown and described as Revised Lot 15, containing 2.139 acres, on a plat of survey entitled "Plat Showing Revised Lots 7 &amp; 15, Section 2, Sunburst Hills," made by Lee Surveying, Douglas A. Lee, L.S., dated February 19, 2004, and recorded in the Clerk's Office of the Circuit Court of Campbell County, Virginia, in Plat Cabinet B, Slide 334, at page 2250. Reference is hereby made to the said plat for a more detailed and complete description of the real estate, and the metes and bounds contained therein are incorporated herein by reference the same as if fully written out herein.</t>
  </si>
  <si>
    <t>This being the same property conveyed from Wendy Ballowe Coffey to Darrell Shupe, by deed dated May 16, 2013 and recorded in the aforementioned Clerk's Office as Instrument No. 140000398.</t>
  </si>
  <si>
    <t>828 Main Street, 19th Floor</t>
  </si>
  <si>
    <t>Instrument No. 140000394</t>
  </si>
  <si>
    <t>c/o Sarah W. Houck</t>
  </si>
  <si>
    <t>Sarah W. Bell, P.C., Trustee</t>
  </si>
  <si>
    <t>All that certain tract or parcel of land lying and being in Flat Creek Magisterial District, Campbell County, Virginia containing 6.220 acres being shown as Parcel A on a plat dated October 24, 1994 recorded together with that certain Deed dated November 11, 1994 from Howard H. Roberts and Billie D. Roberts to Howard H. Roberts, Billie D. Roberts and Billy D. Roberts, which said plat is recorded in the Clerk’s Office of the Circuit Court of Campbell County, Virginia in Plat Cabinet B, Slide 131, Page 116, reference to said plat being made for a more particular description of the property herein conveyed.</t>
  </si>
  <si>
    <t>Zachary Roberts</t>
  </si>
  <si>
    <t>533 Nickland Ave.</t>
  </si>
  <si>
    <t>All those two certain adjoining tracts or parcels of land, each containing two (2) acres, more or less, and lying on the north side of and fronting on the Rustburg and Concord Road, in Rustburg Magisterial District, Campbell County, Virginia, and being Tracts numbered 4 and 3 in a plat of survey by Fred Kabler, S.C.C., bearing date of January 20, 1920, and recorded in said County Clerk’s Office in Plat Book 1, at page 79, and being the same lots or parcels of land conveyed to Hatley C. Jones by Ella D. Cardwell, unmarried, by deed dated May 3, 1945, and recorded in the Campbell County Clerk's Office in Deed Book 198, at page 569, to which deed and plat special reference is here made for a more particular description of the land hereby conveyed.</t>
  </si>
  <si>
    <t>This being the same property conveyed from Louise Crider Jones, et al., heirs of Hatley C. Jones,  to Louise Crider Jones, individually by Deed dated October 3, 1975 and recorded in the aforesaid Clerk’s Office in Deed Book 502, page 544.</t>
  </si>
  <si>
    <t>This being the same property conveyed from Howard H. Roberts and Billie D. Roberts to Howard H. Roberts, Jr., life tenant, and Zachary Roberts, remainderperson, by Deed dated November 11th, 1994 and recorded in the aforesaid Clerk's Office in Deed Book 815, page 526.</t>
  </si>
  <si>
    <t xml:space="preserve">That certain tract or parcel of land, together with any buildings and improvements thereon and any appurtenances thereunto belonging, situate in the Vista Magisterial District, Campbell County, Virginia and designated as Lot No. 373, Phase XVI, Runaway Bay, containing 8.639 acres and more particularly shown upon a plat of survey dated August 15, 2002, made by Thomas C. Brooks, Sr., L.S., entitled "Map XVI, Phase XVI, RUNAWAY BAY, Vista District, Campbell County, Virginia", which said plat is recorded in the Clerk's Office of the Circuit Court of Campbell County, Virginia in Plat Cabinet B, Slide 305, pages 1951 AND 1952. </t>
  </si>
  <si>
    <t>David W. Shreve, R/A</t>
  </si>
  <si>
    <t>801 7th St.</t>
  </si>
  <si>
    <t>Instrument No. 190003982, and by virtue of that judgement lien dated June 22, 2020 and recorded in the aforesaid Clerk's Office as Instrument No. 200003497, and by virtue of that judgement lien dated August 3, 2021 and recorded in the aforesaid Clerk's Office as Instrument No. 210005920.</t>
  </si>
  <si>
    <t>All that certain lot or parcel of land with all improvements situate thereon, lying and being in Patrick Henry Magisterial District, Campbell County, Virginia, fronting on State Route 603, containing 3.618 acres, more or less, and designated as Lot No. Six (6) on a plat of survey made by James C. May, Jr., C.L.S., dated September 13, 1988, entitled "Plat of Countryside Estates, Patrick Henry Mag. Dist., Campbell County, Virginia" of record in the Clerk's Office of the Circuit Court of Campbell County in Plat Book 33, page 25.</t>
  </si>
  <si>
    <t>This being the same property conveyed from Alfred L. Grubbs, Jr. &amp; Sandra J. Grubbs to Valenche Letecia Cheatham by deed dated January 12, 1998 and recorded in the aforementioned Clerk's Office in Deed Book 902, page 859.</t>
  </si>
  <si>
    <t>This being the same property conveyed from River Oaks Investments of Virginia to Lawrence S. &amp; Marlene A. Eagleburger, husband and wife, by deed dated December 13, 2002 and recorded in the aforementioned Clerk's Office as Instrument No. 030000087.</t>
  </si>
  <si>
    <t>Gary W. Morgan &amp; W.H. Overbey, Jr., Trustees</t>
  </si>
  <si>
    <t>Deed Book 906, page 407</t>
  </si>
  <si>
    <t>Eddie P. Adams, Sr.</t>
  </si>
  <si>
    <t>That certain tract or parcel of land, together with the privileges and appurtenances thereunto belonging, situate, lying and being in Falling River Magisterial District, Campbell County, Virginia, containing 1.0 acre, and more particularly described as follows:</t>
  </si>
  <si>
    <t>BEGINNING at an old marked double post oak which is on the northerly edge of the road shown on a plat, said plat being recorded in the Clerk's Office of the Circuit Court of Campbell County in Plat Book 7, page 108, said double post oak being the southwestern corner of the property which was conveyed to Robert Lynch, single, on the 24th day of July, 1965; thence from said point of beginning with the westerly line of the above-mentioned property N. 26 degrees, 30 minutes W. 420 feet to the northwest corner of said property; thence with the northern line of said property N. 70 degrees, 00 minutes E. 105.0 feet to a point; thence leaving the northern line of said property and across said property S. 36 degrees, 30 minutes E. 420 feet to a point in the southern line of said property; thence along and with the southern line of said property and the northern edge of a road S. 70 degrees, 00 minutes w. to the point of beginning, containing 1.0 acre, more or less, LESS and EXCEPT any existing road right of ways.</t>
  </si>
  <si>
    <t>This being the same property conveyed from Elmer N. Adams to James E. Adams, Sr., life tenant and Eddie P. Adams, remainderperson, by Deed dated June 14, 2000 and recorded in the Clerk's Office of the Circuit Court of Campbell County, Virginia in Deed Book 995, page 712.</t>
  </si>
  <si>
    <t>All of those certain tracts or parcels of real estate, together with any and all improvements thereon and the privileges and appurtenances thereunto appertaining, lying and being in the Long Mountain District of Campbell County, Virginia, containing 33.48 acres and 1.47 acres, more or less, and being more particularly shown on a certain plat entitled, "Plat of Survey for Larry W. Tyree, Long Mountain District, Campbell County, VA.", dated May 12, 1980, revised January 20, 1981, made by James C. May &amp; Associates, C.L.S., which plat is recorded in Plat Book 25, at page 85.</t>
  </si>
  <si>
    <t>This being the same property conveyed unto Larry W. Tyree and Mary Catherine Martin Tyree, husband and wife, by deed dated May 20, 1980 from Alice C. Martin, widow, et al, of record in the aforesaid Clerk's Office in Deed Book 561, at page 586; and subsequently conveyed unto the said Larry W. Tyree and Mary Catherine Martin Tyree, husband and wife, by deed of correction dated January 22, 1981, of record in the aforesaid Clerk's Office in Deed Book 570, at page 585.</t>
  </si>
  <si>
    <t>LESS AND EXCEPT a parcel of real estate containing 2.200 Ac. conveyed unto William W. Goff. Jr. and Deborah H. Goff, husband and wife, by deed dated July 29, 1986 from Larry W. Tyree and Mary Catherine Martin Tyree, husband and wife, of record in the aforesaid Clerk's Office in Deed Book 635, at page 182.</t>
  </si>
  <si>
    <t>FURTHER LESS AND EXCEPT that certain tract or parcel of land containing 6.631 acres conveyed unto William Anderson Tyree by that certain Deed dated November 10, 2016 and recorded in the aforesaid Clerk’s Office as Instrument No. 160005617, as is more particularly shown on a certain Plat of Survey dated April 4, 2016, made by Russell E. Nixon, Land Surveyor, which plat is recorded in the aforesaid Clerk’s Office in Plat Cabinet C, Slide 156, Page 1555.</t>
  </si>
  <si>
    <t>This parcel is subject to a perpetual right of way and easement 50 feet in width running adjacent to and on the Northwest side of the property as shown on the plats recorded at Plat Book 25, at page 85 and Plat Cabinet C, Slide 156, Page 1555.</t>
  </si>
  <si>
    <t>As stated in that certain Deed dated November 10, 2016 and recorded in the aforesaid Clerk’s Office as Instrument No. 160005617, Mary Catherine Martin Tyree died October 9, 2016 vesting title in Larry W. Tyree pursuant to the survivorship provisions in the aforementioned Deed recorded in Deed Book 561, at page 586.</t>
  </si>
  <si>
    <t>A. David Hawkins, Trustee</t>
  </si>
  <si>
    <t>Instrument No. 100000929</t>
  </si>
  <si>
    <t xml:space="preserve">All that certain lot or parcel of land, together with any improvements thereon and all the appurtenances thereunto belonging, lying, being, and situate in Campbell County, Virginia, and designated as Lot No. 9, containing 5.105 acres, as shown on that certain plat entitled "Sheet 2 of 2, Map of Section 3, Ridgewood, Property of Penn Development Corporation", made by T.P. Parker and Son, Engineers and Surveyors, dated April 15, 1976, and of record in the Clerk's Office of the Circuit Court of Campbell County, Virginia, in Plat Book 22, Page 69 and 70. </t>
  </si>
  <si>
    <t>This being the same property conveyed from Gail C. Salyer to James T. Dalton and Robin C. Dalton by Deed dated July 29, 2019 and recorded in the aforesaid Clerk's Office as Instrument No. 190004455.</t>
  </si>
  <si>
    <t>100 Shockhoe Slip, 2nd Floor</t>
  </si>
  <si>
    <t>Instrument No. 120000602</t>
  </si>
  <si>
    <t>Ray</t>
  </si>
  <si>
    <t>56B-2-1E</t>
  </si>
  <si>
    <t>56B-2-1C</t>
  </si>
  <si>
    <t>That certain tract or parcel of land situate, lying and being in Flat Creek Magisterial District, Campbell County, Virginia, designated as .830 AC on that certain Plat of Survey styled, "Plat showing Resurvey of Property of Carrie K. Goad and Charles W. Keatts on Wards Road (S.R. 29) Flat Creek District, Campbell County, VA." made by Russell E. Nixon, L.S., dated April 29, 2013, which said Plat is recorded in the Clerk’s Office of the Circuit Court of Campbell County, Virginia in Plat Cabinet C, Slide 105, page 1046, and to which said Plat reference is hereby made for a more particular description of the property here conveyed.</t>
  </si>
  <si>
    <t>All that certain tract or parcel of land situate, lying and being in Flat Creek Magisterial District, Campbell County, Virginia and described as:</t>
  </si>
  <si>
    <t>BEGINNING at a stake on the Westerly margin of U. S. Highway No. 29 in the line of R.E. Keatts' land; thence along the Westerly margin of U, S. Highway No. 29 in a Northerly direction a distance of 100 feet to a stake; thence leaving U. s. Highway No, 29 in a Westerly direction and extending to the Westerly boundary line of R. E. Keatts; thence S, 22½0 W, a distance of 100 feet to a stake; thence in an Easterly direction to the Westerly margin of U.S. Highway No. 29 and point of beginning, being a rectangular shaped lot fronting 100 feet on "National Highway No. 29" as shown on a plat of; land situated on and near the National Highway No. 29 dated June 13, 1936 made by Fred Cabler, S.C.C,, and being part of the land designated as Lot No. 1 on said plat and being part of the same land conveyed to R, E. Keatts and Lena Keatts by deed dated June 4, 1956 and of record in the Clerk’s Office for the Circuit Court of Campbell County, Virginia in Deed Book 276, Page 664. (See also Deed Book 188, Page 49 and Deed Book 152, Page 89).</t>
  </si>
  <si>
    <t>This property is subject to a nonexclusive perpetual easement of right-of-way for ingress and egress over and across the currently existing driveway on said Parcel for the distance of 150’, as stated in that certain deed of easement recorded in the aforesaid Clerk’s Office as Instrument No. 190003326.</t>
  </si>
  <si>
    <t>This being the same property conveyed from R.E. Keatts &amp; Lena Keatts to Ray Goad and Carrie K. Goad, husband and wife, by Deed dated October 5, 1963 and recorded in the aforesaid Clerk's Office in Deed Book 352, page 130.</t>
  </si>
  <si>
    <t>This being the same property conveyed from Carrie Keatts Goad and Charles W. Keatts to Carrie Keatts Goad by Deed of Gift and Partition dated June 24, 2013 and recorded in the aforesaid Clerk's Office as Instrument No. 130003787.</t>
  </si>
  <si>
    <t>Joshua A. Bailey</t>
  </si>
  <si>
    <t>RACVA Holdings, Inc.</t>
  </si>
  <si>
    <t>DBA Rehab Associates of Central VA.</t>
  </si>
  <si>
    <t>Campbell county</t>
  </si>
  <si>
    <t>Instrument No. 040000675</t>
  </si>
  <si>
    <t>Christopher R. Kavanaugh, District Attorney</t>
  </si>
  <si>
    <t>Instrument No. 130000999</t>
  </si>
  <si>
    <t>6672 Tax</t>
  </si>
  <si>
    <t>James E. Adams</t>
  </si>
  <si>
    <t>Richard Booth, DBA</t>
  </si>
  <si>
    <t>Booth Logging</t>
  </si>
  <si>
    <t>664 Cascade Ln</t>
  </si>
  <si>
    <t>Boones Mill, VA 24065</t>
  </si>
  <si>
    <t xml:space="preserve">Franklin County, VA </t>
  </si>
  <si>
    <t>Instrument No. 130001976</t>
  </si>
  <si>
    <t>James England, DBA</t>
  </si>
  <si>
    <t>Brookneal Auto Parts</t>
  </si>
  <si>
    <t>Instrument No. 160002488</t>
  </si>
  <si>
    <t>David D. Elder, R/A</t>
  </si>
  <si>
    <t>DET, Inc.</t>
  </si>
  <si>
    <t>1068 Hermans Hollow Rd.</t>
  </si>
  <si>
    <t>Instrument No. 170001166</t>
  </si>
  <si>
    <t>ALL that certain lot or parcel of land, situate, lying and being in Campbell County, Virginia, containing 5.69 acres, more or less, designated as Tract 3, Block 4, as shown on the Map of Section 4, Holiday Forest, property of Holiday Farms Corp., Long Mountain Magisterial District of Campbell County, Virginia, made by T. P. Parker &amp; Son, Engineers and Surveyors, dated May 1, 1974, recorded in the Clerk's Office of the Circuit Court of Campbell County, Virginia, in Plat Book 21, pages 5 and 6; BEING the same property conveyed to William H. Kraper and Sharon D. Kraper, by Deed from Mutual Savings and Loan Association of Virginia, dated September 10, 1986, recorded November 17, 1986, in the aforesaid Clerk's Office in deed Book 640, page 402. Sharon D. Kraper died June 29, 2007, and by operation of law title vested solely in William H. Kraper.</t>
  </si>
  <si>
    <t>This being the same property conveyed from William H. Kraper to Justin Hogan and Karen Hogan, Husband and Wife, by Deed dated April 22, 2014 and recorded in the aforesaid Clerk’s Office as Instrument No. 140001785.</t>
  </si>
  <si>
    <t>Terry B. Whorley</t>
  </si>
  <si>
    <t>All that certain lot or parcel of land, together with the privileges and appurtenances thereunto and the buildings and improvements thereon, situate, lying and being in the Vista District of Campbell County, Virginia, and designated as Parcel C, containing 3.03 acres, as shown on a plat entitled "Plat Showing Single Lot Division, Vista District, Campbell County, VA", dated May 13, 2010 and made by Southeast Survey Group, LTD., of record in the Clerk's Office of the Circuit Court for the County of Campbell, Virginia in Plat Cabinet "C", Slide 64, page 632.</t>
  </si>
  <si>
    <t>This being the same property conveyed from George A. Patterson &amp; Deborah Ray Gaddy f/k/a Deborah Ray Patterson to George A. Patterson by Deed pursuant to Divorce dated November 3, 2020 and recorded in the aforesaid Clerk's Office as Instrument No. 210004909.</t>
  </si>
  <si>
    <t>All that certain tract, lot or parcel of land situate, lying and being in Vista Magisterial District, Campbell County, Virginia (formerly Otter River Magisterial) about three miles west of Lynch Station, Virginia containing 5.76 acres being shown as Parcel B on a plat dated September 25, 2009 entitled "Plat Showing Single Lot Division ... For Deborah R. Gaddy", made by Elizabeth R. Rosser, L. S., a copy of said plat is of record in the aforesaid Clerk's Office in Plat Cabinet C, Slide 55, Page 543.</t>
  </si>
  <si>
    <t>This being the same property conveyed from George Allen Patterson to Terry B. Whorley by Deed dated August 17, 2021 and recorded in the aforesaid Clerk's Office as Instrument No. 220000247.</t>
  </si>
  <si>
    <t>All that certain tract, lot or parcel of land situate, lying and being in Vista Magisterial District, Campbell County, Virginia (formerly Otter River Magisterial District) about three miles west of Lynch Station, Virginia containing 7.98 acres, more or less, being the residue of 16.76 acres devised to Grantor by the will of Maynard C. Vaughan less a 5.76 acre parcel previously conveyed to Grantees and a 3.03 acre parcel shown as Parcel C on a plat dated May 13, 2010 entitled "Plat Showing SINGLE LOT DIVISION ... For Preston Vaughan", made by Elizabeth R. Rosser, L.S., a copy of said plat being recorded in the Campbell County Circuit Court Clerk's Office as Instrument Number 100002783.</t>
  </si>
  <si>
    <t>Patrick H. Tweedy</t>
  </si>
  <si>
    <t>1248 Opportunity Fund, LLC</t>
  </si>
  <si>
    <t>All those two certain tracts or parcels of land located in the Town of Altavista, Campbell County, Virginia, described as being Lot No. 6, of Block 37 fronting 60 feet on the Northwest wide of Fifth Street and running back at right angles a distance of 140 feet, as shown on the revised map of the Town of Altavista, Virginia, dated Januazy 7, 1911, and recorded in Deed Book 89, at Page 419, of the records of the Campbell Connty, Virginia, and being the same property which was conveyed to Thornton Critchley by Ella Mae Critchley by deed of record in the aforesaid Clerk's Office in Deed Book 649, at Page 265; and all that certain tract or parcel of land together with the buildings and improvements thereon and the privileges and appurtenances thereunto belonging, situate, lying and being in the Town of Altavista, Virginia, County of Campbell, and more particularly described as Lot No. 7, of Block 37, fronting on the northwest side of Fifth Street a distance of 60 feet and running back at right angles a distances of 140 feet to an alley, as shown on the aforesaid map, which said property was conveyed unto Thornton Critchley, Sr., by Howard F. Hammack, Widower, by deed dated the 4th day of May, 2012, and recorded immediately prior to this deed and further being the same property which was conveyed unto Howard F. Hammack and Thornton Critchley, being the same as Thornton Critchley, Sr., by deed dated September 23, 1971, from Kenneth H. King and Margaret Jean King, husband and wife, which deed is of record in the aforesaid Clerk's Office in Deed Book 441, Page 31, and reference to all of the above mentioned deeds and plats being made for a more particularly description of the property hereby conveyed.</t>
  </si>
  <si>
    <t>This being the same property conveyed from John &amp; Deborah Tweedy to Jesse F. Kirby, Jr. &amp; Samantha M. Kirby by Deed dated July 6, 2020 and recorded in the aforesaid Clerk's Office as Instrument No. 200003927.</t>
  </si>
  <si>
    <t>John D. Tweedy &amp; Deborah N. Tweedy, Noteholders</t>
  </si>
  <si>
    <t>5023 Leesville Rd.</t>
  </si>
  <si>
    <t>Instrument No. 200003927</t>
  </si>
  <si>
    <t>Lindsay Leonard, Esquire</t>
  </si>
  <si>
    <t>That certain lot or parcel of land designated as Lot 4 , Section 1, Federal Hill Estates, is shown on plat entitled "Plat Showing Subdivision of Federal Hill Estates, Section One," dated January 27, 1978, recorded in the Clerk's Office of the Circuit Court of the County of Campbell, Virginia in Plat Book 24, pages 17-18.</t>
  </si>
  <si>
    <t>That certain lot or parcel of land designated as Lot 5 , Section 1, Federal Hill Estates, is shown on plat entitled "Plat Showing Subdivision of Federal Hill Estates, Section One," dated January 27, 1978, recorded in the Clerk's Office of the Circuit Court of the County of Campbell, Virginia in Plat Book 24, pages 17-18.</t>
  </si>
  <si>
    <t>This being the same property conveyed from John E. Howard and Adrienne M. Howard, husband and wife, to Tage J. Rainsford and Danielle N. Bird, husband and wife, by Deed dated April 20, 2020 and recorded in the aforesaid Clerk's Office as Instrument No. 200002479.</t>
  </si>
  <si>
    <t>Stacy S. Temple, Trustee</t>
  </si>
  <si>
    <t>291 Independence Blvd.</t>
  </si>
  <si>
    <t>Instrument No. 200002480</t>
  </si>
  <si>
    <t>George H. Bagwell, Trustee</t>
  </si>
  <si>
    <t>Bagwell &amp; Bagwell, P.C.</t>
  </si>
  <si>
    <t>47 S. Main St.</t>
  </si>
  <si>
    <t>Instrument No. 090005629</t>
  </si>
  <si>
    <t>OrthoVirginia, Inc. as successor to</t>
  </si>
  <si>
    <t>Instrument No. 160001158</t>
  </si>
  <si>
    <t>Instrument No. 160000344</t>
  </si>
  <si>
    <t>All those certain contiguous lots or parcels of land, together with any and all improvements thereon and all privileges and appurtenances thereunto belonging or in any wise appertaining, situate, lying and being in the Town of Brookneal, Campbell County, Virginia, and described as follows:</t>
  </si>
  <si>
    <t>Parcel 1: That certain lot designated as Lot 3-1/2 in Block G of the Carolina Development Company Addi-tion to the Town of Brookneal and shown and described upon plat of survey found of record in the Office of the Clerk of the Circuit Court of Campbell County, Virginia, in Deed Book 87, at page 254;</t>
  </si>
  <si>
    <t>Parcel 2: The remainder of Lot 3 in Block U of the aforesaid Carolina Development Company Addition and being that part of Lot 3 not conveyed to Charlie W. Martin by deed of record in the said Clerk's Office in Deed Book 275, at page 501, plat of which is found of record in said Clerk's Office in Deed Book 275, at page 503.</t>
  </si>
  <si>
    <t>Parcel 3: A small lot in the rear of the above two lots being approximately 70x38 feet and being the remainder of Lot 4A, Block G, of the aforesaid Carolina Development Company Addition to the Town of Brookneal.</t>
  </si>
  <si>
    <t>Reference is made to survey by Charles H. Kirkland, CCS, dated July 3, 1957, of record in the aforesaid Clerk's Office in Plat Book 14, at page 168.</t>
  </si>
  <si>
    <t>This being the same property conveyed from Addie Lewis Jennings to Christopher D. Bell and Elena Bell, husband and wife by Deed dated November 14, 2008 and recorded in the aforesaid Clerk's Office as Instrument No. 090005628.</t>
  </si>
  <si>
    <t>Blue Ridge Ear, Nose, Throat &amp; Plastic Surgery, Inc.</t>
  </si>
  <si>
    <t>Timothy Courville, R/A</t>
  </si>
  <si>
    <t>2321 Atherholt Rd.</t>
  </si>
  <si>
    <t>Instrument No. 080001724</t>
  </si>
  <si>
    <t>Instrument No. 130001678</t>
  </si>
  <si>
    <t>All of that certain tract or parcel of land, together with any buildings and improvements thereon and the privileges and appurtenances thereunto belonging, situate, lying and being in the Vista Magisterial District, Campbell County, Virginia, designated as Parcel "A", containing 15.545 Ac., more or less, as shown on a plat entitled "PLAT SHOWING RECONFIGURATION OF 22.779 ACRES PROPERTY OF STACEY LEE MITCHELL, VISTA DISTRICT, CAMPBELL COUNTY, VA.", dated December 22, 2017, made by Russell E. Nixon, Land Surveyor, a copy of which is recorded in the Clerk's Office of the Circuit Court of Campbell County, Virginia in Plat Cabinet C, Slide 192, Page 1920.</t>
  </si>
  <si>
    <t xml:space="preserve">This being the same property conveyed from Stacy L. Mitchell to Masters Inn, Inc. by Deed dated February 7, 2019.  </t>
  </si>
  <si>
    <t>Eric J. Sorenson, Jr., R/A</t>
  </si>
  <si>
    <t>Bank of the James</t>
  </si>
  <si>
    <t>828 Main St., Ste 19</t>
  </si>
  <si>
    <t>Instrument no. 210001709</t>
  </si>
  <si>
    <t>That certain tract or parcel of land, together with the improvements thereon, and the privileges and appurtenances thereunto belonging, situate, lying and being in Central Magisterial District, Campbell County, Virginia, on Beaver Creek and the Durham Division of the Norfolk &amp; Western  Railroad, about one-half mile from Harlowe, and three-fourths mile from Alexander's, both stations on the said Durham  division of the Norfolk &amp; Western Railroad, containing 2.55  acres, more or less, and more particularly described as follows:</t>
  </si>
  <si>
    <t>Beginning at a point where the westerly boundary line of Lot No. 7, as shown on a plat entitled "Plat of the Harlowe Farm", made by Fred Kabler, dated May 15, 1918, and of record in the Clerk's Office of the Circuit Court of Campbell County, Virginia, in Plat Book 1, at page 80, intersects the southerly line of State Secondary Route 670, which said point is situate approximately 815 feet, more or less, in a southwesterly direction along the said southerly line of said State Secondary Route 670 from the intersection of said southerly line with the northwesterly right of way line of the Norfolk &amp; Western Railroad; thence along the said southerly line of State Secondary Route 670 N. 68° 00' E. 300 feet to a point; thence leaving the said line of said road S. 18 ° 15' E. 410 feet, more or less, to the center line of a creek, as shown on the above mentioned plat; thence along said creek, as it meanders in a general northwesterly and then southwesterly direction to a point where the center line of said creek intersects the said westerly line of Lot No. 7, as shown on the above mentioned: plat; thence along the said line of said Lot No. 7, N. 18° 30' W. approximately 336.40 feet to the point of beginning.</t>
  </si>
  <si>
    <t>That certain tract or parcel of land, together with any buildings and improvements thereon and any appurtenances thereunto belonging, situate in the Vista Magisterial District, Campbell County, Virginia and designated as Lot No. 322, Phase IX, Runaway Bay, containing 1.846 acre and more particularly shown upon a plat of survey dated August 15, I 998, made by Thomas C. Brooks, Sr., L.S., entitled "Map IX, Phase IX, RUNAWAY BAY, Vista District, Campbell County, Virginia", which said plat is recorded in the Clerk's Office of the Circuit Court of Campbell County, Virginia in Plat Cabinet B, Slide 257, pages 1378-1379.</t>
  </si>
  <si>
    <t>There is also conveyed an easement to use the drainfield located on other property owned by the party of the first part with the further right to install, repair and maintain, if necessary, lines to connect the drainfield with the septic system located on Lot No. 322 and the right of access to use and service said easement.</t>
  </si>
  <si>
    <t>This being the same property conveyed from Douglas W. Ayers &amp; Terri S. Ayers to Frances D. Austin by Deed dated September 19, 2001 and recorded in the aforesaid Clerk's Office as Instrument No. 010007677.</t>
  </si>
  <si>
    <t xml:space="preserve">All that certain tract No. 38, Section I, Country Haven Estates, containing 6.41 acres more or less, as designated by survey made by Dudley &amp; Zeh, C.L.S., Rocky Mount, Virginia, dated August 31, 1977, plat being of record in the Clerk's Office of the Circuit Court, Campbell County, Virginia in Plat Book 23, at page 94, to which reference is hereby made for a more particular description.  </t>
  </si>
  <si>
    <t>Grantor shall have the right of ingress and egress over and along the 50' right of way as shown on the aforesaid plat, in common with others evidenced by a grant of easement of ingress and egress by declaration from Country Haven Estates, Inc., et al of record in the aforesaid Clerk's Office in Deed Book 539, at page 50.</t>
  </si>
  <si>
    <t>This being the same property conveyed to Jeffrey Tod Carwile, with a life estate reserved unto Frank Herbert Carwile, by deed dated May 24, 1994 and recorded in the Clerk's Office of the Circuit Court of Campbell County, Virginia in Deed Book 802, Page 764.</t>
  </si>
  <si>
    <t>All that certain tract or parcel of real estate together with the buildings and improvements thereon and the easements and appurtenances thereunto belonging being in Flat Creek Magisterial District of Campbell County, Virginia, fronting on State Route 622 (Lynbrook Road) and State Route 690 (Clark's Road) designated as Parcel A, containing 1.00 acre, more or less, as more particularly shown on that certain plat of survey entitled "Plat Showing Family Division, 1.000 ACRE, PARCEL "A" CUT OFF JANET E. POWERS PROPERTY ON S.R. 622 AND 690, made by James B. May, Jr., L.S. dated August 24, 2009, a copy of which is recorded in the Clerk's Office of the Circuit Court of Campbell County in Plat Cabinet C, Slide 54, Page 537.</t>
  </si>
  <si>
    <t>Janet E. Powers and Deborah L. Thomas reserved an easement that runs with the land across the 1.00 (one) acre parcel for access to and from Clark's Road (S.R. 690) as shown on the above-described plat.</t>
  </si>
  <si>
    <t xml:space="preserve">This is the same property conveyed unto Hugh Arthur MacArthur, Jr., by Deed of Gift dated September 2, 2009 from Janet E. Powers and Deborah L. Thomas and recorded in the aforesaid Clerk's Office as Instrument Number 090006683. </t>
  </si>
  <si>
    <t>That certain tract or parcel of land, together with the buildings and improvements thereon, and the privileges and appurtenances thereunto belonging, situate, lying and being in Campbell County, Virginia, designated as Lot 1-A, Block A, Lo-Ray Acres, as shown upon a plat entitled "PLAT SHOWING RE-SUBDIVISION OF LOTS 1 AND 2, BLOCK A, LO-RAY ACRES," dated February 23, 1976, made by Hurt and Proffitt, Inc., recorded in the Office of the Clerk, Circuit Court, Campbell County, Virginia, in Deed Book 508, at Page 313. Said plat being incorporated herein by reference for a more particular description of the property hereby conveyed.</t>
  </si>
  <si>
    <t>This being the same parcel that was conveyed from Omar D. Hussamy, Personal Representative of the Estate of Samir Hussamy to Bong Thi Dang by Deed dated June 15, 2020 and recorded in the aforesaid Clerk's Office as Instrument No. 200003444.</t>
  </si>
  <si>
    <t>Stone Wynd Titles, LLC, Trustee</t>
  </si>
  <si>
    <t>376 Raven Wood Lane</t>
  </si>
  <si>
    <t>Instrument No. 200003445</t>
  </si>
  <si>
    <t>LESS AND EXCEPT that certain portion of the aforesaid parcel which was conveyed unto the Commonwealth of Virginia, Department of Transportation by virtue of that certain Deed dated April 23, 2018 and recorded in the aforesaid Clerk's Office as Instrument No. 180001876.</t>
  </si>
  <si>
    <t>Jeffrey Wells, Director</t>
  </si>
  <si>
    <t>20644 Timberlake Road</t>
  </si>
  <si>
    <t>Instrument No. 140001947</t>
  </si>
  <si>
    <t>Kershaw, Inc.</t>
  </si>
  <si>
    <t>Sandra R. Kershaw, R/A</t>
  </si>
  <si>
    <t>d/b/a Roto Rooter</t>
  </si>
  <si>
    <t>311 Brook Park Pl.</t>
  </si>
  <si>
    <t>Instrument No. 160000172</t>
  </si>
  <si>
    <t>That certain tract or parcel of land, with all improvements thereon, lying and being in Campbell County, Virginia being Lot No'. 3 as shown on plat of the subdivision of the lands of H. F. Burnette, made by Thomas T. Adams, B.S., in Eng., in the month of August, 1946, and more particularly described as follows:</t>
  </si>
  <si>
    <t>BEGINNING in the center of Chellis Ford Road, thence S. 66-3/4° W. 51.8 feet to the stake; thence S 56 w 20.57 feet to corner, stake, thence S. 43-3/4° W. 227.2 feet to the center of a right of way to a spring on said property; thence continuing S. 49-3/4° N. 121.7 feet to the southwestern margin of a right of way leading to said spring; thence along the southwestern margin of said right of way S. 83-3/4° E. 174.2 feet; thence S. 72-1/2° E. 200 feet opposite said spring, thence S. 48-1/2° E. 50  feet to the line of Lot No. 11, as shown on said plat; thence along the line of Lot No. 11, S. 57-1/2° W. 405 feet to corner with Lot No. 2, thence N. 46-3/4° W. 372 feet to the BEGINNING, containing approximately 4.08 acres.</t>
  </si>
  <si>
    <t>This being the same parcel conveyed from Ruth Brown to Roosevelt Brown by Deed dated April 22, 1993 and recorded in the Clerk's Office of the Circuit Court of Campbell County, Virginia in Deed Book 769, at page 870.</t>
  </si>
  <si>
    <t xml:space="preserve">All that certain tract or parcel of land, together with the privileges and appurtenances thereunto belonging, situate, lying and being in Patrick Henry Magisterial District, Campbell County, Virginia, containing 2.000 Ac. and designated as Parcel 1-A on the attached plat dated Dec. 12, 1990, made by Hurt &amp; Proffitt, Inc., which said plat is recorded in the Clerk's Office of the Circuit Court of Campbell County, Virginia in Plat Book 37, at PAge 10, and to which plat reference is made for a more particular description of the lot herein conveyed. </t>
  </si>
  <si>
    <t>This being the same property conveyed from Joan W. Ogden (f/k/a Joan W. Williamson) by Deed dated June 13, 2019 and recorded in the aforesaid Clerk's Office as Instrument No. 210009001.</t>
  </si>
  <si>
    <t>Harold W. Tomlin, Trustee</t>
  </si>
  <si>
    <t>P.O. Box 340</t>
  </si>
  <si>
    <t>Stuarts Draft, Virginia  24477</t>
  </si>
  <si>
    <t>Instrument No. 030011274</t>
  </si>
  <si>
    <t>Rockingham County</t>
  </si>
  <si>
    <t>9365 New Horizon Ct</t>
  </si>
  <si>
    <t>McGaheysville, VA 22840</t>
  </si>
  <si>
    <t>That certain lot or parcel of land situate in Patrick Henry Magisterial District, Campbell County, Virginia, containing One (1) acre, more or less, situate near the East Ferry Public Road (State Route 701) and on the Gladys public road (State Route 698) about four (4) miles westerly from Gladys, to-wit:</t>
  </si>
  <si>
    <t>BEGINNING at a point in the center of State Route 698 which said point is approximately 390 feet from the intersection of State Route 701 with State Route 698, thence with said Route 698 in a southeasterly direction 240 feet to a point; thence at a right angle to said Route 698 - 210 feet in a southwesterly direction to a point; thence in a northwesterly direction 210 feet in a line parallel with State Route 698 to a point: thence in a northeasterly direction 220 feet, passing through a small clump of trees, to a point in State Route 698, being the point of BEGINNING.</t>
  </si>
  <si>
    <t>This being the same parcel conveyed from William Arthur Viar and Edgar Alston Viar to Vercia M. Viar Guthrie by Deed dated February 6, 1973 and recorded in the Clerk's Office of the Circuit Court of Campbell County, Virginia in Deed Book 460, page 699.</t>
  </si>
  <si>
    <t>All of that tract or parcel of land designated as Tract No. Fourteen (14) and containing 3.000 acres, as shown on a Plat of Survey dated October 1, 1995, and entitled, "Plat of Survey of Mill Runn Subdivision," by Berkley-Howell &amp; Associates, P.C., which plat is recorded in the Office of the Clerk of the Circuit Court of Campbell County, Virginia, in Plat Cabinet B, Slide 159, pp. 393 and 394; and being, in fact, a part of the exact same realty acquired by Timberline Corporation of Virginia, a Delaware Corporation, by deed dated October 5, 1995, from C. Douglas Branch and Carolyn K. Branch, his wife, which deed is duly recorded in the aforesaid Clerk's Office in Deed Book 836, page 536, and to which map and deed specific reference is hereby made for a more particular description of the property herein conveyed.</t>
  </si>
  <si>
    <t>This being the same property conveyed from the Timberline Corporation of Virginia to Barbara B. Phillips by Deed dated June 6, 1996 and recorded in the aforesaid Clerk's Office in Deed Book 852, page 616.</t>
  </si>
  <si>
    <t>Anthony W. Lowery</t>
  </si>
  <si>
    <t>480 Beasley Rd.</t>
  </si>
  <si>
    <t>That certain tract or parcel of Ianµ situate in Timberlake Magisterial District, Camphell County, Virginia, more particularly described according to a plat entitled "Plat of Survey Showing: Part of Property Of EARL M. &amp; GEORGE E. DRISKELL Timberlake Mag. District CAMPBELL COUNTY-VA.", MADE BY Adrian Overstreet, S.C.S., dated Nov. 13, 1971, and which plat is attached to and recorded in the Clerk's Office of the Circuit Court of Campbell County, Virginia, in Deed Book 443, at page 123, as a part of a deed dated November 16, 1971; the land hereby conveyed abuts the extreme southwesterly corner of the 11.31 acres conveyed in said deed dated November 16, 1971, and is further described as follows:</t>
  </si>
  <si>
    <t>BEGINNING at iron at the extreme southwest comer of said 11.31 acres and running thence N. 65° 40' W. 480.86 feet to a point; thence N. 32° 32' E. 209. 15 feet to a point in the center of Buffalo Creek; thence N. 65° 35' W. passing iron at 200 feet, in all 456.45 feet to a point; thence S. 26° 04' W. 205.57 feet to the point of BEGINNING.</t>
  </si>
  <si>
    <t>The 2/3 undivided interest formerly held by Timothy L. Lowery was then conveyed from Timothy L. Lowery to Timothy L. Lowery, and Lacy M. Robertson by Deed dated March 29, 2018 and recorded in the aforesaid Clerk's Office as Instrument No. 180001650.</t>
  </si>
  <si>
    <t>Being the same property conveyed unto William Cosby Lowery and Gladys S. Lowery, husband and wife, as tenants by the entireties with right of survivorship, by deed dated November 16, 1971 of record in the Office of the Circuit Court Clerk, Campbell County, Virginia, in Deed Book 443, at page 121 and by deed dated February 6, 1973 of record in the aforesaid Clerk's Office in Deed Book 462, at page 489. Thereafter, Gladys S. Lowery died on December 8, 2006 thereby vesting title in her husband, William Cosby Lowery. Thereafter, William Cosby Lowery died on February 18, 2014 survived by his three sons, namely, to-wit: Timothy L. Lowery, Archie Edward Cook and Anthony Wayne Lowery.</t>
  </si>
  <si>
    <t>Pursuant to a real estate affidavit of record in the aforesaid Clerk's Office as Instrument Number 140000489 Timothy L. Lowery acquired a one-third (1/3) undivided interest in the aforesaid property.</t>
  </si>
  <si>
    <t>Timothy L. Lowery acquired a one-third (1 /3) undivided interest from Archie Edward Cook, by deed dated January 3, 2017 and recorded in the aforesaid Clerk's Office as Instrument Number 170003719.</t>
  </si>
  <si>
    <t>All that certain tract or parcel of land with any buildings and improvements thereon and the privileges and appurtenances thereunto belonging, lying and being in Long Mountain Magisterial District, Campbell County, Virginia, on Patricks Drive, designated as Lot 3, containing 1.716 acres as shown on plat of survey entitled, "PLAT OF SURVEY SHOWING FAMILY DIVISION OF PART OF HENRY THOMAS PATRICK, JR. &amp; MARTHA ANN S. PATRICK PROPERTY ON U.S. RT. 501", made by James C. May, Jr., Land Surveyor, dated March 14, 2003, and recorded in the Clerk’s Office of the Circuit Court of Campbell County, Virginia in Plat Cabinet B, Slide 316, page 2065.</t>
  </si>
  <si>
    <t>This being the same property conveyed from Henry Thomas Patrick, Jr. &amp; Martha Ann S. Patrick, husband and wife, to James Robert Patrick, Jr. by Deed dated March 31, 2003 and recorded in the aforesaid Clerk's Office as Instrument No. 130002887.</t>
  </si>
  <si>
    <t>That certain parcel or lot of land containing 2.02 acres located on State Road No. 696 (known as East Ferry Road) as shown on lot surveyed by john d. Jacobs, C.L.S., Aug. 8, 1968, a copy of the plat being attached to this deed, made a part thereof and recorded therewith, and being a part of the same property conveyed to u. B. Thurman and Nannie Hall Thurman and the survivor thereof by deed dated Aug. 20, 1960 and recorded in the Clerk’s Office of the Circuit Court of Campbell County, Virginia in Deed Book 319, page 169, said U.B. Thurman having died in 1968 survived by his widow, Nannie Hall Thurman. (see also deed book 145, page 181 and deed book 213, page 254 for 60.07 acres originally conveyed to U.B. Thurman).</t>
  </si>
  <si>
    <t>LESS AND EXCEPT that certain 0.975 acre tract designated as Parcel "C" on that certain plat of survey made by Acres of Virginia, F.T. Seargent, L.S., dated July 26, 1996 and entitled, "Plat showing Parcel "A" Property of Lewis E. &amp; Elizabeth T. Hall and Parcels "B" and "C" property of Wilbur D. Thurman", which said plat is recorded in the aforesaid Clerk's Office in Plat Cabinet B, Slide 167, page 473.  The remainder portion now known as Tax Map No. 86-A-32 being 1.044 acres as stated upon the aforesaid plat of survey.</t>
  </si>
  <si>
    <t>This being the same property conveyed from Nannie Hall Thurman to Wilbur D. Thurman by Deed dated November 20, 1968 and recorded in the aforesaid Clerk's Office in Deed Book 407, page 214.</t>
  </si>
  <si>
    <t>That certain tract or parcel of land located in Campbell County, Virginia, designated as Lot 13 as shown on "Plat Showing Hillandale Acres", dated July 17, 1978, by Donald R. Miller, C.L.S., recorded in the Clerk's Office of the Circuit Court of Campbell County, Virginia, in Plat Book 24, at page 43.</t>
  </si>
  <si>
    <t>This being the same parcel conveyed from Janet R. Martin to Carl G. Stiles by Deed dated August 7, 2018 and recorded in the aforesaid Clerk's office as Instrument No. 180003761.</t>
  </si>
  <si>
    <t>Instrument No. 110008035</t>
  </si>
  <si>
    <t>Instrument No. 040000315; and under lien dated April 27, 2007 and recorded in the aforesaid Clerk's office as Instrument No. 070000670; and under lien dated September 18, 2007 and recorded in the aforesaid Clerk's office as Instrument No. 070001469.</t>
  </si>
  <si>
    <t>Instrument No. 200003494; and under lien dated August 9, 2021 and recorded in the aforesaid Clerk's Office as Instrument No. 210005922</t>
  </si>
  <si>
    <t>CL22000490-00</t>
  </si>
  <si>
    <t>CL22000487-00</t>
  </si>
  <si>
    <t>CL22000486-00</t>
  </si>
  <si>
    <t>CL22000489-00</t>
  </si>
  <si>
    <t>CL22000485-00</t>
  </si>
  <si>
    <t>CL22000484-00</t>
  </si>
  <si>
    <t>CL22000474-00</t>
  </si>
  <si>
    <t>CL22000476-00</t>
  </si>
  <si>
    <t>CL22000477-00</t>
  </si>
  <si>
    <t>CL22000497-00</t>
  </si>
  <si>
    <t>CL22000496-00</t>
  </si>
  <si>
    <t>CL22000388-00</t>
  </si>
  <si>
    <t>CL22000389-00</t>
  </si>
  <si>
    <t>CL22000385-00</t>
  </si>
  <si>
    <t>No action till 4/15</t>
  </si>
  <si>
    <t xml:space="preserve">That certain tract or parcel of land, together with all improvements thereon, situate, lying, and being in Flat Creek Magisterial District, Campbell County, Virginia, on State Route 684 containing 3.67 acres as shown on plat of survey entitled, "Plat of Property of The Larkin Thompson Estate, about 2 miles north of Evington, Flat Creek Magisterial District, Campbell County, VA.", made by Maurice G. Overstreet, S.C.S., dated August 2, 1978, recorded in the Circuit Court Clerk's Office for Campbell County, Virginia, in Deed Book 545, page 288. </t>
  </si>
  <si>
    <t>This being the same property conveyed from Robin E. Choo to Michael S. Evans by Deed dated January 21, 2021 and recorded in the aforesaid Clerk's Office as Instrument No. 210001457.</t>
  </si>
  <si>
    <t>Being a portion of that tract of land situate in the Brookville Magisterial District of Campbell County, Virginia, on the North side of Virginia Secondary Road No. 609 (The Old Stage Road). Beginning at a point on Route 609 175 feet from a point in the Emmett Nowlan estate and Route 609; thence N. 23 ° 22' 17" W. 710.04 feet to a point: thence N. 88° 15' 0511 E. 39.06 feet to a point; thence S. 58 ° 18' 37" E. 71.98 feet to a point; thence S. 10° 37' 00" E. 18.65 feet to a point; thence N. 83° 25’ 33" E. 68.87 feet to a point; thence S. 38° 19' 58" E. 4.67 feet to a point; thence S. 24° 09' 47" W. 772.99 feet to a point in Route 609; thence with Route 609 175 feet to the point of the beginning. Shown as Lot 6 on a plat "The Estate of Georgianna &amp; William Napier" containing 2.971 acres. This being a portion of the real estate devised unto the said Georgianna Napier by John Randolph by his last will and testament, recorded in the Clerk's office of Campbell County in Will book No. 21 at page 213.</t>
  </si>
  <si>
    <t>This being the same property conveyed from the heirs of Georgianna and William Napier to James Napier by Deed dated April 14, 1970 and recorded in the Clerk's Office of the Circuit Court of Campbell County, Virginia in Deed Book 425, page 318.</t>
  </si>
  <si>
    <t>James Napier died intestate October 2, 1989, and according to that certain list of heirs recorded in the aforesaid Clerk's Office as Instrument No. 010000821, left as his sole heirs at law James J. Napier and Doretha Moore.</t>
  </si>
  <si>
    <t>Beginning at a point on the center line of State Highway No. 682 thence running a new line N. 73 7/8 ° W. passing an iron stake at 21.0 feet, 500. 6 feet in all to an iron stake in the line of E. W. Moon and others; thence with their line N. ½° W. 233. 8 feet to an iron stake; thence a new line due East passing an iron stake at 509.8 feet, 538.7 feet in all to the center line of the aforesaid Highway No. 682; thence running along the said Highway towards Leesville S. 1 ¼° W. 195.4 feet; S. 15 ½° W. 184.5 feet to the beginning and containing according to survey of E. B. Fitzgerald, certified surveyor, field work by Thomas. T, Adams, B. S. in Eng., 3.72 acres, more or less, surveyed in May 1959, and being part of the same land conveyed to Evelyn F. Brown from Otis Brown by deed dated September 1, 1954, and recorded in the Clerk's Office of the Circuit Court of Campbell County, Virginia, in Deed Book 258, Page 10.</t>
  </si>
  <si>
    <t>This being the same property conveyed from Evelyn F. Brown and Otis Brown to Ethel Brown by Deed dated March 23, 1963 and recorded in the Clerk's Office for the Circuit Court of Campbell County, Virginia in Deed Book 345, page 10.</t>
  </si>
  <si>
    <t>All those certain tracts or parcels of land situate in the County of Campbell, formerly Falling River Magisterial District, Campbell County, Virginia, on the northerly side of Stale Secondary Route 603, (Mud Street), being known as the old Bent Creek School property, and more particularly described as follows, to-wit:</t>
  </si>
  <si>
    <t>Tract No. 1:  One acre of land, more or less, now surrounding the old school house, surveyed off of a tract of 34 acres, more or less, situated on the Bent Creek Road, and recorded in Deed Book 85, page 529 in the Clerk's Office of the Circuit Court of Campbell County, as Deed conveying said 34 acres, more or less, from Mandy Jones to Caleb C. Harvey, said Deed dated February 2, 1909. This 1 acre of land, more or less, was conveyed to Thomas H. Nowlin, Trustee of the Bent Creek Colored School by Caleb C. Harvey by Deed dated September 20, 1911 and recorded in the Clerk's Office in Deed Book 91, page 363.</t>
  </si>
  <si>
    <t>Tract No 2:  One acre of land, more or less, adjoining the above Tract No. 1, and described as commencing at a stake on Bent Creed Road; thence N. 210 E. 70 yards; thence S. 87½ W. 72 yards; thence 21 W. 6 yards; thence along said Bent Creek Road to the beginning; adjoining the old school house lot, conveyed as mentioned in Tract No. 1 above being the same property conveyed to the said Thomas H. Nowlin, Trustee, aforesaid by A. B. Hendrick, J.E. Hendrick, D.F. Hendrick and E. A. Hendrick, heirs at law of Joseph W. Hendrick, deceased, by Deed dated July 16, 1921, which deed has never been recorded, and is a part of a tract of 68 acres, more or less, conveyed by William R. Franklin and Laura V. Franklin, his wife, to Joseph W. Hendrick by Deed dated February 18, 1871 and recorded in Deed Book 35, page 45 in said Clerk’s Office.</t>
  </si>
  <si>
    <t>This being the same property conveyed from James O. Williams Jr. and Mary R. Williams to Melita Brown and Elridge Brown, Jr. by Deed dated July 30, 1997 and recorded in the aforesaid Clerk’s Office in Deed Book 891, page 758.</t>
  </si>
  <si>
    <t>Situate, lying and being in Patrick Henry District, Campbell County, Virginia, and more particularly described as follows:</t>
  </si>
  <si>
    <t>A certain lot or parcel of land, triangular in shape containing 1.20 acres, conveyed in gross by the boundary and not by the acre, adjoining Virginia State Rt. 633 and Seneca Creek and being all of the land the Grantor owns on the southwest side of said Virginia State Rt. 633.</t>
  </si>
  <si>
    <t>This being the same property conveyed from Joan W. Ogden (f/k/a Joan W. Williamson) by Deed dated June 13, 2019 and recorded in the aforesaid Clerk's Office as Instrument No. 210009002.</t>
  </si>
  <si>
    <t>And further being the same property conveyed from Emily W. Walker to Joan W. Williamson by Deed dated September 20, 1990 and recorded in the aforesaid Clerk's Office in Deed Book 712, page 399.</t>
  </si>
  <si>
    <t>Bevin R. Alexander, R/A</t>
  </si>
  <si>
    <t>111 Hexham Dr Ste B</t>
  </si>
  <si>
    <t>Lynchburg, VA, 24502 </t>
  </si>
  <si>
    <t>Womens Health Service of Central VA, Inc.</t>
  </si>
  <si>
    <t>Instrument No. 180002057</t>
  </si>
  <si>
    <t>Instrument No. 180001171</t>
  </si>
  <si>
    <t>Appomattox Well Drilling Co, Inc.</t>
  </si>
  <si>
    <t>d/b/a Fred Jones Well Drilling</t>
  </si>
  <si>
    <t>Fred H. Jones, II, R/A</t>
  </si>
  <si>
    <t>542 Old Courthouse Rd.</t>
  </si>
  <si>
    <t>County of Appomattox</t>
  </si>
  <si>
    <t>Inst. No. 05000432</t>
  </si>
  <si>
    <t>All of that certain lot or parcel of real estate, together with any and all improvements thereon and the privileges and appurtenances thereunto belonging, lying and being in the Town of Brookneal in Campbell County, Virginia, designated as Block G, Lot 4D, located on Caroline Avenue.</t>
  </si>
  <si>
    <t>This being the same property conveyed from John A. Williams and Ferna P. Williams to Timothy W. Ottey by Deed dated July 22, 2016 and recorded in the Clerk's Office of the Circuit Court of Campbell County, Virginia as Instrument No. 160003534.</t>
  </si>
  <si>
    <t>Stephen C. Weaver, R/A</t>
  </si>
  <si>
    <t>Foster Fuels, Inc.</t>
  </si>
  <si>
    <t>16720 Brookneal Hwy.</t>
  </si>
  <si>
    <t>Inst. No. 180002378</t>
  </si>
  <si>
    <t>Tracy M. Fairchild</t>
  </si>
  <si>
    <t>Campbell County Public Safety</t>
  </si>
  <si>
    <t>34 Communications Ln.</t>
  </si>
  <si>
    <t>Instrument No. 210001794, and by virtue of that certain lien dated November 1, 2021 and recorded in the aforesaid Clerk's Office as Instrument No. 210001795</t>
  </si>
  <si>
    <t>James J. Napier, Jr.</t>
  </si>
  <si>
    <t>3 W. Home St.</t>
  </si>
  <si>
    <t>Doretha N. Moore</t>
  </si>
  <si>
    <t>1607 S. Jefferson St.</t>
  </si>
  <si>
    <t>New Castle, PA  16102</t>
  </si>
  <si>
    <t>Whorley</t>
  </si>
  <si>
    <t>(540) 613-0559</t>
  </si>
  <si>
    <t>All that certain lot or parcel of land lying and being in Flat Creek Magisterial District, Campbell County, Virginia, together with the privileges and appurtenances thereunto belonging, located on the south side of State Route No. 683 (Lawyers Road) approximately six (6) miles west of the intersection of said Lawyers Road and Route 29 S., and being designated as Lot 2, Section 5, containing 0.929 acre, more or less, as shown on a plat entitled, "Plat Showing Section 5, Lots 1-24, NORTHWOODS, Flat Creek District, Campbell County, Virginia, Surveyed for: Northwood Inc.", dated March 4, 1998, made by A. E. Neighbors, Jr., C.L.S., a copy of which is recorded in the Clerk's Office of the Circuit Court of Campbell County, Virginia, in Plat Cabinet "B", Slide 219, page 992 and Deed Book 933, page 037.</t>
  </si>
  <si>
    <t>This being the same property conveyed from Northwood Incorporation to Angela Kaye Britt, also known as Angela Kaye Agee, by Deed dated November 4, 1998 and recorded in the aforesaid Clerk's Office in Deed Book 934, at page 657.</t>
  </si>
  <si>
    <t>Deed Book 934, page 659</t>
  </si>
  <si>
    <t>US Bank National Association, noteholder</t>
  </si>
  <si>
    <t>4701 Cox Rd., Ste. 285</t>
  </si>
  <si>
    <t>Deed Book 934, page 659, and subject to that certain transfer and assignment dated June 18, 2021 and recorded in the aforesaid Clerk's Office as Instrument No. 210005128.</t>
  </si>
  <si>
    <t>Gary W. Morgan, Trustee</t>
  </si>
  <si>
    <t>Sandra Wooldridge, Executor</t>
  </si>
  <si>
    <t>Johnsia W. Ward</t>
  </si>
  <si>
    <t>1206 W. Hill Dr.</t>
  </si>
  <si>
    <t>Alma</t>
  </si>
  <si>
    <t>Wilson, Life Tenant</t>
  </si>
  <si>
    <t>Helen Faye</t>
  </si>
  <si>
    <t>All that certain tract or parcel of land, with all improvements thereon, lying and being situated in Campbell County, Virginia, and being the residue of a 10.07 acres parcel of property as shown on a plat of survey by C. W. Ryan, Engineer, dated August 15, 1946, August 20, 1946, of record in the Clerk's Office of the Circuit Court of Campbell County, Virginia in Deed Book 206, page 195.</t>
  </si>
  <si>
    <t>This being same property conveyed from Alma S. Wilson, widow, to Alma S. Wilson, Life Tenant, and Helen Faye Wilson Mays, remainderperson by Deed Dated August 19, 1992 and recorded in the aforesaid Clerk's Office in Deed Book 751, page 897.</t>
  </si>
  <si>
    <t>The said Helen Faye Wilson Mays died testate, May 29, 2015, and her holograpic will was admitted to probate on October 28, 2015 and was recorded as Instrument No. WF 150000631.  Pursuant to that Will, the property was to go to Johnsia Ward or to Sandra Wooldrige to sell said property.</t>
  </si>
  <si>
    <t>Heirs of</t>
  </si>
  <si>
    <t>That certain tract or parcel of land, together with the buildings and improvements thereon, and the privileges and appurtenances thereunto belonging, situate, lying, and being in Rustburg Magisterial District, Campbell County, Virginia, containing 0.778 acre, more or less, and described as follows:</t>
  </si>
  <si>
    <t>Beginning at an iron in the southerly boundary of the 25 foot right of way as shown on the plat hereinafter mentioned, thence S. 1° 15’ W. 187.97 feet crossing the branch, to an iron at the adjacent property (now or formerly) of Cecil E. Woodson; thence N. 82° 30’ W. 192.85 feet crossing the branch to an iron; thence N. 7° 44’ E. 105.1 feet to a stake; thence N. 12° 18’ E. 84.14 feet to an iron; thence along the southerly boundary of the 25 foot right of way delineated on a plat of survey entitled “Plat of Survey Showing a Lot Cut from the Land of Cecil E. Woodson…Campbell County, Va.”, dated December 16 1960, and prepared by Erskine W. Proffitt, C.L.S., which is recorded in the Clerk’s Office of the Circuit Court of Campbell County, Virginia in Deed Book 322, at page 396.</t>
  </si>
  <si>
    <t>This being the same property conveyed from Cecil E. Woodson and Hattie P. Woodson, husband and wife to James R. Woodson and Ruth B. Woodson by Deed dated December 20, 1960 and recorded in the aforesaid Clerk's Office in Deed Book 322, at page 396.</t>
  </si>
  <si>
    <t>Pursuant to that certain Will recorded in the aforesaid Clerk's Office as Will File Instrument No. 120000233, Ruth B. Woodson died testate, her husband having predeceased her, and devised her real property to Signora Woodson Dalton, Cecil Edward Dalton, Cassie Edith Woodson Eagle and Joyce Ann Woodson Tyree.</t>
  </si>
  <si>
    <t>Signora W. Dalton</t>
  </si>
  <si>
    <t>26 Candlemakers Ln</t>
  </si>
  <si>
    <t>Cassie Stewart</t>
  </si>
  <si>
    <t>106 Pleasant View</t>
  </si>
  <si>
    <t>Joyce Tyree</t>
  </si>
  <si>
    <t>609 Sycamore Ln.</t>
  </si>
  <si>
    <t>(434) 473-4623</t>
  </si>
  <si>
    <t>CL22000514-00</t>
  </si>
  <si>
    <t>Andre Niazdoimin</t>
  </si>
  <si>
    <t>Niazdoimin</t>
  </si>
  <si>
    <t>(757) 531-7372</t>
  </si>
  <si>
    <t>Aubrey M. Moore</t>
  </si>
  <si>
    <t>Elridge Brown, Jr.</t>
  </si>
  <si>
    <t>Crystal Y. Brown</t>
  </si>
  <si>
    <t>(434) 420-7347</t>
  </si>
  <si>
    <t>103C-10-17-10, 11, 12 &amp;14</t>
  </si>
  <si>
    <t>Catherine L. Woodson</t>
  </si>
  <si>
    <t>(757-635-7693</t>
  </si>
  <si>
    <t>CL22000678-00</t>
  </si>
  <si>
    <t>CL22000679-00</t>
  </si>
  <si>
    <t>CL22000682-00</t>
  </si>
  <si>
    <t>CL22000683-00</t>
  </si>
  <si>
    <t>That certain tract or parcel of land, together with any buildings and improvements thereon and any appurtenances thereunto belonging, situate in the Brookville Magisterial District of Campbell County, Virginia, containing 1.00 acre, as shown upon plat of survey made by T. W. Saunders, C.L.S., dated July 13, 1960, a copy of which is recorded in the Clerk's Office of the Circuit Court of Campbell County, Virginia in Deed Book 322, at page 653; together with the right of way 15 feet in width to U. S. Route 501.</t>
  </si>
  <si>
    <t>This being the same parcel conveyed from Lynwood Jefferson, Betsy Crider, Kenneth Jefferson, Fred Jones, Melissa Peerman, Edith Jefferson, Sheila Lawhorne Savis and Wanda Lawhorne McIvor to Margaret Jefferson by Deed dated November 7, 2003 and recorded in the Clerk's Office of the Circuit Corut of Campbell County, Virginia as Instrument No. 050009890.</t>
  </si>
  <si>
    <t>Gary L. Jefferson</t>
  </si>
  <si>
    <t>Catherine M. Jefferson</t>
  </si>
  <si>
    <t>P.O. Box 10746</t>
  </si>
  <si>
    <t>Evelyn M. Jefferson</t>
  </si>
  <si>
    <t>80 Bocock Rd.</t>
  </si>
  <si>
    <t>Thomas E. Daniel, Trustee</t>
  </si>
  <si>
    <t>926 Commerce St.</t>
  </si>
  <si>
    <t>Instrument No. 080000131</t>
  </si>
  <si>
    <t>2005-2021</t>
  </si>
  <si>
    <t>No action until 6/1</t>
  </si>
  <si>
    <t>CL22000687-00</t>
  </si>
  <si>
    <t>HOLD - Bank Filing</t>
  </si>
  <si>
    <t>1009 Turkey Foot Rd.</t>
  </si>
  <si>
    <t>Tage J. Rainsford &amp; Daniella N. Bird</t>
  </si>
  <si>
    <t>94-225 Hopoe Pl</t>
  </si>
  <si>
    <t>Waipahu, HI 96797</t>
  </si>
  <si>
    <t>6060 Iverleigh Cir</t>
  </si>
  <si>
    <t>Fayetteville, NC 28311</t>
  </si>
  <si>
    <t>14125 James Madison Hwy</t>
  </si>
  <si>
    <t>Orange, VA 22960</t>
  </si>
  <si>
    <t>Orange County</t>
  </si>
  <si>
    <t>Barbara B. Gaddy</t>
  </si>
  <si>
    <t>5315 Johnson Mtn. Rd.</t>
  </si>
  <si>
    <t>Huddleston, VA  24104</t>
  </si>
  <si>
    <t>Joyce T. Roberts</t>
  </si>
  <si>
    <t>2306 Tabor Rd.</t>
  </si>
  <si>
    <t>Elizabeth T. Hall</t>
  </si>
  <si>
    <t>2254 Tabor Rd.</t>
  </si>
  <si>
    <t>Elton M. Thurman</t>
  </si>
  <si>
    <t>2298 Tabor Rd.</t>
  </si>
  <si>
    <t>Randy Goad</t>
  </si>
  <si>
    <t>(434) 213-6961</t>
  </si>
  <si>
    <t>randygoad670@yahoo.com</t>
  </si>
  <si>
    <t>cgstilesjr@gmail.com</t>
  </si>
  <si>
    <t>(434) 209-3522</t>
  </si>
  <si>
    <t>Carl Stiles</t>
  </si>
  <si>
    <t>barbara.gaddy@gmail.com</t>
  </si>
  <si>
    <t>(757) 450-7675</t>
  </si>
  <si>
    <t>Barbara Gaddy</t>
  </si>
  <si>
    <t>Gaddy</t>
  </si>
  <si>
    <t>Rebecca M. Minnis</t>
  </si>
  <si>
    <t>(434) 238-3987</t>
  </si>
  <si>
    <t>(434) 446-7289</t>
  </si>
  <si>
    <t>2915 Ravenwood Dr.</t>
  </si>
  <si>
    <t>(434) 534-2119</t>
  </si>
  <si>
    <t>Pam Cyrus</t>
  </si>
  <si>
    <t>CL22000726-00</t>
  </si>
  <si>
    <t>Will pay by June 3</t>
  </si>
  <si>
    <t>20-A-30C</t>
  </si>
  <si>
    <t>CL22000785-00</t>
  </si>
  <si>
    <t>CL22000787-00</t>
  </si>
  <si>
    <t>CL22000812-00</t>
  </si>
  <si>
    <t>Brian S. Hall</t>
  </si>
  <si>
    <t>bshall@hotmail.com</t>
  </si>
  <si>
    <t>2022 1st Tax</t>
  </si>
  <si>
    <t>CL22000786-00</t>
  </si>
  <si>
    <t>CL22000788-00</t>
  </si>
  <si>
    <t>2021-2022</t>
  </si>
  <si>
    <t>100 Westwood Dr.</t>
  </si>
  <si>
    <t>CL22000780-00</t>
  </si>
  <si>
    <t>CL22000783-00</t>
  </si>
  <si>
    <t>CL22000778-00</t>
  </si>
  <si>
    <t>CL22000779-00</t>
  </si>
  <si>
    <t>Will Pay by 7/31</t>
  </si>
  <si>
    <t>CL22000958-00</t>
  </si>
  <si>
    <t>CL22000963-00</t>
  </si>
  <si>
    <t>CL22000950-00</t>
  </si>
  <si>
    <t>CL22000964-00</t>
  </si>
  <si>
    <t>32D-1-B-47, 48, 49 &amp; 50</t>
  </si>
  <si>
    <t>Geralyn Schaefer</t>
  </si>
  <si>
    <t>Schaefer</t>
  </si>
  <si>
    <t>(314) 457-5909</t>
  </si>
  <si>
    <t>Geralyn.Schaefer@usda.gov</t>
  </si>
  <si>
    <t>Rose Parker</t>
  </si>
  <si>
    <t>(202) 658-8542</t>
  </si>
  <si>
    <t>4412 Reamy Dr.</t>
  </si>
  <si>
    <t>Suitland, MD  20746</t>
  </si>
  <si>
    <t>CL22000965-00</t>
  </si>
  <si>
    <t>Eddie P. Adams</t>
  </si>
  <si>
    <t>(434) 579-8122</t>
  </si>
  <si>
    <t>Douglas R. &amp; Tina L. Corbett</t>
  </si>
  <si>
    <t>Corbett</t>
  </si>
  <si>
    <t>CL22000782-00</t>
  </si>
  <si>
    <t>32-A-54</t>
  </si>
  <si>
    <t>2017-2022</t>
  </si>
  <si>
    <t>2018-2022</t>
  </si>
  <si>
    <t>2019-2022</t>
  </si>
  <si>
    <t>2022 1st Interest</t>
  </si>
  <si>
    <t>2022 1st Penalty</t>
  </si>
  <si>
    <t>2022 1st Int./Mo.</t>
  </si>
  <si>
    <t>2022 1st Int. # Mo.</t>
  </si>
  <si>
    <t>2022 1st Total</t>
  </si>
  <si>
    <t>CL22000967-00</t>
  </si>
  <si>
    <t>Michelle</t>
  </si>
  <si>
    <t>michelle@americantitle.us</t>
  </si>
  <si>
    <t>264 Sherbrooke Dr.</t>
  </si>
  <si>
    <t>Mateus Fernandes De Oliveira</t>
  </si>
  <si>
    <t>Carolyn Hendrix</t>
  </si>
  <si>
    <t>Hendrix</t>
  </si>
  <si>
    <t>(727) 741-1282</t>
  </si>
  <si>
    <t>cahendrix@corelogic.com</t>
  </si>
  <si>
    <t>(434) 439-004</t>
  </si>
  <si>
    <t xml:space="preserve">This being the same property conveyed to Donald R. Ingmire and Ruie P. Ingmire, husband and wife, by deed from Lee C. Kelly Harizanoff and G. Larry Harizanoff, wife and husband, dated May I 8, I 989 and recorded in the aforesaid clerk's office in Deed Book 688, page 813. </t>
  </si>
  <si>
    <t>8-5-6*</t>
  </si>
  <si>
    <t xml:space="preserve">All that certain lot or parcel of land known as Campbell County Tax Map No. 23-A-143, and being that 1.5-acres tract descried as "Emmett Gilliam 1 1/2 Acres" on that certain plat dated August, Spetember, and November of 1923 made by Fred Kabler, S.C.C., which said plat is recorded in the Clerk's Office of the Circuit Court of Campbell County, Virginia in Plat Book 2, at page 102A.  </t>
  </si>
  <si>
    <t>This parcel being the portion of the property of William E. Hendricks, Sr. which was reserved for Emmett Gilliam as stated in the Will of William E. Hendricks, Sr.  recorded in the aforesaid Clerk's Office in Will Book 22, at page 22.  No deed  was ever executed conveying the herein described parcel from William E. Hendricks, Sr. to Emmett Gilliam.</t>
  </si>
  <si>
    <t>All that certain lot or parcel of real estate, together with any and all improvements thereon, and the privileges and appurtenances thereunto belonging, situate, lying and being in Campbell County, Virginia, being shown and described as Lot 66, containing .16 acre, on a plat of survey entitled "Property of Mrs. Flora M. Webb," made by Fred Kabler, S.C.C. dated October 29 and November 5 &amp; 6, 1934, and recorded in the Clerk's Office of the Circuit Court of Campbell County, Virginia, in Plat Book 5, at page 80.  Reference is hereby made to the said plat for a more detailed and complete description of the real estate, and the metes and bounds contained therein are incorporated herein by reference the same as if fully written out herein.</t>
  </si>
  <si>
    <t xml:space="preserve">This being a portion of the property of M.B. Haythe surveyed for sale at auction by his daugher and heir Flora M. Webb, said auction occurred on November 16, 1934.  No deed has heretofore been executed conveying the aforementioned Lot 66. </t>
  </si>
  <si>
    <t>c/o E.R. Blankenship, Jr.</t>
  </si>
  <si>
    <t xml:space="preserve">c/o </t>
  </si>
  <si>
    <t>All that certain lot or parcel of land lying and being in the Town of Brookneal, Campbell County, Virginia, together with the privileges and appurtenances thereunto belonging, located between State Route No. 501 (Lynchburg Avenue) and the right of way of the Norfolk and Durham Railway and being known as Campbell County Tax Map No. 103C-2-18A, containing approximatley 0.06 acre, more or less.  Said property being the southernmost triangular residue parcel remaining of the property of James M. Terry following the subdivision made that certain plat of survey made by Fred Kabler, S.C.C. dated DEcember 2019 and recorded in the Clerk's Office of the Circuit Court for Campbell County, Virginia in Plat Book 3, at page 68.</t>
  </si>
  <si>
    <t>This being the residue and remainder of the property of Jason B. Terry inherited under the will of Mary M. C. Terry following the off-conveyance of parcels 14, 15, 16, 17, and 18 as described in the aforesaid plat pursuant to that certain Deed dated March 20, 1920 from A.H. Light, Commissioner, conveying the interest of Jason M. Terry, grantee and W.M. Bates, Jr., grantor, which said deed is recorded in the aforesaid Clerk's Office in Deed Book 118, at page 359.</t>
  </si>
  <si>
    <t>Amanda</t>
  </si>
  <si>
    <t>amanda@shoemakerlaw.net</t>
  </si>
  <si>
    <t>Erick Napier</t>
  </si>
  <si>
    <t>(480) 444-6092</t>
  </si>
  <si>
    <t>by email to ericknapier@yahoo.com</t>
  </si>
  <si>
    <t>Marcellus Preston Gregory &amp; Shaundula D. Gregory, husband and wife</t>
  </si>
  <si>
    <t>Micheal Williamson</t>
  </si>
  <si>
    <t>(434) 944-5131</t>
  </si>
  <si>
    <t>2022 2nd Tax</t>
  </si>
  <si>
    <t>2022 2nd Penalty</t>
  </si>
  <si>
    <t>2022 2nd Interest</t>
  </si>
  <si>
    <t>2022 2nd Int./Mo.</t>
  </si>
  <si>
    <t>2022 2nd Int. # Mo.</t>
  </si>
  <si>
    <t>2022 2nd Total</t>
  </si>
  <si>
    <t>CL22000781-00</t>
  </si>
  <si>
    <t>28 Imperial Dr.</t>
  </si>
  <si>
    <t>Staunton, VA  24401</t>
  </si>
  <si>
    <t>Lake Anna Investments, L.C.</t>
  </si>
  <si>
    <t>MAD Investments, LLC</t>
  </si>
  <si>
    <t>1110 McConmville Rd.</t>
  </si>
  <si>
    <t>Countryside Land Company, L.C.</t>
  </si>
  <si>
    <t>Jon A. Zehr</t>
  </si>
  <si>
    <t>308 Covered Bridge Rd.</t>
  </si>
  <si>
    <t>Elite of Virginia, LLC</t>
  </si>
  <si>
    <t>103 Mattox St.</t>
  </si>
  <si>
    <t xml:space="preserve"> </t>
  </si>
  <si>
    <t>200003004 &amp; 220002718</t>
  </si>
  <si>
    <t>Pam Evans</t>
  </si>
  <si>
    <t>pamela.evans@reevanslaw.com</t>
  </si>
  <si>
    <t>Marion Pannell &amp; Samantha M. Pannell</t>
  </si>
  <si>
    <t>Debra Muncy</t>
  </si>
  <si>
    <t>Muncy</t>
  </si>
  <si>
    <t>debra@pdlaw.us</t>
  </si>
  <si>
    <t>Fidelity National Title Insurance Co.</t>
  </si>
  <si>
    <t>Advantage Title &amp; Closing, Agent</t>
  </si>
  <si>
    <t>828 Main St., 15th Fl.</t>
  </si>
  <si>
    <t>Leighton Houck, Special Commissioner</t>
  </si>
  <si>
    <t>Houck</t>
  </si>
  <si>
    <t>by email to lhouck@caskiefrost.com</t>
  </si>
  <si>
    <t>34A-24-3 &amp;3A</t>
  </si>
  <si>
    <t>2020-2022</t>
  </si>
  <si>
    <t>MRC Receivables Corporation</t>
  </si>
  <si>
    <t>251 Little Falls Drive</t>
  </si>
  <si>
    <t>Wilmington, DE  19808</t>
  </si>
  <si>
    <t>Service Requested Via Secretary of Corporation Commission</t>
  </si>
  <si>
    <t>Instrument No. 050001453</t>
  </si>
  <si>
    <t>Instrument No. 050000021</t>
  </si>
  <si>
    <t>Paul A. McAndrews, Commonwealth's Attorney</t>
  </si>
  <si>
    <t>Those certain lots or parcels of land, otgether with the buildings and improvements thereon and the privileges and appurtenances thereunto belonging, situate, lying and being in Long Mountain Magisterial District, Campbell County, Virginia, and designated as Lot 3 &amp; 3A of the Residue of Lots 41 - 51 of the David G. Barricks Property, Long Mountain District, Campbell County, VA", dated September 18, 2019, made by Willard T. Sigler, L.S.</t>
  </si>
  <si>
    <t>This being the same property conveyed from Jean L. Casey, substitute Trustee in Liquidation for Mechanical Equipment Company to Vashti, LLC by Deed dated September 4, 2019 and recorded in the Clerk's Office of the Circuit Court of Campbell County, Virginia as Instrument No. 190004851.</t>
  </si>
  <si>
    <t>That certain lot or parcel of land situated, lying and being in the Town of Altavista, being Lot 9, Block 53, Eleventh Street, as shown on plat of the Levisee property dated September, 1937, made by E.B. Fitzgerald, C.S., duly recorded in Plat Book 6, Page 62 in the Clerk's Office of the Circuit Court of Campbell County, Virginia, and more particularly shown on plat of survey by L.P. Crocker, Jr., dated July 11, 1979, a copy of which plat is attached to a deed dated December 27, 1982 and recorded in the aforesaid Clerk's Office in Deed Book 587, Page 32.</t>
  </si>
  <si>
    <t>This being a portion of the property conveyed from Lula B. Johnson, Executrix of the Estate of Martha B. Anthony to Elsie Elizabeth Hall by Deed dated August 26, 2008 and recorded in the aforesaid Clerk's Office as Instrument No. 080006345.</t>
  </si>
  <si>
    <t>J. Judson McKellar, Jr. &amp; Donald L. Ritenour, Trustees</t>
  </si>
  <si>
    <t>601 S. Belvidere St.</t>
  </si>
  <si>
    <t>Richmond, VA  23220</t>
  </si>
  <si>
    <t>Inst. No. 080006346, and modified by that certain Loan Modification Agreement dated March 4, 2020 and recorded in the aforesaid Clerk's Office as Inst. No. 200001884</t>
  </si>
  <si>
    <t>Samuel I. White, PC, Trustee</t>
  </si>
  <si>
    <t>5040 Corporate Woods Dr., Ste. 120</t>
  </si>
  <si>
    <t>Inst. No. 180003393</t>
  </si>
  <si>
    <t xml:space="preserve">All that certain tract or parcel of land, together with the privileges and appurtenances thereunto belonging, situate, lying and being in Brookville Magisterial District, Campbell County, Virginia, and being the southern one-half of Lot No. 5, in Block 7, as shown on "Plat of Section 1, Rainbow Forest", made by Adrian Overstreet, S.C.S., August 16, 1961, which plat is duly recorded in the Clerk's Office of the Circuit Court of Campbell County, Virginia in Plat Book 16, at page 125.  </t>
  </si>
  <si>
    <t>The one-half of Lot No. 5, Block 7 herein conveyed fronts 53 1/2 feet on the easterly side of Rainbow Forest Drive, and with that uniform width extends back in an easterly direction 220 feet and is that side of Lot No. 5 adjacent to Lot No. 4, both of which lots are in Block 7, Section 1, Rainbow Forest Subdivision.</t>
  </si>
  <si>
    <t>This being Parcel II as was conveyed from Brett W. Hartley to Brett W. Hartley and Tatiana R. Hartley, Husband and Wife, by Deed dated June 29, 2018 and recorded in the aforesaid Clerk's Office as Instrument No. 180003392.</t>
  </si>
  <si>
    <t>All that certain tract or parcel of land, together with the privileges and appurtenances thereunto belonging, situate, lying and being in Long Mountain Magisterial District, Campbell County, Virginia, and being the residue of a parcel described as being on the north side of the road leading from Rustburg to Sherwell, eight miles east of Rustburg.</t>
  </si>
  <si>
    <t>Less and except those certain off-conveyances described in Deed Book _____</t>
  </si>
  <si>
    <t>It being a portion of the property conveyed to Earl W. Wingo and Frances T. Wingo by Deed dated April 29, 1960 and recorded in the Clerk's Office of the Circuit Court of Campbell County, Virginia in Deed Book 316, at page 352.</t>
  </si>
  <si>
    <t>Frances T. Wingo pre-deceased Earl W. Wingo, who himself passed away testate, leaving a will recorded in the aforesaid Clerk's Office as Instrument No. 010000749.</t>
  </si>
  <si>
    <t>Pursuant to the list of heirs recorded with the will, the devisees of the real property of Earl W. Wingo are Thomas E. Wingo, James T. Wingo, and Elizabeth W. Sigel</t>
  </si>
  <si>
    <t>James T. Wingo</t>
  </si>
  <si>
    <t>Newport News, VA  23606</t>
  </si>
  <si>
    <t>City of Newport News</t>
  </si>
  <si>
    <t>Elizabeth W. Sigel</t>
  </si>
  <si>
    <t>1284 Farm Rd.</t>
  </si>
  <si>
    <t>Berwyn, PA  19312</t>
  </si>
  <si>
    <t>Dolan</t>
  </si>
  <si>
    <t>Malree</t>
  </si>
  <si>
    <t>Landon F. Clay</t>
  </si>
  <si>
    <t>6542 Bedford Hwy.</t>
  </si>
  <si>
    <t>Dorinda C. Scruggs</t>
  </si>
  <si>
    <t>Malree C. Dolan</t>
  </si>
  <si>
    <t>1997 Burke Rd.</t>
  </si>
  <si>
    <t>6696 Wards Rd.</t>
  </si>
  <si>
    <t>Hurt, VA  24562</t>
  </si>
  <si>
    <t>Tatiana</t>
  </si>
  <si>
    <t>73B-A-2</t>
  </si>
  <si>
    <t>Verna</t>
  </si>
  <si>
    <t>32H-2-4</t>
  </si>
  <si>
    <t>87-4-10C1</t>
  </si>
  <si>
    <t>42C-1-17B</t>
  </si>
  <si>
    <t>Joshua</t>
  </si>
  <si>
    <t>42D-1-C-2</t>
  </si>
  <si>
    <t>12H-5-29</t>
  </si>
  <si>
    <t>Myra</t>
  </si>
  <si>
    <t>56-A-2</t>
  </si>
  <si>
    <t>33-A-30</t>
  </si>
  <si>
    <t>12H-2-2-2</t>
  </si>
  <si>
    <t>Thornsbury</t>
  </si>
  <si>
    <t>48-A-22</t>
  </si>
  <si>
    <t>9-10-5*</t>
  </si>
  <si>
    <t>Dottie</t>
  </si>
  <si>
    <t>70-9-TR1M</t>
  </si>
  <si>
    <t>70-9-TR1H</t>
  </si>
  <si>
    <t>71-3-3B</t>
  </si>
  <si>
    <t>91-A-21</t>
  </si>
  <si>
    <t>42G-1-2</t>
  </si>
  <si>
    <t>96A-3-204</t>
  </si>
  <si>
    <t>Louis</t>
  </si>
  <si>
    <t>55-A-80A</t>
  </si>
  <si>
    <t>20E-2-9</t>
  </si>
  <si>
    <t>Johns</t>
  </si>
  <si>
    <t>9-8-3*</t>
  </si>
  <si>
    <t>35-8-B3</t>
  </si>
  <si>
    <t>87-A-18</t>
  </si>
  <si>
    <t>Travis</t>
  </si>
  <si>
    <t>Desirae</t>
  </si>
  <si>
    <t>87-3-6</t>
  </si>
  <si>
    <t>41-D-2</t>
  </si>
  <si>
    <t>Salvia</t>
  </si>
  <si>
    <t>Adam</t>
  </si>
  <si>
    <t>Kristin</t>
  </si>
  <si>
    <t>21-A-182C</t>
  </si>
  <si>
    <t>Yancey</t>
  </si>
  <si>
    <t>Melinda</t>
  </si>
  <si>
    <t>Jay</t>
  </si>
  <si>
    <t>20W-1-65</t>
  </si>
  <si>
    <t>Grishaw</t>
  </si>
  <si>
    <t>Jerrett</t>
  </si>
  <si>
    <t>68F-1-49</t>
  </si>
  <si>
    <t>Fielder</t>
  </si>
  <si>
    <t>83A-11-69-1</t>
  </si>
  <si>
    <t>Horn</t>
  </si>
  <si>
    <t>Jo Elyse</t>
  </si>
  <si>
    <t>83A-11-45-7</t>
  </si>
  <si>
    <t>Bethany</t>
  </si>
  <si>
    <t>40-A-1C</t>
  </si>
  <si>
    <t>Mossy Oak LLC</t>
  </si>
  <si>
    <t>83B-18-6</t>
  </si>
  <si>
    <t>Ebenezer Baptist Church Trustees</t>
  </si>
  <si>
    <t>37-A-55</t>
  </si>
  <si>
    <t>Harvest Investments, LLC</t>
  </si>
  <si>
    <t>Kristina M. Hofman, R/A</t>
  </si>
  <si>
    <t>414 E. Jefferson St.</t>
  </si>
  <si>
    <t>Whitaker Johnston, R/A</t>
  </si>
  <si>
    <t>606 9th St.</t>
  </si>
  <si>
    <t>1501 Gates St.</t>
  </si>
  <si>
    <t>33 Laurel Ln</t>
  </si>
  <si>
    <t>107 Ebenezer Rd.</t>
  </si>
  <si>
    <t>PO Box 26</t>
  </si>
  <si>
    <t>2305 Red Oak School Rd.</t>
  </si>
  <si>
    <t>5475 East Ferry Rd.</t>
  </si>
  <si>
    <t>244 Tweedy Rd.</t>
  </si>
  <si>
    <t>1822 Avondale Dr.</t>
  </si>
  <si>
    <t>383 McMaster Rd.</t>
  </si>
  <si>
    <t>27 Allwell Rd.</t>
  </si>
  <si>
    <t>7470 Gladys Rd.</t>
  </si>
  <si>
    <t>6332 Marysville Rd.</t>
  </si>
  <si>
    <t>7354 Gladys Rd.</t>
  </si>
  <si>
    <t>7104 Gladys Rd.</t>
  </si>
  <si>
    <t>1332 Clarks Rd.</t>
  </si>
  <si>
    <t>PO Box 151600</t>
  </si>
  <si>
    <t>1400 Bedford Ave.</t>
  </si>
  <si>
    <t>445 Woodhaven Dr.</t>
  </si>
  <si>
    <t>843 Long Island Rd.</t>
  </si>
  <si>
    <t>6635 Colonial Hwy</t>
  </si>
  <si>
    <t>13585 Melville Ln.</t>
  </si>
  <si>
    <t>Chantilly, VA  22021</t>
  </si>
  <si>
    <t>364 Hallwood Dr.</t>
  </si>
  <si>
    <t>5507 Wards Rd.</t>
  </si>
  <si>
    <t>6385 Marysville Rd.</t>
  </si>
  <si>
    <t>116 Crescent Hill Dr.</t>
  </si>
  <si>
    <t>PO Box 4461</t>
  </si>
  <si>
    <t>253 Pettigrew Dr.</t>
  </si>
  <si>
    <t>2 Elizabeth Ln.</t>
  </si>
  <si>
    <t>Columbus, NJ  08022</t>
  </si>
  <si>
    <t>15124 Majestick Creek Dr.</t>
  </si>
  <si>
    <t>South Chesterfield, VA  23834</t>
  </si>
  <si>
    <t>4218 Rosa Ct.</t>
  </si>
  <si>
    <t>Dallas, TX  75220</t>
  </si>
  <si>
    <t>496 Mimosa Ln.</t>
  </si>
  <si>
    <t>1952 Rainbow Forest Dr.</t>
  </si>
  <si>
    <t>364 Sunburst Rd.</t>
  </si>
  <si>
    <t xml:space="preserve">All that certain tract or parcel of land, together with the buildings and improvements thereon, and the privileges and appurtenances thereunto belonging, situate, lying, and being in Campbell County, Virginia, beginning in OLD WARD'S Road at SW corner of the property formerly of Robert L. Scott (See Deed Book 254, page 282) thence 100 feet in the direction of Altavista, thence S. 44-15 E 455 feet, thence N. 71.08 E 100 feet to the SE Cornert of the said property formerly of Robert L. Scott, thence with his line N. 44.15 W 435 feet to the beginning, containing one acre. </t>
  </si>
  <si>
    <t>This being the same property conveyed from Dorothy Hughes to Robert Lee Scott by Deed dated July 18, 1956 and recorded in the Clerk's Office of the Circuit Court of Campbell County, Virginia in Deed Book 284, at page 190.</t>
  </si>
  <si>
    <t>Robert Lee Scott passed away testate, and by Will recorded in the aforesaid Clerk's Office in Will Book 33, at page 402, devised all of his property to his son, Robert Lee Scott, Jr.</t>
  </si>
  <si>
    <t>Robert Lee Scott, Jr. being one and the same person as sometimes referred to as Robert L. Scott without suffix upon the land records of this Court, with all references post-dating the recordation of the Will of Robert Lee Scott in 1952 being actually made to Robert Lee Scott, Jr., whether or not the suffix is attached.</t>
  </si>
  <si>
    <t>Instrument No. 220001751</t>
  </si>
  <si>
    <t>LVNV Funding, Inc., successor of LVNV Funding LLC</t>
  </si>
  <si>
    <t>Clerk, Corporation Commission</t>
  </si>
  <si>
    <t>780 Lynnhaven Parkway, Suite 220</t>
  </si>
  <si>
    <t>478 Patterson Rd.</t>
  </si>
  <si>
    <t>366 Hallwood Dr.</t>
  </si>
  <si>
    <t>1161 Reynard Run</t>
  </si>
  <si>
    <t>123 Radio Rd.</t>
  </si>
  <si>
    <t>PO Box 25680</t>
  </si>
  <si>
    <t>Christiansted, VI  00824</t>
  </si>
  <si>
    <t>170 Greystone Dr.</t>
  </si>
  <si>
    <t>126 Harvest Hills Dr.</t>
  </si>
  <si>
    <t>17 Chesney Ln.</t>
  </si>
  <si>
    <t>Z.</t>
  </si>
  <si>
    <t>104 Booker Rd.</t>
  </si>
  <si>
    <t>Bond</t>
  </si>
  <si>
    <t>1254 Broad Rock Blvd</t>
  </si>
  <si>
    <t>10744 Wards Rd.</t>
  </si>
  <si>
    <t>32-A-25</t>
  </si>
  <si>
    <t>3189 Johnson Creek Rd.</t>
  </si>
  <si>
    <t>52-6-1</t>
  </si>
  <si>
    <t>79 Crank Ln.</t>
  </si>
  <si>
    <t>26A-4-5A</t>
  </si>
  <si>
    <t>100 Chestnut Mountain Rd.</t>
  </si>
  <si>
    <t>Lucky</t>
  </si>
  <si>
    <t>9B-2-57</t>
  </si>
  <si>
    <t>4104 Village Hwy.</t>
  </si>
  <si>
    <t>Jeana</t>
  </si>
  <si>
    <t>Goff</t>
  </si>
  <si>
    <t>25-4-1M</t>
  </si>
  <si>
    <t>Billiter</t>
  </si>
  <si>
    <t>Laura</t>
  </si>
  <si>
    <t>617 Windsong Dr.</t>
  </si>
  <si>
    <t>685 Windsong Dr.</t>
  </si>
  <si>
    <t>Candida</t>
  </si>
  <si>
    <t>Gibson</t>
  </si>
  <si>
    <t>68-A-42</t>
  </si>
  <si>
    <t>Lynch Station, VA  24517</t>
  </si>
  <si>
    <t>52-3-2</t>
  </si>
  <si>
    <t>1134 Farfeilds Dr.</t>
  </si>
  <si>
    <t>Maureen Diane</t>
  </si>
  <si>
    <t>Gates</t>
  </si>
  <si>
    <t>Peter</t>
  </si>
  <si>
    <t>20D-8-26A</t>
  </si>
  <si>
    <t>431 Leesville Rd.</t>
  </si>
  <si>
    <t>1080 Leesville Rd.</t>
  </si>
  <si>
    <t>J.W.</t>
  </si>
  <si>
    <t>66-A-14</t>
  </si>
  <si>
    <t>1788 Chellis Ford Rd.</t>
  </si>
  <si>
    <t>81A-2-3B</t>
  </si>
  <si>
    <t>Washington, DC  12965</t>
  </si>
  <si>
    <t>2724 12th St. NE</t>
  </si>
  <si>
    <t>Galaida</t>
  </si>
  <si>
    <t>96A-7-272</t>
  </si>
  <si>
    <t>Lake Wales, FL  33898</t>
  </si>
  <si>
    <t>3085 Walk In Water Rd.</t>
  </si>
  <si>
    <t>Rachel</t>
  </si>
  <si>
    <t>Frazier</t>
  </si>
  <si>
    <t>9-A-33B</t>
  </si>
  <si>
    <t>City of Chesapeake</t>
  </si>
  <si>
    <t>Chesapeake, VA  23320</t>
  </si>
  <si>
    <t>937 Sugar Tree Ct.</t>
  </si>
  <si>
    <t>22-3-5</t>
  </si>
  <si>
    <t>1339 McIver Ferry Rd.</t>
  </si>
  <si>
    <t>Epperson</t>
  </si>
  <si>
    <t>101-A-18A</t>
  </si>
  <si>
    <t>605 Peaks View Dr.</t>
  </si>
  <si>
    <t>Duke</t>
  </si>
  <si>
    <t>35-A-76</t>
  </si>
  <si>
    <t>1133 Timberlake Dr.</t>
  </si>
  <si>
    <t>Lauren</t>
  </si>
  <si>
    <t>Dodgion</t>
  </si>
  <si>
    <t>20H-1NQD-139</t>
  </si>
  <si>
    <t>Sandy Spring, MD  20860</t>
  </si>
  <si>
    <t>17735 Norwood Rd.</t>
  </si>
  <si>
    <t>Kia</t>
  </si>
  <si>
    <t>Dean</t>
  </si>
  <si>
    <t>Wilma</t>
  </si>
  <si>
    <t>96A-9-325</t>
  </si>
  <si>
    <t>Lynchburg, Va  24504</t>
  </si>
  <si>
    <t>58 Pecan Dr.</t>
  </si>
  <si>
    <t>Donnie</t>
  </si>
  <si>
    <t>9B-1-25</t>
  </si>
  <si>
    <t>1245 Brookneal Hwy.</t>
  </si>
  <si>
    <t>Macarthur</t>
  </si>
  <si>
    <t>34-A-30</t>
  </si>
  <si>
    <t>1704 Eudora Ln.</t>
  </si>
  <si>
    <t>83A-55-18</t>
  </si>
  <si>
    <t>Bronx, NY  10467</t>
  </si>
  <si>
    <t>833 East 215th St.</t>
  </si>
  <si>
    <t>9-8-1*</t>
  </si>
  <si>
    <t>6085 Pleasant Valley Rd.</t>
  </si>
  <si>
    <t>8-A-1</t>
  </si>
  <si>
    <t>Manassas, VA  20108</t>
  </si>
  <si>
    <t>PO Box 10070</t>
  </si>
  <si>
    <t>538 Lynchburg Ave.</t>
  </si>
  <si>
    <t>Marcus</t>
  </si>
  <si>
    <t>103C-9-5-7A</t>
  </si>
  <si>
    <t>1728 Paradise Rd.</t>
  </si>
  <si>
    <t>Haliegh</t>
  </si>
  <si>
    <t>Caskey</t>
  </si>
  <si>
    <t>Levi</t>
  </si>
  <si>
    <t>49-B-2A</t>
  </si>
  <si>
    <t>113 Booker Rd.</t>
  </si>
  <si>
    <t>Carr</t>
  </si>
  <si>
    <t>102-A-87</t>
  </si>
  <si>
    <t>559 Old Wright Shop Rd.</t>
  </si>
  <si>
    <t>561 Ridge Rd.</t>
  </si>
  <si>
    <t>Maurice</t>
  </si>
  <si>
    <t>41-A-11</t>
  </si>
  <si>
    <t>Burdette</t>
  </si>
  <si>
    <t>83A-17-19</t>
  </si>
  <si>
    <t>PO Box 702</t>
  </si>
  <si>
    <t>103C-9-5-8A</t>
  </si>
  <si>
    <t>Brumfield</t>
  </si>
  <si>
    <t>743 Bedford Hwy.</t>
  </si>
  <si>
    <t>713 Bedford Hwy.</t>
  </si>
  <si>
    <t>Teressa</t>
  </si>
  <si>
    <t>Dedrick</t>
  </si>
  <si>
    <t>68-A-169</t>
  </si>
  <si>
    <t>807 Park St.</t>
  </si>
  <si>
    <t>83A-11-47-4</t>
  </si>
  <si>
    <t>1126 Wileman Rd.</t>
  </si>
  <si>
    <t>Vera</t>
  </si>
  <si>
    <t>Whitley</t>
  </si>
  <si>
    <t>81A-1-13</t>
  </si>
  <si>
    <t>1330 Robin Rd.</t>
  </si>
  <si>
    <t>Jasper</t>
  </si>
  <si>
    <t>93-A-101</t>
  </si>
  <si>
    <t>1405 Ashborne Dr.</t>
  </si>
  <si>
    <t>83 Red House Rd.</t>
  </si>
  <si>
    <t>Britton</t>
  </si>
  <si>
    <t>34-A-77</t>
  </si>
  <si>
    <t>Bowman</t>
  </si>
  <si>
    <t>5280 Covered Bridge Rd.</t>
  </si>
  <si>
    <t>87-A-29A</t>
  </si>
  <si>
    <t>43 Pennyluck Dr.</t>
  </si>
  <si>
    <t>82 Pennyluck Dr.</t>
  </si>
  <si>
    <t>Dena</t>
  </si>
  <si>
    <t>Barricks</t>
  </si>
  <si>
    <t>21-7-3A</t>
  </si>
  <si>
    <t>4312 Mille Rd., Apt. 106</t>
  </si>
  <si>
    <t>68-A-82</t>
  </si>
  <si>
    <t>197 Hopewell Ln.</t>
  </si>
  <si>
    <t>135 Hopewell Ln</t>
  </si>
  <si>
    <t>Loretta</t>
  </si>
  <si>
    <t xml:space="preserve">Anthony </t>
  </si>
  <si>
    <t>81A-2-10B</t>
  </si>
  <si>
    <t>4362 Gladys Rd.</t>
  </si>
  <si>
    <t>4396 Gladys Rd.</t>
  </si>
  <si>
    <t>Eudorah</t>
  </si>
  <si>
    <t>J.H.</t>
  </si>
  <si>
    <t>72-6-5C</t>
  </si>
  <si>
    <t>133 Bennington Manor Dr.</t>
  </si>
  <si>
    <t>149 Bennington Manor Dr.</t>
  </si>
  <si>
    <t>Agee</t>
  </si>
  <si>
    <t>23H-3-5</t>
  </si>
  <si>
    <t>21 Meadowbrook Ln.</t>
  </si>
  <si>
    <t>Ackerman</t>
  </si>
  <si>
    <t>32Q-3-2</t>
  </si>
  <si>
    <t>Lenice</t>
  </si>
  <si>
    <t>Lenice B. Alexander</t>
  </si>
  <si>
    <t>Sharon Rose</t>
  </si>
  <si>
    <t>20G-1-12</t>
  </si>
  <si>
    <t>Housholder</t>
  </si>
  <si>
    <t>Sherry</t>
  </si>
  <si>
    <t>Sandee</t>
  </si>
  <si>
    <t>56 Chimney Crest Dr.</t>
  </si>
  <si>
    <t>Ashville, NC  28806</t>
  </si>
  <si>
    <t>52-A-6A</t>
  </si>
  <si>
    <t>Hudson</t>
  </si>
  <si>
    <t>Mount Pleasant, SC  29464</t>
  </si>
  <si>
    <t>34A-23-2</t>
  </si>
  <si>
    <t>Hughes</t>
  </si>
  <si>
    <t>1223 Village Hwy.</t>
  </si>
  <si>
    <t>Dottie P. Goodman</t>
  </si>
  <si>
    <t>(434) 238-7561</t>
  </si>
  <si>
    <t>383 McMaster Rd. (and by email dottiegoodman66@gmail.com)</t>
  </si>
  <si>
    <t>103A-3-3-2</t>
  </si>
  <si>
    <t>Hyland Heights Baptist Church</t>
  </si>
  <si>
    <t>30-A-19</t>
  </si>
  <si>
    <t>Madora</t>
  </si>
  <si>
    <t>15-A-181</t>
  </si>
  <si>
    <t>83A-14-8</t>
  </si>
  <si>
    <t>46-A-43A</t>
  </si>
  <si>
    <t>34A-A-50</t>
  </si>
  <si>
    <t>103C-10-6-8</t>
  </si>
  <si>
    <t>41-A-20</t>
  </si>
  <si>
    <t>42C-1-18A</t>
  </si>
  <si>
    <t>104-A-50C</t>
  </si>
  <si>
    <t>34A-A-24</t>
  </si>
  <si>
    <t>70-A-66B</t>
  </si>
  <si>
    <t>35-A-30</t>
  </si>
  <si>
    <t>81-A-19</t>
  </si>
  <si>
    <t>31-A-26A</t>
  </si>
  <si>
    <t>96A-8-255</t>
  </si>
  <si>
    <t>81-A-11</t>
  </si>
  <si>
    <t>68G-A-30</t>
  </si>
  <si>
    <t>40-A-59B</t>
  </si>
  <si>
    <t>11452 Wards Rd.</t>
  </si>
  <si>
    <t>684 Buffalo Mill Rd.</t>
  </si>
  <si>
    <t>25 Clifton Ave., Apt. 1807-D</t>
  </si>
  <si>
    <t>Newark, NJ  07104</t>
  </si>
  <si>
    <t>H. Robert Showers, R/A</t>
  </si>
  <si>
    <t>305 Harrison St. 3rd Fl.</t>
  </si>
  <si>
    <t>Leesburg, VA  20175</t>
  </si>
  <si>
    <t>Loudoun County</t>
  </si>
  <si>
    <t>75 Steeple Run</t>
  </si>
  <si>
    <t>1221 Lynch Rd.</t>
  </si>
  <si>
    <t>Jayqwan</t>
  </si>
  <si>
    <t>Yikima</t>
  </si>
  <si>
    <t>Malika</t>
  </si>
  <si>
    <t>Bowman, Yikia Smith &amp; Sianne Smith</t>
  </si>
  <si>
    <t>309 Thistle Rd.</t>
  </si>
  <si>
    <t>16 Mountain Ln.</t>
  </si>
  <si>
    <t>PO Box 215</t>
  </si>
  <si>
    <t>Linwood</t>
  </si>
  <si>
    <t>Georgia</t>
  </si>
  <si>
    <t>PO Box 802</t>
  </si>
  <si>
    <t>Kennedy</t>
  </si>
  <si>
    <t>377 Wildwood Rd.</t>
  </si>
  <si>
    <t>Kersey</t>
  </si>
  <si>
    <t>2212 Masons Mill Rd.</t>
  </si>
  <si>
    <t>2210 Masons Mill Rd.</t>
  </si>
  <si>
    <t>21H-1-A-30A</t>
  </si>
  <si>
    <t>Willoughby</t>
  </si>
  <si>
    <t>172 Mt. Sterling Dr.</t>
  </si>
  <si>
    <t>83A-34-17</t>
  </si>
  <si>
    <t>1113 8th St.</t>
  </si>
  <si>
    <t>31F-1-28</t>
  </si>
  <si>
    <t>32-A-38</t>
  </si>
  <si>
    <t>35-9-3</t>
  </si>
  <si>
    <t>83A-33-16</t>
  </si>
  <si>
    <t>57-2-9A1</t>
  </si>
  <si>
    <t>45-A-80</t>
  </si>
  <si>
    <t>34-A-95A1</t>
  </si>
  <si>
    <t>54-A-13A</t>
  </si>
  <si>
    <t>9B-2-1</t>
  </si>
  <si>
    <t>29-A-3</t>
  </si>
  <si>
    <t>14-4-5</t>
  </si>
  <si>
    <t>83A-47-7</t>
  </si>
  <si>
    <t>9B-1-19</t>
  </si>
  <si>
    <t>53-3-1A</t>
  </si>
  <si>
    <t>68-A-150</t>
  </si>
  <si>
    <t>90-9-2</t>
  </si>
  <si>
    <t>90-A-65A2</t>
  </si>
  <si>
    <t>98-A-7</t>
  </si>
  <si>
    <t>102C-1-6</t>
  </si>
  <si>
    <t>53-7-4</t>
  </si>
  <si>
    <t>32A-2-2-9</t>
  </si>
  <si>
    <t>27A-6-1</t>
  </si>
  <si>
    <t>56A-1-2</t>
  </si>
  <si>
    <t>90B-3-5</t>
  </si>
  <si>
    <t>15-A-131M</t>
  </si>
  <si>
    <t>55-A-14</t>
  </si>
  <si>
    <t>103C-10-19-2</t>
  </si>
  <si>
    <t>50C-1-14</t>
  </si>
  <si>
    <t>73C-1-1</t>
  </si>
  <si>
    <t>87-11-6</t>
  </si>
  <si>
    <t>103C-3-G-4A1</t>
  </si>
  <si>
    <t>46-A-9A</t>
  </si>
  <si>
    <t>40B-3-1</t>
  </si>
  <si>
    <t>35-A-49A</t>
  </si>
  <si>
    <t>15B-6-112</t>
  </si>
  <si>
    <t>22-A-5A5</t>
  </si>
  <si>
    <t>Knight</t>
  </si>
  <si>
    <t>115 Still Rd.</t>
  </si>
  <si>
    <t>215 Still Rd.</t>
  </si>
  <si>
    <t>Krantz</t>
  </si>
  <si>
    <t>1509 McKinney Ave.</t>
  </si>
  <si>
    <t xml:space="preserve">Lambert </t>
  </si>
  <si>
    <t>7993 Gladys Rd.</t>
  </si>
  <si>
    <t>2263 Red House Rd.</t>
  </si>
  <si>
    <t>1527 Ratcliff Ave.</t>
  </si>
  <si>
    <t>Twyla</t>
  </si>
  <si>
    <t>1827 Chellis Ford Rd.</t>
  </si>
  <si>
    <t>1210 Avondale Dr., Apt. 96</t>
  </si>
  <si>
    <t>5811 Marysville Rd.</t>
  </si>
  <si>
    <t>1217 Smokey Hollow Rd.</t>
  </si>
  <si>
    <t>Marin</t>
  </si>
  <si>
    <t>Ruth Marin Turner</t>
  </si>
  <si>
    <t>785 Pacoman Rd.</t>
  </si>
  <si>
    <t>Markham</t>
  </si>
  <si>
    <t>Greg</t>
  </si>
  <si>
    <t>15 Sedgebrook Ct. # 201</t>
  </si>
  <si>
    <t>Mayfield</t>
  </si>
  <si>
    <t>Crispulo</t>
  </si>
  <si>
    <t>Brigette</t>
  </si>
  <si>
    <t>64 Otterwood Ct.</t>
  </si>
  <si>
    <t>McClendon</t>
  </si>
  <si>
    <t>Ginger</t>
  </si>
  <si>
    <t>505 Worchester St.</t>
  </si>
  <si>
    <t>Herndon, VA  20170</t>
  </si>
  <si>
    <t>Plymale</t>
  </si>
  <si>
    <t>5048 Wards Rd.</t>
  </si>
  <si>
    <t>McGuire</t>
  </si>
  <si>
    <t>885 Bethany Rd.</t>
  </si>
  <si>
    <t>358 Bedford Hwy.</t>
  </si>
  <si>
    <t>PO Box 308</t>
  </si>
  <si>
    <t>Simmons</t>
  </si>
  <si>
    <t>453 Plateau Dr.</t>
  </si>
  <si>
    <t>Mid Atlantic Property Services LLC</t>
  </si>
  <si>
    <t>440 Bedford Springs Rd.</t>
  </si>
  <si>
    <t>Stanley B. Norwood, R/A</t>
  </si>
  <si>
    <t>Veronese</t>
  </si>
  <si>
    <t>1613 Chellis Ford Rd.</t>
  </si>
  <si>
    <t>Neal</t>
  </si>
  <si>
    <t>Benjamin</t>
  </si>
  <si>
    <t>919 Swan Creek Rd.</t>
  </si>
  <si>
    <t>Palmer</t>
  </si>
  <si>
    <t>Jeanette</t>
  </si>
  <si>
    <t>7199 Epsons Rd.</t>
  </si>
  <si>
    <t>PO Box 425</t>
  </si>
  <si>
    <t>Perdue</t>
  </si>
  <si>
    <t>April</t>
  </si>
  <si>
    <t>1884 Prophet Rd.</t>
  </si>
  <si>
    <t>Goode, VA  24556</t>
  </si>
  <si>
    <t>Petty</t>
  </si>
  <si>
    <t>Hezekiah</t>
  </si>
  <si>
    <t>289 Greendale Dr.</t>
  </si>
  <si>
    <t>Pinn</t>
  </si>
  <si>
    <t>Jacqueline</t>
  </si>
  <si>
    <t>112 Statham Rd.</t>
  </si>
  <si>
    <t>Alfonza</t>
  </si>
  <si>
    <t>282 Younger Rd.</t>
  </si>
  <si>
    <t>39 Sun Dr.</t>
  </si>
  <si>
    <t>348 Candlemakers Ln.</t>
  </si>
  <si>
    <t>Maria</t>
  </si>
  <si>
    <t>2211 Park Pl.</t>
  </si>
  <si>
    <t>Dowdy</t>
  </si>
  <si>
    <t>Mozelle</t>
  </si>
  <si>
    <t>202 Charlotte St.</t>
  </si>
  <si>
    <t>Carson</t>
  </si>
  <si>
    <t>61 Mud St.</t>
  </si>
  <si>
    <t>Rolena Murrell</t>
  </si>
  <si>
    <t>Martha</t>
  </si>
  <si>
    <t>2964 Long Island Rd.</t>
  </si>
  <si>
    <t>Savannah Timber, LLC</t>
  </si>
  <si>
    <t>Louis F. Sette, R/A</t>
  </si>
  <si>
    <t>401 Spring Lake Rd.</t>
  </si>
  <si>
    <t>Silby</t>
  </si>
  <si>
    <t>Tricia</t>
  </si>
  <si>
    <t>914 Lynchburg Ave.</t>
  </si>
  <si>
    <t>815 Thistle Rd.</t>
  </si>
  <si>
    <t>PO Box 833</t>
  </si>
  <si>
    <t>229 Webster Dr.</t>
  </si>
  <si>
    <t>Stedman</t>
  </si>
  <si>
    <t>Brandon</t>
  </si>
  <si>
    <t>Misty</t>
  </si>
  <si>
    <t>801 Campbell Ave.</t>
  </si>
  <si>
    <t>Torbert</t>
  </si>
  <si>
    <t>106 Maple Ln.</t>
  </si>
  <si>
    <t>Tonya</t>
  </si>
  <si>
    <t>2164 Tardy Mtn. Rd.</t>
  </si>
  <si>
    <t>2194 Goodman Crossing Rd.</t>
  </si>
  <si>
    <t>551 Dearing Ford Rd.</t>
  </si>
  <si>
    <t>Vaughan</t>
  </si>
  <si>
    <t>Donny</t>
  </si>
  <si>
    <t>Dianne</t>
  </si>
  <si>
    <t>1804 Maddox Rd.</t>
  </si>
  <si>
    <t>4414 Brookneal Hwy</t>
  </si>
  <si>
    <t>Wehrly</t>
  </si>
  <si>
    <t>56 Kelly Rd.</t>
  </si>
  <si>
    <t>Wheeler</t>
  </si>
  <si>
    <t>3076 Halseys Bridge Rd.</t>
  </si>
  <si>
    <t>4568 Everett Rd.</t>
  </si>
  <si>
    <t>Candy</t>
  </si>
  <si>
    <t>14 Ayers Rd.</t>
  </si>
  <si>
    <t>Ayers</t>
  </si>
  <si>
    <t>Mindy</t>
  </si>
  <si>
    <t>Wilkerson</t>
  </si>
  <si>
    <t>Stephen</t>
  </si>
  <si>
    <t>2452 Bethel Church Rd.</t>
  </si>
  <si>
    <t>19-22 Land Assessed</t>
  </si>
  <si>
    <t>19-22 Improv. Assessed</t>
  </si>
  <si>
    <t>19-22 Tot. Assessed</t>
  </si>
  <si>
    <t>23-26 Land Assessed</t>
  </si>
  <si>
    <t>23-26 Improv. Assessed</t>
  </si>
  <si>
    <t>23-26 Tot. Assessed</t>
  </si>
  <si>
    <t>876 Stormcrest Rd.</t>
  </si>
  <si>
    <t>PO Box 361</t>
  </si>
  <si>
    <t>WolfMill, LLC</t>
  </si>
  <si>
    <t>221 Main St.</t>
  </si>
  <si>
    <t>Rebecca C. Bowen, R/A</t>
  </si>
  <si>
    <t>100 Shockoe Slip 3rd Fl.</t>
  </si>
  <si>
    <t>Richmond City</t>
  </si>
  <si>
    <t>Wood</t>
  </si>
  <si>
    <t>Wilton</t>
  </si>
  <si>
    <t>4588 East Ferry Rd.</t>
  </si>
  <si>
    <t>219 Bryant Rd.</t>
  </si>
  <si>
    <t>Teresa Williams</t>
  </si>
  <si>
    <t>123 Branch Dr.</t>
  </si>
  <si>
    <t>Wayne T. Wood</t>
  </si>
  <si>
    <t>Terrie Wood</t>
  </si>
  <si>
    <t>1698 Rocky Rd.</t>
  </si>
  <si>
    <t>535 Clarks Rd.</t>
  </si>
  <si>
    <t>Zavilla</t>
  </si>
  <si>
    <t>4906 Dodd St.</t>
  </si>
  <si>
    <t>Arlene R. Cudney</t>
  </si>
  <si>
    <t>Cudney</t>
  </si>
  <si>
    <t>(434) 665-8050</t>
  </si>
  <si>
    <t>WILL PAY BY 4/1</t>
  </si>
  <si>
    <t>3397 Theta Mill Rd.</t>
  </si>
  <si>
    <t>(434) 444-0209</t>
  </si>
  <si>
    <t>Va. Code 58.1-3975</t>
  </si>
  <si>
    <t>Andrew</t>
  </si>
  <si>
    <t>284 Homewood Dr.</t>
  </si>
  <si>
    <t>50C-1-6</t>
  </si>
  <si>
    <t>Will Pay by 4/1</t>
  </si>
  <si>
    <t>Brenda H. Hensley</t>
  </si>
  <si>
    <t>(434) 309-1076</t>
  </si>
  <si>
    <t>Will pay by 4/1</t>
  </si>
  <si>
    <t>Demetrice D. Poindexter</t>
  </si>
  <si>
    <t>1888 Wards Rd.</t>
  </si>
  <si>
    <t>Poindexter</t>
  </si>
  <si>
    <t>(434) 944-1091</t>
  </si>
  <si>
    <t>(434) 851-0488</t>
  </si>
  <si>
    <t>Murrell</t>
  </si>
  <si>
    <t>Kenneth Murrell</t>
  </si>
  <si>
    <t>(434) 444-2237</t>
  </si>
  <si>
    <t>WILL PAY BY 4/15</t>
  </si>
  <si>
    <t>Brian P. Blankenship</t>
  </si>
  <si>
    <t>Blankenship</t>
  </si>
  <si>
    <t>(540) 815-1617</t>
  </si>
  <si>
    <t>2909 Edison St. NE</t>
  </si>
  <si>
    <t>Antonio C. Burnett, Sr.</t>
  </si>
  <si>
    <t>Burnett</t>
  </si>
  <si>
    <t>by email to: antonio.burnett@usda.gov</t>
  </si>
  <si>
    <t>WILL PAY BY 4/30</t>
  </si>
  <si>
    <t>(434) 660-2536</t>
  </si>
  <si>
    <t>Barbara Martin</t>
  </si>
  <si>
    <t>(434) 546-5252</t>
  </si>
  <si>
    <t xml:space="preserve">All that certain lot or parcel of land, together with the buildings and improvements thereon, and the privileges and appurtenances thereunto appertaining, situate, lying and being in Tomahawk Magisterial District, Campbell County, Virginia; and designated as Lot 29 as shown on a plat entitled Plat Showing Deerfield Subdivision for Yeatts Construction Corp., Tomahawk Magisterial District, Campbell County, Virginia, dated July 16, 1979, made by Thomas W. Guffey, C.L.S., which said plat is of record in the Clerk’s office of the Circuit Court of Campbell County, Virginia, in plat book 25, page 32, 33 and 34.  </t>
  </si>
  <si>
    <t>This being the same property conveyed to Myra C. Cunningham, by deed from Robert R. Cunningham and Myra C. Cunningham, husband and wife, dated November 19, 1984 and recorded in the aforesaid Clerk’s Office in deed book 609, page 345.</t>
  </si>
  <si>
    <t>Samuel I. White, P.C.</t>
  </si>
  <si>
    <t>448 Viking Dr Ste 350</t>
  </si>
  <si>
    <t>Instrument No. 170000667</t>
  </si>
  <si>
    <t>H &amp; H Properties, a Virginia General Partnership</t>
  </si>
  <si>
    <t>PARCEL 1: That certain tract or parcel of land situated, lying and being in Vista Magisterial District, Campbell County, Virginia, described as follows: From corner joining Alonza Payne along the old road to corner joining Esmond Payne1 thence along his line to hara surface road; thence along this road to Alonza Payne’s line, thence along his line to corner on old road, containing 2.04 acres, more or less, and being the southwest end of tract designated as Robert H. Payne, on plat of survey for the Heirs of Aaron Payne, duly recorded in Plat Book 6, Page 16, in the Clerk‘s Office of the Circuit Court of Campbell County, Virginia.</t>
  </si>
  <si>
    <t>PARCEL 2: Any property lying between the property described in Parcel 1 above and the present margin of State Route 699 which was conveyed to Earl T. Walker by deed dated September 7, 1983, recorded in Deed Book 610, Page 773. It was the intent of this deed to remove any question that the property described in Parcel 1 above abutted and joined the margin of State Road 699, presently located.</t>
  </si>
  <si>
    <t>These two parcels being the same real estate conveyed from Earl T. Walker and Gracie E. Walker, husband and wife, to Clinton B. Hall and Sharon T. Hall, husband and wife, by Deed dated December 30, 1986 and recorded in the aforesaid Clerk’s Office in Deed Book 642, at page 743.</t>
  </si>
  <si>
    <t>Instrument No. 160003442</t>
  </si>
  <si>
    <t>Mark C. Thackston, Trustee</t>
  </si>
  <si>
    <t>James P. Kent, Jr., Trustee</t>
  </si>
  <si>
    <t>All that certain tract or parcel of land containing 0.648 acres as per plat of survey dated August 19, 1970, by John o. Jacobs, C.L.S., about five miles northeast of Altavista in Vista Magisterial District, Campbell County, Virginia, a copy of which plat is recorded in the Campbell County Clerk’s Office in Deed Book 450, Page 395, to which reference is made for a more particular description of said property. It is intended by this deed to convey all right, title and interest that the parties hereto may now have or may acquire by virtue of the closing of that portion of Virginia secondary Highway No. 699 as it now exists and as shown on said plat, which adjoins or runs through the property herein conveyed.</t>
  </si>
  <si>
    <t>This being the same real estate conveyed from Earl T. Walker and Gracie E. Walker, husband and wife, to Clinton B. Hall and Sharon T. Hall, husband and wife, by Deed dated December 30, 1986 and recorded in the aforesaid Clerk’s Office in Deed Book 642, at page 739.</t>
  </si>
  <si>
    <t>All that certain tract or parcel of land, being in Patrick Henry District, Campbell County, Virginia, containing 42.41 acres, as shown on plat of survey for H. G. Taylor, dated November 1, 1990 by William R. Reeves, Jr., C. L. S., a copy of which plat is duly recorded in the Clerk's Office of the Circuit Court of Campbell County, Virginia with the hereinafter mentioned Deed, reference to which is hereby made for a more particular description of the property herein conveyed.</t>
  </si>
  <si>
    <t>This being the same property conveyed a one-half undivided interest unto Frank R. Wood and Elise V. Wood, husband and wife as tenants by the entireties with the right of survivorship as at common law and a one-half undivided interest unto Clinton B. Hall and Sharon T. Hall, husband and wife, as tenants by the entireties with the right of survivorship as at common law by Deed dated December 16, 2002 from Melba T. Blanks and duly recorded in the aforesaid Clerk's Office as Instrument Number 020011340. Frank R. Wood predeceased Elise V. Wood on February 7, 2015 and by virtue of the provisions of said Deed, she became the sole owner thereof.</t>
  </si>
  <si>
    <t>This being parcel two as conveyed from Elise V. Wood, Clinton B. Hall, and Sharon T. Hall, to Clinton B. Hall and Sharon T. Hall, husband and wife, by Deed dated May 4, 2016 and recorded in the aforesaid Clerk’s Office as Instrument No. 160003441.</t>
  </si>
  <si>
    <t>That certain tract or parcel of land, together with the buildings and improvements thereon, and the privileges and appurtenances thereunto belonging, 􀂅situate, lying and being in Vista Magisterial District, formerly Seneca Magisterial District, Campbell County, Virginia, described as follows:</t>
  </si>
  <si>
    <t>Catherine C. Pedigo, Life Tenant</t>
  </si>
  <si>
    <t xml:space="preserve">That certain lot or parcel of land, together with all buildings and improvements thereon and privileges, easements and appurtenances thereunto belonging, lying and being situated on Wood Haven Drive, being designated and described as all of Lot No. 9, Section B, Isaacs' Circle (now Westwood Manor) as shown upon a plat of record in the Clerk's Office in the Circuit Court for the County of Campbell in Plat Book No. 16, page 15. </t>
  </si>
  <si>
    <t>Parcel 1. Beginning at an old set iron stake at the northwest comer of the intersection of Bedford Avenue and Fourteenth Street; thence along the line of the northwest side of Fourteenth Street S. 53 deg. W. (passing on the left side of an Oak Tree at 82 ft.) 260 ft. to a stake at the northeast comer of the intersection of a 20 ft. alley with said Fourteenth Street; thence running a right angle to the right and running with the line of the northeast side of said alley N. 37 deg. W. 80 ft. to the corner of Lot No. 2; thence turning a right angle to the right and running with the line of said Lot No. 2 (property now or formerly owned by Paul Farmer) N. 53 deg. E. 160 ft. to the corner with said Lot No. 2, in the line of the southwest side of Bedford Avenue, S. 37 deg. E. 80 ft. to the beginning.</t>
  </si>
  <si>
    <t>Parcel 2. Beginning at the southwesterly comer of Lot No. 1 of Block No. 69 as shown on map of Bedford Avenue Addition dated June 15, 1929, by H. M. Lane, Eng., recorded in the Office of the Clerk of Campbell County, Virginia in Plat Book 5, Page 120, as amended by plats dated January 5, 1938, recorded in Plat Book 6, Page 71, and June 21, 1943, recorded in Plat Book 7, Page 74, and running along the margin of said Lot No. 1 in a northerly direction a distance of 80 ft. to the northwesterly corner of said Lot No. 1; thence at a right angle to the left in a westerly direction a distance of 80 ft. to a 20 ft. alley; thence at a right angle to the left and running in a southerly direction along the easterly margin of said 20 ft. alley to its intersection with Fourteenth Street, extended (Greenhill Cemetery Road); thence in an easterly direction along the northerly margin of said Fourteenth Street to the point of beginning, and being the additional portion of said Lot No. 1 of Block 69 as shown on Revised Plat of the aforesaid plats dated October 21, 1943, to all of which plats reference is hereby made for a more particular description.</t>
  </si>
  <si>
    <t>This being the same property conveyed from Dora C. Stallard to Sheila Johns by Deed dated October 7, 2019 and recorded in the aforesaid Clerk's Office as Instrument No. 190005209.</t>
  </si>
  <si>
    <t>This being the same property conveyed from Catherine C. Pedigo to Catherine D. Horn and Jo Else Davis by Deed dated February 27, 2018 and recorded in the aforesaid Clerk's Office as Instrument No. 180000881.</t>
  </si>
  <si>
    <t xml:space="preserve">In that aforesaid Deed recorded as Instrument No. 180000881, Catherine C. Pedigo reserved unto herself a life estate in the parcel conveyed. </t>
  </si>
  <si>
    <t>Jo Else Davis being one and the same person as Martha Jo Davis, pursuant to that Order for Change of Name recorded in the aforesaid Clerk's Office as Instrument No. 170001472.</t>
  </si>
  <si>
    <t>Bank of America, NA</t>
  </si>
  <si>
    <t>Instrument No. 200001955</t>
  </si>
  <si>
    <t>Tracy Fairchild, Director</t>
  </si>
  <si>
    <t>Instrument No. 200002518, and by virtue of that judgment recorded in the aforesaid Clerk's Office on July 7, 2021 as Instrument No. 210001140</t>
  </si>
  <si>
    <t>Instrument No. 080002221</t>
  </si>
  <si>
    <t>Woods Rogers, PLC, Trustee</t>
  </si>
  <si>
    <t> 10 S. Jefferson Street Suite 1400</t>
  </si>
  <si>
    <t>Roanoke, VA 2401</t>
  </si>
  <si>
    <t>All that certain tract or parcel of land with all improvements located thereon, being in Flat Creek Magisterial District, Campbell County, Virginia, designated as Lot 2, containing 3.006 acres, fronting on State Route No. 24, as shown on a plat entitled "PLAT SHOWING DIVISION OF PROPERTY OF BEATRICE F. PARKER ESTATE FLAT CREEK DISTRICT, CAMPBELL COUNTY, VIRGINIA, SURVEYED FOR: Heirs of BEATRICE F. PARKER" dated March 23, 1989, made by Albert E. Neighbors, Jr., Surveyor-Planner, which plat is recorded in the Clerk's Office of the Circuit Court of Campbell County, Virginia, in Plat Cabinet B, Slide 46.</t>
  </si>
  <si>
    <t>This is the same property conveyed to Sylvia P. Kidd and Douglas Kidd, her husband, by deed from Steven D. Parker, et als., dated October 12, 1989, and recorded in the aforesaid Clerk's Office in Deed Book 700, page 415.</t>
  </si>
  <si>
    <t>As stated in that certain Deed of Trust dated March 31, 2008 and recorded in the aforesaid Clerk’s Office as Instrument No. 080002221, Douglas J. Kidd died May 1, 1998 thereby vesting fee simple title in Sylvia P. Kidd.</t>
  </si>
  <si>
    <t>Michael W. Louis</t>
  </si>
  <si>
    <t>4304 Hackney Coach Ln.</t>
  </si>
  <si>
    <t>Fairfax, VA  22030</t>
  </si>
  <si>
    <t>Karen A. Louis</t>
  </si>
  <si>
    <t>13988 Chelmsford Dr.</t>
  </si>
  <si>
    <t>Gainesville, VA  20155</t>
  </si>
  <si>
    <t>Prince William County</t>
  </si>
  <si>
    <t>Instrument No. 190003979, and by virtue of that lien dated June 22, 2020 and recorded in the aforesaid Clerk's Office as Instrument No. 200003489, and by virtue of that lien dated August 3, 2021 and recorded in the aforesaid Clerk's Office as Instrument No. 210005923, and by virtue of that lien dated May 24, 2022 and recorded in the aforesaid Clerk's Office as Instrument No. 220003560.</t>
  </si>
  <si>
    <t>All that certain lot or parcel of land, together with the buildings and improvements thereon and the privileges and appurtenances thereun­to belonging, situate, lying and being in Vista District of Campbell County, Virginia, and designated as Lot 204, upon a plat of survey dated May 1, 1999, made by Thomas C. Books; Sr., L.S., entitled "Map III, Phase 111, RUNAWAY BAY, Vista District, Campbell County, Virginia", recorded in the Campbell County Circuit Court Clerk's Office in Plat Cabinet B, Slide 233, pages 1133 through 1135.</t>
  </si>
  <si>
    <t>The party of the first part also conveys an easement to use the drainfield located on other property owned by the party of the first part and shown on Sheet 3 of the aforementioned plat with the further right to install, repair, and maintain the necessary lines to connect the drainfield with the septic system located on Lot 204 -with the right of access to use and service said easement.</t>
  </si>
  <si>
    <t xml:space="preserve">Pursuant to that certain revocable transfer on death deed dated September 9, 2016 and recorded in the aforesaid Clerk's Office as Instrument No. 160004534, said property shall transfer to Megan Anne Lois and Matthew William Loius upon the second to die of Michael W. Louis and Karen A. Louis.  </t>
  </si>
  <si>
    <t>WILL PAY BY 5/1</t>
  </si>
  <si>
    <t>Cherise L. Ramos</t>
  </si>
  <si>
    <t>845 Chapel Grove Rd.</t>
  </si>
  <si>
    <t>Tonya Armenti</t>
  </si>
  <si>
    <t>6224 Narragansett Dr.</t>
  </si>
  <si>
    <t>Tiffany Martinez</t>
  </si>
  <si>
    <t>66724 Thunderbird Lane</t>
  </si>
  <si>
    <t>Desert Hot Springs, CA  92240</t>
  </si>
  <si>
    <t>Tony W. Martin, Jr.</t>
  </si>
  <si>
    <t>Dale H. Minnis</t>
  </si>
  <si>
    <t xml:space="preserve">This being the same property conveyed unto Carol Wilmot from Charles Hewitt, et als. by Deed dated November 19, 1996 and in the Clerk's Office of the Circuit Court of Campbell County, Virginia as Instrument No. 020002506.  </t>
  </si>
  <si>
    <t xml:space="preserve">As stated in that certain deed dated June 25, 2002 and recorded in the aforesaid Clerk’s Office as Instrument No. 030009614, Carol Wilmot died intestate, married and being survived by one or more children not of her husband, leaving as her heirs at law her husband Norman Wilmot; and her children Rosalind Hewitt-Moultrie (being one and the same as Rosalind Robinson), Nicole Wilmot, Joe Still, Dianne Wilmot, Nana Wilmot, Shakema Wilmot, Cassandra Wilmot, and Justina Wilmot.  In said deed recorded in the aforesaid Clerk’s Office as Instrument No. 030009614, Norman Wilmot, Nicole Wilmot and Joe Still conveyed their interests in the property to Rosalind Hewitt-Moultrie.  Further, in that certain Deed dated October 30, 2008 and recorded in the Clerk's Office of the Circuit Court of Campbell County, Virginia as Instrument No. 120001447, Diane Wilmot, Nana Wilmot and Shakema Wilmot conveyed their interests to Rosalind Hewitt-Moultrie.  </t>
  </si>
  <si>
    <t>Following the recordation of Instrument Nos. 030009614 and 120001447 Rosalind Hewitt-Moultrie (being one and the same as Rosalind Robinson) possessed a 10/12 undivided interest, and Justina Wilmot and Cassandra Wilmot each possessed a 1/12 undivided interest.</t>
  </si>
  <si>
    <t>Ramos</t>
  </si>
  <si>
    <t>(434) 841-3782</t>
  </si>
  <si>
    <t>Evington, VA 24550</t>
  </si>
  <si>
    <t>Clinton B. Hall</t>
  </si>
  <si>
    <t>(434) 841-1089</t>
  </si>
  <si>
    <t>Jackson, Life Tenant</t>
  </si>
  <si>
    <t>Tami Smith</t>
  </si>
  <si>
    <t>April Carrington</t>
  </si>
  <si>
    <t>Nicole Jennings</t>
  </si>
  <si>
    <t>Johnathan L. Carrington</t>
  </si>
  <si>
    <t>1023 Patterson Rd.</t>
  </si>
  <si>
    <t>106 Magaron Ln.</t>
  </si>
  <si>
    <t>4373 Dubois Pl. SE</t>
  </si>
  <si>
    <t>Washington, DC  20019</t>
  </si>
  <si>
    <t>That certain lot or parcel of land situate in the Flat Creek Magisterial District of Campbell County, Virginia, containing 0.6 of an acre, and more particularly described as follows:</t>
  </si>
  <si>
    <t>Beginning in the east margin of Old Wards Road, corner to John Smith, thence S. 37-¾° E. 290 feet to a point in the line of Willis Nowlin, thence N. 43° E. 87’ to a point, thence N. 33° W. 292 feet to a point along said road, thence with the said road S. 43° W. 100 feet to the point of beginning.</t>
  </si>
  <si>
    <t>This being the same property conveyed from W. Alan Smith, Special Commissioner to Cynthia A. Carrington by deed dated March, 1978, and of record in the Clerk's Office of the Circuit Court of Campbell County, Virginia, in Deed Book 534, page 271.</t>
  </si>
  <si>
    <t xml:space="preserve">As stated in that certain document recorded in the Will file of the aforesaid Clerk's Office as Instrument No. 160000494, Cynthia Jackson died testate, and pursuant to her will the herein described property was devised to her children, Tami Smith, April Carrington, Nicole Jennings, and Johnathan Carrignton, with a life estate reserved for her husband, Samuel Jackson, who had survived her. </t>
  </si>
  <si>
    <t>Piedmont Eye Center, Inc.</t>
  </si>
  <si>
    <t>Instrument No. 100000698</t>
  </si>
  <si>
    <t>DC Johnson, PLLC, R/A</t>
  </si>
  <si>
    <t>LVNV Funding LLC</t>
  </si>
  <si>
    <t>780 Lynnhaven Pkwy., Suite 220</t>
  </si>
  <si>
    <t>All that certain lot or parcel of land situate in Long Mountain Magisterial District (now or formerly), Campbell County Virginia, on state secondary route 919 and further described in that certain Deed from Willie Sherman Terrell, Sr. and Mary Herndon Terrell to Albert A. Terrell as follows, to wit:</t>
  </si>
  <si>
    <t>BEGINNING on state secondary route 919 at a stake on the line of Steve Smith (see Deed Book 316, page 285), thence with the line in a northwesterly direction 282 feet to a stake at the corner of the intersection of Steve Smith line with the land retained by the William S. Terrell Sr., thence in a northeasterly direction parallel to route 919, 161 feet to a point at the intersection of the line of Willie S. Terrell, Jr. (see Deed Book 380, page 483) at its intersection with Willie S. Terrell, Sr. property; thence with the line of Willie S. Terrell, Jr., 200 feet in a southeasterly direction to State Secondary Route 919; thence along state secondary route 919, 182 feet in a southwesterly direction to a stake and the point of BEGINNING.</t>
  </si>
  <si>
    <t>This being the same property conveyed from Willie Sherman Terrell, Sr. and Mary Herndon Terrell to Alberta Terrell by Deed dated October 2, 1973 and recorded in the Clerk’s Office of the Circuit Court of Campbell County, Virginia in Deed Book 472, at page 192.</t>
  </si>
  <si>
    <t>Instrument No. 180001401</t>
  </si>
  <si>
    <t>That certain lot or parcel of land together with the buildings and improvements thereon, and the privileges and appurtenances thereunto belonging, situate, lying and being situated in Campbell County, Virginia, designated and described as Amended Parcel A, containing 4.313 acres, more or Jess, as more particularly shown on a certain plat of a survey entitled "RECONFIGURATION OF AMENDED PARCEL A OF THE "WITT" PROPERTY FLAT CREEK DISTRICT - CAMPBELL COUNTY, VIRGINIA", prepared by Willard T. Sigler, L.S., dated June 27, 2019, and recorded in the Campbell County Circuit Court Clerk's Office in Plat Cabinet C, Slide 190, Page 1896, reference to which is made for a more particular description of the property.</t>
  </si>
  <si>
    <t>It being the same property conveyed unto Melinda O. Yancey and Jay T. Yancey, husband and wife, by deed dated August 13, 2019 and recorded in the aforesaid Clerk's Office as Instrument No. 190004113.</t>
  </si>
  <si>
    <t>9316-A Old Keene Mill Rd.</t>
  </si>
  <si>
    <t>Instrument No. 190005938, as modified by Instrument Nos. 220000379 and 220000380</t>
  </si>
  <si>
    <t>That certain tract or parcel of land located on State Route 614 in Patrick Henry Magisterial District, Campbell County, Virginia, containing 0.85 acre and more particularly described by plat of Alfred H. Carter, P.L.S., dated October 14, 1976, a copy of which is recorded in the Clerk's Office of the Circuit Court of Campbell County in Deed Book 516, page 299.</t>
  </si>
  <si>
    <t>This being the same property conveyed from Leslie Angel to David Epperson by Deed dated September 14, 201 and recorded in the aforesaid Clerk's Office as Instrument No. 170004704.</t>
  </si>
  <si>
    <t>Cach LLC</t>
  </si>
  <si>
    <t>4340 S. Monaco St., 2d Floor</t>
  </si>
  <si>
    <t>(No Virginia R/A Appointed)</t>
  </si>
  <si>
    <t>Denver, VA  80237</t>
  </si>
  <si>
    <t>Instrument No. 170001928 and 200000903</t>
  </si>
  <si>
    <t>Being all that certain lot or parcel of land designated as Lot No. 12 as more particularly shown on a plat of survey entitled "Plat Showing Re-Survey of Lot 17. 20 and Residue of Lot 12 Closeburn Manor" made by Douglas A. Lee, Land Surveyor, dated March 22, 2005, a copy of which is recorded in the Office of the Clerk of the Circuit Court of Campbell County, Virginia, in Cabinet B, Slide 363, Page 2531.</t>
  </si>
  <si>
    <t xml:space="preserve">This being the same property conveyed from Craig C. Shaffer to Sherry L. Housholder and Sandee S. Johnson by Deeds dated November 12, 2014 and February 23, 2016, which deeds are recorded in the aforesaid Clerk's Office as Instrument No. 140005711 and 160000933, respectively.  </t>
  </si>
  <si>
    <t xml:space="preserve">Pursuant to both the aforementioned Deeds recorded as Instrument Nos. 140005711 and 160000933, respectively, Craig C. Shaffer and his wife Deidra Shaffer retain a right of first refusal in the event of susequent sale. </t>
  </si>
  <si>
    <t>Craig C. and Deidra Shaffer</t>
  </si>
  <si>
    <t>145 Closeburn Manor Dr.</t>
  </si>
  <si>
    <t>All that certain lot or parcel of land, lying, situate, and being in Campbell County, Virginia, about 2 ½ miles from Evington and being more particularly described as:</t>
  </si>
  <si>
    <t>BEGINNING at a post oak stump or root on Mill Road (now Buffalo Mill Rd.) near Hatty Irvine's house and her corner (now or formerly) and the corner of Jno. M. Ogden and Lelia F. Ogden, husband and wife (now or formerly) and running in the middle of said Road in an eastern direction to where Blankenship's line (now or formerly) cross said road, approximately 1330 feet, thence with Blankenship's line west to Hatty Irvine's corner, thence with Harry Irvine's line to the place of BEGINNING.</t>
  </si>
  <si>
    <t>This being the same property conveyed from Jno. M. Ogden and Lelia F. Ogden, husband and wife to Madora Irvine by Deed dated November 20, 1939 and recorded in the Clerk's Office of the Circuit Court of Campbell County, Virginia in Deed Book 181, page 247.</t>
  </si>
  <si>
    <t>George M. Harris</t>
  </si>
  <si>
    <t>Lloyd Martin PLC, Trustee</t>
  </si>
  <si>
    <t>pending</t>
  </si>
  <si>
    <t>Mattie Clark, Lucille Smith, Ollie Ward, George Ward &amp; Steptoe Ward, Trustees of the Yellow Branch Community Center</t>
  </si>
  <si>
    <t>This being the same property conveyed from the Campbell County School Board to Mattie Clark, Lucille Smith, Ollie Ward, George Ward, and Steptoe Ward, Trustees of the Yellow Branch Community Center by Deed dated April 16, 1956 and recorded n the aforesaid Clerk's Office in Deed Book 274 at page 223.</t>
  </si>
  <si>
    <t>That certain lot or parcel of land situate in the Town of Brookneal, Campbell County, Virginia, and being Lot No. Two (2) as shown on a plat of survey entitled "Oakdale Resubdivision" made by J. Walter Jones, Jr., C. L. S., dated January 10, 1969, a copy of which is recorded in the Clerk's Office of the Circuit Court of Campbell County in Deed Book 413, page 529, and being more particularly described by metes and bounds by reference to said plat as follows:</t>
  </si>
  <si>
    <t>This being the same property conveyed from Neil T. and Nell G. Guthrie, husband and wife, to Inez F. Dalton by Deed dated January 6, 1970, and recorded in the aforesaid Clerk’s Office in Deed Book 420, at page 613.</t>
  </si>
  <si>
    <t>Capital One Bank, NA</t>
  </si>
  <si>
    <t>Instrument No. 080002478</t>
  </si>
  <si>
    <t>Lawrence F. Poletti</t>
  </si>
  <si>
    <t>Seven Hills Surginal Assoc. PC</t>
  </si>
  <si>
    <t>1911 Thompson Dr.</t>
  </si>
  <si>
    <t>Instrument No. 110002640</t>
  </si>
  <si>
    <t>Will Pay 5/31</t>
  </si>
  <si>
    <t xml:space="preserve">All that certain lot or parcel of land situate in Flat Creek Magisterial District, Campbell County, Virginia, in Bennington Manor, Section II, and being designated as Lot No. Five (5) containing 3.01 acres, as shown on a plat of survey made by Hurt &amp; Proffitt, Inc., dated September 27, 1984, revised October 17, 1984, said plat being recorded in the Clerk's Office of the Circuit Court of Campbell County in Plat Book 28, page 76. </t>
  </si>
  <si>
    <t>This being the same property conveyed from Joan P. Agee to Mark B. Agee by Deed dated Aprile 19, 2018 and recorded in the aforesaid Clerk's Office as Instrument No. 180001791.</t>
  </si>
  <si>
    <t>A. David Hawkins &amp; Frank A. Wright, Jr., Trustees</t>
  </si>
  <si>
    <t>Instrument No. 180001792</t>
  </si>
  <si>
    <t>Christine M. Carter</t>
  </si>
  <si>
    <t>1323 Fox Run Dr.</t>
  </si>
  <si>
    <t>Charlotte, NC  28212</t>
  </si>
  <si>
    <t>Bridgette B. Evans</t>
  </si>
  <si>
    <t>7041 N. 15th St., Apt. D2</t>
  </si>
  <si>
    <t>Philadelphia, PA  19126</t>
  </si>
  <si>
    <t>Naomi Burdette</t>
  </si>
  <si>
    <t>807 15th St.</t>
  </si>
  <si>
    <t>Richard C. Maxwell, Trustee</t>
  </si>
  <si>
    <t>105 Pico Ct.</t>
  </si>
  <si>
    <t>Mays Landing, NJ  08330</t>
  </si>
  <si>
    <t xml:space="preserve">BEGINNING at a point on the Southerly margin of Fifteenth Street proposed which point is one hundred forty (140) feet in a Westerly direction from the intersection of the Southerly margin of Fifteenth Street with the Westerly margin of School Street; thence along the Southerly margin of Fifteenth Street in a Westerly direction a distance of one thirty four (134) £eet, more or less, to the property line of the Jenks property; thence in a Southeasterly direction along the said property line a distance of one hundred fifty (150) feet, more or less, to a proposed alley; thence along the Northerly margin of said proposed alley in an Easterly direction a distance of fifty (50) feet, more or less, to the westerly margin of the other proposed alleys as aforesaid; thence along the Westerly margin of the other first mentioned proposed alley a distance of one hundred fifty (150) feet, more or less, and to the point of BEGINING, said property being bounded on the East by a proposed alley r on the North proposed extension of Fifteenth Street, on the West by the Brown property, and on the South by a proposed alley. </t>
  </si>
  <si>
    <t>This being the same property conveyed from Frances W. Brown to Nelson Morell Burdette by Deed dated January 4, 2000 and recorded in the Clerk's Office of the Circuit Court for Campbell County, Virginia in Deed Book 991, at page 134.</t>
  </si>
  <si>
    <t xml:space="preserve">As stated in that certain List of Heirs filed in the aforesaid Clerk’s Office as Instrument No. 090000188, Nelson Morrell Burdette died intestate August 6, 2006, leaving as heirs his wife, Naomi Burdette, and daughters Carla D. Burdette, Bridgette B. Evans, and Sharon Burdette, Christine M. Carter. </t>
  </si>
  <si>
    <t>Carla D. Burdette</t>
  </si>
  <si>
    <t>Sharon Burdette</t>
  </si>
  <si>
    <t xml:space="preserve">7041 N. 15th St., Apt. D, </t>
  </si>
  <si>
    <t xml:space="preserve">All that certain tract or parcel of real estate, with all buildings and improvements thereon and privileges and appurtenances thereunto appertaining, situate, lying and being in the Town of Brookneal, Virginia, Campbell County, Virginia, known as 538 Lynchburg Ave., Brookneal, Virginia, being designated as Parcel A (Sections 7 and 8) on a plat of survey dated January 11, 1969, made by J. Walter Jones, C.L.S., recorded in the Clerk's Office of the Circuit Court of Campbell County, Virginia, in Deed Book 410, at page 44. Reference is hereby made to said plat for a more accurate and complete description of the real estate hereby conveyed. </t>
  </si>
  <si>
    <t>This being the same property conveyed from Sharon K. Bryant, Trustee of the Clayton C. Bryant, Sr. Revocable Trust to Marcus LaRue Clark by Deed dated July 15, 2020 and recorded in the Clerk's Office of the Circuit Court for Campbell County, Virginia ias Instrument No. 200004105.  Reference is further made to that Deed of Correction by and between the same parties made as of January 5, 2023 and recorded in the aforesaid Clerk's Office as Instrument No. 230000212.</t>
  </si>
  <si>
    <t>Karen Seay Moore</t>
  </si>
  <si>
    <t>1454 Chilton Rd.</t>
  </si>
  <si>
    <t xml:space="preserve">All of that certain tract or parcel of real estate, lying and being and situate in the Long Mountain District of Campbell County, Virginia, containing 5.32 acres, more or less, and being designated as Lot 25, on Plat of Survey entitled "Section I-Country Haven Estates", made by Dudley &amp; Zeh, Certified Land Surveyors, Rocky Mount, Virginia, dated August 31, 1977, which plat is recorded in the Clerk's Office of the Circuit Court of Campbell County, Virginia in Plat Book 23, at page 94, to which plat reference is hereby made for a more complete and accurate description of the property hereby conveyed. </t>
  </si>
  <si>
    <t>This being the same property conveyed from C. Douglas Branch to Donnie R. Cyrus and Sandra R. Cyrus, husband and wife, by Deed dated November 28, 2006 and recorded in the aforesaid Clerk's Office as Instrument No. 060009773.</t>
  </si>
  <si>
    <t>Vivian R. Seay, Trustee</t>
  </si>
  <si>
    <t>500 Court St.</t>
  </si>
  <si>
    <t>Altavista, VA  24522</t>
  </si>
  <si>
    <t>Instrument No. 060009774</t>
  </si>
  <si>
    <t>Instrument No. 100004782</t>
  </si>
  <si>
    <t>Instrument No. 200004106</t>
  </si>
  <si>
    <t>Capital One Bank USA NA</t>
  </si>
  <si>
    <t>Instrument No. 210002131</t>
  </si>
  <si>
    <t>That certain lot or parcel of land together with all privileges and appurtenances thereunto belonging, situated, lying, and being in the Town of Altavista, Campbell County, Virginia, and designated as Lot No. Forty-Seven (47) on Park Strett, as shown on a plat of survey made by Stanhope Johnson, dated November 1933, revised May 1934, duly recorded in Plat Book No. 8, page 78, in the Clerk's Office of the Circuit Court of Campbell County, and also showin on plat dated December 30, 1991, by James C. May, Jr. L.S., a copy of which plat is recorded in the aforesaid Clerk's Office in Deed Book 734, page 868.</t>
  </si>
  <si>
    <t>This being the same property conveyed from Osby Ralph Shelton to Willie E. Brown by Deed dated January 7, 1992 and recorded in the aforesaid Clerk's Office in Deed Book 734, at page 867.</t>
  </si>
  <si>
    <t>Instrument No. 050001864</t>
  </si>
  <si>
    <t>Instrument No. 080000299</t>
  </si>
  <si>
    <t>Instrument No. 120000058</t>
  </si>
  <si>
    <t>Palisades Collection, L.L.C.</t>
  </si>
  <si>
    <t>Matterhorn Financial Services, Inc.</t>
  </si>
  <si>
    <t>This being the same property conveyed from Jennifer C. Harris and William M. Harris, husband and wife, to Jennifer C. Harris by deed dated August 29, 2019 and recorded in the aforesaid Clerk's Office as Instrument No. 190004472.</t>
  </si>
  <si>
    <t>Jennifer C. Harris being one and the same person as Jennifer Marie Dickinson and Jennifer Marie Crank as stated in that certain name change order recorded in the aforesaid Clerk's Office as Instrument No. 190005783.</t>
  </si>
  <si>
    <t xml:space="preserve">All that certain tract or parcel of land, with all appurtenances thereunto belonging, described as New Parcel SA, containing 5.00 Acres, as shown upon a plat entitled "Family Division Plat Showing 5.000 Acres Cut From Amended Lot 5, Section I, Morton Creek Farms, Land Belonging to William W. Crank and Tamra E. Pleger (dec'd) as Described in D.B. 953, Pg. 186 and Doc # 130004498" dated February 2, 2018 by James C. May, Jr., LS, which said plat is recorded in the Clerk's Office of the Circuit Court of Campbell County in Plat cabinet C, Slide 178 Page 1777, and to which plat reference is made.  </t>
  </si>
  <si>
    <t>Member One Federal Credit Union</t>
  </si>
  <si>
    <t>Frank Carter, President and CEO</t>
  </si>
  <si>
    <t>202 4th St NE Bldg C</t>
  </si>
  <si>
    <t>Roanoke, Virginia, 24016</t>
  </si>
  <si>
    <t>Instrument No. 220001006</t>
  </si>
  <si>
    <t xml:space="preserve">That certain tract or parcel of land in Altavista, Campbell County, Virginia, and situated on the east side of the Old Southern Railway right-of-way now being a road from Altavista to Lynch Station, Virginia, and being Lot No. 8, containing 0.64 of an acre, more or less, as per blue print of H.M. Lane, Engineer, dated July 23, 1924, and recorded in Plat Book 3, Page 102, of the records of Campbell County, Virginia. </t>
  </si>
  <si>
    <t>This being the same property conveyed from Janice Lee Johnson to Michael David Johnson by Deed dated February 3, 1997 and recorded in the Clerk's Office of the Circuit Court for Campbell County, Virginia in Deed Book 872, at Page 400.</t>
  </si>
  <si>
    <t xml:space="preserve">All that certain tract or parcel of land situate, lying and being in the Long Mountain Magisterial District of Campbell County, Virginia, fronting on State Route 663, containing 1.00 acre, more or less, as shown on a plat of survey dated May 22, 1990 by Donald R. Miller, LS., and recorded in the Clerk's Office of the Circuit Court of Campbell County, Virginia in Deed Book 708, page 246. </t>
  </si>
  <si>
    <t>This being the same property conveyed from George F. McGuire, Jr. and Wylene T. McGuire, husband and wife to Brian K. McGuire and Kimberly O. McGuire, husband and wife by deed dated May 8, 2013 and recorded in the aforesaid Clerk's Office as Instrument No. 130002858.</t>
  </si>
  <si>
    <t>Instrument No. 150001542</t>
  </si>
  <si>
    <t>Instrument No. 200002108</t>
  </si>
  <si>
    <t xml:space="preserve">All that certain tract or parcel of land beginning  at a stake on state road 630 near the eastern boundary of the Fitz Lee land intersects the state road 630, thence in a northernly direction alon the Fitz Lee line approximately 200 feet to a stake, thene in an easternly direction and parallel to state road 630 approximately 100 feet to a stake, thence in a southernly direction and parallel to the eastern bounday of Fitz Lee line approximately 200 feet to state road 630, thence in an westernly direction along the state road 630 approximately 100 feet to the point of the beginning.  </t>
  </si>
  <si>
    <t>This being the same property conveyed from Lawyer Lee to Alvin Moon and Veronese Moon, husband and wife, by Deed dated August 16, 1961 and recorded in the Clerk's Office of the Circuit Court of Campbell County, Virginia, in Deed Book 328, at page 526.</t>
  </si>
  <si>
    <t>780 Lynnhave Pkwy, Suite 220</t>
  </si>
  <si>
    <t>Virginia Beach, VA  23542</t>
  </si>
  <si>
    <t>Instrument No. 060002034</t>
  </si>
  <si>
    <t>Central Va. Orthopaedics PC</t>
  </si>
  <si>
    <t>Instrument No. 080001232</t>
  </si>
  <si>
    <t>All that certain tract or parcel of real estate, together with the privileges and appurtenances thereunto appertaining, situate, lying and being in Campbell County, Virginia, and designated as Lot No. 6, containing 3.67 acres as shown on plat of survey entited "Breeden Acres, Patrick Henry District, Campbell County, Virginia", made by William W. Dickerson, Jr., L.S., April 22, 1988, revised August 14, 1990, September 14, 1990, September 24, 1990, and November 12, 1990 which said plat is recorded in the Clerk's Office of the Circuit Court for Campbell County, Virginia in Plat Book 36, at page 72.</t>
  </si>
  <si>
    <t>This being the same property conveyed from Lagniappe Enterprises, Inc. to Benjamin Palmer and Jeannette Palmer, husband and wife, by Deed dated April 26, 1996 and recorded in the aforesaid Clerk's Office in Deed Book 851, at page 550.</t>
  </si>
  <si>
    <t>Instrument No. 210001666</t>
  </si>
  <si>
    <t>All that certain tract or parcel of real estate, with all buildings and improvements thereon and privileges and appurtenances thereunto appertaining, situate, lying and being in Campbell County, Virginia, to wit:</t>
  </si>
  <si>
    <t xml:space="preserve">BEGINNING at a point where the line between George W. Hutcherson and Frank D. Peak interects the Altavista to Leesville hardsurfaced road right-of-way, and running along the Westerly margin of said Altavista to Leesville hardsurfaced road right-of-way in a Northerly direction 80 feet to a new corner as evidenced by an iron pin; thence in a Westerly direction in a new line parallel to the present line between George W. Hutcherson and Frank D. Peak a distance of 200 feet to an iron pin; thence in a Southerly direction in a lin line parallel with the Westerly right-of-way of said Altavista to Leesville Highway a distance of 80 feet to the present line between George W. Hutcherson and Frank D. Peak; thence in an Easterly direction along the line of Hutcherson and Peak a distance of 200 feet to the point of BEGINNING.  </t>
  </si>
  <si>
    <t>This being a portion of the property conveyed from Carolyn B. Harris, Executrix of the Estate of Helen B. Stowers to George Stephen Perrow and Audrey Dale Perrow, husband and wife, by Deed dated August 1, 1977 and recorded in the Clerk's Office for the Circuit Court of Campbell County, Virginia, in Deed Book 526, at page 836.</t>
  </si>
  <si>
    <t>23B-1-26, 27, 28, 29, 30, 31</t>
  </si>
  <si>
    <t>3714 Depot Rd.</t>
  </si>
  <si>
    <t xml:space="preserve">All those certain lots or parcels of land situated near the intersection of U. S. Highway No. 29 and County Highway No. 622, and known and designated as Lots 26, 27, 28, 29, 30 and 31, as shown on the plat of the "Old English Tavern Property", made by Adrian Overstreet, S.C.S., and dated June 6, 1945, which said plat is recorded in the Clerk's Office of the Circuit Court of Campbell County in Plat Book 8, page 28. </t>
  </si>
  <si>
    <t>This being the same property conveyed from Mary P. Williamson and Warner R. Powell to Warner R. Powell by deed dated Marach 4, 2004 and recorded in the aforesaid Clerk's Office as Instrument No. 040001835.</t>
  </si>
  <si>
    <t xml:space="preserve">Parcel 1: That certain tract or parcel of land, located near State Route No. 921, in Flat Creek Magisterial District, Campbell County, Virginia, containing 5.0 acres, and more particularly described by plat of Albert E. Neighbors, Jr., C.L.S, dated May 24, 1976, a copy of which plat is recorded in the Clerk's Office of the Circuit Court of Campbell County in Deed Book 511, page 65. </t>
  </si>
  <si>
    <t xml:space="preserve">Parcel 2: That certain tract or parcel of land, located near the end of State Maintenance Route No. 921, in Flat Creek Magisterial District, Campbell County, Virginia, containing 5.009 acres, and more particularly described by plat of Neighbors &amp; Miller, P.L.S., dated April 17, 1984, a copy of which plat is recorded in the Clerk's Office of the Circuit Court of Campbell County in Deed Book 602, page 343. </t>
  </si>
  <si>
    <t>This being the same property conveyed from David E. Powell to Warner Robin Powell by Deed dated March 13, 2018 and recorded in the aforesaid Clerk's Office as Instrument No. 180001165.</t>
  </si>
  <si>
    <t>Instrument No. 190002740</t>
  </si>
  <si>
    <t>Warner R. Powell</t>
  </si>
  <si>
    <t>Ford Motor Credit Company LLC</t>
  </si>
  <si>
    <t>Instrument No. 190001710</t>
  </si>
  <si>
    <t>2023 1st Tax</t>
  </si>
  <si>
    <t>2023 1st Penalty</t>
  </si>
  <si>
    <t>2023 1st Int./Mo.</t>
  </si>
  <si>
    <t>2023 1st Interest</t>
  </si>
  <si>
    <t>2023 1st Int. # Mo.</t>
  </si>
  <si>
    <t>2023 1st Total</t>
  </si>
  <si>
    <t>2023 2nd Tax</t>
  </si>
  <si>
    <t>2023 2nd Penalty</t>
  </si>
  <si>
    <t>2023 2nd Interest</t>
  </si>
  <si>
    <t>2023 2nd Int./Mo.</t>
  </si>
  <si>
    <t>2023 2nd Int. # Mo.</t>
  </si>
  <si>
    <t>2023 2nd Total</t>
  </si>
  <si>
    <t xml:space="preserve">All that certain lot or parcel of land, together with any and all improvements thereon and all privileges and appurtenances thereunto belonging or in any wise appertaining, situate, lying and being in the Town of Brookneal, Patrick Henry Magisterial District, Campbell County, Virginia, and described as follows: 0.5 acre fronting 200 feet on the north side of Radio Road as shown on a certain plat showing property located at the Town of Brookneal in Failing River District of Campbell County, Va., made by Alfred H. Carter, CLS, dated June 18, 1969,and revised September 11, 1969 to include data omitted on previous copies, which said plat is of record in the Clerk's Office of the Campbell County Circuit Court in Deed Book 473, at page 314, LESS AND EXCEPT that certain strip, piece or parcel of land being five feet in width conveyed unto The Town of Brookneal, by Deed of Gift dated February 9, 1990, recorded in the aforesaid Clerk's Office in Deed Book 765, page 588. Property lies within the flood plain of the Staunton River. </t>
  </si>
  <si>
    <t>This being the same property conveyed from The Rain Broadcasting, Inc. to Jonathan Kalis Cohen by Deed dated September 30, 2010 and recorded in the aforesaid Clerk's Office as Instrument No. 100005335.</t>
  </si>
  <si>
    <t>All that certain tract or parcel of land, together with the buildings and improvements thereon and the privileges and appurtenances thereunto belonging, situate, lying and being in Flat Creek Magisterial District, Campbell County, Virginia, on State Route 893, containing one (1) acre, more or less, and more particularly described according to a plat of survey made by John D. Jacobs, C.L.S., dated July, 1971, and recorded in the Clerk's Office of the Circuit Court of Campbell County, Virginia, in Deed Book 485, page 686.</t>
  </si>
  <si>
    <t>This being the same property vonveyed from Ronald Simmons and Linda Simmons to Jason Lee Simmons by Deed dated August 14, 2012 and recorded in the aforesaid Clerk's Office as Instrument No. 130006124.</t>
  </si>
  <si>
    <t>Instrument No. 140000044</t>
  </si>
  <si>
    <t>Successor of Orthopaedic Center of Cent. Va. Inc.</t>
  </si>
  <si>
    <t>That certain lot or parcel of land situated, lying and being in the Town of Altavista, Campbell County, Virginia, together with all privileges and appurtenances thereunto belonging and described as follows:</t>
  </si>
  <si>
    <t>Being Lot #17 fronting on the southerly side of 8th Street, which lot is shown on a map showing lots of W. Curtis English and lots of Edward R. English, Altavista, Virginia, by H.M. Lane, C.E., field work and drawings by Thomas T. Adams, B.S. in Eng., dated April 1947. Said lot beginning at a stake on the southerly margin of 8th Street and on the common line between Lot # 16 and Lot No. 17, as shown on the aforesaid map, thence in an easterly direction along the southerly margin of said 8th Street a distance of 60 feet to a stake on the common line between Lot #17 and Lot #l8, thence along this common line in a southerly direction a distance of 140 feet to a stake on the northerly margin of a 20 foot alley, thence along northerly margin of said alley in a westerly direction a distance of 60 feet to a stake, thence in a northerly direction along the common line between Lot #17 and Lot #16, a distance of 140 feet to a stake and to the point of beginning, being in fact a rectangular lot 60 feet in width and 140 feet in length and bounded on the north by 8th Street, on the east by Lot #18, on the south by an alley, and on the west by Lot #16, all as shown on the aforesaid plat recorded in the Clerk's Office of the Circuit Court of Campbell County.</t>
  </si>
  <si>
    <t>This being the same property conveyed from James L. Thomas, Jr. and Doris B. Thomas, husband and wife, to Vicky Lynn Thomas by Deed dated October 5, 2001 and recorded in the aforesaid Clerk's Office as Instrument No. 010007784.</t>
  </si>
  <si>
    <t>Instrument No. 200001579</t>
  </si>
  <si>
    <t>Radiology Consultants of Lynchburg, Inc.</t>
  </si>
  <si>
    <t xml:space="preserve">The land of the Last Will and Testament of Hilliam E, Hendrick, Sr., deceased, and further made a part of the partition recorded in the Clerk's Office of the Circuit Court of Campbell County, Virginia in Deed Book 2 at page 100, as Lot numbered four (4), containing thirty-eight (38) acres, more or less. </t>
  </si>
  <si>
    <t>This being the same property conveyed from Eula Mae Hendrick Kirby and Otis Kirby to Paul Ronnie Stanley by Deed dated August 5, 1969 and recorded in the aforesaid Clerk's Office in Deed Book 416, at page 28.</t>
  </si>
  <si>
    <t>Paul Ronnie Stanley died testate, February 26, 2014 as stated in that certain List of Heirs recorded in the aforesaid Clerk's Office as Instrument No. 170000690, and pursuant to the Will recorded as Instrument No. 170000689, devised the herein described property to Landon Paul Stanley.</t>
  </si>
  <si>
    <t>Will pay by 12/31</t>
  </si>
  <si>
    <t>Will pay by 5/31</t>
  </si>
  <si>
    <t>That certain tract or parcel of land on the West side of East Ferry Road, in Seneca Magisterial District, Campbell County, Virginia, containing 1 acre, more or less, and more particularly described as follows:</t>
  </si>
  <si>
    <t>BEGINNING at a point in the East Ferry Road, corner to the land now or formerly owned by John R. Rice; thence S. 79 W. 210 ft. to a new corner; thence S. 28 E. 210 ft. to a new point; thence N. 79 E. 210 ft. to new point in said East Ferry Road; thence with said road N. 28 w. 210 ft. to the point of beginning; being the northeast corner of a tract of land conveyed to the said William W. Bell by Robert P. Brown and wife, by deed dated July S, 19301 and recorded in the Clerk’s Office of the Circuit Court or Campbell County in Deed Book 158, page 329, to which deed, plat recorded therewith, and references therein contained, reference is here made for a more particular description.</t>
  </si>
  <si>
    <t>This being the same property conveyed from William W. Bell and Mary E. Bell, husband and wife, to Clyde H. Bell by Deed dated September 28, 1950 and recorded in the aforesaid Clerk's Office in Deed Book 229, at page 105.</t>
  </si>
  <si>
    <t>Angela Bell Payne</t>
  </si>
  <si>
    <t>5800 Covered Bridge Rd.</t>
  </si>
  <si>
    <t>Lawrence E. Bell</t>
  </si>
  <si>
    <t>5564 Covered Bridge Rd.</t>
  </si>
  <si>
    <t>Evelyn C. Bell</t>
  </si>
  <si>
    <t>128 Bears Way</t>
  </si>
  <si>
    <t>All of that certain lot or parcel of real estate together with any and all improvements thereon and the privileges and appurtenances thereunto appertaining, situate, lying and being in the Vista Magisterial District of Campbell County, Virginia, containing 43.29 acres, more or less, and being shown and described as "2, 43.29 AC, T.M. # 41-D-2"on a family division and boundary line adjustment survey made by Michael Ray Goin, L.S., of Dickerson Surveying, LLC, entitled "FAMILY DIVISION AND RESIDUE, 155.03 ACRES, DIVIDED FOR: TIMOTHY JAMES PAFFORD, ADAM MAXFIELD SALVIA &amp; JOEL E. JOHNSON", dated August 18, 2016, Revised February 9, 2017, and Divided May 16, 2018, and Boundary Line Adjustment May 9, 2019, of record in the aforestated Clerk's Office in Plat Cabinet C, Slide 197, at page 1961.</t>
  </si>
  <si>
    <t xml:space="preserve">TOGETHER WITH AND SUBJECT TO and expressly reserved "Spring" easement as shown on the aforestated Plat and further described in "Note 9" on said Plat. </t>
  </si>
  <si>
    <t xml:space="preserve">TOGETHER WITH AND SUBJECT TO the rights of ingress and egress along the 50' easement as shown on the aforestated Plat. </t>
  </si>
  <si>
    <t>This being the same property conveyed unto Adam Maxfield Salvia and Timothy James Pafford by deed dated February 24, 2017, of record in the aforesaid Clerk's Office at Instrument Number 170000937 and further unto the same by deed dated May 23, 2019, of record in the aforesaid Clerk's Office at Instrument Number 190002463.</t>
  </si>
  <si>
    <t xml:space="preserve">Pursuant to that certain Deed of Gift, Boundary Adjustment, and Easment dated May 23, 2019 and recorded in the aforesaid Clerk's Office as Instrument No. 190002465, the described 43.29 acre property was conveyed solely to Adam Maxfield Salvia and Kristin N. Salvia, husband and wife.  </t>
  </si>
  <si>
    <t>Ronnie G. Gill, Trustee</t>
  </si>
  <si>
    <t>7104 Mechanicsville Turnpike</t>
  </si>
  <si>
    <t>Mechanicsville, VA  23111</t>
  </si>
  <si>
    <t>Essex County</t>
  </si>
  <si>
    <t>J. Robert Snoddy, III, Trustee</t>
  </si>
  <si>
    <t>1036 Main St</t>
  </si>
  <si>
    <t>Dillwyn, VA 23936</t>
  </si>
  <si>
    <t>Adam M. &amp; Kristin N. Salvia</t>
  </si>
  <si>
    <t>11707 Uplands Ridge Dr.</t>
  </si>
  <si>
    <t>Bee Cave, TX  78738</t>
  </si>
  <si>
    <t>This being the same property conveyed from Edward W. Bishop, Jr. to Myrna Bishop Cook and James Cook, her husband, by Deed dated May 31, 1983 and recorded in the aforesaid Clerk's Office in Deed Book 620, at page 442.</t>
  </si>
  <si>
    <t>judgment</t>
  </si>
  <si>
    <t>CL23000396-00</t>
  </si>
  <si>
    <t>CL22000784-00</t>
  </si>
  <si>
    <t>All of that certain lot or parcel of land together with any and all improvements thereon and the privileges and appurtenances thereunto appertaining, situate, lying and being in Campbell County, Virginia, near Lynch Station, as described as follows, to wit:</t>
  </si>
  <si>
    <t>This being the same property conveyed from John William Alexander and Edna Marie Alexander, husband and wife, Robert M. Alexander and Helena T. Alexander, husband and wife, being the heirs of Stadford Alexander to Mary Alexander Austin, by Deed dated September 22, 1945 and recorded in the aforesaid Clerk's Office in Deed Book 200, at page 479.</t>
  </si>
  <si>
    <t xml:space="preserve">That certain tract or parcel of land, lying and being situate in the Seneca Magisterial District of Campbell County, Virginia, and more particularly described on a plat of survey made by Ralph P. Hines, C.L.S., which survey is recorded in the Clerk's Office of the Circuit Court of Campbell County, Virginia, in Deed Book 435, Page 481. </t>
  </si>
  <si>
    <t>This being the same property conveyed from the County of Campbell, Virginia to Allen B. Lewis by Deed dated September 6, 2019 and recorded in the aforesaid Clerk's Office as Instrument No. 190004774.</t>
  </si>
  <si>
    <t>BEGINNING in center of the Ridge Road, corner with Charlie Thompson, thence with said Thompson N. 59. W. 35-1/5 poles to corner in brach just below spring; thence down branch N. 56 W. 9 poles to corner; thence new lines leaving branch, N. 40 E. 6 poles to stone; S. 79 E. 25-3/5 poles to stone; S. 56 E. 26-1/5 poles to center of Ridge Road; thence along middle of road S. 58 W. 15 poles to the BEGINNING, containined 3.4 acres, more or less</t>
  </si>
  <si>
    <t xml:space="preserve">This is part of parcel No. 12 of the survey of the F. Saunders, Sr. Estate, said parcel being deeded to Fleming Saunders by instrument recorded in the Clerk's Office of the Circuit Court of Campbell County, Virginia in Deed Book 99, at page 461.  </t>
  </si>
  <si>
    <t>This being the same property conveyed from Fleming Saunders and Frances B. Saunders, husband and wife to Maurice E. Calloway and Rosa Calloway, husband and wife, by Deed dated January 14, 1935 and recorded in the aforesaid Clerk's Office in Deed Book 173, page 596.</t>
  </si>
  <si>
    <t>Those certain lots or parcels of land situate in the Town of Brookneal, Campbell County, Virginia, being shown as Lots Four through Eight, of Block Two, of the Ida N. Arthur Subdivision as shown on a plat of survey of Fred Kabler, C.LS., dated March 31, 1948, and recorded in the Clerk's Office of the Circuit Court of Campbell County in Plat Cabinet A, Slide 117, page 142; LESS AND EXCEPT that portion acquired by the Town of Brookneal for widening of Laughlin Street by deed from Walter Otis Laughlin, divorced, dated July 23, 1986, recorded in the aforesaid Clerk's Office in Deed Book 635, Page 559, and shown on plat recorded in Plat Cabinet A, Slide 386, page 29.</t>
  </si>
  <si>
    <t xml:space="preserve">Also included is a 1998 Clayton Mobile Home. </t>
  </si>
  <si>
    <t>This being the same property conveyed from Jeffrey D. Carpenter and Kathryn M. Carpenter to Candace Marie Crabtree by Deed dated August 23, 2019 and recorded in the aforesaid Clerk's Office as Instrument No. 190004248.</t>
  </si>
  <si>
    <t>Instrument No. 190004249</t>
  </si>
  <si>
    <t>Instrument No. 200001068</t>
  </si>
  <si>
    <t>That certain tract or parcel of land situate in what was formerly Rustburg Magisterial District. Campbell County, Virginia, containing approximately one acre, and being part of the seven-acre tract of land conveyed to Emma Muse Pryor by R. J. Merryman, et als., as Emma Muse, by deed dated July 22, 1930, and recorded in the Clerk's Office of the Circuit Court of Campbell County in Deed Book 158, page 529, which is situated on the Northwesterly side of U. S. Route 501, adjoining Burley Henderson and Carlisle Wisecarver, with right to use the well on the re­maining tract.</t>
  </si>
  <si>
    <t>This brin the same property conveyed from Leonard J. Layne and Martha A. Layne, husband and wife to Henry Arthur Davis and Pauline H. Davis, husband and wife, by Deed dated March 2, 1970 and recorded in the aforesaid Clerk's Office in Deed Book 421, at page 596.</t>
  </si>
  <si>
    <t>As stated in that certain Real Estate Affidavit recorded in the aforesaid Clerk's Office as Instrument No. 120000229, Pauline H. Davis died intestate, Henry Arthur Davis having predeceased her.  Pauline H. Davis left as her heirs Tony Curtis Davis, MacArthur Davis and Terry Lee Davis.</t>
  </si>
  <si>
    <t>As stated in that certain Real Estate Affidavit recorded in the aforesaid Clerk's Office as Instrument No. 170000132, Terry Lee Davis died intestate, leaving as his heirs Christopher Patrick, Terry Lee Davis Jr., and Desmond Davis.</t>
  </si>
  <si>
    <t>Tony C. Davis</t>
  </si>
  <si>
    <t>145 Juniper Ave.</t>
  </si>
  <si>
    <t>Brown Mills, NJ  08015</t>
  </si>
  <si>
    <t>MacArthur Davis</t>
  </si>
  <si>
    <t>PO Box 670</t>
  </si>
  <si>
    <t xml:space="preserve">Christopher Patrick </t>
  </si>
  <si>
    <t>4028 Oakhurst Rd.</t>
  </si>
  <si>
    <t>Portsmouth, VA  23703</t>
  </si>
  <si>
    <t>City of Portsmouth</t>
  </si>
  <si>
    <t>Terry L. Davis, Jr.</t>
  </si>
  <si>
    <t>2022 Georgia Ave.</t>
  </si>
  <si>
    <t>Desmond Davis</t>
  </si>
  <si>
    <t>Instrument No. 190001568</t>
  </si>
  <si>
    <t>All of that certain lot or parcel of land together with any and all improvements thereon and the privileges and appurtenances thereunto appertaining, situate, lying and being in Campbell County, Virginia, near Lynch Station, as described as follows:</t>
  </si>
  <si>
    <t xml:space="preserve">Tract D, containing 7.172 acres, more or less, as shown on a plat of survey entitled "Plat of Survey for Dennis P. Austin Estate Showing Tracts A-El Being Known as Parcel ID 53-A-24 - Vista Magisterial District, Campbell County, Virginia," dated March 31, 2006, made by Joseph W. Jessee, L.S., a copy of said plat being of record in the Office of the Clerk of the Circuit Court of Campbell County, Virginia in Plat Cabinet C, Slide 002, Page 0013. </t>
  </si>
  <si>
    <t>This being the same property conveyed from Dena L. Brown to Brian H. Perdue and April J. Perdue by Deed dated November 21, 2015 and recorded in the aforesaid Clerk's Office as Instrument No. 150005784.</t>
  </si>
  <si>
    <t>All that certain tract or parcel of land, together with the privileges and appurtenances thereunto belonging, situate, lying and being in Flat Creek District, Campbell County, Virginia, and designated as Parcel A containing 1.626 Ac., as shown on plat dated March 27, 2013, entitled "Plat Showing Boundary Line Adjustment Parcel A Crescent Hills-Lot 18 Part of Property of Charles G. Hall ... Surveyed For: Charles G. Hall &amp; Patricia Hall Kersey", made by Albert E. Neighbors, Jr., L.S., a copy of said plat being recorded in the Clerk's Office of the Circuit Court of Campbell County, Virginia in Plat Cabinet C, Slide 102, page 1016.</t>
  </si>
  <si>
    <t>(1) All that certain lot or parcel of land situated in what is now or formerly Flat Creek Magisterial District, Campbell County, Virginia, as shown on plat entitled "Plat Showing Well Lot at Castle Craig Heights", by Hurt &amp; Proffitt, Inc., Engineers-Surveyors, dated December 7, 1981, of record in the Clerk' s Office of the Circuit Court of Campbell County, Virginia, in Deed Book 578, Page 376, containing 0.889 acres together with a 15 foot access easement from State Route 912. Reference to said plat is hereby made for a more particular description of the property and easement hereby conveyed. Reference is also made to a well dedication deed dated January 26, l982, from Edward R. English, Sr., and Ruth W. English, his wife, of record in Deed Book 578, Page 374, in the aforesaid Clerk's Office.</t>
  </si>
  <si>
    <t>(2) This conveyance also includes all easements and rights of way regardless of whether the same are specifically designated and of record or not, including water lines, mains, pumps, wells and the operational equipment related thereto that has been installed on the aforesaid properties and those which may have been installed on right of ways and within the boundaries of the Castle Craig Heights Subdivision, Sections 1 and 2, by the grantor, Castle Craig Water Works, Inc., and its predecessors in title for the operation of the water system as it now exists for the benefit of the property owners and the Castle Craig Heights Subdivision and community.</t>
  </si>
  <si>
    <t>This being the same property conveyed from Castle Craig Water Works, Inc. to Castle Craig Water Company, Inc. by Deed dated September 4, 2001 and recorded in the aforesaid Clerk's Office as Instrument No. 020001973.</t>
  </si>
  <si>
    <t>All that certain lot or parcel of land situated in what is now or formerly Flat creek Magisterial District, Campbell County, Virginia, described as Lot No. 17, Block 2, of the castle Craig Heights as shown on plat recorded in Deed Book 16, Page 119, in the aforesaid Clerk's Office recorded with a deed of dedication dated September 19, 1961, to the County of Campbell recorded in Deed Book 329, Page 339, reference to which said plat and deed is hereby made for a more particular description of the property hereby conveyed.</t>
  </si>
  <si>
    <t xml:space="preserve">This conveyance also includes all easements and rights of way regardless of whether the same are specifically designated and of record or not, including water lines, mains, pumps, wells and the operational equipment related thereto that has been installed on the  aforesaid properties and those which may have been installed in right of ways within the boundaries of Castle Craig Heights Subdivison, Sections 1 and 2, by English's, Inc., and its predecessors in title for the operation of the water system as it now exists for the benefit of the property owners and the Castle Craig Heights Subdivison and community.  </t>
  </si>
  <si>
    <t>This being a portion of the property conveyed from Edward R. English, Sr. and Ruth W. English, husband and wife and English's, Inc. to Castle Craig Water Works, Inc. by Deed dated November 15, 1992 and recorded in the aforesaid Clerk's Offce in Deed Book 791, at page 239.</t>
  </si>
  <si>
    <t>All that certain tract or parcel of land containing 10 acres, lying on the Norfolk and Western Railroad and Pollard's Hollow Branch, and north of Virginia Highway No. 609 in Long Mountain Magisterial District of Campbell County, Virginia, and bounded and described as follows:</t>
  </si>
  <si>
    <t>BEGINNING at a stake in the intersection of Pollard's Branch and the north or northeastern condemnation line of the main line of the N&amp;W Railroad, and extending along and with said condemnation line southwestwardly 950 feet to a stake at the intersection of said condemnation line N. 19° 30' W. 73'; thence N. 29° 20' E. 97'; thence N. 20° E, 103'; thence N. 42°E. 122' thence N. 68° E. 175'; thence (leaving said old road and nearly at right andle thereto) N. 43° W. 750' crossing Pollard's Hollow Branch to a poplar; thence S. 69° W, 100'; thence S. 51° 45' W. 57'; thence S. 60° W. 74' ; thence S. 49° 30' W. 159'; thence S. 40° 30' W. 114'; thence S. 76° 15' W. 116'; thence S. 66° 15' W. 49' to the point of BEGINNING.</t>
  </si>
  <si>
    <t>This tract of land of the main line of is on the northeast side the N&amp;W Railroad about ½ mile east of the James River Station on said Railroad and it has upon it the house lately constructed by said Wade Evans. A plat on which said parcel of about 10 acres is set forth marked "Plat of land in Campbell County, Virginia, surveyed September 28, 1914, H.G. Gar1and, C.E., Lynchburg, Virginia", the said 10 acre parcel being marked thereon Henry Logan to Wade Evans 10 Acres"</t>
  </si>
  <si>
    <t>This being the same property conveyed from David W. Shreve, Special Commissioner to convey the interest of Charles Poteat to Barry E. Bryant and Bonnie M. Bryant, husband and wife, by Deed dated May 22, 2000 and recorded in the aforesaid Clerk's Office in Deed Book 990, at page 780.</t>
  </si>
  <si>
    <t>That certain parcel of land, together with any buildings and improvements thereon and the privileges and appurtenances thereunto belonging, situate, lying and being in Rustburg Magisterial District, Campbell County, Virginia, containing 22.99 acres, more or less, lying on the waters of Archer's Creek, being the same tract of 23-½ acres conveyed to Howard Augusta Porter by C.W. Woodson, Clerk of the Circuit Court of Campbell County, Virginia, by deed dated January 16, 1923, and recorded in the Clerk's Office of the Circuit Court of Campbell County, in Deed Book 129, at page 149; LESS 0.51 of an acre conveyed to the Norfolk and Western Railway Company by Benj. C. Porter and Flora M. Porter, his wife, by deed dated June 2, 1942, recorded in the said Campbell County Circuit Court Clerk's Office in Deed Book 190, at page 214.  Reference is made to the said deeds, and references therein contained, for a more particular description of the real estate herein conveyed.</t>
  </si>
  <si>
    <t>This being the same parcel conveyed from Alfonso Porter, Fannie Porter Rosser, Phyllis Paige and Barbara Porter Davis to Barry E. Bryant and Bonnie M. Bryant, husband and wife, by Deed dated December 6, 2004 and recorded in the aforesaid Clerk's Office as Instrument No. 040010570.</t>
  </si>
  <si>
    <t>1322 Stage Rd.</t>
  </si>
  <si>
    <t xml:space="preserve">That certain lot or parcel of land, situate, lying and being in Flat Creek Magisterial District, Campbell County, Virginia, designated as Lot No. 3, in Block C, as shown on "Plat Showing Section 1 - Blocks A-B-C-D Hallwood Hills", made by A. E. Neighbors, Jr., P.L.S., May 12, 1981, and of record in the Clerk's Office of the Circuit Court of Campbell County, Virginia, in Plat Book 26, page 54, along with a Deed of Dedication dated June 9, 1981 and recorded in the aforesaid Clerk's Office in Deed Book 571, page 631. This parcel is identified as Tax Map No. 042D-01 00C-003-0. </t>
  </si>
  <si>
    <t>This being the same property conveyed from A. David Hawkins, Trustee, conveying the interest of Ronnie L. Austin and Mary J. Crouch Austin, aka Mary J. Wells to Barry E. Bryant and Bonnie M. Bryant, husband and wife and Brian C. Rector and Juanita R. Rector, husband and wife by Deed dated May 19, 2005 and recorded in the aforesaid Clerk's Office as Instrument No. 050003684.</t>
  </si>
  <si>
    <t>All that certain lot or parcel of land together with any and all improvements thereon and the privileges and appurtenances thereunto appertaining, situate, lying and being in the Town of Brookneal, Campbell County, Virginia, and being described as that tract or parcel of land on which Louisa Walker, mother of Emma Z. Walker, resided in her life time, and adjoining the right of way of the Norfolk and Western R.R., the lands of Walker and Mosby and others and containing one fourth acre more or less.  Said property being known locally as 104 Booker Rd., Brookneal, Virginia.</t>
  </si>
  <si>
    <t>This being the same property conveyed from Harry Bradley and Viney Bradley, husband and wife, to Emma Z. Walker by Deed dated October 2, 1916 and recorded in the Clerk's Office of the Circuit Court of Campbell County, Virginia in Deed Book 107, at page 32.</t>
  </si>
  <si>
    <t>103-A-54</t>
  </si>
  <si>
    <t>Jo Ann</t>
  </si>
  <si>
    <t>Wendy</t>
  </si>
  <si>
    <t>Vickie</t>
  </si>
  <si>
    <t>103A-2-38</t>
  </si>
  <si>
    <t>103B-31-53, 54, 55, 56 &amp; 57</t>
  </si>
  <si>
    <t>3961 Aberdeen Creek Rd.</t>
  </si>
  <si>
    <t>Gloucester, VA  23061</t>
  </si>
  <si>
    <t>Gloucester County</t>
  </si>
  <si>
    <t xml:space="preserve">That certain lot or parcel of land situate in Patrick Henry Magisterial District, Campbell County, Virginia, on state route 651, containing 3.0 acres, more or less, as shown on a plat of survey made by F.T. Seargent, C.S., dated November 1, 1982, and recorded in the clerk's office of the Circuit Court of Campbell County in Deed Book 587, Page 142. </t>
  </si>
  <si>
    <t>This being the same property conveyed from Barbara B. Rosser and Thornton E. Rosser to James H. Franklin, Jr. by Deed dated January 3, 1984 and recorded in the aforesaid Clerk's Office in Deed Book 609, at page 861.</t>
  </si>
  <si>
    <t>Seth E. Twery, Esquire</t>
  </si>
  <si>
    <t>PO Box 185</t>
  </si>
  <si>
    <t>Ben Ofori, Esquire</t>
  </si>
  <si>
    <t>McCabe, Weisburg &amp; Conway, LLC</t>
  </si>
  <si>
    <t>312 Marshall Ave., Ste 800</t>
  </si>
  <si>
    <t>Clerk, State Corporation Commission</t>
  </si>
  <si>
    <t>1300 E. Main St., Tyler Bldg., 1st Fl.</t>
  </si>
  <si>
    <t>Alison Ferguson Gobble, R/A, R/A</t>
  </si>
  <si>
    <t>Alison Ferguson Gobble, R/A</t>
  </si>
  <si>
    <t>All those certain lots or parcels of land situate in  Campbell County, Virginia, containing 1.87 acres, as shown on a plat of survey made by E.R. Farmer, C.E., dated October 29, 1919, a copy of which is recorded in the Clerk’s Office of the Circuit Court of Campbell County in Plat Book 1, at page 93 (PC A, Sl. 21, Pg 93), and further described as Lots Nos. One, Two and Three in Block "G" as shown in the aforesaid plat.</t>
  </si>
  <si>
    <t>This being the same property conveyed from W.D. Hill and Birdie Hill, husband and wife, and W.D. Nichols and Kate W. Nichols, husband and wife, to Susie Walker by Deed dated August 9, 1921 and recorded in the aforesaid Clerk's Office in Deed Book 141, at page 89.</t>
  </si>
  <si>
    <t>Adam R. Hudson &amp; Christopher R. Hudson</t>
  </si>
  <si>
    <t>109 Longview Rd., Apt. 5</t>
  </si>
  <si>
    <t xml:space="preserve">That certain tract or parcel of land in what was formerly Otter River Magisterial District, Campbell County, Virginia, upon which Wilcox School was formerly situated, containing approximately two acres in gross and not by the acre. </t>
  </si>
  <si>
    <t>It being the same property conveyed unto Ollie Lee Duke by deed dated October 22, 1993 of record in the Oerk' s Office of the Circuit Court for the County of Campbell, Virginia in Deed Book 786, page 209. Thereafter, Ollie Lee Duke died, testate, on May 13, 2001 and in accordance with Article VI of his Last Will and Testament dated March 5, 2001, probated January 15, 2002 at Instrument Number 020000042 he devised the aforesaid property to his grandsons, namely Adam Richard Hudson and Christopher Eric Hudson.</t>
  </si>
  <si>
    <t>Reference is also made to that certain Deed of Confirmation dated November 16, 2021 and recorded in the aforesaid Clerk's Office as Instrument No. 220001221, in which title to the herein described property was confirmed in Adam R. Hudson and Christopher E. Hudson.</t>
  </si>
  <si>
    <t>1500 Caliper Oak Cir, Apt. 102</t>
  </si>
  <si>
    <t>Joyce M. Johnson</t>
  </si>
  <si>
    <t>5306 Jesmond St.</t>
  </si>
  <si>
    <t>Alexandria, VA  22315</t>
  </si>
  <si>
    <t>803 15th St.</t>
  </si>
  <si>
    <t>This being the same property conveyed from Charles Gene Hall to Patricia Hall Kersey by Deed dated March 15, 2013 and recorded in the aforesaid Clerk's Office as Instrument No. 130001507, and corrected by Deed of Correction dated March 28, 2013 and recorded in the aforesaid Clerk's Office as Instrument No. 130001985.</t>
  </si>
  <si>
    <t>Robert R. Chapman, III, Trustee</t>
  </si>
  <si>
    <t>Instrument No. 210002030</t>
  </si>
  <si>
    <t>Courtney W. Glass, Trustee</t>
  </si>
  <si>
    <t>All that certain tract or parcel of land, together with the building and improvements thereon and the privileges and appurtenances thereunto belonging, situate, lying and being in the Town of Altavista, County of Campbell, Virginia, and being more particularly described as follows:</t>
  </si>
  <si>
    <t>Commencing at the intersection of Twelth Street and Franklin Avenue and running with the West line of Frnaklin Avenue to the corner of Thirteenth Street, thence with the South line of Thirteenth Street to the intersection of the Southern Railway property line, thence with the Southern Railway property line to the North line of Twelth Street and with the said North line of Twelth Street to the point of hte beginning, and containing two and one fourth (2-1/4) acres more or less.</t>
  </si>
  <si>
    <t xml:space="preserve">This being the same property conveyed from J.B. Gibson and W.K. Gibson, husband and wife, to John H. Mosley by Deed dated November 25, 1918 and recorded in the Clerk's Office of the Circuit Court of Campbell County, Virginia, in Deed Book 113, page 240.  </t>
  </si>
  <si>
    <t xml:space="preserve">As stated in the certain Will recorded in the aforesaid Clerk's Office in Will Book 37, page 480 John H. Mosley died testate, devising the above-described property in equal shares to Callie A. Mosley, his wife, and Louise M. Bonds, his daughter. </t>
  </si>
  <si>
    <t>As further stated in the certain Will recorded in the aforesaid Clerk's Office in Will Book 53, page 22 Callie A. Mosley died testate, devising her share in the above-described property to Bernard A. Bonds.</t>
  </si>
  <si>
    <t>2:00 P.M.</t>
  </si>
  <si>
    <t>Being all of those lots of land located at Lynch Station, Campbell County, Virginia, and being in fact Lots Numbers Three (3), Four (4) , and Five (5), each fronting 25 feet on a street as shown on a map showing a sub-division located at Lynch Station, Otter River Magisterial District, Campbell County, Virginia, made by H.H. Lane, C. E., field work and drawing by Thomas T. Adams, B.S. in Engineering, dated June, 1948, a copy of which map is recorded in the office of the Clerk of the Circuit Court in Campbell County, Virginia, in Plat Book 9, Page 134.</t>
  </si>
  <si>
    <t xml:space="preserve">This being the same property conveyed from Lacy A. West and Lillian A. West, Husband and Wife, to Ardell F. West by Deed dated April 14, 1959 and recorded in the aforesaid Clerk’s Office in Deed Book 304, page 180. </t>
  </si>
  <si>
    <t xml:space="preserve">As stated in that certain Will recorded in the aforesaid Clerk's Office as Instrument No. 080000764, Ardell F. West died testate, having devised the herein described property to Audrey Dale West Perrow.  </t>
  </si>
  <si>
    <t>9:15 A.M.</t>
  </si>
  <si>
    <t>4026 Bear Creek Rd.</t>
  </si>
  <si>
    <t>Wilmington, DE  19802</t>
  </si>
  <si>
    <t xml:space="preserve">Reference is made to those certain Trustees' Deed and Corrective Trustees' Deeds recorded in the aforesaid Clerk's Office as Instrument Nos. 170003024, 170003445, 170004676, 180000474 &amp; 180002266, as well as the amended order recorded as Instrument No. 170002713. </t>
  </si>
  <si>
    <t xml:space="preserve">All of that certain lot or parcel of land together with any and all improvements thereon and the privileges and appurtenances thereunto appertaining, situate, lying and being in Long Mountain Magisterial District of Campbell County, Virginia, designated as "Lot No. 1 . . . 4.78 A+ Blanche P. Bishop", as shown on plat entiteld "JASPER PETTIGREW ESTATE. PART OF TRACT RED DB 215 P 390 PARTIONED", which said plat was made by Carroll Gillespie, C.L.S., February 28, 1974 and May 16, 1974, which said plat is of record in the Clerk's Office of the Circuit Court of Campbell County, Virginia in Plat Book 20, at Page 150.  Said property is located on State Route 799.  </t>
  </si>
  <si>
    <t>Dale Rickwood</t>
  </si>
  <si>
    <t>Rickwood</t>
  </si>
  <si>
    <t>(434) 942-4845</t>
  </si>
  <si>
    <t>drickwood61@gmail.com</t>
  </si>
  <si>
    <t>CL23001144-00</t>
  </si>
  <si>
    <t>CL23001146-00</t>
  </si>
  <si>
    <t>CL23001142-00</t>
  </si>
  <si>
    <t>CL23001147-00</t>
  </si>
  <si>
    <t>Ms. &amp; Ms.</t>
  </si>
  <si>
    <t>(434) 610-1903</t>
  </si>
  <si>
    <t>16 Dogwood Ln.</t>
  </si>
  <si>
    <t>Jennifer L. Perrow &amp; Stephanie A. Perrow</t>
  </si>
  <si>
    <t>CL23001181-00</t>
  </si>
  <si>
    <t>2020-2023</t>
  </si>
  <si>
    <t>Dinwiddie, VA  23841</t>
  </si>
  <si>
    <t>Dinwiddie County</t>
  </si>
  <si>
    <t>CL23001159-00</t>
  </si>
  <si>
    <t>CL23001180-00</t>
  </si>
  <si>
    <t xml:space="preserve">BEGINNING at a stake in an old road which is a corner between property now or formerly owned by Lena L. Farmer and by Mary E, Hubbard as is shown on plat of the division of a tract of land between the heirs of Aaron Payne which plat is recorded in Plat Book 6, page 16, thence along the dividing line between said properties N. 40¾ degrees E., 520 feet, more or less, to the present State Route 699, formerly the Altavista Gladys Grey Soil Road; thence along the present State Route 699, 296 feet, more or less, to a point on the division line as shown on said plat of property of Lena L. Farmer and George R. Payne (now or formerly); thence s. 40¾  degrees 479 feet, more or less, crossing a branch and along said dividing line between property now or formerly owned by Lena L. Farmer and by George R. Payne to a stake in an old road; thence along said road as it meanders N. 41¼  degrees W. 235 feet, N. 42½ degrees W. 61 feet to a stake and the point of BEGINNING. </t>
  </si>
  <si>
    <t>This being the same real estate conveyed from Frank W. Robertson and Nancy H. Robertson, husband and wife, to H &amp; H Properties, a Virginia General Partnership, by Deed of Assumption dated August 30, 1991 and recorded in the aforesaid Clerk’s Office in Deed Book 728, at page 399, which said deed was re-recorded in Deed Book 730, at page 391.</t>
  </si>
  <si>
    <t>Pursuant to that certain Certificate of Satisfaction dated January 26, 2009 and recorded in the aforesaid Clerk's Office as Instrument No. 09000657, the obligation assumed by the Deed of Assumption recorded in Deed Book 728, at page 399 and re-recorded in Deed Book 730, at page 391 was satisfied and released.</t>
  </si>
  <si>
    <t>CL23001236-00</t>
  </si>
  <si>
    <t>CL23001205-00</t>
  </si>
  <si>
    <t>CL23001260-00</t>
  </si>
  <si>
    <t>CL23001257-00</t>
  </si>
  <si>
    <t>CL23001251-00</t>
  </si>
  <si>
    <t>CL23001240-00</t>
  </si>
  <si>
    <t>CL23001244-00</t>
  </si>
  <si>
    <t>2022-2023</t>
  </si>
  <si>
    <t xml:space="preserve">All that certain lot or parcel of land, together with the buildings and improvements thereon, and the privileges and appurtenances thereunto belonging, situate, lying and being in the Town of Brookneal, Campbell County, Virginia, on U.S. Highway No. 501, containing 2.6401 acres, more or less, as shown upon plat of survey dated March 10, 1987, made by W. Martin Jones, Professional Land Surveyor, entitled, "Plat of Survey of Triangle Ford Sales, Inc....", which said plat is recorded in the Clerk's Office of the Circuit Court of Campbell County, Virginia in Plat Cabinet A, Slide 399, page 1, to which plat reference is made for a more particular description of metes and bounds. </t>
  </si>
  <si>
    <t>CL23001271-00</t>
  </si>
  <si>
    <t>CL23001269-00</t>
  </si>
  <si>
    <t>CL23001263-00</t>
  </si>
  <si>
    <t>CL23001274-00</t>
  </si>
  <si>
    <t>CL23001265-00</t>
  </si>
  <si>
    <t>CL23001268-00</t>
  </si>
  <si>
    <t>CL23001231-00</t>
  </si>
  <si>
    <t>2021-2023</t>
  </si>
  <si>
    <t>CL23001303-00</t>
  </si>
  <si>
    <t>April J. Perdue</t>
  </si>
  <si>
    <t>(434) 610-8727</t>
  </si>
  <si>
    <t>CL23001160-00</t>
  </si>
  <si>
    <t>2021-2023 1st Half</t>
  </si>
  <si>
    <t>CL23001361-00</t>
  </si>
  <si>
    <t>Catherine D. Horn</t>
  </si>
  <si>
    <t>(434) 221-9089</t>
  </si>
  <si>
    <t>40 Chase Hill Ln.</t>
  </si>
  <si>
    <t>2019-2023</t>
  </si>
  <si>
    <t>1:00 P.M.</t>
  </si>
  <si>
    <t>Waller (now Wendy W. Wicker)</t>
  </si>
  <si>
    <t>Weatherford (now Vickie W. Gulley)</t>
  </si>
  <si>
    <t xml:space="preserve">That certain tract or parcel of land with improvements, appurtenances and rights thereunto belonging, containing 0.41 acre, more or less, located in Rustburg Magisterial District, Campbell County, Virginia near the intersection of State Highway Route 687 and State Highway Route 24, more particularly described with reference to a plat by W.S. Walker, made October 12, 1950, a copy of which plat is attached to a deed recorded in the Clerk's Office of the Circuit Court for the County of Campbell, Virginia, in Deed Book 368 page 5 as follows: </t>
  </si>
  <si>
    <t xml:space="preserve">BEGINNING at a point in the center of State Highway Route 24 at its intersection with State Highway 687 as indicated on said plat; thence N. 04° 23' W. 605.0 feet to fence post in old road; thence S. 47° 30' W. 38.1 feet; thence S. 04° 23' E. 584 feet to the center of state Highway 24; thence with the center of said State Highway 24 to the point of BEGINNING; said tract or parcel of land is also described as Parcel B, 0.409 AC. on a plat of survey entitled "Physical Improvement Resurvey for Jeffery Howard Bryant, Flat Creek Dist., Campbell County, VA", dated January 22, 1996, made by Fred C. Howell, P.L.S., which said plat is attached to and made a part of this deed for recording in the aforesaid Clerk's office. </t>
  </si>
  <si>
    <t>This being the same property conveyed from Mabel T. Hight to Jeffrey Howard Bryant by Deed dated February 12, 1996 and recorded in the Clerk's Office of the Circuit Court of Campbell County, Virginia in Deed Book 850, page 876.</t>
  </si>
  <si>
    <t>Brown Bark II, L.P.</t>
  </si>
  <si>
    <t>4100 Greeenbriar, Suite 120</t>
  </si>
  <si>
    <t>Stafford, TX  77477</t>
  </si>
  <si>
    <t>Instrument No. 100001026</t>
  </si>
  <si>
    <t>CL23001494-00</t>
  </si>
  <si>
    <t>Richmond, VA, 23219</t>
  </si>
  <si>
    <t>100 Shockoe Slip, Fl. 2</t>
  </si>
  <si>
    <t>1505 Rutherford St.</t>
  </si>
  <si>
    <t>CL23000395-00</t>
  </si>
  <si>
    <t>Drew Moses, Tax Specialist</t>
  </si>
  <si>
    <t>Moses</t>
  </si>
  <si>
    <t>drew.moses@vmf.com</t>
  </si>
  <si>
    <t>N/A</t>
  </si>
  <si>
    <t>All that certain lot or parcel of land situated, lying and being in the Town of Altavista, Campbell County, Virginia and more particularly described as follows: BEGINNING at point where 11th Street intersects with Amherst Avenue extended west side of said Avenue; thence with Amherst Avenue extended 60 feet; thence in a westerly direction parallel with 11th Street extended about 150 feet; thence in a northerly direction parallel with Altavista Land and Improvement Co. about 60 feet; thence in an easterly direction parallel with 11th Street extended about 280 feet to the point of the beginning.</t>
  </si>
  <si>
    <t>(434) 439-8713</t>
  </si>
  <si>
    <t>Betty Ann Fisher</t>
  </si>
  <si>
    <t>Fisher</t>
  </si>
  <si>
    <t>(434) 329-6128</t>
  </si>
  <si>
    <t>122 Carson St.</t>
  </si>
  <si>
    <t>60D-1-2</t>
  </si>
  <si>
    <t>Hardy</t>
  </si>
  <si>
    <t>Destini</t>
  </si>
  <si>
    <t>(434) 944-6748</t>
  </si>
  <si>
    <t>7672 Bear Creek Rd.</t>
  </si>
  <si>
    <t>Amanda Harden</t>
  </si>
  <si>
    <t>Harden</t>
  </si>
  <si>
    <t>Finks Jewelers, Inc.</t>
  </si>
  <si>
    <t>Mitzi Johnson</t>
  </si>
  <si>
    <t>(239) 986-2255</t>
  </si>
  <si>
    <t>by email to: mscruella101@hotmail.com</t>
  </si>
  <si>
    <t xml:space="preserve">Having been cut off from the "Old Lee Tract", it begins at a state in the field south of the dwelling at 1 on the plat; thence N. 80 1/2 W 37 60/100 poles to corner pointers at 2; thence S. 33 1/2 W. 26 poles to pointers at 3; thence S. 47 E. 45 poles to corner Red Oak at 4; thence N. 67 E. 76 50/100 poles to rock pile at 5; thence with the old line N. 6 E. 12 72/100 poles to a stake near a branch at 6; thence N. 89 W. 65 poles to the beginning, containing Sixteen and one-half (16 1/2) acres, be it the same, more or less.  For further reference see deed from J.M. Burruss and Ida F. Burruss, his wife, to William Alexander, recorded in Deed Book No. 61, page 89, in the Clerk's Office of Campbell County, Virginia.  </t>
  </si>
  <si>
    <t>All that certain lot or parcel of land situated, lying and being in the Town of Altavista, Campbell County, Virginia and more particularly described as follows: BEGINNING at point 60 feet from where 11th Street intersects with Amherst Avenue extended west side of said Avenue; thence with Amherst Avenue extended 60 feet; thence in a westerly direction parallel with 11th Street extended to the property of the Town of Altavista; thence in a northerly direction along the line of the property of the Town of Altavista about 60 feet; thence in an easterly direction parallel with 11th Street to the point of the beginning.</t>
  </si>
  <si>
    <t>This being the same property conveyed to James A. Jenks by land grant from the Governor of Virginia, and which may or may not have been conveyed unto Nannie W. Layne by Deed dated December 12, 1925 from James A. Jenks, which Deed is recorded in the Clerk’s Office of the Circuit Court of Campbell County in Deed Book 145, page 601, and which was devised to the heirs of Nannie W. Layne by Will recorded in Will Book 24, at page 16 to Ollie M.L. Clay, Pearl L. Simpson Taylor, Floyd H. Layne, Hattie Florence Layne Dillard, and Noel W. Layne.  Subsequently, Hattie Florence Layne Dillard and the heirs of Floyd H. Layne conveyed all of their right, title and interest in the same to Aaron Clay by Deed Dated April 11, 1981 and recorded in the aforesaid Clerk’s Office in Deed Book 807, page 770; and the heirs of Ollie M.L. Clay conveyed all of their right, title and interest in the same to Aaron Clay by Deed Dated April 11, 1981 and recorded in the aforesaid Clerk’s Office in Deed Book 807, page 765. The heirs of Aaron Clay then conveyed all of their right, title and interest in the same to Catherine Clay by Deed Dated July 15, 1994 and recorded in the aforesaid Clerk’s Office in Deed Book 807, page 774.  Finally, the same was conveyed as “Parcel Four” from Marlene Y. Cumor and James P. Kent, Jr., Executors of Catherine W. Clay to Landon F. Clay, Dorinda C. Scruggs, and Malree C. Dolan by deed dated January 15th, 2008 and recorded in the Clerk’s Office of the Circuit Court of Campbell County, Virginia as Instrument No. 080002012.</t>
  </si>
  <si>
    <t>This being the same property conveyed until Nannie W. Layne by Deed dated December 12, 1925 from James A. Jenks, which Deed is recorded in the Clerk’s Office of the Circuit Court of Campbell County in Deed Book 145, page 601, and which was devised to the heirs of Nannie W. Layne by Will recorded in Will Book 24, at page 16 to Ollie M.L. Clay, Pearl L. Simpson Taylor, Floyd H. Layne, Hattie Florence Layne Dillard, and Noel W. Layne.  Subsequently, Hattie Florence Layne Dillard and the heirs of Floyd H. Layne conveyed all of their right, title and interest in the same to Aaron Clay by Deed Dated April 11, 1981 and recorded in the aforesaid Clerk’s Office in Deed Book 807, page 770; and the heirs of Ollie M.L. Clay conveyed all of their right, title and interest in the same to Aaron Clay by Deed Dated April 11, 1981 and recorded in the aforesaid Clerk’s Office in Deed Book 807, page 765. The heirs of Aaron Clay then conveyed all of their right, title and interest in the same to Catherine Clay by Deed Dated July 15, 1994 and recorded in the aforesaid Clerk’s Office in Deed Book 807, page 774.  Finally, the same was conveyed as “Parcel Four” from Marlene Y. Cumor and James P. Kent, Jr., Executors of Catherine W. Clay to Landon F. Clay, Dorinda C. Scruggs, and Malree C. Dolan by deed dated January 15th, 2008 and recorded in the Clerk’s Office of the Circuit Court of Campbell County, Virginia as Instrument No. 080002012.</t>
  </si>
  <si>
    <t>This being same property conveyed from Alma S. Wilson, widow, to Alma S. Wilson, Life Tenant, and Helen Faye Wilson Mays, Tenant, Henry T. Wilson, Remainderperson, Perroneau A. Wilson, Remainderperson, and Clayton O. Wilson, Remainderperson, by Deed Dated August 19, 1992 and recorded in the aforesaid Clerk's Office in Deed Book 751, page 897.</t>
  </si>
  <si>
    <t>The said Helen Faye Wilson Mays died testate, May 29, 2015, and her holograpic will was admitted to probate on October 28, 2015 and was recorded as Instrument No. WF 150000631.  Pursuant to that Will, Helen Wilson attempted to devise said property to Johnsia Ward or to Sandra Wooldrige to be sold.</t>
  </si>
  <si>
    <t>The said Clayton O. Wilson died November 29, 2009, pursuant to that certain List of Heirs recorded in the aforesaid Clerk's Office as Instrument No. 12000362.</t>
  </si>
  <si>
    <t>Jason Watts</t>
  </si>
  <si>
    <t>WG No Limited, LLC</t>
  </si>
  <si>
    <t>31 Dragon Fire Ln.</t>
  </si>
  <si>
    <t>Bobby G. Kibler</t>
  </si>
  <si>
    <t>2150 Evington Rd.</t>
  </si>
  <si>
    <t>Crystal Bay Enterprises, Inc.</t>
  </si>
  <si>
    <t>800 Main St.</t>
  </si>
  <si>
    <t>60 Midwood Ln.</t>
  </si>
  <si>
    <t>Boynton Beach, FL  33436</t>
  </si>
  <si>
    <t>PO Box 1212</t>
  </si>
  <si>
    <t xml:space="preserve">All that certain tract or parcel of land lying on the Old Moorman's Mill Rd., near Yellow Branch, in Rustburg Magisterial District, Campbell County, Virginia, containing 2 acres, more or less, and formerly known as the Yellow Branch Colored School House and Lot, as shown on a plat of survey by Fred Kabler, S.C.C., dated July 6, 1928, a copy of which plat of survey is recorded in the Clerk's Office of the Circuit Court of Campbell County in Plat Book 4, at page 54.  </t>
  </si>
  <si>
    <t>Brookneal Share</t>
  </si>
  <si>
    <t>County Share</t>
  </si>
  <si>
    <t>184 Lisa Ln, LLC</t>
  </si>
  <si>
    <t>David D. Embrey, Esquire</t>
  </si>
  <si>
    <t>6320 Logans Lane</t>
  </si>
  <si>
    <t>Instrument No. 220001235</t>
  </si>
  <si>
    <t>Bill Cox</t>
  </si>
  <si>
    <t>billc121059@gmail.com</t>
  </si>
  <si>
    <t>Touchstone Bank, f/k/a Bank of McKenney</t>
  </si>
  <si>
    <t>Scott H. Richter, R/A</t>
  </si>
  <si>
    <t>200 S. 10th St. Ste 1600</t>
  </si>
  <si>
    <t>Williams Mullen</t>
  </si>
  <si>
    <t>Instrument No. 180035035</t>
  </si>
  <si>
    <t>William D. Allen, III, Trustee</t>
  </si>
  <si>
    <t>13927 Boydton Plank Rd.</t>
  </si>
  <si>
    <t>Instrument No. 080001486</t>
  </si>
  <si>
    <t>Richard M. Liles, Trustee</t>
  </si>
  <si>
    <t>20718 First Street</t>
  </si>
  <si>
    <t>McKenney, VA  23872</t>
  </si>
  <si>
    <t>202 N 9th St</t>
  </si>
  <si>
    <t>Instrument No. 160000292</t>
  </si>
  <si>
    <t>Commonwealth of Virginia, Department of Environmental Quality</t>
  </si>
  <si>
    <t>Naser #2 of Brookneal, LLC</t>
  </si>
  <si>
    <t>13492 Brookneal Hwy.</t>
  </si>
  <si>
    <t xml:space="preserve">LESS AND EXCEPT 0.040 of an acre as shown on plat of survey entitled "For Central Telephone Company of Virginia", dated February 15, 1985, by W. Martin Jones, P.L.S., recorded in the aforementioned Clerk's Office in Deed Book 613, page 769. </t>
  </si>
  <si>
    <t xml:space="preserve">THOSE certain lots or parcels of land located near the Village ofNaruna on State Route No. 643, in Patrick Henry Magisterial District, Campbell County, Virginia, containing 0.96 acre, more or less, being two lots each containing 0.5 of an acre as shown on plat of survey by Alfred H. Carter dated September 18, 1974 and recorded in the Clerk's Office of the Circuit Court of Campbell County, in Deed Book 495, page 792. </t>
  </si>
  <si>
    <t>This being the same parcel conveyed from Asmat Properties, LLC to Naser #2 of Brookneal, LLC as Parcel I in that certain Deed dated February 19, 2008 and recorded in the aforesaid Clerk's Office as Instrument No. 080001485.</t>
  </si>
  <si>
    <t>230001309 &amp; 230005676</t>
  </si>
  <si>
    <t>68E-3-D3</t>
  </si>
  <si>
    <t>53-A-68</t>
  </si>
  <si>
    <t>8972 Leesville Rd.</t>
  </si>
  <si>
    <t xml:space="preserve">That certain tract or parcel of land situated, lying, and being in the Vista Magisterial District, Campbell County, Virginia, fronting State Route 626. containing 1.32 acres as shown on a certain plat of survey by John D. Jacobs, C.L.S., dated September 12, 1985, and recorded in the Office of the Clerk of the Circuit Court for the County of Campbell, Virginia, in Deed Book 622, at Page 246, to which plat reference is here made for a more particular description of the property being conveyed herein. </t>
  </si>
  <si>
    <t xml:space="preserve">Including a perpetual easement to install and maintain a septic tank drainfield over a portion of property now or formerly owned by Sallie K. Tweedy being a strip of land 20 feet in width and running parallel and adjacent to the easterly rear line of said property beginning at an iron and running N. 16 degrees 14' E. 257.32 feet across creek to iron. Said plat shows the distances separately as 240.25 feet and 17.07 feet and incorrectly shows the total distance as 253.32 feet rather than 257.32 feet. </t>
  </si>
  <si>
    <t>This being the same property conveyed from William H. Tweedy to William H. Tweedy and Tonya Tweedy, husband and wife, by Deed dated May 21, 2004 and recorded in the Clerk's Office for the Circuit Court of Campbell County, Virginia as Instrument No. 040004551.</t>
  </si>
  <si>
    <t>All that certain tract or parcel of land lying in Rustburg Magisterial District, Campbell County, Virginia, and being the residue of that certain parcel described as:</t>
  </si>
  <si>
    <t>This being the residue of the property conveyed from C.B. Stone and Callie B. Stone, husband and wife, to Robert Duke by Deed dated December 3, 1906 and recorded in the Clerk's Office of the Circuit Court of Campbell County, Virginia in Deed Book 81, page 233.</t>
  </si>
  <si>
    <t>That certain tract or parcel of land, together with all improvements thereon, subject to all easements now existing on said property, situated at Lynch Station, Campbell County, Virginia, consisting of one-half acre, more or less, said property fronting on Dearing Ford Road 70 yards and extending back between parallel lines 35 yards but regardless of the exact boundaries it being the intent of this conveyance to encompass all the land which was conveyed to Thomas B. Arnold by deed bearing date of September, 1948 from Helena Arnold Robertson, widow and others and recorded in the Office of the Clerk of the Circuit Court of Campbell County, Virginia in Deed Book 334, Page 257.</t>
  </si>
  <si>
    <t>This being the same property conveyed from Thomas B. Arnold, Jr. to William H. Tweedy by Deed dated May 7, 1999 and recorded in the Clerk's Office of the Circuit Court for Campbell County, Virginia, in Deed Book 957, at page 590</t>
  </si>
  <si>
    <t xml:space="preserve">That certain parcel of land, together with all buildings and improvements thereon, and the privileges and appurtenances thereunto belonging, situate, lying and being in Vista District, Campbell County, Virginia, consisting of 1.01 acres according to the Land Books of the Campbell County Circuit Court and described as a certain triangular shaped parcel of land beginning at the intersection of State Routes Nos. 626 and 682 and extending along the pavement of said State Route No. 626 a distance of 375 feet and along the pavement of said State Route No. 682 a distance of 375 feet and extending from the points thus established a straight line from the pavement of said Route No. 626 in the pavement of said Route No. 682, thus forming a triangular shape of land. </t>
  </si>
  <si>
    <t>This being the same real estate conveyed from Louise G. Mason, Administratrix of the Estate of Ezekiel Zalon Mason, to William H. Tweedy by deed dated April 13, 2005 and recorded in the Clerk’s Office of the Circuit Court for Campbell County, Virginia as Instrument No. 060003279.</t>
  </si>
  <si>
    <t>US Bank, N.A., Trustee</t>
  </si>
  <si>
    <t>4701 Cox Rd Ste 285</t>
  </si>
  <si>
    <t>Inst. No. 200006276, which instrument assigned the interest initially created by the Instrument dated Jluy 21, 1999 and recorded in Deed Book 961, at page 810.</t>
  </si>
  <si>
    <t>Overbey Hawkins Wright &amp; Vance, PLLC</t>
  </si>
  <si>
    <t>A. David Hawkins, R/A</t>
  </si>
  <si>
    <t>776 Village Hwy</t>
  </si>
  <si>
    <t>Inst. No. 070000024</t>
  </si>
  <si>
    <t>That certain tract or parcel of land, together with any buildings and improvements thereon and any appurtenances thereunto belonging, situate in the Long Mountain Magisterial District, Campbell County, Virginia and being designated as Lot No. 5, Section I, Gravel Ridge Subdivisio,. containing .262 acre, as shown upon that certain plat of survey dated July 12, 1999 "Physical Improvement Survey of Lot 5, Section I, GRAVEL RIDGE, Long Mountain District, Campbell County. VA", made by Thomas C. Brooks. Sr. L.S., which said plat is recorded in the Clerk's Office of the Circuit Court of Campbell County, Virginia in Deed Book 961, at page 809.</t>
  </si>
  <si>
    <t>This being the same property conveyed from Charles E. Fariss &amp; Carole H. Fariss, husband and wife to Gilbert E. Herndon by Deed dated July 12, 1999 and recorded in the aforesaid Clerk's Office in Deed Book 961, at page 807.</t>
  </si>
  <si>
    <t>Unknown</t>
  </si>
  <si>
    <t>91-2-1</t>
  </si>
  <si>
    <t>91-A-19B</t>
  </si>
  <si>
    <t>8-1-5A</t>
  </si>
  <si>
    <t>72-A-26</t>
  </si>
  <si>
    <t>69-2-5</t>
  </si>
  <si>
    <t>69-2-4</t>
  </si>
  <si>
    <t>69-2-3A</t>
  </si>
  <si>
    <t>68E-6-3-11</t>
  </si>
  <si>
    <t>68E-1-TR2C</t>
  </si>
  <si>
    <t>68E-1-2A</t>
  </si>
  <si>
    <t>68C-1-6</t>
  </si>
  <si>
    <t>68-A-147</t>
  </si>
  <si>
    <t>56C-6-2-9, 10 &amp; 11</t>
  </si>
  <si>
    <t>49-A-29A</t>
  </si>
  <si>
    <t>46-3-1</t>
  </si>
  <si>
    <t>43-2-5 &amp; 5A</t>
  </si>
  <si>
    <t>34A-8-35A, 36A &amp; 37</t>
  </si>
  <si>
    <t>30-6-10</t>
  </si>
  <si>
    <t>26-6-A3</t>
  </si>
  <si>
    <t>21B-1-9, 10 &amp; 11</t>
  </si>
  <si>
    <t>21-A-97</t>
  </si>
  <si>
    <t>21-A-28A</t>
  </si>
  <si>
    <t>21-A-17B</t>
  </si>
  <si>
    <t>21-A-17</t>
  </si>
  <si>
    <t>20C-8-8, 9, 10 &amp; 11</t>
  </si>
  <si>
    <t>20A-1-5</t>
  </si>
  <si>
    <t>18C-2-23</t>
  </si>
  <si>
    <t>18-A-117</t>
  </si>
  <si>
    <t>17B-3-4</t>
  </si>
  <si>
    <t>15B-4-A</t>
  </si>
  <si>
    <t>12I-6-9</t>
  </si>
  <si>
    <t>12I-2-1</t>
  </si>
  <si>
    <t>12H-7-5</t>
  </si>
  <si>
    <t>12H-6-5</t>
  </si>
  <si>
    <t>12H-6-4</t>
  </si>
  <si>
    <t>12D-1-409</t>
  </si>
  <si>
    <t>12D-1-401</t>
  </si>
  <si>
    <t>103C-40-15</t>
  </si>
  <si>
    <t>103C-12-6-6</t>
  </si>
  <si>
    <t>103C-10-11-4, 5 &amp; 5A</t>
  </si>
  <si>
    <t>102B-1-B-32, 33, 34, 35, 36, 37 &amp; 38</t>
  </si>
  <si>
    <t>103C-3-G-3, 3A, 4A</t>
  </si>
  <si>
    <t>103C-30-60, 60A</t>
  </si>
  <si>
    <t>15B-4-49, 50, 51 &amp; 52</t>
  </si>
  <si>
    <t>Mariella</t>
  </si>
  <si>
    <t>7914 Lewis Ford Rd.</t>
  </si>
  <si>
    <t>Fleming</t>
  </si>
  <si>
    <t>828 W. 7th St.</t>
  </si>
  <si>
    <t>Chester, PA  19013</t>
  </si>
  <si>
    <t>83A-11-30-A10</t>
  </si>
  <si>
    <t>Dudley</t>
  </si>
  <si>
    <t>Ashton</t>
  </si>
  <si>
    <t>Justice</t>
  </si>
  <si>
    <t>801 9th St.</t>
  </si>
  <si>
    <t>Eagle</t>
  </si>
  <si>
    <t>Downey</t>
  </si>
  <si>
    <t>105 Forest Park Dr.</t>
  </si>
  <si>
    <t>Hazel</t>
  </si>
  <si>
    <t>4779 Marysville Rd.</t>
  </si>
  <si>
    <t>M3S LLC</t>
  </si>
  <si>
    <t>Unites States Corporation Agents, Inc.</t>
  </si>
  <si>
    <t>4445 Corporation Lane, Ste 259</t>
  </si>
  <si>
    <t>2814 Dearing Ford Rd.</t>
  </si>
  <si>
    <t>404 Technology Center Dr.</t>
  </si>
  <si>
    <t>Stoughton, MA  02072</t>
  </si>
  <si>
    <t>Coffer</t>
  </si>
  <si>
    <t>Rickey</t>
  </si>
  <si>
    <t>1212 Lynch Mill Rd.</t>
  </si>
  <si>
    <t>Equity Trust Company</t>
  </si>
  <si>
    <t>All that certain tract or parcel of land located lying and being in Otter River Magisterial District, Campbell County, Virginia, and more particularly described as follows: BEGINNING at a point in the center of the Altavista-­Lynchs Highway, commonly known as the old Southern Railway bed, near an iron stake at the southern division line of Lot No. 2, as shown on a plat showing a subdivision of the Paul T. Anthony land, made by Thomas T. Adams, March, 1950, as revised August, 1950, in the subdivision of Tract No. 2, a copy of which plat of survey is recorded in the Clerk's Office of the Circuit Court of Campbell County, Virginia in Plat Book 11, page 43; thence N. 83¼º E. 963 feet to an iron stake in the line of the aforesaid Lot No. 2; thence S. 6½º W. 100 feet to a stone planted in the line of Tract No. 5, as shown on the aforesaid plat; thence S. 83¼º W. 963 feet to a planted stone to the center of the above mentioned highway; thence N. 6¾º W. 100 feet to the point of beginning; it being a lot or parcel of land 963 feet by 100 feet.</t>
  </si>
  <si>
    <r>
      <t>Being a part of Lot No. 2 as shown on map showing a subdivision of Paul T. Anthony Land located at Lynch Station, Otter River District, Campbell County, Virginia, made by H. M. Lane, C.E., field work and drawing by Thomas T. Adams, B.S. in Eng., said lot beginning at a new comer in the center of Old Southern Railroad Bed which point is N. 6¾ W. 160 ft., from the present comer with Milton Tucker and running along the center of Old Southern Railroad Bed S. 6¾</t>
    </r>
    <r>
      <rPr>
        <sz val="11"/>
        <color theme="1"/>
        <rFont val="Aptos Narrow"/>
        <family val="2"/>
      </rPr>
      <t>º</t>
    </r>
    <r>
      <rPr>
        <sz val="11"/>
        <color theme="1"/>
        <rFont val="Calibri"/>
        <family val="2"/>
        <scheme val="minor"/>
      </rPr>
      <t xml:space="preserve"> E. 160 ft. to corner with Milton Tucker; thence with his line N. 83¼</t>
    </r>
    <r>
      <rPr>
        <sz val="11"/>
        <color theme="1"/>
        <rFont val="Aptos Narrow"/>
        <family val="2"/>
      </rPr>
      <t>º</t>
    </r>
    <r>
      <rPr>
        <sz val="11"/>
        <color theme="1"/>
        <rFont val="Calibri"/>
        <family val="2"/>
        <scheme val="minor"/>
      </rPr>
      <t xml:space="preserve"> E. 963 ft. to iron stake; thence N. 6½º E. 160 ft. to new corner; thence in a Southwesterly direction to the point of beginning. </t>
    </r>
  </si>
  <si>
    <t>This being the same property conveyed as "Parcel 2" from Barbara T. Booker, Marian T. Hensley, Carol T. Hamlett to Equity Trust Company, Custodian for the benefit of Donna J. Ingram by Deed dated April 20, 2025 and recorded in the aforesaid Clerk's Office as Inst. No. 150001919.</t>
  </si>
  <si>
    <t>Marty</t>
  </si>
  <si>
    <t>55 Beale Rd.</t>
  </si>
  <si>
    <t>333 Dearing Ford Rd.</t>
  </si>
  <si>
    <t>644 Dearing Ford Rd.</t>
  </si>
  <si>
    <t>Kilbourn</t>
  </si>
  <si>
    <t>100 Eastward Dr.</t>
  </si>
  <si>
    <t>Denise</t>
  </si>
  <si>
    <t>A.D.</t>
  </si>
  <si>
    <t>5031 Red Oak School Rd.</t>
  </si>
  <si>
    <t>803 Prospect Rd.</t>
  </si>
  <si>
    <t>62 Magaron Ln.</t>
  </si>
  <si>
    <t>Ethan</t>
  </si>
  <si>
    <t>1773 Homeplace Rd.</t>
  </si>
  <si>
    <t>MVM Realty LLC</t>
  </si>
  <si>
    <t>Gentry R.P. Ferrell, R/A</t>
  </si>
  <si>
    <t>12576 Wards Rd.</t>
  </si>
  <si>
    <t>8570 Wards Rd.</t>
  </si>
  <si>
    <t>553 Lake Court Ave.</t>
  </si>
  <si>
    <t>Chase</t>
  </si>
  <si>
    <t>Tina</t>
  </si>
  <si>
    <t>5607 Campbell Hwy</t>
  </si>
  <si>
    <t>230 Babcock Rd.</t>
  </si>
  <si>
    <t>286 Village Hwy</t>
  </si>
  <si>
    <t>Connie</t>
  </si>
  <si>
    <t>186 Roundabout HL</t>
  </si>
  <si>
    <t>Bankruptcy Attorney</t>
  </si>
  <si>
    <t>BK Attorney Address</t>
  </si>
  <si>
    <t>BK Attorney CSZ</t>
  </si>
  <si>
    <t>BK Trustee</t>
  </si>
  <si>
    <t>BK Trustee Address</t>
  </si>
  <si>
    <t>BK Trustee CSZ</t>
  </si>
  <si>
    <t>P.O. Box 11908</t>
  </si>
  <si>
    <t>Reginald R. Yancey</t>
  </si>
  <si>
    <t>Angela M. Scolforo</t>
  </si>
  <si>
    <t>123 East Main St., Suite 310</t>
  </si>
  <si>
    <t>Pamela</t>
  </si>
  <si>
    <t>Richardson</t>
  </si>
  <si>
    <t>7066 Village Hwy.</t>
  </si>
  <si>
    <t>154 Dianne Dr.</t>
  </si>
  <si>
    <t>Puckette</t>
  </si>
  <si>
    <t>Carlton</t>
  </si>
  <si>
    <t>13788 Wards Rd.</t>
  </si>
  <si>
    <t>22D-2-29, 30 &amp; 31</t>
  </si>
  <si>
    <t>240 Beverly Hills Cir. Apt 322</t>
  </si>
  <si>
    <t>Flores</t>
  </si>
  <si>
    <t>Selma</t>
  </si>
  <si>
    <t>124 Homewood Dr.</t>
  </si>
  <si>
    <t>Delbene</t>
  </si>
  <si>
    <t>Colby</t>
  </si>
  <si>
    <t>256 Woodlawn Cir.</t>
  </si>
  <si>
    <t>21A-4-212, 214 &amp; 215</t>
  </si>
  <si>
    <t>Pollard</t>
  </si>
  <si>
    <t>Craig</t>
  </si>
  <si>
    <t>1297 Sunburst Rd.</t>
  </si>
  <si>
    <t>Marinshaw</t>
  </si>
  <si>
    <t>Nedra</t>
  </si>
  <si>
    <t>721 El Cerro Blvd</t>
  </si>
  <si>
    <t>Appleview Properties LLC</t>
  </si>
  <si>
    <t>Jones, Johnston &amp; White, P.C., R/A</t>
  </si>
  <si>
    <t>Mechanicsville, VA  23116</t>
  </si>
  <si>
    <t>Hanover County</t>
  </si>
  <si>
    <t>PO Box 4734</t>
  </si>
  <si>
    <t>50 Pennyluck Dr.</t>
  </si>
  <si>
    <t>Meeks</t>
  </si>
  <si>
    <t>Lysa</t>
  </si>
  <si>
    <t>92 Mountain Peak Dr.</t>
  </si>
  <si>
    <t>Cindy</t>
  </si>
  <si>
    <t>86 Hydaway Dr.</t>
  </si>
  <si>
    <t>Olsen</t>
  </si>
  <si>
    <t>Arne</t>
  </si>
  <si>
    <t>105 Embrey Ct.</t>
  </si>
  <si>
    <t>1604 Graves Mill Rd., Apt. 301</t>
  </si>
  <si>
    <t>139 Birchtree Ln.</t>
  </si>
  <si>
    <t>Montana</t>
  </si>
  <si>
    <t>Katelyn</t>
  </si>
  <si>
    <t>209 Lakeside Dr.</t>
  </si>
  <si>
    <t>17A-1-204, 207</t>
  </si>
  <si>
    <t>Wanda</t>
  </si>
  <si>
    <t>Ahyan &amp; Sher LLC</t>
  </si>
  <si>
    <t>Asad Imtiaz, R/A</t>
  </si>
  <si>
    <t>21 Gloucester Dr.</t>
  </si>
  <si>
    <t>5634 Campbell Hwy.</t>
  </si>
  <si>
    <t>224 Powtan Dr.</t>
  </si>
  <si>
    <t>Cook Family L.P. III</t>
  </si>
  <si>
    <t>Michael S. Cook, R/A</t>
  </si>
  <si>
    <t>100 Swan Lane</t>
  </si>
  <si>
    <t>702 Laxton Rd.</t>
  </si>
  <si>
    <t>PO Box 15178</t>
  </si>
  <si>
    <t>671 Laxton Rd.</t>
  </si>
  <si>
    <t>691 Laxton Rd.</t>
  </si>
  <si>
    <t>CPTP LLC</t>
  </si>
  <si>
    <t>Melissa Hook, R/A</t>
  </si>
  <si>
    <t>3600 Old Forest Rd., Unit 55</t>
  </si>
  <si>
    <t>38 Beacon Ct.</t>
  </si>
  <si>
    <t>30 Beacon Ct.</t>
  </si>
  <si>
    <t>Clowdis</t>
  </si>
  <si>
    <t>Amie</t>
  </si>
  <si>
    <t>Young</t>
  </si>
  <si>
    <t>303 W. Williams St.</t>
  </si>
  <si>
    <t>PO Box 995</t>
  </si>
  <si>
    <t>Della</t>
  </si>
  <si>
    <t>Johnson, Life Tenant</t>
  </si>
  <si>
    <t>1460 Lynchburg Ave.</t>
  </si>
  <si>
    <t>PO Box 694</t>
  </si>
  <si>
    <t>21-6-3 &amp; 3A</t>
  </si>
  <si>
    <t>(434) 941-6990</t>
  </si>
  <si>
    <t>Pending</t>
  </si>
  <si>
    <t>Susan R. Mudrie</t>
  </si>
  <si>
    <t>Mudrie</t>
  </si>
  <si>
    <t>(434) 485-3851</t>
  </si>
  <si>
    <t>Will Pay by 5/31</t>
  </si>
  <si>
    <t>2:30 P.M.</t>
  </si>
  <si>
    <t>Wyatt McNair Wood</t>
  </si>
  <si>
    <t>613 Carriage Pkwy</t>
  </si>
  <si>
    <t>John A. Watts, Jr., R/A</t>
  </si>
  <si>
    <t>Watts Petroleum Corporation</t>
  </si>
  <si>
    <t>Inst. No. 230001823</t>
  </si>
  <si>
    <t>That certain tract or parcel of land in Brookville Magisterial District, Campbell County, Virginia, with appurtenances, rights and improvements thereunto belonging, being Lot 9 as shown on a plat by Adrian Overstreet:, S.C.S., dated December 18, 1963, entitled “Plat of Section 'D' Powhatan Cox Tract, Brookville Magisterial District, Campbell-Va.”, a copy of which plat is recorded in the Clerk's Office of the Circuit Court of Campbell County in Plat Book 17, at page 111, along with a deed of dedication dated March 17, 1964, between W. P. Cox and others, which deed of dedication is recorded in said Clerk's Office in Deed Book 356, at page 542, and more particularly described upon a plat of survey entitled, "Plat Showing Lot 9 Sec. D Powhatan Cox Tract Tomahawk District:, Campbell County, Virginia", dated June 20, 1991, made by Erskine W. Proffitt, L.S., which said plat is of record in the aforesaid Clerk’s Office in Deed Book 724, Page 562.</t>
  </si>
  <si>
    <t>This being the same property conveyed from Angelo A. Mongiello &amp; Dianne L. Mongiello, husband and wife to Timothy L. Morris by Deed dated August 1, 1996 and recorded in the aforesaid Clerk's Office in Deed Book 857, at page 513.</t>
  </si>
  <si>
    <t>All of that certain tract or parcel of land, together with all buildings and improvements thereon and privileges and appur­tenances thereunto belonging, situate and lying on the east side of Falling River, in Falling River Magisterial District, Campbell County, Virginia, containing 132 acres, more or less. The said tract of land conveyed hereby is a portion of the 'Home Place" of William Franklin Wood, deceased, which is situated on the east side of Falling; River and is the same identical real estate which was conveyed to the said Mary Lee Wood by Bessie W. Ellett and others, by a certain deed of partition, elated December 14, 1941, and of record in the Clerk's Office of the Circuit Court of Campbell County, Virginia in Deed Book 188, page 385.</t>
  </si>
  <si>
    <t>This being the same property conveyed from Mary Lee Wood &amp; William H. Wood, husband and wife to William M. Wood &amp; Margaret T. Wood, husband and wife by Deed dated June 29, 1966 and recorded in the aforesaid Clerk's Office in Deed Book 382, at page 1.</t>
  </si>
  <si>
    <t>As stated in that certain List of Heirs filed in the aforesaid Clerk’s Office as Will Instrument No. 12000599, William M. Wood died testate September 13, 2012, and pursuant to the terms of the deed the property passed to Margaret T. Wood.</t>
  </si>
  <si>
    <t>As stated in that certain List of Heirs filed in the aforesaid Clerk’s Office as Will Instrument No. 20000274, Margaret T. Wood died testate April 9, 2020, and pursuant to the terms of the Will  filed in the aforesaid Clerk’s Office as Will Instrument No. 20000274 the property was devised to Walter M. Wood.</t>
  </si>
  <si>
    <t>As stated in that certain List of Heirs filed in the aforesaid Clerk’s Office as Will Instrument No. 21000980, Walter M. Wood died testate September 27, 2021, and pursuant to the terms of the Will  filed in the aforesaid Clerk’s Office as Will Instrument No. 21000979 the property was devised to Wyatt McNair Wood, with a life estate reserved for Denise Ann Duncan Wood.</t>
  </si>
  <si>
    <t>Danville, CA  94526</t>
  </si>
  <si>
    <t>That certain tract or parcel of land, with improvements, appurtenances and rights thereunto belonging, containing 5 acres, located in Campbell County, Virginia, in what was formerly Brookville Magisterial District, more particularly described with reference to a plat by Erskine W. Proffit, C.L.S., dated June 3, 1968, a copy of which plat is attached hereto and made a part of this deed as follows:</t>
  </si>
  <si>
    <t>BEGINNING at iron (found) in the line of the land now or formerly owned by L.H.C, Hancock; thence with the line of the Hancock land N, 41° 20’ E. 777.9 feet; thence a new line S. 49° 10’ E. 280 feet to iron; thence another new line S. 41° 20' W. 777.9 feet to iron; thence N. 49° 10’ W. 280 feet to the point of BEGINNING.</t>
  </si>
  <si>
    <t>Also included is the right to use for ingress and egress, in common with others having like rights, the “20-foot easement" adjacent to the Southeasterly line of the above land, as indicated on the aforesaid plat, which easement is to be kept free and clear of gates, fences and all other obstruction, The said 20-foot easement commences 200 feet from the Northeasterly corner of the above land and runs to State Highway Route 622.</t>
  </si>
  <si>
    <t>This being the same property conveyed from David B. Lambert &amp; Annebelle B. Lambert, husband and wife to Foster Lee Maddox &amp; Katherine H. Maddox, husband and wife by Deed dated June 10, 1968 and recorded in the aforesaid Clerk's Office in Deed Book 401, at page 62.</t>
  </si>
  <si>
    <t>Capital One, NA</t>
  </si>
  <si>
    <t>100 Shockoe Slip Fl 2</t>
  </si>
  <si>
    <t xml:space="preserve">All those certain lots or parcels of land situate in Brookville Magisterial District, Campbell County, Virginia, designated on a survey made by J. Morris Hicks, January 29, 1956, a plat of which is recorded in Plat Book 13, page 149, in the Clerk's Office of the Circuit Court for the County of Campbell, as Lots Eight (8), Nine (9), Ten (10) and Eleven (11). Said lots front on Mountain Peak Drive 25 feet each and have a uniform depth of 175 feet each, </t>
  </si>
  <si>
    <t>This being the same property conveyed from Freda Yeatts Real Estate, Inc. to Lysa M. Meeks by Deed dated June 30, 2017 and recorded in the aforesaid Clerk's Office as Instrument No. 170003551.</t>
  </si>
  <si>
    <t>Jones, Johnston &amp; White, P.C., Trustee</t>
  </si>
  <si>
    <t>Brinson C. White, II, R/A</t>
  </si>
  <si>
    <t>Instrument No. 170003552</t>
  </si>
  <si>
    <t>Kenneth W. Pollard, Sr.</t>
  </si>
  <si>
    <t>902 Judd St.</t>
  </si>
  <si>
    <t>Charles L. Radland</t>
  </si>
  <si>
    <t>89 Lightfoot Terr.</t>
  </si>
  <si>
    <t>Shirley D. Ragland</t>
  </si>
  <si>
    <t>123 Cabell St.</t>
  </si>
  <si>
    <t>Gladys M. Walker</t>
  </si>
  <si>
    <t>600 Elmwood Ave.</t>
  </si>
  <si>
    <t>Joan L. Ragland</t>
  </si>
  <si>
    <t>Jeffrey Well, Executive Director</t>
  </si>
  <si>
    <t>Inst. No. 210001931</t>
  </si>
  <si>
    <t>Discover Products, Inc., d/b/a Discover Bank</t>
  </si>
  <si>
    <t>Inst. No. 180000880</t>
  </si>
  <si>
    <t>Will Pay by 4/30</t>
  </si>
  <si>
    <t>PO Box 2500</t>
  </si>
  <si>
    <t>Portfolio Recovery Associates, LLC</t>
  </si>
  <si>
    <r>
      <t>BEGINNING at a point in the center of said State Highway No. 696; thence a new line S 89 5/8 W, passing a stake and a Poplar stump on the side of said road, 621.8 feet to a stake on the line of Dave Jones; thence along the line of said Dave Jones N. 14</t>
    </r>
    <r>
      <rPr>
        <sz val="11"/>
        <color theme="1"/>
        <rFont val="Aptos Narrow"/>
        <family val="2"/>
      </rPr>
      <t>º</t>
    </r>
    <r>
      <rPr>
        <sz val="11"/>
        <color theme="1"/>
        <rFont val="Calibri"/>
        <family val="2"/>
        <scheme val="minor"/>
      </rPr>
      <t xml:space="preserve"> 1/8 W. 152.5 feet to a stake; thence a new line N. 89º 5/8 E 653.6 feet to the center line of the aforesaid State Highway No. 696; thence S. 1 1/2</t>
    </r>
    <r>
      <rPr>
        <sz val="11"/>
        <color theme="1"/>
        <rFont val="Aptos Narrow"/>
        <family val="2"/>
      </rPr>
      <t>º</t>
    </r>
    <r>
      <rPr>
        <sz val="11"/>
        <color theme="1"/>
        <rFont val="Calibri"/>
        <family val="2"/>
        <scheme val="minor"/>
      </rPr>
      <t xml:space="preserve"> E. along the said Highway 141.0 feet to the beginning, and containing, according to survey of H. M. Lane, C.E., fieldwork by Thomas T. Adams, B.S. in Eng., made in December, 1951, 2.0 acres, more or less (See Deed Book 94, at page 538).</t>
    </r>
  </si>
  <si>
    <t>This being the same property conveyed from John T. Farmer to Hazel Poindexter by Deed dated December 22, 1951 and recorded in the Clerk's Office for the Circuit Court of Campbell County, Virginia in Deed Book 235, at page 432.</t>
  </si>
  <si>
    <t>That certain lot or parcel of land, together with the buildings and improvements thereon, and privileges and appurtenances thereunto belonging, situate, lying and being in the County of Campbell, Virginia, and designated as Revised Tract 10, Section 2, containing 3.00 acres, as shown on a plat entitled "Plat Showing Redivision of Tract 5, Section 1 &amp; Tract 10, Section 2, Subdivision of the Property of Thomas L. Phillips, A. Willard Arthur, &amp; Thomas L. Phillips, Jr., Flat Creek Dist., Campbell Co. VA", made by Erskine W. Proffitt, L.S., dated March 1, 1994, a copy of which is recorded in the Clerk's Office of the Circuit Court of Campbell County, Virginia in Plat Book 41, page 87, now Plat Cabinet B, Slide 118, page 87; and by more recent plat of resurvey made by Willard T. Sigler, L.S., dated October 3, 1996, a copy of which is recorded in the aforesaid Clerk's Office in Deed Book 802, at page 497.</t>
  </si>
  <si>
    <t>Together with an easement of right of way along the 50' right of way, as whon on the aforesaid plats for ingress and egress to and from State Route 683, along with others having a like right to use the same.</t>
  </si>
  <si>
    <t>Reference is made to that certain Road Maintenance Agreement dated June 14, 1994 and recorded in the aforesaid Clerk's Office in Deed Book 811, at page 700; that certain Road Maintenance Agreement dated January 27, 2003 and recorded in the aforesaid Clerk's Office as Inst. No. 030001101, re-recorded as Inst. No. 040005958; as well as to the Restrictions of record pursuant to that certain Deed dated May 24, 1988 and recorded in the aforesaid Clerk's Office in Deed Book 670, at page 389.</t>
  </si>
  <si>
    <t>This being the same property conveyed from Kyle E. Shupe &amp; Annette D. Shupe, husband and wife to Connie M. Taylor by Deed dated October 4, 1996 and recorded in the aforesaid Clerk's Office in Deed Book 802, at page 495.</t>
  </si>
  <si>
    <t>All that certain tract or parcel of land in Otter River District, Campbell County, Virginia, with improvements thereon beginning at a wild cherry tree; comer with James C. Hewitt tract on Dean's Spring Branch; thence S. 38° E. 42 ft; thence S. 41° E. 239 ft.; thence S. 31° E. 157 ft. to a point on bridge; thence S. 60° E. 197 ft.; then S. 60° E. 35 ft. to a point 3.5 ft. S.W. of marked poplar; thence S. 39 3/4° E. 1623 ft. to a stake on a southwest comer of tract No. 4 on Fauntleroy line; thence N. 66 3/4° W. 674 ft. to old field pine; thence N. 65° 45' W. along said line to the middle of public road, crossing the line between Fauntleroy and Blume near a spring; thence along said public road as it runs in a general direction N. E. to the beginning, and containing twenty-five (25) acres, more or less, and being that portion of Lot No. 5, south of the public road of the Karn or Blume land.</t>
  </si>
  <si>
    <t xml:space="preserve">All that certain tract or parcel of land in Vista District, Campbell County, Virginia, with improvements thereon beginning at a stake on the Dearing Fauntleroy line; thence along said line 571/2 ft. to another stake; thence N. 19 1/4° E. 76 ft. to a stake; thence N. 66° 45' west 57 1/4° W. to the point of beginning, containing one (1) acre more or less, and being a part of Kam or Blume tract. </t>
  </si>
  <si>
    <t>All that certain tract or parcel of land in Vista District, Campbell County, Virginia, with improvements thereon beginning at a point on Wash Branch at 3.5 feet southwest of poplar; thence down said branch as it meanders, the line being in the middle of the stream to "A" at bridge; thence S. 66° E., 150 ft. to stake; thence S. 10° E. 88 feet to corner of Lots 1, 3 &amp; 4 in spring; thence S. 59° W. 54 ft. to gum; thence S. 9° W. 180 feet to double maple; thence S. 19 1/4° W. 761 ft. to stake in Dearing Fauntleroy's line; thence along said line N. 66 3/4° W. 276 feet to another stake; thence N. 39 1/4° W. 1623 ft. to a point 3.5 feet southwest of poplar; thence N. 60° W. 35 ft. to the beginning, containing twenty-six and eighty-five one hundredth (26.85) acres, and being Lot No. 4 as per subdivision of the Karn or Blume tract of land, and adjoining the lands of J.P. Maxey.</t>
  </si>
  <si>
    <t>Copy To: M3S LLC</t>
  </si>
  <si>
    <t>45 Rosedale St.</t>
  </si>
  <si>
    <t>Dorchester, MA  02124</t>
  </si>
  <si>
    <t>That certain tract or parcel of land, together with the privileges and appurtenances thereunto belonging, situate, lying and being in Long Mountain Magisterial District, Campbell County, Virginia, near Six Mile Bridge, a station on the Norfolk and Western Railroad, and being a part of the property known as the Mt Athos Estate, and described as follows:</t>
  </si>
  <si>
    <t>BEGINNING at the center of the culvert in the center of Middle Road (now known as State Highway No. 726), thence with the center of the road N. 57° 051 E. 206.8 feet; thence N. 54°301 E. 399.1 feet; thence N. 53° 551 E. 286.0 feet; thence N. 47° 55' E.195.3 feet; thence N. 34° 001 E. 238.8 feet; thence N. 53° 551 E. 160.5 feet; thence N. 68° 50' E. 100.0 feet; thence N. 75° 351 E. 164.0 feet to the center of the bridge across Slippery Branch; thence in a northeasterly direction following the center of Slippery Branch as it meanders until it enters the James River; thence in a westerly direction and along the easterly line of James River to a point in the center of the branch where it empties into the James River, as shown on the plat recorded in Plat Book 11, page 7; thence S. 06° 001 E. 101.4 feet; thence S. 68° 30' 118.5 feet; thence with the branch S. 56° 15' E. 56.5 feet; thence S. 13° 011 E. 221.20 feet to the center of the culvert in the center of the road, being the point of beginning; according to a plat entitled "Plat of 18.68 acre-tract, being part of lot 5 of the Mt. Athos Subdivision, Campbell Co., Va., Aubrey Thomas, owner", made by C. W. Ryan, Eng'r., C.E. and C.L.S., April 1950.</t>
  </si>
  <si>
    <t>LESS AND EXCEPT:</t>
  </si>
  <si>
    <t>(1) 0.70 acre conveyed by Gran tor to Appalachian Power Company by deed dated May 17, 1977, of record in the Clerk's Office of the Circuit Court of Campbell County, Virginia, in Deed Book 524, page 19;</t>
  </si>
  <si>
    <t>(2) 1.52 acres conveyed by Grantor to Bruce Talmadge Mayberry by deed dated July 27, 1981, of record in said Clerk's Office in Deed Book 574, page 604.</t>
  </si>
  <si>
    <t xml:space="preserve">The property hereby conveyed is also shown on an unrecorded plat entitled "DRAINFIELD PLAT FOR THE 'PRATI' TRACT FOR FALWELL WELL CORPORATION, LONG MOUNTAIN DISTRICT, CAMPBELL COUNTY, VA." made by Berkley-Howell &amp; Assoc., P.C., Engineers-Surveyors-Planners, dated October 27, 2008, which plat shows the property to contain 14.491 acres. </t>
  </si>
  <si>
    <t>This being the same property conveyed from Delbert &amp; Mary McCraw, husband and wife, Brian McCraw, Marc Studivent, and Daisy Morgan to M3S, LLC, a Virginia Limited Liability Company by Deed dated August 3, 2018 and recorded in the Clerk's Office of the Circuit Court of Campbell County, Virginia as Instrument No. 210002118.</t>
  </si>
  <si>
    <t>This being the same property conveyed from the Falwell Corporation to Melissa Gail Anderson, and John Edwin Eagle &amp; Cynthia Louse Downey, husband and wife, by Deed dated June 28, 2021 and recorded in the Clerk's Office of the Circuit Court of Campbell County, Virginia as Instrument No. 210005157.  Pursuant to that certain Deed dated June 10, 2022 and recorded in the aforesaid Clerk's Office as Instrument No. 220004436, Melissa Gail Anderson conveyed her entire interest to John Edwin Eagle &amp; Cynthia Louse Downey, husband and wife, vesting sole title in  John Edwin Eagle &amp; Cynthia Louse Downey.</t>
  </si>
  <si>
    <t>S. Henry Creasy, IV, Trustee</t>
  </si>
  <si>
    <t>Woods Rogers Vandeventer Black</t>
  </si>
  <si>
    <t>828 Main St., 19th Floor</t>
  </si>
  <si>
    <t>Inst. No. 210005158</t>
  </si>
  <si>
    <t>Betty J. Adams</t>
  </si>
  <si>
    <t>58 Magaron Ln.</t>
  </si>
  <si>
    <t>All that certain lot or parcel of land, together with the buildings and improvements thereon, if any, privileges and appurtenances thereunto appertaining, situate, lying and being in Flat Creek Magisterial District, Campbell County, Virginia, and designated as Lot 2, as shown on plat entitled "Plat of Mill Road Subdivision, Flat Creek Magisterial District, Campbe11 County, Virginia", made by Fred C. Howell, C.L.S., dated February 6, 1984, said plat being of record. in the Clerk’s Office of the Circuit Court for the County of Campbell, Virginia, in Plat Book 28, at Page 29.</t>
  </si>
  <si>
    <t>This being the same property conveyed from Benjamin P. Wood &amp; Dorethea D. Wood, husband and wife, to John J. Adams &amp; Betty J. Adams, husband and wife, by Deed dated June 5, 1992 and recorded in the Clerk's Office of the Circuit Court of Campbell County, Virginia in Deed Book 746, at page 707.</t>
  </si>
  <si>
    <t>14329 Rockford School Rd.</t>
  </si>
  <si>
    <t>Foster Fuels Inc.</t>
  </si>
  <si>
    <t xml:space="preserve">All those certain lots or parcel of land located in Vista Magisterial District (formerly Otter River Magisterial District), Campbell County, Virginia, fronting 100 feet on State Road No. 712 as shown on "Plat of a Lot or Parcel of Land in Otter River Magisterial District, Campbell County, Virginia located about 1/4 mile southeast of the Post Office at Lynch Station", made by W.S. Walker, C.L.S., dated November 30, 1955, which deed is attached to and recorded with deed in Deed Book 386, Page 148 in the Clerk's Office of the Circuit Court of Campbell County, Virginia, reference thereto being expressly made for a more particular description thereof. </t>
  </si>
  <si>
    <t>This being the same property conveyed from Robin M. Boley to Clinton Dallas Snyder by Deed dated April 9, 2021 and recorded in the aforesaid Clerk’s Office as Instrument No. 210005610.</t>
  </si>
  <si>
    <t>Inst. No. 190002056</t>
  </si>
  <si>
    <t>Thomas L. &amp; Betsy H. Phillips, Trustees</t>
  </si>
  <si>
    <t>Inst. No. 160006421</t>
  </si>
  <si>
    <t xml:space="preserve">That certain tract or parcels of land, together with the appurtenances and privileges thereunto belonging, located at 303 Williams Street, Brookneal, Virginia, more particularly described as follows: </t>
  </si>
  <si>
    <t>This being the same property conveyed from Les Mitchell t/a B&amp;G Properties to Gary Young &amp; Joanne Young, husband and wife, by Deed dated November 28, 2016 and recorded in the Clerk's Office of the Circuit Court of Campbell County, Virginia as Instrument No. 160006420.</t>
  </si>
  <si>
    <t>Robert J. Fleming, Jr.</t>
  </si>
  <si>
    <t>1301 Wilson Dr.</t>
  </si>
  <si>
    <t>West Chester, PA  19380</t>
  </si>
  <si>
    <t>That certain lot or parcel of ground, together with any buildings and improvements thereon and any rights, privileges, appurtenances and easements thereunto belonging, situate, lying and being in the Patrick Henry District, Campbell County, Virginia, designated as TM# 91-A-19B on that certain Plat of Survey entitled, "PLAT SHOWING RESURVEY OF 5.645 ACRES, PROPERTY OF ARTHUR D. WILSON, ET ALS, ON RAILVIEW ROAD, PATRICK HENRY DIST., CAMPBELL CO. VIRGINIA'', dated May 4, 2021, made by Russell E. Nixon, L.S., a copy of which Plat is being put to record along with that certain Deed of Bargain and Sale dated the 3,d day of June, 2021 from the herein named parties of the first part to Rodolfo J. Zelaya and Mindy R. Zelaya, husband and wife, which said Deed of Bargain and Sale is being recorded prior hereto in the Clerk's Office of the Circuit Court for the County of Campbell, Virginia. Reference is hereby made to said Plat, and the instruments therein mentioned, for a more detailed and complete description of the real estate hereby conveyed and the metes and bounds contained thereon are incorporated herein by reference the same as if written out herein.</t>
  </si>
  <si>
    <t>This being the same property conveyed from Eric C. Wilson, Robert J. Feming, Karen W. Whitfield, Kathleen Wilson, Robert L. Wilson, Stanley Wildon, Susan Seals, and Arthur D. Wilson to Robert J. Fleming, Jr. by Deed dated June 3, 2021and recorded in the Clerk's Office of the Circuit Court of Campbell County, Virginia as Instrument No. 210004343.</t>
  </si>
  <si>
    <t>Inst. No. 210002023</t>
  </si>
  <si>
    <t>Alternate Address: 8556 Anderson Ct.</t>
  </si>
  <si>
    <t>All that certain lot or parcel ofland, together with all and singular the buildings and· improvements thereon and the privileges and appurtenances thereunto belonging and the privileges and appurtenances thereunto belonging, situate, lying and being in Timberlake Magisterial District, Campbell County, Virginia, containing 0.85 acre, more or less, including area in access right-of-way, near Waterlick Road and the Lynette Subdivision, located on an access right-of-way or roadway and adjoining the lands now or formerly owned by Dugger and Forehand, being more particularly described according to a plat of survey entitled "PLAT OF PART OF PROPERTY OF F. LAWTON COFFEY, TIMBERLAKE MAGISTERIAL · DISTRICT, CAMPBELL· COUNTY, VIRGINIA," made by Adrian Overstreet, S.C.S., a copy of which is recorded in the Office of he Clerk, Circuit Court, Campbell County, Virginia, in Plat Book 22, at Page 56, being more particularly described on said plat as follows:</t>
  </si>
  <si>
    <t>BEGINNING at an iron in the southerly line of said access right-of-way, corner to the property now or formerly owned by Forehand, and running with said line of the  access right-of-way S. 61-35 E. 46.30 feet to an iron; thence continuing with said  access right-of-way line; S. 62-51 E. 53.70 feet to an iron, thence leaving said access right-of-way line and running S. 23-04 W. 241.80 feet, with the line of Dugger, to an iron; thence running N. 56-32 W. 100.00 feet to an iron; thence running N. 22-46 E. 231.90 feet, with the line of Forehand to the iron in the southerly line of said access right-of-way the point of Beginning.</t>
  </si>
  <si>
    <t>This being the same property conveyed from Janet Teresa Coffey Powell, Executor of Farrow Lawton Coffey, Jr. to Appleview Properties, LLC by Deed Dated October 3, 2018 and recorded in the Clerk's Office of the Circuit Court of Campbell County, Virginia as Instrument No. 180004651.</t>
  </si>
  <si>
    <t>All that certain lot or parcel of land, together with all and singular the buildings and improvements thereon, and the privileges and appurtenances thereunto belonging, situate, lying and being in the College Magisterial District, Campbell County, Virginia, fronting on Waterlick Road (State Route No. 622), containing 0.57 acre, more or less, and being more particularly described according to a plat of survey entitled "PART OF PROPERTY OF F. LAWTON COFFEY, TIMBERLAKE DISTRICT, CAMPBELL COUNTY, VIRGINIA", dated June 12, 1974, made by Adrian Overstreet, S.C.S. a copy of which is recorded in the Office of the Clerk, Circuit Court, Campbell County, Virginia, in Deed Book 507, at Page 313, being more particularly described on said plat as follows:</t>
  </si>
  <si>
    <t>BEGINNING at an iron in the southerly line of said Waterlick Road (State Route No. 622) which said iron is located 361.71 feet from P.C. at Lynette Drive and thence leaving said line of Waterlick Road and running S. 26-41-30 W. 250.55 feet to an iron; thence N. 61-21-30 W. 100.00 feet to an iron; thence N. 26-42 E. 245.40 feet to an iron in the said southerly line of Waterlick Road, and thence S. 64-21 E. 100.00 feet to the iron at the point of Beginning.</t>
  </si>
  <si>
    <t>All that certain lot or parcel of land, together with all and singular the buildings and improvements thereon, and the privileges and appurtenances thereunto belonging, situate, lying and being in the College Magisterial District, Campbell County, Virginia, fronting on Waterlick Road (State Route No. 622), containing 1.00 acre, more or less, and being more particularly described according to a plat of survey entitled "PART OF PROPERTY OFF. LAWTON COFFEY, TIMBERLAKE DISTRICT, CAMPBELL COUNTY, VIRGINIA", dated June 12, 1974, made by Adrian Overstreet, S.C.S. a copy of which is recorded in the Office of the Clerk, Circuit Court, Campbell County, Virginia, in Deed Book 507, at Page 314, being more particularly described on said plat as follows:</t>
  </si>
  <si>
    <t>BEGINNING at an iron in the southerly boundary of Waterlick Road (State Route No. 622) which said iron is located 201.71 feet from Lynette Drive and thence leaving said line of Waterlick Road and running S. 16-51-30 W. 122.10 feet to an iron; thence S. 26-42-30 W. 10.63 feet to an iron P.C., thence on a curve having a radius of 25.00 feet and a length of40.ll feet to an iron; thence N. 61-21-30 W. 134.14 feet to an iron; thence running N. 26-41-30 E. 250.55 feet to an iron in the said southerly line of Waterlick Road; and thence running with said southerly line of Waterlick Road S. 64-21 E. 160.00 feet to the iron at the point of Beginning.</t>
  </si>
  <si>
    <t>All that certain tract or parcel of land, together with the buildings and improvements thereon and the privileges and appurtenances thereunto belonging, lying and being in what was formerly the Timberlake Magisterial District of Campbell County, Virginia, designated as Lots Nos. 212, 214 and 215, upon a plat entitled, "PLAT OF WOODLAWN SUBDIVISION, BROOKVILLE MAGISTERIAL DISTRICT, CAMPBELL COUNTY, VIRGINIA, R.E. HARTLESS, OWNER", made by Adrian Overstreet, S.C.S., dated February ,12, 1953, and recorded in the Clerk's Office of the Circuit Court for the County of Campbell,  Virginia, in Plat Book 12, at Page 95.</t>
  </si>
  <si>
    <t>This being the same property conveyed from James D. McClanahan &amp; Michelle S. McClanahan, husband and wife, to Colby C. Delbene by Deed dated July 13, 2017 and recorded in the aforesaid Clerk's Office as Inst. No. 170003724.</t>
  </si>
  <si>
    <t>This being the same property conveyed as "Parcel 1" from Barbara T. Booker, Marian T. Hensley, Carol T. Hamlett to Equity Trust Company, Custodian for the benefit of Donna J. Ingram by Deed dated April 20, 2015 and recorded in the aforesaid Clerk's Office as Inst. No. 150001919.</t>
  </si>
  <si>
    <t>Equity Trust Company, a South Dakota Corporation</t>
  </si>
  <si>
    <t>503 S. Pierre St.</t>
  </si>
  <si>
    <t>Pierre, SD  57501</t>
  </si>
  <si>
    <t>Alternate Address: 1 Equity Way</t>
  </si>
  <si>
    <t>Westlake, OH  44145</t>
  </si>
  <si>
    <t>This being a portion of the same property conveyed from Addie Lewis Jennings to Christopher D. Bell and Elena Bell, husband and wife by Deed dated November 14, 2008 and recorded in the aforesaid Clerk's Office as Instrument No. 090005628.</t>
  </si>
  <si>
    <t>Jay Cline, R/A</t>
  </si>
  <si>
    <t>Instrument No. 130001678, which said judgment was re-recorded as Instrument No. 160000344</t>
  </si>
  <si>
    <t>828 Roundtree Rd.</t>
  </si>
  <si>
    <t>311 Virginia Ave.</t>
  </si>
  <si>
    <t>21233 Augusta Dr.</t>
  </si>
  <si>
    <t>Sterling, VA  20164</t>
  </si>
  <si>
    <t>101A-1-9</t>
  </si>
  <si>
    <t>Barlow</t>
  </si>
  <si>
    <t>Virginia</t>
  </si>
  <si>
    <t>3127 Whipping Creek Rd.</t>
  </si>
  <si>
    <t>96A-1-35</t>
  </si>
  <si>
    <t>Battelstein</t>
  </si>
  <si>
    <t>Jessica</t>
  </si>
  <si>
    <t>Mary Z.</t>
  </si>
  <si>
    <t>63A-2-1</t>
  </si>
  <si>
    <t>Berkley</t>
  </si>
  <si>
    <t>Al</t>
  </si>
  <si>
    <t>Junior</t>
  </si>
  <si>
    <t>100 Patrick Ct.</t>
  </si>
  <si>
    <t>68-A-144</t>
  </si>
  <si>
    <t>III</t>
  </si>
  <si>
    <t>Tialia</t>
  </si>
  <si>
    <t>580 Dearing Ford Rd.</t>
  </si>
  <si>
    <t>29 Bramble Pl. Apt. 6</t>
  </si>
  <si>
    <t>75-5-1</t>
  </si>
  <si>
    <t>Boyd</t>
  </si>
  <si>
    <t>12377 Brookneal Hwy.</t>
  </si>
  <si>
    <t>3102 Hog Wallow Rd.</t>
  </si>
  <si>
    <t>75-5-2</t>
  </si>
  <si>
    <t>53-4-7</t>
  </si>
  <si>
    <t>Tamera</t>
  </si>
  <si>
    <t>L.T.</t>
  </si>
  <si>
    <t>2295 Bethesda Dr.</t>
  </si>
  <si>
    <t>21A-7-6</t>
  </si>
  <si>
    <t>Lloyd</t>
  </si>
  <si>
    <t>2674 Waterlick Rd.</t>
  </si>
  <si>
    <t>81C-1-A-17A</t>
  </si>
  <si>
    <t>6271 Bedford Hwy</t>
  </si>
  <si>
    <t>81C-1-A-17, 18, 19 &amp; 20</t>
  </si>
  <si>
    <t>83A-6-69-15</t>
  </si>
  <si>
    <t>1422 Bedford Ave.</t>
  </si>
  <si>
    <t>47-A-79B</t>
  </si>
  <si>
    <t>Coward</t>
  </si>
  <si>
    <t>Keesee</t>
  </si>
  <si>
    <t>5128 Bear Creek Rd.</t>
  </si>
  <si>
    <t>96A-15-388</t>
  </si>
  <si>
    <t>Creasy</t>
  </si>
  <si>
    <t>Flanger</t>
  </si>
  <si>
    <t>Lynda</t>
  </si>
  <si>
    <t>PO Box 543</t>
  </si>
  <si>
    <t>Mayfield, NY  12117</t>
  </si>
  <si>
    <t>412 Brookneal Hwy</t>
  </si>
  <si>
    <t>73-8-5A</t>
  </si>
  <si>
    <t>2243 Long Island Rd.</t>
  </si>
  <si>
    <t>35-A-30A</t>
  </si>
  <si>
    <t>2295 Red House Rd.</t>
  </si>
  <si>
    <t>83A-11-30-A02, A03, A04</t>
  </si>
  <si>
    <t>Fennimore</t>
  </si>
  <si>
    <t>804 8th St.</t>
  </si>
  <si>
    <t>83A-17-22</t>
  </si>
  <si>
    <t>Maud</t>
  </si>
  <si>
    <t>3600 Jeff Rd.</t>
  </si>
  <si>
    <t>Springdale, MD  20774</t>
  </si>
  <si>
    <t>34A-16-C-14</t>
  </si>
  <si>
    <t xml:space="preserve">R. A. </t>
  </si>
  <si>
    <t>1218 Village Hwy</t>
  </si>
  <si>
    <t>34A-16-C-15</t>
  </si>
  <si>
    <t>34A-16-C-17</t>
  </si>
  <si>
    <t>34A-16-C-18</t>
  </si>
  <si>
    <t>34A-16-C-19</t>
  </si>
  <si>
    <t>34A-16-C-20</t>
  </si>
  <si>
    <t>34A-16-C-21</t>
  </si>
  <si>
    <t>34A-16-C-22</t>
  </si>
  <si>
    <t>34A-18-10, 12, 13, 14, 15, 16 &amp; 17</t>
  </si>
  <si>
    <t>45-17-6</t>
  </si>
  <si>
    <t>Gomez</t>
  </si>
  <si>
    <t>Rosalina</t>
  </si>
  <si>
    <t>Diaz</t>
  </si>
  <si>
    <t>Rita</t>
  </si>
  <si>
    <t>5011 S. Amherst Hwy.</t>
  </si>
  <si>
    <t>Goode</t>
  </si>
  <si>
    <t>Foxx</t>
  </si>
  <si>
    <t>43C-3-2</t>
  </si>
  <si>
    <t>Granger</t>
  </si>
  <si>
    <t>H.L.</t>
  </si>
  <si>
    <t>13820 Elmstead Rd.</t>
  </si>
  <si>
    <t>Midlothian, VA  23113</t>
  </si>
  <si>
    <t>43C-3-3</t>
  </si>
  <si>
    <t>43C-3-4</t>
  </si>
  <si>
    <t>43C-3-6</t>
  </si>
  <si>
    <t>43C-3-7</t>
  </si>
  <si>
    <t>43C-3-7A</t>
  </si>
  <si>
    <t>43-A-68B</t>
  </si>
  <si>
    <t>43C-4-19</t>
  </si>
  <si>
    <t>43C-4-20</t>
  </si>
  <si>
    <t>43C-4-21</t>
  </si>
  <si>
    <t>43C-4-22</t>
  </si>
  <si>
    <t>43C-4-23</t>
  </si>
  <si>
    <t>43C-4-24</t>
  </si>
  <si>
    <t>43C-4-25</t>
  </si>
  <si>
    <t>43C-4-26</t>
  </si>
  <si>
    <t>43C-6-B</t>
  </si>
  <si>
    <t>93-A-28C</t>
  </si>
  <si>
    <t>1212 Topside Dr.</t>
  </si>
  <si>
    <t>Charleston, SC  29414</t>
  </si>
  <si>
    <t>103C-39-A-15 &amp; 16</t>
  </si>
  <si>
    <t>Haga</t>
  </si>
  <si>
    <t>Kendell</t>
  </si>
  <si>
    <t>330 Main St.</t>
  </si>
  <si>
    <t>421 Swinging Bridge Rd.</t>
  </si>
  <si>
    <t>103C-34-5 &amp; 6</t>
  </si>
  <si>
    <t>Debbie</t>
  </si>
  <si>
    <t>111 Smith St.</t>
  </si>
  <si>
    <t>16A-4-36</t>
  </si>
  <si>
    <t>Hancock-Fuqua-Robertson Inc.</t>
  </si>
  <si>
    <t>James T. Robertson, Jr., R/A</t>
  </si>
  <si>
    <t>PO Box 10668</t>
  </si>
  <si>
    <t>103C-34-12</t>
  </si>
  <si>
    <t>Tasha</t>
  </si>
  <si>
    <t>115 Smith St.</t>
  </si>
  <si>
    <t>272 Lincoln Ave.</t>
  </si>
  <si>
    <t>Roosevelt, NY  11575</t>
  </si>
  <si>
    <t>52-A-27B</t>
  </si>
  <si>
    <t>183 Hensley Dr.</t>
  </si>
  <si>
    <t>83A-11-59-7</t>
  </si>
  <si>
    <t>Hernandez</t>
  </si>
  <si>
    <t>Juan</t>
  </si>
  <si>
    <t>706 13th St.</t>
  </si>
  <si>
    <t>103B-5-12</t>
  </si>
  <si>
    <t>Horta</t>
  </si>
  <si>
    <t>307 Hunter Rd.</t>
  </si>
  <si>
    <t>34-A-95C</t>
  </si>
  <si>
    <t>Horton</t>
  </si>
  <si>
    <t>Cordney</t>
  </si>
  <si>
    <t>127 Sage Dr.</t>
  </si>
  <si>
    <t>69-3-6</t>
  </si>
  <si>
    <t>Jasper Holdings LLC</t>
  </si>
  <si>
    <t>Michael G. Towler</t>
  </si>
  <si>
    <t>2882 Dearing Ford Rd.</t>
  </si>
  <si>
    <t>102-A-45B</t>
  </si>
  <si>
    <t>Sydney</t>
  </si>
  <si>
    <t>266 Jennings Rd.</t>
  </si>
  <si>
    <t>88-13-2</t>
  </si>
  <si>
    <t>Esharan Nsabaye</t>
  </si>
  <si>
    <t>MK</t>
  </si>
  <si>
    <t>Kelvis</t>
  </si>
  <si>
    <t>451 Westoak Trl.</t>
  </si>
  <si>
    <t>Winston-Salem, NC  27104</t>
  </si>
  <si>
    <t>103A-3-1-20I</t>
  </si>
  <si>
    <t>Roberta</t>
  </si>
  <si>
    <t>127 Claytor Rd.</t>
  </si>
  <si>
    <t>125 Claytor Rd.</t>
  </si>
  <si>
    <t>103A-3-1-9C, 10B &amp; 11B</t>
  </si>
  <si>
    <t>47B-1-A-5</t>
  </si>
  <si>
    <t>Kellan</t>
  </si>
  <si>
    <t>Theresa</t>
  </si>
  <si>
    <t>595 Carwile Rd.</t>
  </si>
  <si>
    <t>PO Box 44</t>
  </si>
  <si>
    <t>Exmore, VA  23350</t>
  </si>
  <si>
    <t>Northampton County</t>
  </si>
  <si>
    <t>96A-4-28A</t>
  </si>
  <si>
    <t>Lacsamana</t>
  </si>
  <si>
    <t>Carolina</t>
  </si>
  <si>
    <t xml:space="preserve">PO Box 58 </t>
  </si>
  <si>
    <t>New Ellington, SC  29809</t>
  </si>
  <si>
    <t>Bethel Consultant Group LLC</t>
  </si>
  <si>
    <t>10875 Wards Rd.</t>
  </si>
  <si>
    <t>70C-1-24A, 25A, 26A, 27A, 28A, 29A, 30A, 31A, 32A, 33A, 34A</t>
  </si>
  <si>
    <t>Layne</t>
  </si>
  <si>
    <t>Eighme</t>
  </si>
  <si>
    <t>8916 Gladys Rd.</t>
  </si>
  <si>
    <t>104-1-5</t>
  </si>
  <si>
    <t>Lepper</t>
  </si>
  <si>
    <t>3366 Wickliffe Rd.</t>
  </si>
  <si>
    <t>103C-18-D</t>
  </si>
  <si>
    <t>Lyle</t>
  </si>
  <si>
    <t>Marvin</t>
  </si>
  <si>
    <t>119 Ridge St.</t>
  </si>
  <si>
    <t>182 Walker Rd.</t>
  </si>
  <si>
    <t>103B-4-3-1</t>
  </si>
  <si>
    <t>117 MT Holt Ave</t>
  </si>
  <si>
    <t>311 Main St.</t>
  </si>
  <si>
    <t>95-A-2</t>
  </si>
  <si>
    <t>478 Stony Creek Rd.</t>
  </si>
  <si>
    <t>70-12-2</t>
  </si>
  <si>
    <t>Mitchiner</t>
  </si>
  <si>
    <t>Dwane</t>
  </si>
  <si>
    <t>105 Montesino Dr.</t>
  </si>
  <si>
    <t>Raliegh, NC  27603</t>
  </si>
  <si>
    <t>88-14-7A</t>
  </si>
  <si>
    <t>Monroe</t>
  </si>
  <si>
    <t>430 Chestnut St.</t>
  </si>
  <si>
    <t>Wrentham, MA  02093</t>
  </si>
  <si>
    <t xml:space="preserve">Moreno </t>
  </si>
  <si>
    <t>PO Box 224</t>
  </si>
  <si>
    <t>42A-3-21</t>
  </si>
  <si>
    <t>39 Baywood Ct.</t>
  </si>
  <si>
    <t>74-B-1</t>
  </si>
  <si>
    <t>Peerman</t>
  </si>
  <si>
    <t>2002 Collins Ferry Rd.</t>
  </si>
  <si>
    <t>103C-A-8</t>
  </si>
  <si>
    <t xml:space="preserve">Leo </t>
  </si>
  <si>
    <t>108 West End St.</t>
  </si>
  <si>
    <t>15-A-156</t>
  </si>
  <si>
    <t>Viola</t>
  </si>
  <si>
    <t>73A-2-3 &amp; 4</t>
  </si>
  <si>
    <t>Pugh</t>
  </si>
  <si>
    <t>16356 Rockford School Rd.</t>
  </si>
  <si>
    <t>15-A-182A</t>
  </si>
  <si>
    <t>113 Steeple Run</t>
  </si>
  <si>
    <t>60-B-6</t>
  </si>
  <si>
    <t>73E-2-1A</t>
  </si>
  <si>
    <t>2346 Mitchell Mill Rd.</t>
  </si>
  <si>
    <t>40-A-79</t>
  </si>
  <si>
    <t>Steele</t>
  </si>
  <si>
    <t>Suzanne</t>
  </si>
  <si>
    <t>PO Box 232</t>
  </si>
  <si>
    <t>Stewartson</t>
  </si>
  <si>
    <t>Jerald</t>
  </si>
  <si>
    <t>1598 Flint Hill Rd.</t>
  </si>
  <si>
    <t>Moneta, VA  24121</t>
  </si>
  <si>
    <t>83A-17-43</t>
  </si>
  <si>
    <t>Stovall</t>
  </si>
  <si>
    <t>PO Box 386</t>
  </si>
  <si>
    <t>52-6-2C</t>
  </si>
  <si>
    <t>Thibodeau</t>
  </si>
  <si>
    <t>Lyndsey</t>
  </si>
  <si>
    <t>4661 West Trace Dr.</t>
  </si>
  <si>
    <t>Southport, NC  28461</t>
  </si>
  <si>
    <t>35-7-A8</t>
  </si>
  <si>
    <t>400 Pauls Rd.</t>
  </si>
  <si>
    <t>157 New Hope &amp; Crimora Rd.</t>
  </si>
  <si>
    <t>Waynesboro, VA  22980</t>
  </si>
  <si>
    <t>City of Waynesboro</t>
  </si>
  <si>
    <t>WID</t>
  </si>
  <si>
    <t>34-A-46A</t>
  </si>
  <si>
    <t>Vaughn</t>
  </si>
  <si>
    <t>H.W.</t>
  </si>
  <si>
    <t>105 Williams Rd.</t>
  </si>
  <si>
    <t>223 Church St.</t>
  </si>
  <si>
    <t>17C-1-3</t>
  </si>
  <si>
    <t>749 Mt. Olivet Church Rd.</t>
  </si>
  <si>
    <t>9C-1-5</t>
  </si>
  <si>
    <t>Vorden</t>
  </si>
  <si>
    <t>1414 Carson Crest Rd. W</t>
  </si>
  <si>
    <t>1205 Village Hwy</t>
  </si>
  <si>
    <t>(434) 941-9504</t>
  </si>
  <si>
    <t>Tamara K. Barbour</t>
  </si>
  <si>
    <t>Will pay by 5/5</t>
  </si>
  <si>
    <t>Instrument No. 10000374</t>
  </si>
  <si>
    <t>File on 5/6</t>
  </si>
  <si>
    <t>CL24000735-00</t>
  </si>
  <si>
    <t>CL24000731-00</t>
  </si>
  <si>
    <t>CL24000720-00</t>
  </si>
  <si>
    <t>Tomia Taylor</t>
  </si>
  <si>
    <t>OBG, LLC</t>
  </si>
  <si>
    <t>James C. Eidenour</t>
  </si>
  <si>
    <t>2024 1st Tax</t>
  </si>
  <si>
    <t>2024 1st Penalty</t>
  </si>
  <si>
    <t>2024 1st Interest</t>
  </si>
  <si>
    <t>2024 1st Int./Mo.</t>
  </si>
  <si>
    <t>2024 1st Int. # Mo.</t>
  </si>
  <si>
    <t>2024 1st Total</t>
  </si>
  <si>
    <t>2024 2nd Tax</t>
  </si>
  <si>
    <t>2024 2nd Penalty</t>
  </si>
  <si>
    <t>2024 2nd Interest</t>
  </si>
  <si>
    <t>2024 2nd Int./Mo.</t>
  </si>
  <si>
    <t>2024 2nd Int. # Mo.</t>
  </si>
  <si>
    <t>2024 2nd Total</t>
  </si>
  <si>
    <t>Pop's Properties of Central VA, LLC</t>
  </si>
  <si>
    <t>(434) 238-2077</t>
  </si>
  <si>
    <t>155 Thrasher's Creek Rd.</t>
  </si>
  <si>
    <t>Theresa A. Billiter</t>
  </si>
  <si>
    <t>(434) 907-7908</t>
  </si>
  <si>
    <t>Sid Kirstein</t>
  </si>
  <si>
    <t>Kirstein</t>
  </si>
  <si>
    <t>(43$) 846-6868</t>
  </si>
  <si>
    <t>by email to: skirsteinesq@aol.com</t>
  </si>
  <si>
    <t>by email to:carscbh@aol.com</t>
  </si>
  <si>
    <t>442 Beechwood Dr., Apt. A</t>
  </si>
  <si>
    <t xml:space="preserve">That certain tract or parcels of land, together with the appurtenances and privileges thereunto belonging, located and being situate in the Town of Brookneal, County of Campbel!, Virginia, State of Virginia, known as Lot Nos. 4, 5 and a small unnumbered triangular lot, adjoining Lot No. 5 and all of said lots being in Block No. 11, as shown upon a map of the Wickliffe-Rush Addition to the Town of Brookneal, Virginia, and which map is of record in the aforesaid Clerk's Office in Deed Book 90, Page 378 to which reference is here made . </t>
  </si>
  <si>
    <t>All that certain tract or parcel of land with all improvements thereon and appurtenances thereunto belonging, situate in the Town of Brookneal, Campbell County, Virginia on Virginia Avenue, and containing 0.486 acre, more or less, as shown by a survey made by Alfred H. Carter, C.L.S., March 31, 1975, and recorded in the Clerk's Office of the Circuit Court of Campbell County, Virginia in Deed Book 499, at page 343, and being Lots Ten, Eleven, and Twelve in Block 6 on a plat made by C.L. Demott, C.E., on the Monroe Addition, Brookneal, which said plat is recorded in the aforementioned Clerk’s Office in Plat Book 1, Page 7, known locally as 311 Virginia Avenue, Brookneal, VA 24528.</t>
  </si>
  <si>
    <t>This being the same property conveyed from Brian J. Terrebonne, Sr. unto Mid-Atlantic Real Estate Trust, a Virginia Trust, by Deed of Gift dated May 11, 2014 and recorded in the aforementioned Clerk's Office as Instrument No. 140002053.</t>
  </si>
  <si>
    <t>This also being the same property potentially conveyed from Brian James Terrebonne, Sr., Trustee of Mid-Atlantic Building and Development Trust to Brian James Terrebonne, Jr. by Quitclaim Deed dated July 10, 2015 and recorded in the aforementioned Clerk's Office as Instrument No. 150003 808, by which Deed Brian James Terrebonne, Sr. retained for himself a life estate in the subject parcel, pursuant to the terms of that Deed.</t>
  </si>
  <si>
    <t>JDR Title, Inc., Trustee</t>
  </si>
  <si>
    <t>8201 Greensboro Dr., Suite 300</t>
  </si>
  <si>
    <t>McLean, VA 22102</t>
  </si>
  <si>
    <t>Inst. No. 110002439</t>
  </si>
  <si>
    <t>This being a portion of the  property conveyed from Betty Ann Millner to Melissa Marie Boyd by Deed dated May 21, 2014 and recorded in the aforesaid Clerk's Office as Instrument No. 140002155.</t>
  </si>
  <si>
    <t>That certain lot or parcel of land, with improvements, appurtenances and rights thereunto belonging, located on U.S. Highway 501, in Patrick Henry Magisterial District, Campbell County, Virginia, containing 0.627 acres, more or less, and being designated as Lot 2 on a plat made by Erskine W. Proffitt, C.L.S., dated April 12, 1965, entitled "Plat Showing Subdivision of Part of the Property of Henry Millner, Falling Riving District, CAmpbell County, Virginia", a copy of which plat is recorded in the Clerk's Office of the Circuit Court of Campbell County, Virginia in Plat Book 17, at Page 170. According to said plat said lots are bounded as follows:</t>
  </si>
  <si>
    <t>That certain lot or parcel of land, with improvements, appurtenances and rights thereunto belonging, located on U.S. Highway 501, in Patrick Henry Magisterial District, Campbell County, Virginia, containing 0.738 acres, more or less, and being designated as Lots 1 on a plat made by Erskine W. Proffitt, C.L.S., dated April 12, 1965, entitled "Plat Showing Subdivision of Part of the Property of Henry Millner, Falling Riving District, CAmpbell County, Virginia", a copy of which plat is recorded in the Clerk's Office of the Circuit Court of Campbell County, Virginia in Plat Book 17, at Page 170. According to said plat said lots are bounded as follows:</t>
  </si>
  <si>
    <t>BEGINNING at a point on U.S. Highway Route 501, corner with Lot 2; thence with the line of Lot 2, S. 44° 25' W. 270.20 feet to the right of way of the Norfolk &amp; Western Railway; thence with the right of way of said Railway, S. 49° 02' E. 141.58 feet; thence N. 35° 28' E. 624.79 feet to the right of way of U.S. Highway Route 501; thence with said right of way N. 45° 35' E. 100 feet to the point of BEGINNING.</t>
  </si>
  <si>
    <t xml:space="preserve">BEGINNING at a point on U.S. Highway Route 501, corner with Lot 1; thence with the line of Lot 1, S. 44° 25' W. 270.20 feet to the right of way of the Norfolk &amp; Western Railway; thence with the right of way of said Railway, N. 49 ° 02' W. 100.18 feet to the line of Lot 3 N. 44° 25' E. 276.23 feet to the right of way of U.S. Highway Route 501; thence with said right of way S. 45° 35' E. 100 feet to the point of BEGINNING. </t>
  </si>
  <si>
    <t>Edward S. Whitlock, III, Trustee</t>
  </si>
  <si>
    <t>10160 Staples Mill Rd., Suite 105</t>
  </si>
  <si>
    <t>Inst. No. 210008108</t>
  </si>
  <si>
    <t>All that certain lot or parcel of land containing five (5) acres, more or less, lying (now or formerly) in Seneca Magisterial District, Campbell County, Virginia and more particularly described by plat of survey by Fred Kabler, S.C.C., bearing date June 8,1946, a copy of which is recorded in the Clerk’s Office of the Circuit Court of Campbell County, Virginia in Plat Book 9, page 112, and being the northeastern portion of Tract No. 5 of the estate of David Pannill, Sr., and a part or the same conveyed to Isaiah Pannill from David Pannill, Sr., by deed bearing date on the 25th day of September, 1919, and recorded in said County Clerk's Office in Deed Book 117, at page 469, the plat of the estate of David Pannill, Sr., being recorded in said Clerk's Office in Plat Book 1, page 100, to which plats and deed reference is here made.</t>
  </si>
  <si>
    <t>This being the same property conveyed from Isaiah Pannill to Sterling Dillard and Helen P. Dillard, husband and wife, by Deed dated January 13, 1948 and recorded in the aforesaid Clerk’s Office In Deed Book 214, at page 405.</t>
  </si>
  <si>
    <t>Helen P. Dillard died testate December 28, 2003, her husband Sterling Dillard having predeceased her, as stated in the List of Heirs recorded in the aforesaid Clerk’s Office as Will Instrument 040000231, and pursuant to the Will recorded as Will Instrument 040000230, devised her estate to Clyde Tabb Dillard (also known as Clyde D. Tabb) (50%), Jason S. Dillard (25%), and Sheree B. Broggan (25%).</t>
  </si>
  <si>
    <t>Clyde D. Tabb, aka Clyde Tabb Dillard</t>
  </si>
  <si>
    <t>Jason S. Dillard</t>
  </si>
  <si>
    <t>1335 Suburban Rd.</t>
  </si>
  <si>
    <t>Sheree B. Broggan</t>
  </si>
  <si>
    <t>102 Adams Ferry Rd.</t>
  </si>
  <si>
    <t>Central Virginia Family Physicians, Inc.</t>
  </si>
  <si>
    <t xml:space="preserve">Forest, VA  24551 </t>
  </si>
  <si>
    <t>Inst. No. 140001660</t>
  </si>
  <si>
    <t>Inst. No. 220001609</t>
  </si>
  <si>
    <t>Beginning at a point on the northerly margin of Eighth Street, sixty ( 60) feet eastward along the said northerly margin from its intersection with the easterly margin of Franklin Avenue, and running thence eastward along the said northerly margin a distance of one hundred eighty (180) feet to a corner; thence at right angles to the left a distance of one hundred forty (140) feet to a corner; thence at right angles to the left a distance of one hundred eighty (180) feet to a corner; thence at right angles to the left a distance of one hundred forty (140) to the point of beginning, and being Lot Nos. 2, 3, and 4 in Block 30 as shown on the revised map of Altavista, dated January 7, 1911, and recorded in the Clerk's Office of the Circuit Court of Campbell County, Virginia, in Deed Book 89, Page 419.</t>
  </si>
  <si>
    <t>This being the same property conveyed from Bruce G. Testerman &amp; Michele D. Testerman, husband and wife to Taylor Fennimore, Thomas Fennimore and Lisa Fennimore ass joint tentants with right of survivorship by Deed dated April 7, 2017 and recorded in the aforesaid Clerk's Office as Instrument No. 170001658</t>
  </si>
  <si>
    <t>That certain lot or parcel of land situate in the Town of Brookneal, Patrick Henry Magisterial District, Campbell County, Virginia, fronting 100 Feet on State Route 849, and being Lot No. Twelve (12) of Pinedale Subdivision, Section I, as shown on a plat of survey made by Alfred H. Carter, C.L.S., dated November 15, 1974, a copy of which plat is recorded in the Clerk's Office of the Circuit Court of Campbell County in Plat Book 21, page 51.</t>
  </si>
  <si>
    <t>This being the same property conveyed from Farmers Home Administration unto Dorothy S. Horta by Deed dated January 5, 1994 and recorded in the aforesaid Clerk's Office in Deed Book 792, at page 56.</t>
  </si>
  <si>
    <t>1606 Santa Rosa Rd # 239</t>
  </si>
  <si>
    <t>Richmond, VA 23229</t>
  </si>
  <si>
    <t>Deed Book 792, page 57</t>
  </si>
  <si>
    <t>Dorothy B. Seltz, Trustee</t>
  </si>
  <si>
    <t>817 Spikenard Dr.</t>
  </si>
  <si>
    <t>Henderson, NV  89002</t>
  </si>
  <si>
    <t>Bacheller</t>
  </si>
  <si>
    <t>Tia</t>
  </si>
  <si>
    <t>2178 Timberlake Dr.</t>
  </si>
  <si>
    <t>2309 Heron Hill Rd.</t>
  </si>
  <si>
    <t>20H-1WQD-40</t>
  </si>
  <si>
    <t>Melvin</t>
  </si>
  <si>
    <t>1680 Timberlake Dr.</t>
  </si>
  <si>
    <t>20H-1WQD-3 &amp; 4</t>
  </si>
  <si>
    <t>All that certain parcel of land situate, lying and being in Vista District, Campbell County, Virginia, fronting approximately 225 feet on St. Rt. No. 712 and extending to U.S. Highway No. 29, all of which parcel of land is situate on the easterly side of U.S. Highway No. 29 and being in fact a part of Lots 24 thru 34 as shown on a "Map of Otter View Development Property of Hopkins Bros" recorded in the Office of the Clerk of the Circuit Court of Campbell County, Virginia in Plat Book 9, Page 7.</t>
  </si>
  <si>
    <t>As stated in that certain List of Heirs filed in the aforesaid Clerk’s Office as Instrument No. 200000341, Harold Dean Layne died intestate April 30, 2020 leaving as his sole heirs at law Ellen Frances Eighme and John E. Layne.</t>
  </si>
  <si>
    <t xml:space="preserve">36056 Oasis St. </t>
  </si>
  <si>
    <t>Yermo, CA  92398</t>
  </si>
  <si>
    <t>All that certain tract or parcel of land situate in Patrick Henry (formerly Seneca) Magisterial District Campbell County, Virginia, containing 177.6 acres, more or less, according to a survey made by Fred Kabler, Surveyor of Campbell County, Virginia, in April, 1936, a copy of which plat is recorded in the Clerk's Office of the Circuit Court of Campbell County in Plat Book 7, page 14 (erroneously stated as Page 114 in description at Deed Book 905, Page 193) now in Cabinet A, Slide 86, Page 14, and reference to which is hereby made for a more particular description of the land hereby conveyed, which is shown and designated as Tract No. 3, together with the right to use in common with others entitled thereto the outlet right of way shown on said plat, LESS AND EXCEPT, HOWEVER, that certain tract or parcel of land containing approximately twelve (12) acres heretofore conveyed and more particularly described in that certain deed between C. F. English and Parke W. English, husband and wife, to Arthur V. English, dated April 6, 1972, and recorded in the Clerk's Office of the Circuit Court of Campbell County in Deed Book 447, at Page 346, LESS AND EXCEPT FURTHER, HOWEVER, that certain tract or parcel of land containing 16.5 acres heretofore conveyed and more particularly described in that certain deed between Charlie Franklin English, Jr. and others to Arthur V. English, dated September 10, 1987, and recorded in the Clerk's Office of the Circuit Court of Campbell County, in Deed Book 658, at Page 232, and more particularly shown on a plat made by John David Jacobs, C.L.S., which said plat was made August 1987, and recorded with the last aforementioned deed, at Deed Book 658, Page 238, LESS AND EXCEPT, HOWEVER, that certain tract or parcel of land containing 7.000 acres and designated as Lot 1, as shown on plat of survey entitled, "Plat of Survey Showing Property Subdivided from the Property of Circle S Farms L.L.C .. .", dated June 16, 2016, made by Douglas R. Meredith, Jr., Land Surveyor, recorded in the aforesaid Clerk's Office in Plat Cabinet C, Slide 157, page 1569. THEREBY conveying by ihis instrument a tract or parcel of land containing approximately 142.10 acres, more or less.</t>
  </si>
  <si>
    <t>Pursuant to that certain Deed of Gift of Easement by and between James L. Sligh, Jr. and Blue Ridge Land Conservancy dated December 18, 2019 and recorded as Instrument No. 190006777 a conservation easement was granted on the herein described property.</t>
  </si>
  <si>
    <t>This being the same property conveyed from Circle S. Farms, LLC to James L. Sligh, Jr. by Deed dated January 3, 2017 and recorded in the aforesaid Clerk's Office as Instrument No. 170000130.</t>
  </si>
  <si>
    <t xml:space="preserve">All that certain tract or parcel of land, together with the buildings and improvements thereon, and the privileges and appurtenances thereunto belonging, lying, being and situate in the Patrick Henry Magisterial District, Campbell County, Virginia, containing 6.038 acres and designated as Parcel 2A as shown upon plat of survey entitled "Plat Showing Family Division 6.038 Acres Cut Off Parcel 2, Part of the Padgett Tract" made by James C. May, Jr., L.S., dated March 14, 2002 and recorded in the Clerk's Office of the Circuit Court of Campbell County, Virginia as Instrument No. 020002916. </t>
  </si>
  <si>
    <t>This being the same parcel conveyed from Gladys Mildred Dalton to Harold Layne by Deed dated July 26, 1982 and recorded in the Clerk's Office of the Circuit Court for Campbell County, Virginia in Deed Book 583 at page 83.</t>
  </si>
  <si>
    <t>Deborah M. Spencer conveyed her one half interest in the property to Ryan Adam Thomas and Lori Ann Thomas, as Custodians for Chad Austin Thomas, minor, by Deed of Gift  dated October 14, 2008 and recorded as Instrument No. 090001776, reserving, however, the life estate previously granted unto him.</t>
  </si>
  <si>
    <t>Earl T. Thomas Jr. conveyed his one half interest in the property to Deborah M. Spencer by Deed of Gift  dated August 27, 2007 and recorded as Instrument No. 070007642, reserving, however, the life estate previously granted unto him.</t>
  </si>
  <si>
    <t xml:space="preserve">This being the same property conveyed from Rhea M. Adams and Diane W. Adams, husband and wife, to Scotty James Birtell by Deed dated January 18, 2001 and recorded in the aforesaid Clerk's Office in Deed Book 1017, page 119, also known as Instrument No. 010000670. </t>
  </si>
  <si>
    <t xml:space="preserve">That certain tract or parcel of land, together with the buildings and improvement thereon, and the privileges and appurtenances thereunto belonging, situate, lying and being in Long Mountain Magisterial District, Campbell County, Virginia, on State Route No. 651, containing 5.11 acres, as shown on a plat of survey certified by W. Stratton Walker, C.L.S., dated April 19, 1977, which said survey is recorded with a deed into Irvin Nelson Davis and Ruby Lee Davis dated April 18, 1977, recorded in the Clerk's Office of the Circuit Court of Campbell County, Virginia, in Deed Book 522, at page 126. </t>
  </si>
  <si>
    <t xml:space="preserve">All that certain tract or parcel ofland, together with the buildings and improvements thereon and the privileges and appurtenances thereunto belonging, situate, lying and being in the Patrick Henry District, Campbell County, Virginia, designated as Lot 6, containing 10.090 Acres, more or less, as shown on a plat entitled "PLAT SHOWING WINFALL ESTATES PATRICK HENRY DISTRICT CAMPBELL COUNTY, VA JUNE 23, 2014 FOR JESSE COWART, JR.", dated June 23, 2014, made by Elizabeth R. Rosser, Land Surveyor, a copy of which is recorded in the Office of the Clerk, Circuit Court, Campbell County, Virginia, in Plat Cabinet C, Slide 121, at Pages 1204 &amp; 1205. </t>
  </si>
  <si>
    <t>This being the same property conveyed from Jessee A. Cowart, Jr. &amp; Judith C. Cowart, husband and wife, to Rosalino Juarez Gomez and Rita Aguilar Diaz, joint tenants with right of survivorship, by Deed dated February 20, 2018 and recorded in the aforesaid Clerk's Office as Instrument No. 180000918.</t>
  </si>
  <si>
    <t>All that certain tract or parcel of land, together with all and singular the buildings and improvements, if any, thereon, and privileges and appurtenances thereunto belonging, situate, lying and being in the Town of Altavista, in Campbell County, Virginia, on the northerly side of Thirteenth Street in what is known as the Mosley Heights Section of said town, fronting 60 feet on the northerly side of Thirteenth Street and extending back this uniform width between parallel lines at right angles to Thirteenth Street a distance of 140 feet to a 20 foot alley. The above described property is shown on the 1979 Land Book of Campbell County, Virginia, as Lot 7 of Block 59 and being in fact Lot No. Seven (7) of Block No. Fifty- Nine (59) fronting 60 feet, on the north side of 13th Street and extending back at right angles between parallel lines a distance of 140 feet to a twenty foot alley as shown on a Revised Map of The Town of Altavista, dated January 7, 191 I, and recorded in the Office of the Clerk of the Circuit Court of Campbell County, Virginia in Deed Book 89, Page 419.</t>
  </si>
  <si>
    <t>This being the same property conveyed from Linda P. Fitzgerald to Juan Catarion Hernandez by Deed dated May 25, 2021 and recorded in the aforesaid Clerk's Office as Instrument No. 210004040.</t>
  </si>
  <si>
    <t>All that certain lot or parcel of land, together with all improvements thereon and all privileges and appurtenances thereunto belonging or in any wise appertaining, situate, lying and being in the Town of Brookneal, Campbell County, Virginia, commonly known and referred to as 111 Smith Street, containing 10,797 square feet and consisting of Lots 4, 5, &amp; 6 as shown on plat of survey made by C. D. Murray, C.S., dated February 7, 1955, recorded in the Office of the Clerk of the Circuit Court of Campbell County, Virginia in Plat Book 13 at page 81 and being further shown and described upon plat of survey of same made by A. G. Fralin, CLS, dated August 30, 1955 of record in the aforesaid Clerk's Office in Deed Book 270 at page 186; being in all respects the identical land conveyed unto Thornton L. Owen and Fleecy H. Owen by deed dated November 10, 1955 of record in the aforesaid Clerk's Office in Deed Book 270 at page 184. The herein described lots were devised to Wayland Lacy Owen by Will of Fleecy H. Owen of record in the said Clerk's Office in Will Book 63 at page 376.</t>
  </si>
  <si>
    <t>This being the same property conveyed from Wayland Lacy Owen to James L. Hamlett &amp; Debbie E. Hamlett, husband and wife, by Deed dated February 26, 1996 and recorded in the aforesaid Clerk's Office in Deed Book 844, page 418.</t>
  </si>
  <si>
    <t>William E Green, Jr. &amp; Peggy J. Moore, Trustees</t>
  </si>
  <si>
    <t>Mortgage Atlantic Inc.</t>
  </si>
  <si>
    <t>410 Bay St.</t>
  </si>
  <si>
    <t>Deed Book 844, page 421</t>
  </si>
  <si>
    <t>5516 Falmouth St., Suite 303</t>
  </si>
  <si>
    <t>Richmond, VA  23230</t>
  </si>
  <si>
    <t>Bobbi Bryant, Trustee</t>
  </si>
  <si>
    <t>Inst. No. 020000194</t>
  </si>
  <si>
    <t>This being the same property conveyed from Timothy Wayne Nash to Cordney Lee Horton by Deed dated June 11, 2014 and recorded in the aforesaid Clerk's Office as Inst. No. 140004019.</t>
  </si>
  <si>
    <t>That certain lot or parcel of land, together with the buildings and improvements thereon, if any and the easements, privileges and appurtenances thereunto belonging,situate, lying and being in Long Mountain District, Campbell County, Virginia, designated as Parcel A,  containing 3.000 Ac., more or less, as shown on plat entitled "PLAT SHOWING PARCEL A PART OF PROPERTY OF TIMOTHY WAYNE NASH - LONG MOUNTAIN DISTRICT CAMPBELL COUNTY, VIRGINIA SURVEYED FOR: CORDNEY L. HORTON", dated June 2, 2014, made by Albert E. Neighbors, Jr., L.S., a copy of which is recorded in the Clerk's Office of the Circuit Court for Campbell County, Virginia, in Plat Cabinet C, Slide 121, Page 1209.</t>
  </si>
  <si>
    <t>A lot containing one-half (1/2) of one acre, more or less, with a single story dwelling house thereon, the same lying in Lynch Station, Virginia, and designated as Lot Number One (1) in the lands of G. C. Williamson sold by B. J. Wilkerson, Commissioner, in a suit of Thomas Clark and others vs. P.H. Williamson and others, and conveyed by said Commissioner to Kate M. Douglas, the said lot lying East of the Southern Railway and on the North side of and fronting on the Dearing Ford Road and for further description reference is herein made in deed from B. J. Wilkerson, Commissioner, to Kate M. Douglas, dated November 28, 1904, and recorded in the Clerk’s Office of the Circuit Court of Campbell County, Virginia in Deed Book 89, Page 77. Being the identical property conveyed to W. H. Frazier from Kate M. Douglas and C.A. Douglas, her husband, by deed, dated November 9, 1918, and recorded in Deed Book 114, Page 539. Being the identical property conveyed tow. w. Epperson from W.H. Frazier (single) by deed, dated October 8, 1919, and recorded in Deed Book 116, Page 206. Being the identical property conveyed to O.M. Turner, Trustee, from W.W. Epperson, by deed, dated October 8, 1919 and recorded in Deed Book 116, Page 205. Being the identical property conveyed to E. J. Reynolds from O. M. Turner, Trustee, by deed, dated November 27, 1920, and recorded in Deed Book 120, Page 554. Being the identical lot conveyed to W. F. Mattox from E. J. Reynolds and Maud R. Reynolds, his wife, and W. H. Frazier, by deed, dated February 23, 1928, and recorded. in Deed Book 152, Page 120, being that part of the conveyance referred to as "First " in said deed.</t>
  </si>
  <si>
    <t>This being the same property conveyed from the heirs of W.F. Mattox to Nathaniel H. Payne and Annie Lee Payne by Deed dated June 10, 1967 and recorded in the aforesaid Clerk's Office in Deed Book 211, page 323.</t>
  </si>
  <si>
    <t>As stated in that certain List of Heirs filed in Will File 100000356 in the aforesaid Clerk's Office, Annie Lee Payne died testate June 20, 2009. Pursuant to the Will recorded in Will File 100000355, the herein described parcel was devised to Gary H. Booth, III and Tialia Ann Booth.</t>
  </si>
  <si>
    <t>Crozier</t>
  </si>
  <si>
    <t>Stormy</t>
  </si>
  <si>
    <t xml:space="preserve">All of those certain lots or parcels of real estate together with any and all improvements thereon and the privileges and appurtenances thereunto appertaining, situate, lying and being those two certain parcels ofland situate in the Town of Brookneal, Campbell County, Virginia, containing in the aggregate one and eleven twenty fourths of an acre, and being described by a survey made by M.H. Whitlow, March, 1908, as follows: </t>
  </si>
  <si>
    <t>BEGINNING at a rock at and in Whitlows line, thence N. 30" 30'W. 35 yards to rock; S. 72 degrees 30' W. 8 yards, to Red Oak at 3, thence N. 9 degrees W. to rock in G.D. Eider's line, thence S. 41 degrees 15' W. 49 ½ yards; S. 45 degrees E. 106 ½ yards to the BEGINNING.</t>
  </si>
  <si>
    <t>This being the same property conveyed from Ferna P. Williams to Leo Bruce Pollard, Stormy Pollard Crozier and Christopher Allen Crozier by Deed dated August 9, 2019 and recorded in the  Clerk's Office of the Circuit Court for Campbell County, Virginia as Inst. No. 190004083.</t>
  </si>
  <si>
    <t xml:space="preserve">Instrument No. 130002022,  that judgment dated September 12, 2013 and recorded as Instrument No. 130002102,  that judgment dated December 18, 2014 and recorded as Instrument No. 140002733, as well as that judgment dated December 17, 2015 and recorded as Instrument No. 150002501. </t>
  </si>
  <si>
    <t>State Farm Fire &amp; Casualty Company</t>
  </si>
  <si>
    <t>Instrument No. 140000340</t>
  </si>
  <si>
    <t>Lindsey Leonard, Lynchburg District Office</t>
  </si>
  <si>
    <t>Instrument No. 170000181</t>
  </si>
  <si>
    <t>Frank A. Wright, Jr. &amp; Samuel F. Vance, IV, Trustees</t>
  </si>
  <si>
    <t>Inst. No. 210004390</t>
  </si>
  <si>
    <t>That certain lot or parcel of land, together with the rights, privileges and appurtenances thereunto belonging, situate, lying and being in the Town of Brookneal, Campbell County, Virginia located at 119 Ridge Street, and being shown as Lot "A" containing 0.229 acres, more or less, fronting on Ridge Street, upon a plat of survey dated March 11, 1996, made by Maxey Hines &amp; Associates, P.C., recorded in the Clerk's Office of the Circuit Court of Campbell County, Virginia, in Deed Book 855, page 81.</t>
  </si>
  <si>
    <t>Those three certain parcels of land, lying in Long Mountain Magisterial District, Campbell County, Virginia, designated as Lots Six (6), Seven (7) and Eight (8) on a plat of survey made April 5, 1956 by Charles H. Kirkland, C.L.S. and recorded in the Clerk's Office of the Circuit Court of Campbell County, Virginia in Plat Book 14, page 26.</t>
  </si>
  <si>
    <t>This being the same property conveyed from Jerry R. Adams and Larry R. Adams to Salvador Moreno and Karen Thompson Moreno, husband and wife, by Deed dated October 13, 2009.</t>
  </si>
  <si>
    <t>PUBLIC SAFETY LIEN</t>
  </si>
  <si>
    <t>CL24000875-00</t>
  </si>
  <si>
    <t>Monroe-Johnson</t>
  </si>
  <si>
    <t xml:space="preserve">That certain tract or parcel of land situate in Patrick; Henry Magisterial District, Campbell County, Virginia, on State Route 703, being parcel two (2), containing 7.91 acres, more or less, as shown on a plat of survey made by Hurt &amp; Proffitt, Engineers, dated September 11, 1975, a copy of which is recorded in the Clerk's Office of the Circuit Court for Campbell County, Virginia in Plat Book 22, page 95, reference to said plat being made for a more particular description of the property herein conveyed. </t>
  </si>
  <si>
    <t>This being the same property conveyed from Amshatar Monroe to Esharan Nsabaye M.K. Monroe-Johnson and Kelvis Denorris Johnson, wife and husband, by deed dated January 29, 2020 and recorded in the aforesaid Clerk's Office as Instrument No. 200006580.</t>
  </si>
  <si>
    <t xml:space="preserve">All that certain tract or parcel of land lying; and being in Vista Magisterial District, Campbell County, Virginia, containing 5.14 acres and being designated as Tract 2 on plat of survey made by John D. Jacobs, C.L.S., dated May, 1976, a copy of which plat is duly recorded in Plat Book 22, Page 77, in the Clerk's Office of the Circuit Court of Campbell County, Virginia, reference to which is hereby expressly made for a more particular description of the property hereby conveyed. </t>
  </si>
  <si>
    <t xml:space="preserve">Also conveyed herein is the right of ingress and egress together with others to whom J. Rex Davis and Jean M. Davis, their successors or assigns may grant a right of ingress and egress over the present road leading from Tracts 2, 3, and 4 to Virginia Route Nwnber 712 as shown on the described plat. </t>
  </si>
  <si>
    <t xml:space="preserve">This being the same property conveyed to Dwane Russell Mitchiner, Jr., by two separate deeds: </t>
  </si>
  <si>
    <t>(1) Deed dated July 26, 1988, from James L. Byrd and Peggy B. Byrd, husband and wife, recorded in the aforesaid Clerk's Office in Deed Book 673, Page 633.</t>
  </si>
  <si>
    <t>All that certain tract or parcel of land, together with any improvements thereon, situate, lying, and being in Campbell County, Virginia, and designated as Lot 5, containing 4.435 acres, as shown on that certain plat entitled "Plat Showing the Division of the Property of Annie B. Wood Estate, Long Mountain District, Campbell County, Virginia," dated February 27, 1981 (revised June 19, 1981 and August 31, 1981), prepared by Donald R. Miller, C.L.S. and recorded in the Clerk's Office of the Circuit Court for the County of Campbell, Virginia in Plat Book 26, page 74.</t>
  </si>
  <si>
    <t>This being the same property partitioned unto Vorden T. Wood and Marie B. Wood, husband and wife, by Deed dated September 22, 1981 by and between the heirs of Albert Woodm which said Deed is recorded in the aforesaid Clerk's Office in Deed Book 575, page 786.</t>
  </si>
  <si>
    <t>As stated in that certain deed dated July 12, 2001 by and between the heirs of Albert Wood, grantors, and Reginald Wood, grantee, Vorden T. Wood died intestate in 1997, survived by his wife Marie B. Wood.</t>
  </si>
  <si>
    <t>Portsmouth, VA  23701</t>
  </si>
  <si>
    <t>PO Box 714</t>
  </si>
  <si>
    <t>That certain lot or parcel, together with the privileges and appurtenances thereunto belonging, situate, lying and being in Campbell County, Virginia, and more particularly described as Tract 6, containing 17.30 acres, in accordance with a survey of George C. Stone, C.E., dated February 21, 1919, a plat of which survey is filed in the offices of Lane­-Harris Corporation, Altavista, Virginia. This being the same identical land conveyed to Charles L. Carter and Euphan H. Carter, his wife, by deed dated the 27th of June, 1936, from L.N. Shenk and Bettie L. Shenk, his wife, .vhich aforesaid deed is recorded in the Clerk's Office of the Circuit Court of Campbell County, Virginia in Deed Book 171, at page 85. For a more particular description of said tracts of land, as well as for the metes and bounds, courses and distances of same, reference is hereby made to Deed Book No. 115, at Page 102, of the aforesaid Clerk's Office.</t>
  </si>
  <si>
    <t>This being the same property conveyed from Christopher Lee Carter to Jasper Holdings, LLC by Deed dated October 21, 2020 and recorded in the aforesaid Clerk's Office as Instrument No. 210008735.</t>
  </si>
  <si>
    <t>Shenandoah Legal Group, P.C., R/A</t>
  </si>
  <si>
    <t>Power Line Rent-E-Quip, Inc.</t>
  </si>
  <si>
    <t>3807 Brandon Ave., SW, Suite 2425</t>
  </si>
  <si>
    <t>Inst. No. 220002724</t>
  </si>
  <si>
    <t>Inst. No. 202226497</t>
  </si>
  <si>
    <t>Those two (2) certain lots designated as Lot No. Three (3) and Lot No. Four (4) on a plat of survey made by Fred Kabler, C.L.S., on January 11, 1949, a copy of which is recorded in the Clerk's Office of the Circuit Court for Campbell County, Virginia in Plat Book 10, page 103. Each of said lots contain one (1) acre, and they are situate near Pannell's Public Road about 2 1/2 miles Southwesterly from Gladys in Seneca Magisterial District, Campbell County, Virginia.</t>
  </si>
  <si>
    <t>This being the same property conveyed from Cornelia B. Pannell to Annie Mae Pugh by Deed dated October 13, 1949 and recorded in the aforesaid Clerk's Office in Deed Book 223, page 381.</t>
  </si>
  <si>
    <t>Mark Watts</t>
  </si>
  <si>
    <t>Dwane R. Mitchiner, Jr.</t>
  </si>
  <si>
    <t>135 Creech Rd.</t>
  </si>
  <si>
    <t>Garner, NC  27529</t>
  </si>
  <si>
    <t>96A-6-307 &amp; 308</t>
  </si>
  <si>
    <t xml:space="preserve">All those certain lots or parcels of land together with buildings and improvements thereon and the appurtenances thereunto belonging, situate in Vista Magisterial District, Campbell County, Virginia, and designated as Lot No. 307, Phase IV, Runaway Bay, containing 6.758 acres and Lot 308, Phase IV, Runaway Bay, containing 8.795 acres, which lots are more particularly described on that certain plat entitled "Plat Showing Map IV, Phase IV, Runaway Bay, Vista District, Campbell County, Virginia," dated May 1, 1999, made by Thomas C. Brooks, Sr., L.S., and recorded in the Clerk's Office, Circuit Court, Campbell County, Virginia in Plat Cabinet B, Slide 253, Pages 1138 and 1139. </t>
  </si>
  <si>
    <t>This being the same property conveyed from Dwayne Tucker and Marvin Tucker to Jerald E. Stewartson, Jr. &amp; Elizabeth H. Stewartson, husband and wife, by Deed dated September 26, 2006 and recorded in the aforesaid Clerk's Office as Instument No. 060007406.</t>
  </si>
  <si>
    <t>Inst. No. 200001988</t>
  </si>
  <si>
    <t>Steven R. Grant, Trustee</t>
  </si>
  <si>
    <t>1 Cedar Hill Court, Ste. C</t>
  </si>
  <si>
    <t>Inst. No. 2230003123</t>
  </si>
  <si>
    <t xml:space="preserve">That certain tract or parcel of land, together with any buildings and improvements thereon and any appurtenances thereunto belonging, situate in the Vista Magisterial District, Campbell County, Virginia and designated as Lot No. 388, Phase XVI, Runaway Bay, containing 7.473 acres and more particularly shown upon a plat of survey dated August 15,2002, made byThomas C. Brooks, Sr., LS., entitled "Map XVI, Phase XVI, RUNAWAY BAY, Vista District, Campbell County, Virginia", which said plat is recorded in the Clerk's Office of the Circuit Court of Campbell County, Virginia in Plat Cabinet B, Slide 305, pages 1951 AND 1952. </t>
  </si>
  <si>
    <t>This being the same property conveyed from River Oaks Investments of Virginia, Inc. to John D. Creasy and Lynda Beryl Flanger by Deed dated December 19, 2002 and recorded in the aforesaid Clerk's Office as Instrument No. 030000576.</t>
  </si>
  <si>
    <t>Lynda B. Flanger</t>
  </si>
  <si>
    <t>84 N. Main St.</t>
  </si>
  <si>
    <t>3310 Naval Reserve Rd.</t>
  </si>
  <si>
    <t>James T. Robertson, Jr.</t>
  </si>
  <si>
    <t>2052 Wheelers Ridge Rd.</t>
  </si>
  <si>
    <t xml:space="preserve">All those certain tracts or parcels of land, together with the buildings and improvements thereon, and the privileges and appurtenances thereunto belonging. situate. lying and being in Long Mountain Magisterial District, Campbell County, Virginia, and more particularly described as Lot (36) containing 2.223 acres Section 2, Harvey's Haven, as shown on plat entitled "Plat Showing Section 2, Harvey's Haven, Long Mountain District, Campbell County, Virginia" made by Albert E. Neighbors, LS., dated March 2, 1992, which plat is recorded in the Clerk's Office of the Circuit Court of Campbell County, Virginia, in Plat Book 39, pages 16 and 17. </t>
  </si>
  <si>
    <t>This being a portion of the same property conveyed from Thomas C. Harvey &amp; Elsie N. Harvey, husband and wife, to Hancock-Fuqua-Robertson, Inc. by Deed dated July 7, 1999 and recorded in the aforesaid Clerk's Office in Deed Book 961, at page 890.</t>
  </si>
  <si>
    <t xml:space="preserve">That certain tract or parcel of ground, together with the buildings and improvements thereon and the privileges and appurtenances thereunto belonging, lying and being in the Vista Magisterial District, Campbell County, Virginia, and designated as Lot No. 28A. Phase V, Runaway Bay, containing 1.477 acres, and more particularly shown upon a plat of survey dated July 22, 2002. made by Thomas C. Brooks. Sr., L.S., entitled, "Plat Showing Lots 28A and 28B, Resubdivision of Lots 26, 27 and 28, Phase V, RUNAWAY BAY, Vista District, Campbell County. Virginia", which said plat is recorded in the Clerk's Office of the Circuit Court for the County of Campbell, Virginia, in Plat Cabinet B, Slide 303, at Page 1937. </t>
  </si>
  <si>
    <t>This being the same property conveyed from Luc J. Boivin and Laura K. Boivin, husband and wife, to Carolina M. Lacsamana by Deed dated May 16, 2005 and recorded in the aforesaid Clerk's Office as Instrument No. 050003888.</t>
  </si>
  <si>
    <t>Carolyn A.H. Bourdow and Michael G. Bowen, Trustees</t>
  </si>
  <si>
    <t>5104 W. Village Green Dr.</t>
  </si>
  <si>
    <t>Midlothian, VA  23112</t>
  </si>
  <si>
    <t>Inst. No. 090000180</t>
  </si>
  <si>
    <t>Inst. No. 210005927, and that lien recorded May 26, 2022 as Inst. No. 220003557, and that lien recorded July 6, 2023 as Inst. No. 230003121.</t>
  </si>
  <si>
    <t>All that certain lot or parcel of land, situate, lying and being in the Town of Brookneal, County of Campbell, and Commonwealth of Virginia, and more particularly described as follows:</t>
  </si>
  <si>
    <t>That certain lot or parcel of land, together with the buildings and improvements thereon, situate, lying and being north of the Town of Brookneal, Campbell County, Virginia, being lot 46, block one, shown on a plat entitled "plat of subdivision of lands of Joseph C. LaPrade", made by Fred Kabler, S.C.C., dated June 10, 1947, and recorded in the clerk's office of the circuit court for the county of Campbell, Virginia, in plat book 9, page 53.</t>
  </si>
  <si>
    <t>19805 NC 903</t>
  </si>
  <si>
    <t>Robersonville, NC  27871</t>
  </si>
  <si>
    <t>This being the same property conveyed from EXR, LLC to James D. Williams and Deanna L. Williams by Deed dated March 17, 2021 and recorded in the aforesaid Clerk's Office as Inst. No. 210003219.</t>
  </si>
  <si>
    <t>230001050, as amended by Inst. No. 230001080.</t>
  </si>
  <si>
    <t>That certain lot or parcel of land, located on State Route 615, in Long Mountain Magisterial District, Campbell County, Virginia, containing 1.13 acres, and designated as Parcel "B" on a plat by Lewis A. Hickman, Jr., C.L.S., dated September 13, 1973, a copy of which was attached to and made a part of that particular deed dated September 27, 1973 and which deed is of record in the Clerk's Office for the Circuit Court of Campbell County, Virginia, in Deed Book 471, at page 809, as follows:</t>
  </si>
  <si>
    <t>BEGINNING at iron stake on State Route No. 615, corner with Parcel A, as shown on said plat; thence along the dividing line between Parcels "A" and "B" S. 67° 48' W. 527.31 feet to iron; thence N. 9° 20' E. 117.50 feet to iron, corner with Parcel "C"; thence along the dividing line between Parcels "B" and "C" N. 67° 52' E. 459.22 feet to iron at State Route No. 615; thence along said Route No. 615, S. 26° 00' E. 100 feet to iron and the point of BEGINNING.</t>
  </si>
  <si>
    <t>This being the same property conveyed from David Eugene Elliott to David Eugene Elliott by Deed dated April 27, 2018 and recorded in the aforesaid Clerk's Office as Instument No. 180001913.</t>
  </si>
  <si>
    <t>That certain lot or parcel of land together with any buildings and improvements thereon situate, lying and being in Long Mountain Magisterial District, Campbell County, Virginia, on State Route 752 also known as the Mt. Olivet Church Road, being all of Lot Three, Section 1, Davidson Subdivision, as shown on a plat of Adrian Overstreet, S.C.S., dated October 29, 1964, and recorded in the Clerk's Office of the Circuit Court for Campbell County in Plat Book 17 at Page 143.</t>
  </si>
  <si>
    <t>Inst. No. 220005461</t>
  </si>
  <si>
    <t>Together with that certain lot or parcel of land together with any buildings and improvementsthereon situate, lying and being situate adjacent to the above-mentioned parcel of land and on the northeast side of the access right of way to Mt. Olivet Church Road, described according to a plat of Adrian Overstreet, S.C.S., dated May 22, 1965, and recorded in the Clerk's Office of the Circuit Court of Campbell County in Plat Book 18 at Page 34.</t>
  </si>
  <si>
    <t>Inst. No. 240000511</t>
  </si>
  <si>
    <t>This being a portion of that property conveyed from Christina W. Metcalf &amp; Carrie L. Weiland to Ronald T. Trent &amp; Jennifer J. Trent, husband and wife, by Deed dated August 15, 2022 and recorded in the aforesaid Clerk's Office as Instrument No. 220005460.</t>
  </si>
  <si>
    <t>That certain lot or parcel of land together with the buildings and improvements thereon and the privileges and appurtenances thereunto belonging, located in Campbell County, Virginia, more particularly described as "Parcel #2 Viola Preston's" in that certain plat by John H. Poston, surveyor, which said plat is recorded in the Clerk's Office for the Circuit Court of Campbell County, Virginia, Plat Book 5, at page 96.</t>
  </si>
  <si>
    <t>This being the same property conveyed from Annie Elizabeth Brown Frazier and Ollie Ruth Brown Lee to Viola Brown Preston by Deed dated December 5, 1935 and recorded in the aforesaid Clerk's Office in Deed Book 170, pg. 34.</t>
  </si>
  <si>
    <t>Less and Except those certain 9 lots cut off by survey dated January 5, 1955 by Chas. H. Kirkland, C.L.S. entitled "Plat of Subdivision of the Northerly Portion of the Land of Mrs. Viola Brown Preston, wife of Samuel Hansford Preston, for Conveyance to Members of Her Family" which said plat is recorded in the aforesaid Clerk's Office in Deed Book 261, page 345, the remainder parcel herein described being described by said plat as 10.8 acres, more or less.</t>
  </si>
  <si>
    <t>All that certain tract or parcel ot land lying and being in the Long Mountain Magisterial District of Campbell County, Virginia, containing 0.71 acre, and more particulary described according to a plat entitled, Boundary Survey for Lois Roberts", dated June 21, 1985, made by William S. Callahan, C.L.S., a copy of which is recorded in the Campbell County Circuit Court Clerk's Office in Deed Book 618, page 222.</t>
  </si>
  <si>
    <t>This being the same property conveyed from Raymond Roberts and Lois Roberts, husband and wife, to Lois Roberts, individually, by Deed dated March 9, 1990 and recorded in the aforesaid Clerk's Office in Deed Book 702, page 155.</t>
  </si>
  <si>
    <t xml:space="preserve">That certain tract or parcel of land lying and being in Rustburg Magisterial District, Campbell County, Virginia, containing l acre, more or less, as shown on a plat of survey by Walker Associates, W. S. Walker, C.L.S., Nov., Dec., 1965, a copy of which plat is recorded in the Clerk's Office of the Circuit Court of Campbell County, Virginia, in Deed Book 394 at page 83; and being more particularly described with reference to said plat as follows: </t>
  </si>
  <si>
    <t>BEGINNING at a point on an old road as shown on aforesaid plat; thence S. 77° 00' E. 210 feet; thence N. 13° 00' E. 210 feel; thence N. 77° W. 210 feet; thence S. 13° 00' W. 210 feel to the point of BEGINNING.</t>
  </si>
  <si>
    <t>This also being the same property conveyed from Doris Marie Steppe Staton, Douglas Marshall Steppe and Carolyn M. Steppe to Frances E. Martin by Deed dated November 24, 1998 and recorded in the aforesaid Clerk's Office in Deed Book 936, page 140. Pursuant to the recitations in said Deed, Walter L. Steppe died February 8, 1978, vesting title in Mary F. Steppe. Mary F. Steppe died intestate December 12, 1997, leaving Doris Marie Steppe Staton, Frances E. Martin, Douglas Marshall Steppe, and Barbara Hutcherson as her sole heirs at law. Following the conveyances of the Deed recorded in Deed Book 936, page 140, the herein described property was owned by Barbara Hutcherson (1/4 interest) and Frances E. Martin (3/4 interest).</t>
  </si>
  <si>
    <t>This being the same property conveyed from Dallas David Steppe &amp; Eunice M. Steppe, husband and wife, to Walter L. Steppe &amp; Mary F. Steppe, husband and wife, by Deed dated August 24, 1967 and recorded in the aforesaid Clerk's Office in Deed Book 394, page 81.</t>
  </si>
  <si>
    <t>Pursuant to that Will recorded in the aforesaid Clerk's Office as Will Inst. No. 090000130, Frances E. Martin died testate, devising her 3/4 interest in equal shares to Raymond C. Eidenour, Roger D. Eidenour, and James C. Eidenour, the result of which devise being to vest the herein described property in equal 1/4 shares for each of: Barbara Hutcherson, Raymond C. Eidenour, Roger D. Eidenour, and James C. Eidenour.</t>
  </si>
  <si>
    <t>CL24000869-00</t>
  </si>
  <si>
    <t>CL24000870-00</t>
  </si>
  <si>
    <t>CL24000867-00</t>
  </si>
  <si>
    <t>CL24000872-00</t>
  </si>
  <si>
    <t>CL24000865-00</t>
  </si>
  <si>
    <t>BEGINNING at a point on State Route 725 corner with Tweedy (now or formerly), thence along said road N. 45° E. 49-½ feet to a stake, thence leaving said road N. 39° W. 230 feet to a stake, thence N. 51° W. 758 feet to a stake in Hick's line (now or formerly); thence with Hick's line S. 42-½° W. 15 feet to a corner with Irvine (now or formerly), thence S. 61° E. 760 feet to a corner with Tweedy (now or formerly); thence with Tweedy's line S. 39° E. 230 feet to the point of BEGINNING.</t>
  </si>
  <si>
    <t>This being the same property conveyed from F.E. "Tripp" Isenhour, III, conveying the interest of Samuel Thompson and Elma Thompson, Husband &amp; Wife to Melissa Foxx Goode, by deed dated November 24, 2021 and recorded in the Clerk's Office of the Circuit Court of Campbell County, Virginia as Instrument No. 210008769.</t>
  </si>
  <si>
    <t>That certain lot or parcel of land, together with the buildings and improvements thereon and the privileges and appurtenances thereunto belonging, situate, lying and being in the Vista Magisterial District of Campbell County, Virginia, and designated as Lot 2C, containing 1.840 Ac., as shown on a plat entitled "Family Division Plat Showing Lot 2C, Resubdivision of Lot 2, Benson Acres, Vista District, Campbell County, Virginia", dated March 11, 2009, and made by Carl N. Pilat, L.S., and recorded in the Clerk's Office of the Circuit Court for the County of Campbell, Virginia, in Plat Cabinet C, Slide 50, page 497.</t>
  </si>
  <si>
    <t xml:space="preserve">Also conveyed is the right to use the "old 20' easement for ingress, egress &amp; utilities" for access from Johnson Creek Road to the property hereby conveyed as shown on the plat recorded herewith. </t>
  </si>
  <si>
    <t>This being the same property conveyed from Richard James Thibodeau to Lyndsey A. Thibodeau, by deed dated November 16, 2020 and recorded in the Clerk's Office of the Circuit Court of Campbell County, Virginia as Instrument No. 200007090.</t>
  </si>
  <si>
    <t xml:space="preserve">That certain lot or parcel of land together with the buildings and improvements thereon and the privileges and appurtenances thereunto belonging, situate, lying and being in the Patrick Henry Magisterial District of Campbell County, Virginia, and designated as Lot 1A on a plat entitled "Campbell County Virginia, Patrick Henry Magisterial District. Three Lots of Highview Acres Subdivision Redivided Into Five 1 Acre Lots for Freda Yeatts Real Estate, Inc.", made by John D. Jacobs, C.L.S., dated January 3, 1986, and recorded in the Clerk's Office of the Circuit Court for the County of Campbell Virginia, in Plat Book 29, page 75. </t>
  </si>
  <si>
    <t>This being the same property conveyed from Sygnoria Brown to Roosevelt F. Smith and Maxine B. Smith, husband and wife, by Deed dated January 14, 2010 and recorded in the Clerk's Office of the Circuit Court of Campbell County, Virginia as Instrument No. 100000599.</t>
  </si>
  <si>
    <t>Worldwide Asset Purchasing, LLC</t>
  </si>
  <si>
    <t>Nevada Corporate Headquarters, Inc.</t>
  </si>
  <si>
    <t>5300 W. Sahara St., Ste 101</t>
  </si>
  <si>
    <t>Las Vegas, NV  89146</t>
  </si>
  <si>
    <t>Inst. No. 060001245</t>
  </si>
  <si>
    <t>Patrick M. Todd, DDS, Inc.</t>
  </si>
  <si>
    <t>916 Main St.</t>
  </si>
  <si>
    <t>Inst. No. 100000697</t>
  </si>
  <si>
    <t>Central Virginia Orthopaedics &amp; Sports Medicine, P.C.</t>
  </si>
  <si>
    <t>Nicholas Harding, R/A</t>
  </si>
  <si>
    <t>Patrick M. Todd, R/A</t>
  </si>
  <si>
    <t>501 Park Hill Dr</t>
  </si>
  <si>
    <t>Fredericksburg, VA, 22401</t>
  </si>
  <si>
    <t>City of Fredricksburg</t>
  </si>
  <si>
    <t>Inst. No. 100001262</t>
  </si>
  <si>
    <t>Mariner Finance of Virginia, LLC</t>
  </si>
  <si>
    <t>Inst. No. 220000992</t>
  </si>
  <si>
    <t>BEGINNING at the point of intersection of the Northerly margin of Fourteenth Street with the Westerly margin of School Street; thence in a Northerly direction at right angles to the margin of Fourteenth Street and along the said Westerly margin of School Street a distance of one hundred and forty (140) feet to the Southerly margin or a proposed alley; thence in a westerly direction along the Southerly margin of said proposed alley a distance of two hundred and four and seven-tenths (204.7) feet, more or less, to the Old Established Line between the property of James A. Jenks and the Altavista Land and Improvement Company; thence in a South-Easterly direction along said Old Established Line a distance of one hundred and fourteen and six-tenths (114.6) feet, more or less, to a stake; thence in a North-Easterly direction making an angle of eighty-six degrees and forty five minutes with the Old Established Line a distance of ninety-three (93) feet to an iron pin; thence in a South­Easterly direction parallel to the Old Established Line a distance of sixty-one and five-tenths (61.5) feet to the Northerly margin of Fourteenth Street; thence in an Easterly direction along said margin a distance of fifty-six and five-tenths (56.5) feet, more or less, to the point or place of beginning.</t>
  </si>
  <si>
    <t>This being the same property conveyed from Flocie Goard to James E. Goard by Deed dated May 26, 1949 and recorded in the Clerk's Office of the Circuit Court of Campbell County, Virginia in Deed Book 221, page 390.</t>
  </si>
  <si>
    <t>Goard, life tenant</t>
  </si>
  <si>
    <t>Harlsie Goard</t>
  </si>
  <si>
    <t>Lettie Goard</t>
  </si>
  <si>
    <t>Thelma Goard</t>
  </si>
  <si>
    <t>9014 Columbia Ave.</t>
  </si>
  <si>
    <t>Flocie Goard</t>
  </si>
  <si>
    <t>Cleveland OH  44108</t>
  </si>
  <si>
    <t>103B-4-3-3</t>
  </si>
  <si>
    <t>115 MT Holt Ave</t>
  </si>
  <si>
    <t xml:space="preserve">That certain lot or parcel of land, together with the rights, privileges. and appurtenances thereunto belonging, situate, lying and being near the Town of Brookneal, Campbell County, Virginia, described as follows, to-wit: Lot One, Biock 3, as shown upon a plat of a Resubdivision of Block 3, and the eastern Section of Block No. Two of the Joseph C. LaPrade Subdivision made by Fred Kabler, S.C.C., dated July 16, 1947, recorded in the Clerk's Office of the Circuit Court of Campbell County, Virginia, in Plat Book 9, page 95. </t>
  </si>
  <si>
    <t>All that certain tract or parcel of land, with improvements and appurtenances thereon, located in the Town of Brookneal, Virginia, and designated as Lot 3, in Block 3 as shown on a plat of survey made by Fred S. Kabler dated July 16, 1947, and recorded in the Clerk's Office of the Circuit Court of Campbell County, Virginia, in Plat Book 9, page 95.</t>
  </si>
  <si>
    <t>This being the same property conveyed as Parcel 2 from Five Forks Property, LLC to John J. Mason by Deed dated June 9, 2021 and recorded in the aforesaid Clerk's Office as Instrument No. 210004391.</t>
  </si>
  <si>
    <t>This being the same property conveyed as Parcel 1 from Five Forks Property, LLC to John J. Mason by Deed dated June 9, 2021 and recorded in the aforesaid Clerk's Office as Instrument No. 210004391.</t>
  </si>
  <si>
    <t>Inst. No. 210004392</t>
  </si>
  <si>
    <t>Inst No. 210001413</t>
  </si>
  <si>
    <t>Inst. No. 220000822, as amended by Inst. No. 220000877</t>
  </si>
  <si>
    <t>Forest Daniel Brown</t>
  </si>
  <si>
    <t>1182 Halls Trl.</t>
  </si>
  <si>
    <t>Inst. No. 220001303</t>
  </si>
  <si>
    <t>Inst. No. 220002074</t>
  </si>
  <si>
    <t>nonsense</t>
  </si>
  <si>
    <t>ALL those four one-half acre lots or land in the Town or Leesville, Campbell County, Virginia, and described according to the plan of said town as lots 17, 18, 19 and 20, described as follows:</t>
  </si>
  <si>
    <t>BEGINNING at the corner or lot 18 on Main Street and Third Alley, and running thence with Third Alley S. 10º 15’ E. 70 yds. to corner Lot No. 50; thence with the line of Lots 50 and 51 N. 77º 35’ E. 70 yds. to corner lot 50; thence with the line of Lots 50 and 51 77º 35’ E. 70 yds. To the corner of Lot 51 and 17; thence with the line of Lots 16 and 17 70 yds. to Main Street; thence with Main Street S. 77º 35’ W. 70 yds. to the Beginning, embracing Lots No. 17 and 18 with all appurtenances thereunto belonging.</t>
  </si>
  <si>
    <t>AND ALSO Lots 19 and 20 on the West side of Third Alley, and South side of Main Street, beginning at the corner of Main Street and Third Alley and running thence with Main Street 70 yds. @. 77º 35’ W. to the corner of Lots 20 and 21; thence S. 10º 15’ E. with the line of Lots 20 and 21 70 yds. to the corner of Lots 32 and 33; thence with the line of Lots 33 and 34 N. 77º 35’ E. 70 yds. to Third Alley; thence N. 10º 15’ W. with Third Alley 70 yds. to Main St., embracing Lots 19 and 20 with all appurtenances thereunto belonging.</t>
  </si>
  <si>
    <t xml:space="preserve">All that certain tract or parcel of land situate in Campbell County, Virginia, being Lot No. 7, containing 5.00 acre, as shown  on a plat of survey made by L.P. Crocker,  Jr., L.S., dated August 1, 1972, revised October 20, 1972, entitled Plat Showing the Division of John W. Anthony Estate Property, a copy of which plat is recorded in the Clerk's Office of the Circuit Court of Campbell County in Plat Book 20, page 116. </t>
  </si>
  <si>
    <t>This being the same property conveyed from E. Bruce Harvey, Special Commissioner to convey the interest of Annie I. Anthony to Tamera Lea Taylor Brown by Deed dated July 18, 1973 and recorded in the Clerk's Office of the Circuit Court of Campbell County, Virginia in Deed Book 476, page 86.</t>
  </si>
  <si>
    <t>That certain tract or parcel of land situate in what was formerly Seneca Magisterial District, now Patrick Henry Magisterial District, Campbell County, Virginia, and being more particularly described by survey made by Fred Kabler, S.C.S., April, 1936, a plat of which is recorded in the Clerk's Office of the Circuit Court of Campbell County in Plat Book 7, Page 14, as follows, to-wit:</t>
  </si>
  <si>
    <t>BEGINNING at a corner of Lot 3 with Lot 1 on the Long Island-Gladys Road (Route 761) thence along the common line of Lot 1 and Lot 3, N. 51-1/2° E. 580 feet to poplar; thence S. 70° E. 900 FEET to a new point; thence a straight line in a westerly direction approximately 1,050 feet to a stone on Route 761; thence along said Route 761, N. 31° W. 464 feet to point of BEGINNING, containing approximately twelve (12) acres.</t>
  </si>
  <si>
    <t>Land Savers United, f/k/a Blue Ridge Land Conservancy</t>
  </si>
  <si>
    <t>10 S. Jefferson St.</t>
  </si>
  <si>
    <t>This being a portion of the same property a conservation easement in which was conveyed from James L. Sligh, Jr. to the Blue Ridge Land Conservancy by Deed dated December 18, 2019 and recorded in the aforesaid Clerk's Office as Instrument No. 190006777, re-recorded as corrected as Instrument No. 200001282.</t>
  </si>
  <si>
    <t>(804) 726-0217</t>
  </si>
  <si>
    <t>Salman A. Elmawri</t>
  </si>
  <si>
    <t>Elmawri</t>
  </si>
  <si>
    <t>(434) 847-8092</t>
  </si>
  <si>
    <t>NO ACTION TILL 7/15</t>
  </si>
  <si>
    <t>This being the same property conveyed from Five Forks Property, LLC to Marvin L. Lyle by Deed dated June 9, 2021 and recorded in the aforesaid Clerk’s Office as Instrument No. 210004389.</t>
  </si>
  <si>
    <t>Tomia M. Taylor</t>
  </si>
  <si>
    <t>204 Clover Rd.</t>
  </si>
  <si>
    <t>Kelvis D. Johnson</t>
  </si>
  <si>
    <t>8800 Harwick Ct.</t>
  </si>
  <si>
    <t>Lewisville, NC  27023</t>
  </si>
  <si>
    <t>(2) Deed of Gift dated October 17, 1991, from Roger L. Billings, divorced, and Linda P. Mitchiner, divorced, (formerly Linda P. Billings) recorded in the aforesaid Clerk's Office in Deed Book 741, Page 147.</t>
  </si>
  <si>
    <t>Josiah</t>
  </si>
  <si>
    <t>Gabriel Z.</t>
  </si>
  <si>
    <t>(919) 930-2970</t>
  </si>
  <si>
    <t>155 Indigo Run</t>
  </si>
  <si>
    <t xml:space="preserve">ALL that certain lot or parcel of land, situate, lying and being in Vista District of Campbell County, Virginia, and designated as LOT 35, upon a plat of survey dated August 18, 1998, made by Thomas C. Brooks, Sr., L.S., entitled "Map I, Phase I, RUNAWAY BAY, Vista District, Campbell County, Virginia", recorded in the Campbell County Circuit Court Clerk's Office in Plat Cabinet B, Slide 217, pages 971 through 978; and </t>
  </si>
  <si>
    <t>This being the same property conveyed from E. Paul Reich and Ruth Ann Reich to Jessica Mary Zargoza Battelstein and Josiah Gabriel Zaragoza Battelstein by Deed dated September 2, 2021 and recorded in the aforesaid Clerk's Office as Instrument No. 210007733.</t>
  </si>
  <si>
    <t>Inst. No. 240000913</t>
  </si>
  <si>
    <t>Inst. No. 230001028</t>
  </si>
  <si>
    <t>CT Corportation System, R/A</t>
  </si>
  <si>
    <t>Discover DB Inc., d/b/a Discover Bank</t>
  </si>
  <si>
    <t>First-Citizens Bank &amp; Trust Company</t>
  </si>
  <si>
    <t>Inst. No. 240000943</t>
  </si>
  <si>
    <t>CL24001128-00</t>
  </si>
  <si>
    <t>CL24001141-00</t>
  </si>
  <si>
    <t>CL24001149-00</t>
  </si>
  <si>
    <t>CL24001151-00</t>
  </si>
  <si>
    <t>CL24001165-00</t>
  </si>
  <si>
    <t xml:space="preserve">That certain tract or parcel of land together with the buildings and improvements thereon and any and all privileges and appurtenances thereunto belonging, lying and being situate in the Patrick Henry Magisterial District of Campbell County, Virginia, and being more particularly described as follows: </t>
  </si>
  <si>
    <t xml:space="preserve">BEGINNING at the point of intersection of the northerly line of Route 40 with the southerly line of Secondary Route 600; and thence with the said line of Route 600, N. 50-00 E. 193.5 feet to a point; N. 46-3/4 E. 90 feet; N. 4-1/4 E. 87.5 feet; and N. 18-00 E. 37 feet; thence leaving said line of Secondary Route 600, N. 84-3/4 E. 375 feet to a pipe, thence S. 14-1/4 E. 93.5 feet to said line of Route 40; and thence with said line of Route 40, S. 72-55 W. 283.9 feet and S. 68-58 W. 424.9 feet to the point of BEGINNING, being Lot Number 5 as shown on plat entitled "PLAT OF L.M. STEVENS ESTATE, LYING IN FALLING RIVER [now Patrick Henry] MAGISTERIAL DISTRICT, CAMPBELL COUNTY, VIRGINIA", dated September 23, 1959, by Charles H. Kirkland, C.L.S., recorded in the Clerk's Office of the Circuit Court of Campbell County, Virginia, in Plat Book 15, pages 146 and 147. </t>
  </si>
  <si>
    <t>This being the same property conveyed from Minnie E. Jones to Pamela A. Lepper by Deed dated September 22, 2011 and recorded in the aforesaid Clerk's Office as Instrument No. 110004570.</t>
  </si>
  <si>
    <t>This being the same property conveyed from Herbert Crider &amp; Collie Crider, Osby Crider &amp; Catherine Crider, Wylie Crider &amp; Camena Crider, Reuben Crider &amp; Evelyn Crider, William Crider, Benjamin Crider, George Washington, Gladys Crider, all being the heirs of Helen Crider, to Lillie Mae Clark by Deed dated May 4, 1971 and recorded in the aforesaid Clerk's Office in Deed Book 436, at page 752.</t>
  </si>
  <si>
    <t>CL24001177-00</t>
  </si>
  <si>
    <t>CL24001183-00</t>
  </si>
  <si>
    <t>CL24001187-00</t>
  </si>
  <si>
    <t>CL24001185-00</t>
  </si>
  <si>
    <t>CL24001171-00</t>
  </si>
  <si>
    <t>CL24001186-00</t>
  </si>
  <si>
    <t>CL24001168-00</t>
  </si>
  <si>
    <t>2021-2024</t>
  </si>
  <si>
    <t>CL23001453-00</t>
  </si>
  <si>
    <t>CL24001150-00</t>
  </si>
  <si>
    <t xml:space="preserve">9:00 A.M. </t>
  </si>
  <si>
    <t>CL24000719-00</t>
  </si>
  <si>
    <t>This being the same parcel conveyed from Ernest L. Simmers to Earl T. Thomas, Jr. &amp; Lori Thomas, Husband and Wife by Deed dated March 27, 2002 and recorded in the Clerk's Office as Instrument No. 020002916.  Said deed reserved a life estate in said property for the joint lives of Sara Gilbert, Judy Thomas, Betly Keesee, David R. Simmers, Charles R. Simmers, Roger L. Simmers, Shirley E. Knight, Kimberly D. Driskill, and Earl T. Thomas, Jr.</t>
  </si>
  <si>
    <t>CL24001203-00</t>
  </si>
  <si>
    <t>CL24001193-00</t>
  </si>
  <si>
    <t>CL24001210-00</t>
  </si>
  <si>
    <t>CL24001211-00</t>
  </si>
  <si>
    <t>CL24001196-00</t>
  </si>
  <si>
    <t>CL24001205-00</t>
  </si>
  <si>
    <t>CL24001209-00</t>
  </si>
  <si>
    <t>CL24001208-00</t>
  </si>
  <si>
    <t>CL24001206-00</t>
  </si>
  <si>
    <t>CL24001197-00</t>
  </si>
  <si>
    <t>CL24001191-00</t>
  </si>
  <si>
    <t>CL24001204-00</t>
  </si>
  <si>
    <t>(434) 907-1332</t>
  </si>
  <si>
    <t>Amy</t>
  </si>
  <si>
    <t>Instrument No. 140000353</t>
  </si>
  <si>
    <t>NULL</t>
  </si>
  <si>
    <t>2022-2024</t>
  </si>
  <si>
    <t>BEGINNING at a point situate on the eastern edge of Central Street, corner with Lot No. One (1), thence S. 72° 48' 16” E. 101.056 feet to a point; thence S. 75° 16' 30" E. 67.659 feet to a point; thence S. 18° 49' 48" W. 91.726 feet; thence N. 71° 10’ 12" W. 168.50 feet; thence along Central Street N. 18° 49’ 48" E. 84.00 feet to the point of BEGINNING.</t>
  </si>
  <si>
    <t>10:00 A.M.</t>
  </si>
  <si>
    <t>240004311</t>
  </si>
  <si>
    <t>CL24001465-00</t>
  </si>
  <si>
    <r>
      <t>Beginning at the fork of brances at 1; thence up the north fork as it meanders 88 poles to small branch with Drewries line (now or formerly) at 2; thence with him up main branch as it meanders 140 poles to old line with W.A. Moore (now or formerly) at 3; thence leaving branch S. 30º</t>
    </r>
    <r>
      <rPr>
        <sz val="11"/>
        <color theme="1"/>
        <rFont val="Calibri"/>
        <family val="2"/>
        <scheme val="minor"/>
      </rPr>
      <t xml:space="preserve"> E. with said Moore 70 poles to Bass with Chas. Hek (now or formerly) at 4; thence with him S. 38º E. crossing branch 37 poles to hickory stump at 5; thence E.S. Steppe (now or formerly) N. 79º E. 102 poles to pine stump with E.T. Rosser (now or formerly) at 6; thence with him N. 47º E 85 48/100 poles to post oak at 7; thence new line N. 23º W. 25 poles to double poplars on bank of branch at 8; thence up branch 7 poles to the begininning. </t>
    </r>
  </si>
  <si>
    <t>Altavista, VA 24517</t>
  </si>
  <si>
    <t>Inst. No. 110002481</t>
  </si>
  <si>
    <t>Instrument No. 140000789,  that judgment dated April 1, 2021 and recorded as Instrument No. 210000567, as amended by Instrument No. 210001003, and that judgment dated November 10, 2022 and recorded as Instrument No. 220002575, as amended by Instrument No. 2300007510.</t>
  </si>
  <si>
    <t>240003696</t>
  </si>
  <si>
    <t>Princess Monroe</t>
  </si>
  <si>
    <t>(434) 420-1855</t>
  </si>
  <si>
    <t>by email to: princessmonroe@icloud.com</t>
  </si>
  <si>
    <t>stvnpllck@gmail.com</t>
  </si>
  <si>
    <t>Pollock</t>
  </si>
  <si>
    <t>Steven Pollock</t>
  </si>
  <si>
    <t>(540) 816-5857</t>
  </si>
  <si>
    <t>Release</t>
  </si>
  <si>
    <t>2024</t>
  </si>
  <si>
    <t>This being a portion of the property conveyed from Burruss Timber Company, Inc. to Burruss Timber Associates, a Virginia Limited Partnership, by Deed dated July 1, 1982 and recorded in the aforesaid Clerk's Office in Deed Book 583, at page 173.</t>
  </si>
  <si>
    <t>All that certain tract or parcel of land, lying, situate, and being in the Town of Brookneal, Campbell County, Virginia and being Lot Nos. 1, 2, 3 &amp; 5 Plat of Survey made by Fred Kabler, S.C.C., dated May 1936 and recorded in the Clerk's Office for the Circuit Court of Campbell County, Virginia in Plat Book 6, page 97 (Plat Cabinet A, Slide 80, page 97)</t>
  </si>
  <si>
    <t>All that certain tract or parcel of land, lying, situate, and being in the Town of Brookneal, Campbell County, Virginia and being Lot No. 1 of Block 1 as shown on that certain plat of Survey made by Fred Kabler, S.C.C., dated October 1946, entitled "Cook Subdivision" and recorded in the Clerk's Office for the Circuit Court of Campbell County, Virginia in Plat Book 12, page 121 (Plat Cabinet A, Slide152, page 121)</t>
  </si>
  <si>
    <t>All that certain tract or parcel of land, lying, situate, and being in the Town of Brookneal, Campbell County, Virginia and being Lot No. 1 on that certain Plat of Survey made by Fred Kabler, S.C.C., dated January 9, 1939 and recorded in the Clerk's Office for the Circuit Court of Campbell County, Virginia in Plat Book 6, page 108</t>
  </si>
  <si>
    <t>Being Lot No. Seven (7), Block Two (2) as shown on plat of section "C" Clearcrest Subdivision, made by W. S. Walker, C.L.S., surveyed February and March, 1963, and corrected June 12, 1963, a copy of which plat is recorded in the Office of the Clerk of Campbell County, Virginia, in Plat Book 17, Page 89, with Deed of Dedication of said Plat being recorded in Deed Book 352, Page 484, said lots fronting 100 ft. on Southwesterly side of Eastward Drive and being the same property conveyed to William C. Reynolds and Elizabeth H. Reynolds, husband and wife, as tenants by the entireties with the right of survivorship as at common law by deed dated August 17, 1966, from Burnette Construction Company, Inc., a Virginia Corporation, which deed is recorded in the aforesaid Clerk's Office in Deed Book 383, page 111.</t>
  </si>
  <si>
    <t>This being the same property conveyed from Aubrey J. Rosser, Jr., Executor, et al. to Angela McDaniel and Tabatha McDaniel by Deed dated March 29, 2004 and recorded in the aforesaid Clerk's Office as Instrument No. 040004452.</t>
  </si>
  <si>
    <t>2020-2024</t>
  </si>
  <si>
    <t>2019-2024</t>
  </si>
  <si>
    <t>Angela McDaniel &amp; Tabatha McDaniel</t>
  </si>
  <si>
    <t>421 Novelty St.</t>
  </si>
  <si>
    <t>Record Owner Address</t>
  </si>
  <si>
    <t>R. O. Address Blk 2</t>
  </si>
  <si>
    <t>Record Owner CSZ</t>
  </si>
  <si>
    <t>Record Owner 2 Address</t>
  </si>
  <si>
    <t>Record Owner 2 Address 2</t>
  </si>
  <si>
    <t>Record Owner 2 CSZ</t>
  </si>
  <si>
    <t xml:space="preserve">Wood </t>
  </si>
  <si>
    <t>Wyatt</t>
  </si>
  <si>
    <t>Brookneal, VA 24528</t>
  </si>
  <si>
    <t>Nancy Cooper</t>
  </si>
  <si>
    <t>by email to: cdbeaudoin@gmail.com &amp; nancysellshomes2@gmail.com</t>
  </si>
  <si>
    <t>69.25</t>
  </si>
  <si>
    <t>Lienholder 2</t>
  </si>
  <si>
    <t>Lien Amount 2</t>
  </si>
  <si>
    <t>Lienholder 3</t>
  </si>
  <si>
    <t>Lien Amount 3</t>
  </si>
  <si>
    <t>State Farm Fire &amp; Casualty Co.</t>
  </si>
  <si>
    <t>Runaway Bay Homeowners Association</t>
  </si>
  <si>
    <t>Rustburg, VA 24588</t>
  </si>
  <si>
    <t>12495 Robin Rd.</t>
  </si>
  <si>
    <t>Culpeper, VA 22701</t>
  </si>
  <si>
    <t>Tracy Meisenbach &amp; Bron Stark</t>
  </si>
  <si>
    <t>Brookneal, VA 24588</t>
  </si>
  <si>
    <t>Tracy Meisenbach &amp; Perry Meisenbach</t>
  </si>
  <si>
    <t>Matthew Farris</t>
  </si>
  <si>
    <t>John Payne</t>
  </si>
  <si>
    <t>Cassondra Mills</t>
  </si>
  <si>
    <t>William H. Hall Jr. &amp; Pamela Hall</t>
  </si>
  <si>
    <t>100 1/2 Venning St.</t>
  </si>
  <si>
    <t>Mount Pleasant, SC 29464</t>
  </si>
  <si>
    <t>5117 Long Island Rd.</t>
  </si>
  <si>
    <t>PO Box 229</t>
  </si>
  <si>
    <t>Verona, VA 24482</t>
  </si>
  <si>
    <t>264 Lakeview Dr.</t>
  </si>
  <si>
    <t>184 Viewmont Dr.</t>
  </si>
  <si>
    <t>Staunton, VA 24401</t>
  </si>
  <si>
    <t>BEGINNING in center of the Ridge Road, corner with Charlie Thompson, thence with said Thompson N. 59. W. 35-1/5 poles to corner in brach just below spring; thence down branch N. 56 W. 9 poles to corner; thence new lines leaving branch, N. 40 E. 6 poles to stone; S. 79 E. 25-3/5 poles to stone; S. 56 E. 26-1/5 poles to center of Ridge Road; thence along middle of road S. 58 W. 15 poles to the BEGINNING, containing 3.4 acres, more or less</t>
  </si>
  <si>
    <t xml:space="preserve">That certain tract or parcel of ground, together with the buildings and improvements thereon and the privileges and appurtenances thereunto belonging, lying and being in the Vista Magisterial District, Campbell County, Virginia, and designated as Lot No. 28A, Phase V, Runaway Bay, containing 1.477 acres, and more particularly shown upon a plat of survey dated July 22, 2002, made by Thomas C. Brooks. Sr., L.S., entitled, "Plat Showing Lots 28A and 28B, Resubdivision of Lots 26, 27 and 28, Phase V, RUNAWAY BAY, Vista District, Campbell County, Virginia", which said plat is recorded in the Clerk's Office of the Circuit Court for the County of Campbell, Virginia, in Plat Cabinet B, Slide 303, at Page 1937. </t>
  </si>
  <si>
    <t>Miller Homes, Inc.</t>
  </si>
  <si>
    <t>Genesis Development Group, LLC</t>
  </si>
  <si>
    <t xml:space="preserve">That certain tract or parcel of land, together with any buildings and improvements thereon and any appurtenances thereunto belonging, situate in the Vista Magisterial District, Campbell County, Virginia and designated as Lot No. 388, Phase XVI, Runaway Bay, containing 7.473 acres and more particularly shown upon a plat of survey dated August 15, 2002, made by Thomas C. Brooks, Sr., LS., entitled "Map XVI, Phase XVI, RUNAWAY BAY, Vista District, Campbell County, Virginia", which said plat is recorded in the Clerk's Office of the Circuit Court of Campbell County, Virginia in Plat Cabinet B, Slide 305, pages 1951 AND 1952. </t>
  </si>
  <si>
    <t>Dominion Land LLC, a Virginia Limited Liability Company</t>
  </si>
  <si>
    <t>Equity Trust Company Custodian FBO 200598208 IRA</t>
  </si>
  <si>
    <t>RLC Properties, LLC</t>
  </si>
  <si>
    <t>5231 S. Amherst Hwy.</t>
  </si>
  <si>
    <t>Theodore</t>
  </si>
  <si>
    <t>D</t>
  </si>
  <si>
    <t>Ooten (aka Mays)</t>
  </si>
  <si>
    <t>8-1-8E</t>
  </si>
  <si>
    <t>14-A-44C</t>
  </si>
  <si>
    <t>Swan</t>
  </si>
  <si>
    <t>15A-7-2A</t>
  </si>
  <si>
    <t>Carmen</t>
  </si>
  <si>
    <t>D.R.</t>
  </si>
  <si>
    <t>17-A-83</t>
  </si>
  <si>
    <t>20-A-36</t>
  </si>
  <si>
    <t>Carroll's Mini Storage Inc.</t>
  </si>
  <si>
    <t>21-A-179C</t>
  </si>
  <si>
    <t>Fergway LLC</t>
  </si>
  <si>
    <t>21A-4-166, 167, 168 &amp; 169</t>
  </si>
  <si>
    <t>Brandi</t>
  </si>
  <si>
    <t>21A-4-170,171, 172 &amp; 173</t>
  </si>
  <si>
    <t>21C-11-2</t>
  </si>
  <si>
    <t>Kimber Lee Industrial LLC</t>
  </si>
  <si>
    <t>21D-3-6</t>
  </si>
  <si>
    <t>Vanessa</t>
  </si>
  <si>
    <t>21F-2-B</t>
  </si>
  <si>
    <t>Lair</t>
  </si>
  <si>
    <t>Paula</t>
  </si>
  <si>
    <t>22C-5-5-A</t>
  </si>
  <si>
    <t>23-A-192</t>
  </si>
  <si>
    <t>Dodson</t>
  </si>
  <si>
    <t>Isaacs</t>
  </si>
  <si>
    <t>32D-1-B-1, 2, 3, 4, 5 &amp; 6</t>
  </si>
  <si>
    <t>32D-1-B-7, 8, 9, 10 &amp; 11</t>
  </si>
  <si>
    <t>Pinkard</t>
  </si>
  <si>
    <t>33A-1-28, 29, 30, 32 &amp; 33</t>
  </si>
  <si>
    <t>34A-24-1</t>
  </si>
  <si>
    <t>34D-1-3</t>
  </si>
  <si>
    <t>Jeanne</t>
  </si>
  <si>
    <t>Spiggle</t>
  </si>
  <si>
    <t>42-3-3</t>
  </si>
  <si>
    <t>Slusher</t>
  </si>
  <si>
    <t>Demetra</t>
  </si>
  <si>
    <t>43N-1-6</t>
  </si>
  <si>
    <t>Trequan</t>
  </si>
  <si>
    <t>Sakina</t>
  </si>
  <si>
    <t>53A-2-4</t>
  </si>
  <si>
    <t>Slusser</t>
  </si>
  <si>
    <t>Madeline</t>
  </si>
  <si>
    <t>62-A-35</t>
  </si>
  <si>
    <t>Hancock</t>
  </si>
  <si>
    <t>Joann</t>
  </si>
  <si>
    <t>Doute</t>
  </si>
  <si>
    <t>68-A-201</t>
  </si>
  <si>
    <t>68-A-234</t>
  </si>
  <si>
    <t>68-A-202</t>
  </si>
  <si>
    <t>68E-3-G</t>
  </si>
  <si>
    <t>68E-3-D2</t>
  </si>
  <si>
    <t>69-A-82</t>
  </si>
  <si>
    <t>Wesley</t>
  </si>
  <si>
    <t>69B-1-87-1 &amp; 1A</t>
  </si>
  <si>
    <t>69F-1-5</t>
  </si>
  <si>
    <t>Tannehill</t>
  </si>
  <si>
    <t>74B-1-6</t>
  </si>
  <si>
    <t>Nash</t>
  </si>
  <si>
    <t>Norwitz</t>
  </si>
  <si>
    <t>83A-11-16-28, 29 &amp; 30</t>
  </si>
  <si>
    <t>83A-11-37-9</t>
  </si>
  <si>
    <t>E.B.</t>
  </si>
  <si>
    <t>83A-32-2-18 &amp; 19</t>
  </si>
  <si>
    <t>96A-7-273</t>
  </si>
  <si>
    <t>Mayhew</t>
  </si>
  <si>
    <t>96A-8-237</t>
  </si>
  <si>
    <t>Hanno</t>
  </si>
  <si>
    <t>Marshall</t>
  </si>
  <si>
    <t>103C-44-2A</t>
  </si>
  <si>
    <t>224 Sweetwater Rd.</t>
  </si>
  <si>
    <t>2327 Mt. Athos Rd.</t>
  </si>
  <si>
    <t>58 Clair Ln.</t>
  </si>
  <si>
    <t>56 Clair Ln.</t>
  </si>
  <si>
    <t>6589 Campbell Hwy</t>
  </si>
  <si>
    <t>6008 Edgewood Ave.</t>
  </si>
  <si>
    <t>10515 Richmond Hwy.</t>
  </si>
  <si>
    <t>1000 Capistrano Ct.</t>
  </si>
  <si>
    <t>Frederick, MD 21703</t>
  </si>
  <si>
    <t>Frank A. Wright, Jr., R/A</t>
  </si>
  <si>
    <t>Nicholas Ferguson, R/A</t>
  </si>
  <si>
    <t>27 Acorn Dr.</t>
  </si>
  <si>
    <t>90 Brooklawn Ct.</t>
  </si>
  <si>
    <t>Bevin R. Alexander, Jr., R/A</t>
  </si>
  <si>
    <t>111 Hexham Dr. Ste. B</t>
  </si>
  <si>
    <t>77 Nixon Dr.</t>
  </si>
  <si>
    <t>352 Fox Dr.</t>
  </si>
  <si>
    <t>1783 Waterlick Rd.</t>
  </si>
  <si>
    <t>19861 Leesville Rd.</t>
  </si>
  <si>
    <t>383 Winebarger Cir.</t>
  </si>
  <si>
    <t>Michael G. Towler, R/A</t>
  </si>
  <si>
    <t>11816 NC Hwy 130</t>
  </si>
  <si>
    <t>Maxton, NC 28364</t>
  </si>
  <si>
    <t>30-A-25B2</t>
  </si>
  <si>
    <t>252 Buffalo Mill Rd.</t>
  </si>
  <si>
    <t>60 Luenburg Dr.</t>
  </si>
  <si>
    <t>1399 Greenhouse Rd.</t>
  </si>
  <si>
    <t>2332 Depot Rd.</t>
  </si>
  <si>
    <t>556 Rocky Rd.</t>
  </si>
  <si>
    <t>3697 Dearborn Rd.</t>
  </si>
  <si>
    <t>4647 Browns Mill Rd.</t>
  </si>
  <si>
    <t>549 Wileman Rd.</t>
  </si>
  <si>
    <t>Lynch Station, VA 24571</t>
  </si>
  <si>
    <t>PO Box 37</t>
  </si>
  <si>
    <t>1148 Lewis Ford Rd.</t>
  </si>
  <si>
    <t>1407 Lynch Rd.</t>
  </si>
  <si>
    <t>842 Lynch Mill Rd.</t>
  </si>
  <si>
    <t>3852 Tardy Mountain Rd.</t>
  </si>
  <si>
    <t>747 Dearing Ford Rd.</t>
  </si>
  <si>
    <t>320 Ogden Rd.</t>
  </si>
  <si>
    <t>3411 Dearing Ford Rd.</t>
  </si>
  <si>
    <t>1304 Sunrise Loop</t>
  </si>
  <si>
    <t>214 Hunters Ln.</t>
  </si>
  <si>
    <t>901 Main St.</t>
  </si>
  <si>
    <t>204 Prospect Rd.</t>
  </si>
  <si>
    <t>Pitsylvania County</t>
  </si>
  <si>
    <t>571 Bayview Rd.</t>
  </si>
  <si>
    <t>1100 Park St.</t>
  </si>
  <si>
    <t>5051 Pelican Colony Blvd. #1001</t>
  </si>
  <si>
    <t>Bonita Springs, FL 34134</t>
  </si>
  <si>
    <t>109 Central St.</t>
  </si>
  <si>
    <t>511 8th St.</t>
  </si>
  <si>
    <t>Bulerin</t>
  </si>
  <si>
    <t>Shields</t>
  </si>
  <si>
    <t>Wade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</si>
</sst>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quot;$&quot;#,##0.00"/>
    <numFmt numFmtId="165" formatCode="0.00000000000000000000"/>
    <numFmt numFmtId="166" formatCode="[$-409]mmmm\ d\,\ yyyy;@"/>
    <numFmt numFmtId="167" formatCode="0.000"/>
    <numFmt numFmtId="168" formatCode="0\-0\-0"/>
  </numFmts>
  <fonts count="26">
    <font>
      <sz val="11"/>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z val="11"/>
      <color rgb="FF000000"/>
      <name val="Calibri"/>
      <family val="2"/>
      <scheme val="minor"/>
    </font>
    <font>
      <u/>
      <sz val="11"/>
      <color theme="10"/>
      <name val="Calibri"/>
      <family val="2"/>
      <scheme val="minor"/>
    </font>
    <font>
      <sz val="11"/>
      <color rgb="FFFFFF00"/>
      <name val="Calibri"/>
      <family val="2"/>
      <scheme val="minor"/>
    </font>
    <font>
      <sz val="12"/>
      <color theme="1"/>
      <name val="Times New Roman"/>
      <family val="1"/>
    </font>
    <font>
      <b/>
      <sz val="9"/>
      <color indexed="81"/>
      <name val="Tahoma"/>
      <family val="2"/>
    </font>
    <font>
      <sz val="9"/>
      <color indexed="81"/>
      <name val="Tahoma"/>
      <family val="2"/>
    </font>
    <font>
      <sz val="12"/>
      <color rgb="FF000000"/>
      <name val="Times New Roman"/>
      <family val="1"/>
    </font>
    <font>
      <sz val="11"/>
      <name val="Calibri"/>
      <family val="2"/>
    </font>
    <font>
      <sz val="11"/>
      <color rgb="FF333333"/>
      <name val="Calibri"/>
      <family val="2"/>
    </font>
    <font>
      <sz val="11"/>
      <color rgb="FF333333"/>
      <name val="Calibri"/>
      <family val="2"/>
      <scheme val="minor"/>
    </font>
    <font>
      <sz val="11"/>
      <color theme="0"/>
      <name val="Calibri"/>
      <family val="2"/>
      <scheme val="minor"/>
    </font>
    <font>
      <sz val="12"/>
      <name val="Times New Roman"/>
      <family val="1"/>
    </font>
    <font>
      <sz val="10"/>
      <color rgb="FF444444"/>
      <name val="Verdana"/>
      <family val="2"/>
    </font>
    <font>
      <sz val="11"/>
      <color rgb="FF444444"/>
      <name val="Calibri"/>
      <family val="2"/>
      <scheme val="minor"/>
    </font>
    <font>
      <u/>
      <sz val="11"/>
      <name val="Calibri"/>
      <family val="2"/>
      <scheme val="minor"/>
    </font>
    <font>
      <sz val="12.65"/>
      <name val="Calibri"/>
      <family val="2"/>
    </font>
    <font>
      <sz val="11"/>
      <color rgb="FF202124"/>
      <name val="Roboto"/>
    </font>
    <font>
      <sz val="11"/>
      <color theme="1"/>
      <name val="Aptos Narrow"/>
      <family val="2"/>
    </font>
    <font>
      <sz val="12"/>
      <name val="Calibri"/>
      <family val="2"/>
      <scheme val="minor"/>
    </font>
    <font>
      <sz val="12"/>
      <color theme="1"/>
      <name val="Aptos"/>
    </font>
    <font>
      <b/>
      <sz val="11"/>
      <color theme="1"/>
      <name val="Calibri"/>
      <family val="2"/>
      <scheme val="minor"/>
    </font>
    <font>
      <b/>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7030A0"/>
        <bgColor indexed="64"/>
      </patternFill>
    </fill>
    <fill>
      <patternFill patternType="solid">
        <fgColor rgb="FF00B050"/>
        <bgColor indexed="64"/>
      </patternFill>
    </fill>
  </fills>
  <borders count="1">
    <border>
      <left/>
      <right/>
      <top/>
      <bottom/>
      <diagonal/>
    </border>
  </borders>
  <cellStyleXfs count="3">
    <xf numFmtId="0" fontId="0" fillId="0" borderId="0"/>
    <xf numFmtId="0" fontId="5" fillId="0" borderId="0" applyNumberFormat="0" applyFill="0" applyBorder="0" applyAlignment="0" applyProtection="0"/>
    <xf numFmtId="44" fontId="1" fillId="0" borderId="0" applyFont="0" applyFill="0" applyBorder="0" applyAlignment="0" applyProtection="0"/>
  </cellStyleXfs>
  <cellXfs count="354">
    <xf numFmtId="0" fontId="0" fillId="0" borderId="0" xfId="0"/>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164" fontId="0" fillId="0" borderId="0" xfId="0" applyNumberFormat="1"/>
    <xf numFmtId="164" fontId="0" fillId="0" borderId="0" xfId="0" applyNumberFormat="1" applyAlignment="1">
      <alignment horizontal="center"/>
    </xf>
    <xf numFmtId="165" fontId="0" fillId="0" borderId="0" xfId="0" applyNumberFormat="1"/>
    <xf numFmtId="2" fontId="0" fillId="0" borderId="0" xfId="0" applyNumberFormat="1"/>
    <xf numFmtId="164" fontId="0" fillId="0" borderId="0" xfId="0" applyNumberFormat="1" applyAlignment="1">
      <alignment horizontal="right"/>
    </xf>
    <xf numFmtId="14" fontId="0" fillId="0" borderId="0" xfId="0" applyNumberFormat="1"/>
    <xf numFmtId="49" fontId="0" fillId="0" borderId="0" xfId="0" applyNumberFormat="1"/>
    <xf numFmtId="166" fontId="0" fillId="0" borderId="0" xfId="0" applyNumberFormat="1"/>
    <xf numFmtId="0" fontId="1" fillId="0" borderId="0" xfId="0" applyFont="1"/>
    <xf numFmtId="0" fontId="3" fillId="0" borderId="0" xfId="0" applyFont="1" applyAlignment="1">
      <alignment horizontal="center"/>
    </xf>
    <xf numFmtId="164" fontId="3" fillId="0" borderId="0" xfId="0" applyNumberFormat="1" applyFont="1"/>
    <xf numFmtId="14" fontId="0" fillId="0" borderId="0" xfId="0" applyNumberFormat="1" applyAlignment="1">
      <alignment horizontal="center"/>
    </xf>
    <xf numFmtId="8" fontId="0" fillId="0" borderId="0" xfId="0" applyNumberFormat="1" applyAlignment="1">
      <alignment horizontal="center"/>
    </xf>
    <xf numFmtId="165" fontId="3" fillId="0" borderId="0" xfId="0" applyNumberFormat="1" applyFont="1"/>
    <xf numFmtId="0" fontId="3" fillId="0" borderId="0" xfId="0" applyFont="1"/>
    <xf numFmtId="0" fontId="3" fillId="0" borderId="0" xfId="0" applyFont="1" applyAlignment="1">
      <alignment horizontal="right"/>
    </xf>
    <xf numFmtId="164" fontId="3" fillId="0" borderId="0" xfId="0" applyNumberFormat="1" applyFont="1" applyAlignment="1">
      <alignment horizontal="center"/>
    </xf>
    <xf numFmtId="14" fontId="3" fillId="0" borderId="0" xfId="0" applyNumberFormat="1" applyFont="1" applyAlignment="1">
      <alignment horizontal="center"/>
    </xf>
    <xf numFmtId="8" fontId="3" fillId="0" borderId="0" xfId="0" applyNumberFormat="1" applyFont="1" applyAlignment="1">
      <alignment horizontal="center"/>
    </xf>
    <xf numFmtId="2" fontId="3" fillId="0" borderId="0" xfId="0" applyNumberFormat="1" applyFont="1"/>
    <xf numFmtId="0" fontId="3" fillId="0" borderId="0" xfId="0" applyFont="1" applyAlignment="1">
      <alignment horizontal="left"/>
    </xf>
    <xf numFmtId="164" fontId="3" fillId="0" borderId="0" xfId="0" applyNumberFormat="1" applyFont="1" applyAlignment="1">
      <alignment horizontal="right"/>
    </xf>
    <xf numFmtId="0" fontId="3" fillId="0" borderId="0" xfId="0" applyFont="1" applyAlignment="1">
      <alignment vertical="center"/>
    </xf>
    <xf numFmtId="14" fontId="3" fillId="0" borderId="0" xfId="0" applyNumberFormat="1" applyFont="1"/>
    <xf numFmtId="49" fontId="3" fillId="0" borderId="0" xfId="0" applyNumberFormat="1" applyFont="1"/>
    <xf numFmtId="166" fontId="0" fillId="0" borderId="0" xfId="0" applyNumberFormat="1" applyAlignment="1">
      <alignment horizontal="center"/>
    </xf>
    <xf numFmtId="166" fontId="3" fillId="0" borderId="0" xfId="0" applyNumberFormat="1" applyFont="1"/>
    <xf numFmtId="0" fontId="5" fillId="0" borderId="0" xfId="1" applyFill="1"/>
    <xf numFmtId="2" fontId="3" fillId="0" borderId="0" xfId="0" applyNumberFormat="1" applyFont="1" applyAlignment="1">
      <alignment vertical="center"/>
    </xf>
    <xf numFmtId="167" fontId="0" fillId="0" borderId="0" xfId="0" applyNumberFormat="1"/>
    <xf numFmtId="164" fontId="0" fillId="0" borderId="0" xfId="0" applyNumberFormat="1" applyAlignment="1">
      <alignment horizontal="left"/>
    </xf>
    <xf numFmtId="2" fontId="0" fillId="0" borderId="0" xfId="0" applyNumberFormat="1" applyAlignment="1">
      <alignment horizontal="right"/>
    </xf>
    <xf numFmtId="2" fontId="3" fillId="0" borderId="0" xfId="0" applyNumberFormat="1" applyFont="1" applyAlignment="1">
      <alignment horizontal="right"/>
    </xf>
    <xf numFmtId="0" fontId="3" fillId="0" borderId="0" xfId="0" applyFont="1" applyAlignment="1">
      <alignment horizontal="center" vertical="center"/>
    </xf>
    <xf numFmtId="0" fontId="0" fillId="2" borderId="0" xfId="0" applyFill="1"/>
    <xf numFmtId="0" fontId="3" fillId="2" borderId="0" xfId="0" applyFont="1" applyFill="1"/>
    <xf numFmtId="164" fontId="3" fillId="2" borderId="0" xfId="0" applyNumberFormat="1" applyFont="1" applyFill="1"/>
    <xf numFmtId="14" fontId="3" fillId="2" borderId="0" xfId="0" applyNumberFormat="1" applyFont="1" applyFill="1" applyAlignment="1">
      <alignment horizontal="center"/>
    </xf>
    <xf numFmtId="0" fontId="0" fillId="3" borderId="0" xfId="0" applyFill="1"/>
    <xf numFmtId="0" fontId="0" fillId="0" borderId="0" xfId="0" applyAlignment="1">
      <alignment vertical="center"/>
    </xf>
    <xf numFmtId="0" fontId="3" fillId="0" borderId="0" xfId="0" quotePrefix="1" applyFont="1"/>
    <xf numFmtId="166" fontId="3" fillId="0" borderId="0" xfId="0" applyNumberFormat="1" applyFont="1" applyAlignment="1">
      <alignment horizontal="center"/>
    </xf>
    <xf numFmtId="20" fontId="3" fillId="0" borderId="0" xfId="0" applyNumberFormat="1" applyFont="1" applyAlignment="1">
      <alignment horizontal="center"/>
    </xf>
    <xf numFmtId="10" fontId="3" fillId="0" borderId="0" xfId="0" applyNumberFormat="1" applyFont="1"/>
    <xf numFmtId="14" fontId="3" fillId="0" borderId="0" xfId="0" applyNumberFormat="1" applyFont="1" applyAlignment="1">
      <alignment horizontal="right"/>
    </xf>
    <xf numFmtId="164" fontId="3" fillId="2" borderId="0" xfId="0" applyNumberFormat="1" applyFont="1" applyFill="1" applyAlignment="1">
      <alignment horizontal="center"/>
    </xf>
    <xf numFmtId="8" fontId="3" fillId="2" borderId="0" xfId="0" applyNumberFormat="1" applyFont="1" applyFill="1" applyAlignment="1">
      <alignment horizontal="center"/>
    </xf>
    <xf numFmtId="0" fontId="3" fillId="2" borderId="0" xfId="0" applyFont="1" applyFill="1" applyAlignment="1">
      <alignment horizontal="center"/>
    </xf>
    <xf numFmtId="14" fontId="3" fillId="2" borderId="0" xfId="0" applyNumberFormat="1" applyFont="1" applyFill="1" applyAlignment="1">
      <alignment horizontal="right"/>
    </xf>
    <xf numFmtId="0" fontId="3" fillId="2" borderId="0" xfId="0" applyFont="1" applyFill="1" applyAlignment="1">
      <alignment horizontal="right"/>
    </xf>
    <xf numFmtId="14" fontId="3" fillId="2" borderId="0" xfId="0" applyNumberFormat="1" applyFont="1" applyFill="1"/>
    <xf numFmtId="0" fontId="3" fillId="2" borderId="0" xfId="0" applyFont="1" applyFill="1" applyAlignment="1">
      <alignment horizontal="center" vertical="center"/>
    </xf>
    <xf numFmtId="0" fontId="3" fillId="2" borderId="0" xfId="0" applyFont="1" applyFill="1" applyAlignment="1">
      <alignment horizontal="left"/>
    </xf>
    <xf numFmtId="165" fontId="3" fillId="2" borderId="0" xfId="0" applyNumberFormat="1" applyFont="1" applyFill="1"/>
    <xf numFmtId="2" fontId="3" fillId="2" borderId="0" xfId="0" applyNumberFormat="1" applyFont="1" applyFill="1"/>
    <xf numFmtId="164" fontId="3" fillId="2" borderId="0" xfId="0" applyNumberFormat="1" applyFont="1" applyFill="1" applyAlignment="1">
      <alignment horizontal="right"/>
    </xf>
    <xf numFmtId="2" fontId="3" fillId="2" borderId="0" xfId="0" applyNumberFormat="1" applyFont="1" applyFill="1" applyAlignment="1">
      <alignment horizontal="right"/>
    </xf>
    <xf numFmtId="166" fontId="3" fillId="2" borderId="0" xfId="0" applyNumberFormat="1" applyFont="1" applyFill="1"/>
    <xf numFmtId="49" fontId="3" fillId="2" borderId="0" xfId="0" applyNumberFormat="1" applyFont="1" applyFill="1"/>
    <xf numFmtId="164" fontId="3" fillId="0" borderId="0" xfId="0" applyNumberFormat="1" applyFont="1" applyAlignment="1">
      <alignment horizontal="left"/>
    </xf>
    <xf numFmtId="10" fontId="3" fillId="2" borderId="0" xfId="0" applyNumberFormat="1" applyFont="1" applyFill="1"/>
    <xf numFmtId="2" fontId="3" fillId="2" borderId="0" xfId="0" applyNumberFormat="1" applyFont="1" applyFill="1" applyAlignment="1">
      <alignment vertical="center"/>
    </xf>
    <xf numFmtId="8" fontId="0" fillId="0" borderId="0" xfId="0" applyNumberFormat="1"/>
    <xf numFmtId="0" fontId="0" fillId="0" borderId="0" xfId="0" applyAlignment="1">
      <alignment horizontal="justify"/>
    </xf>
    <xf numFmtId="0" fontId="7" fillId="0" borderId="0" xfId="0" applyFont="1" applyAlignment="1">
      <alignment horizontal="justify"/>
    </xf>
    <xf numFmtId="0" fontId="17" fillId="0" borderId="0" xfId="0" applyFont="1"/>
    <xf numFmtId="14" fontId="0" fillId="0" borderId="0" xfId="0" applyNumberFormat="1" applyAlignment="1">
      <alignment horizontal="right"/>
    </xf>
    <xf numFmtId="0" fontId="7" fillId="0" borderId="0" xfId="0" applyFont="1"/>
    <xf numFmtId="0" fontId="3" fillId="3" borderId="0" xfId="0" applyFont="1" applyFill="1"/>
    <xf numFmtId="164" fontId="3" fillId="3" borderId="0" xfId="0" applyNumberFormat="1" applyFont="1" applyFill="1" applyAlignment="1">
      <alignment horizontal="center"/>
    </xf>
    <xf numFmtId="8" fontId="3" fillId="3" borderId="0" xfId="0" applyNumberFormat="1" applyFont="1" applyFill="1" applyAlignment="1">
      <alignment horizontal="center"/>
    </xf>
    <xf numFmtId="164" fontId="3" fillId="3" borderId="0" xfId="0" applyNumberFormat="1" applyFont="1" applyFill="1"/>
    <xf numFmtId="165" fontId="3" fillId="3" borderId="0" xfId="0" applyNumberFormat="1" applyFont="1" applyFill="1"/>
    <xf numFmtId="2" fontId="3" fillId="3" borderId="0" xfId="0" applyNumberFormat="1" applyFont="1" applyFill="1"/>
    <xf numFmtId="10" fontId="3" fillId="3" borderId="0" xfId="0" applyNumberFormat="1" applyFont="1" applyFill="1"/>
    <xf numFmtId="2" fontId="3" fillId="3" borderId="0" xfId="0" applyNumberFormat="1" applyFont="1" applyFill="1" applyAlignment="1">
      <alignment vertical="center"/>
    </xf>
    <xf numFmtId="164" fontId="3" fillId="3" borderId="0" xfId="0" applyNumberFormat="1" applyFont="1" applyFill="1" applyAlignment="1">
      <alignment horizontal="right"/>
    </xf>
    <xf numFmtId="0" fontId="3" fillId="3" borderId="0" xfId="0" applyFont="1" applyFill="1" applyAlignment="1">
      <alignment horizontal="left"/>
    </xf>
    <xf numFmtId="2" fontId="3" fillId="3" borderId="0" xfId="0" applyNumberFormat="1" applyFont="1" applyFill="1" applyAlignment="1">
      <alignment horizontal="right"/>
    </xf>
    <xf numFmtId="0" fontId="3" fillId="3" borderId="0" xfId="0" applyFont="1" applyFill="1" applyAlignment="1">
      <alignment horizontal="center" vertical="center"/>
    </xf>
    <xf numFmtId="0" fontId="3" fillId="3" borderId="0" xfId="0" applyFont="1" applyFill="1" applyAlignment="1">
      <alignment horizontal="right"/>
    </xf>
    <xf numFmtId="14" fontId="3" fillId="3" borderId="0" xfId="0" applyNumberFormat="1" applyFont="1" applyFill="1" applyAlignment="1">
      <alignment horizontal="right"/>
    </xf>
    <xf numFmtId="0" fontId="3" fillId="6" borderId="0" xfId="0" applyFont="1" applyFill="1"/>
    <xf numFmtId="164" fontId="3" fillId="6" borderId="0" xfId="0" applyNumberFormat="1" applyFont="1" applyFill="1" applyAlignment="1">
      <alignment horizontal="center"/>
    </xf>
    <xf numFmtId="8" fontId="3" fillId="6" borderId="0" xfId="0" applyNumberFormat="1" applyFont="1" applyFill="1" applyAlignment="1">
      <alignment horizontal="center"/>
    </xf>
    <xf numFmtId="164" fontId="3" fillId="6" borderId="0" xfId="0" applyNumberFormat="1" applyFont="1" applyFill="1"/>
    <xf numFmtId="165" fontId="3" fillId="6" borderId="0" xfId="0" applyNumberFormat="1" applyFont="1" applyFill="1"/>
    <xf numFmtId="2" fontId="3" fillId="6" borderId="0" xfId="0" applyNumberFormat="1" applyFont="1" applyFill="1"/>
    <xf numFmtId="2" fontId="3" fillId="6" borderId="0" xfId="0" applyNumberFormat="1" applyFont="1" applyFill="1" applyAlignment="1">
      <alignment vertical="center"/>
    </xf>
    <xf numFmtId="164" fontId="3" fillId="6" borderId="0" xfId="0" applyNumberFormat="1" applyFont="1" applyFill="1" applyAlignment="1">
      <alignment horizontal="right"/>
    </xf>
    <xf numFmtId="2" fontId="3" fillId="6" borderId="0" xfId="0" applyNumberFormat="1" applyFont="1" applyFill="1" applyAlignment="1">
      <alignment horizontal="right"/>
    </xf>
    <xf numFmtId="0" fontId="3" fillId="3" borderId="0" xfId="0" applyFont="1" applyFill="1" applyAlignment="1">
      <alignment horizontal="center"/>
    </xf>
    <xf numFmtId="0" fontId="3" fillId="4" borderId="0" xfId="0" applyFont="1" applyFill="1"/>
    <xf numFmtId="0" fontId="18" fillId="0" borderId="0" xfId="1" applyFont="1" applyFill="1"/>
    <xf numFmtId="0" fontId="3" fillId="6" borderId="0" xfId="0" applyFont="1" applyFill="1" applyAlignment="1">
      <alignment horizontal="center"/>
    </xf>
    <xf numFmtId="0" fontId="3" fillId="6" borderId="0" xfId="0" applyFont="1" applyFill="1" applyAlignment="1">
      <alignment horizontal="center" vertical="center"/>
    </xf>
    <xf numFmtId="164" fontId="3" fillId="6" borderId="0" xfId="0" applyNumberFormat="1" applyFont="1" applyFill="1" applyAlignment="1">
      <alignment horizontal="left"/>
    </xf>
    <xf numFmtId="14" fontId="3" fillId="6" borderId="0" xfId="0" applyNumberFormat="1" applyFont="1" applyFill="1"/>
    <xf numFmtId="0" fontId="3" fillId="5" borderId="0" xfId="0" applyFont="1" applyFill="1"/>
    <xf numFmtId="164" fontId="3" fillId="5" borderId="0" xfId="0" applyNumberFormat="1" applyFont="1" applyFill="1"/>
    <xf numFmtId="0" fontId="3" fillId="6" borderId="0" xfId="0" applyFont="1" applyFill="1" applyAlignment="1">
      <alignment horizontal="right"/>
    </xf>
    <xf numFmtId="49" fontId="3" fillId="6" borderId="0" xfId="0" applyNumberFormat="1" applyFont="1" applyFill="1"/>
    <xf numFmtId="14" fontId="3" fillId="3" borderId="0" xfId="0" applyNumberFormat="1" applyFont="1" applyFill="1"/>
    <xf numFmtId="164" fontId="3" fillId="3" borderId="0" xfId="0" applyNumberFormat="1" applyFont="1" applyFill="1" applyAlignment="1">
      <alignment horizontal="left"/>
    </xf>
    <xf numFmtId="0" fontId="3" fillId="3" borderId="0" xfId="0" applyFont="1" applyFill="1" applyAlignment="1">
      <alignment vertical="center"/>
    </xf>
    <xf numFmtId="14" fontId="3" fillId="6" borderId="0" xfId="0" applyNumberFormat="1" applyFont="1" applyFill="1" applyAlignment="1">
      <alignment horizontal="center"/>
    </xf>
    <xf numFmtId="0" fontId="3" fillId="2" borderId="0" xfId="0" applyFont="1" applyFill="1" applyAlignment="1">
      <alignment vertical="center"/>
    </xf>
    <xf numFmtId="164" fontId="2" fillId="3" borderId="0" xfId="0" applyNumberFormat="1" applyFont="1" applyFill="1"/>
    <xf numFmtId="49" fontId="3" fillId="3" borderId="0" xfId="0" applyNumberFormat="1" applyFont="1" applyFill="1"/>
    <xf numFmtId="14" fontId="3" fillId="3" borderId="0" xfId="0" applyNumberFormat="1" applyFont="1" applyFill="1" applyAlignment="1">
      <alignment horizontal="center"/>
    </xf>
    <xf numFmtId="14" fontId="3" fillId="0" borderId="0" xfId="0" applyNumberFormat="1"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center"/>
    </xf>
    <xf numFmtId="0" fontId="3" fillId="0" borderId="0" xfId="0" applyFont="1" applyAlignment="1">
      <alignment horizontal="right" vertical="center"/>
    </xf>
    <xf numFmtId="0" fontId="5" fillId="0" borderId="0" xfId="1" applyFill="1" applyAlignment="1">
      <alignment horizontal="left"/>
    </xf>
    <xf numFmtId="0" fontId="3" fillId="5" borderId="0" xfId="0" applyFont="1" applyFill="1" applyAlignment="1">
      <alignment horizontal="left"/>
    </xf>
    <xf numFmtId="2" fontId="3" fillId="5" borderId="0" xfId="0" applyNumberFormat="1" applyFont="1" applyFill="1"/>
    <xf numFmtId="164" fontId="3" fillId="5" borderId="0" xfId="0" applyNumberFormat="1" applyFont="1" applyFill="1" applyAlignment="1">
      <alignment horizontal="right"/>
    </xf>
    <xf numFmtId="14" fontId="3" fillId="5" borderId="0" xfId="0" applyNumberFormat="1" applyFont="1" applyFill="1"/>
    <xf numFmtId="164" fontId="3" fillId="0" borderId="0" xfId="2" applyNumberFormat="1" applyFont="1" applyFill="1"/>
    <xf numFmtId="164" fontId="0" fillId="0" borderId="0" xfId="2" applyNumberFormat="1" applyFont="1" applyFill="1"/>
    <xf numFmtId="164" fontId="0" fillId="0" borderId="0" xfId="2" applyNumberFormat="1" applyFont="1"/>
    <xf numFmtId="164" fontId="3" fillId="0" borderId="0" xfId="2" applyNumberFormat="1" applyFont="1" applyAlignment="1">
      <alignment horizontal="center"/>
    </xf>
    <xf numFmtId="0" fontId="0" fillId="7" borderId="0" xfId="0" applyFill="1"/>
    <xf numFmtId="165" fontId="3" fillId="0" borderId="0" xfId="0" applyNumberFormat="1" applyFont="1" applyAlignment="1">
      <alignment horizontal="right"/>
    </xf>
    <xf numFmtId="10" fontId="3" fillId="0" borderId="0" xfId="0" applyNumberFormat="1" applyFont="1" applyAlignment="1">
      <alignment horizontal="right"/>
    </xf>
    <xf numFmtId="4" fontId="3" fillId="0" borderId="0" xfId="0" applyNumberFormat="1" applyFont="1"/>
    <xf numFmtId="164" fontId="3" fillId="5" borderId="0" xfId="0" applyNumberFormat="1" applyFont="1" applyFill="1" applyAlignment="1">
      <alignment horizontal="left"/>
    </xf>
    <xf numFmtId="2" fontId="3" fillId="5" borderId="0" xfId="0" applyNumberFormat="1" applyFont="1" applyFill="1" applyAlignment="1">
      <alignment horizontal="right"/>
    </xf>
    <xf numFmtId="0" fontId="0" fillId="2" borderId="0" xfId="0" applyFill="1" applyAlignment="1">
      <alignment horizontal="center"/>
    </xf>
    <xf numFmtId="0" fontId="0" fillId="2" borderId="0" xfId="0" applyFill="1" applyAlignment="1">
      <alignment horizontal="left"/>
    </xf>
    <xf numFmtId="164" fontId="0" fillId="2" borderId="0" xfId="0" applyNumberFormat="1" applyFill="1"/>
    <xf numFmtId="14" fontId="0" fillId="2" borderId="0" xfId="0" applyNumberFormat="1" applyFill="1"/>
    <xf numFmtId="0" fontId="0" fillId="2" borderId="0" xfId="0" applyFill="1" applyAlignment="1">
      <alignment horizontal="right"/>
    </xf>
    <xf numFmtId="49" fontId="0" fillId="2" borderId="0" xfId="0" applyNumberFormat="1" applyFill="1"/>
    <xf numFmtId="0" fontId="0" fillId="2" borderId="0" xfId="0" applyFill="1" applyAlignment="1">
      <alignment vertical="center"/>
    </xf>
    <xf numFmtId="14" fontId="0" fillId="2" borderId="0" xfId="0" applyNumberFormat="1" applyFill="1" applyAlignment="1">
      <alignment horizontal="right" vertical="center"/>
    </xf>
    <xf numFmtId="49" fontId="0" fillId="0" borderId="0" xfId="0" applyNumberFormat="1" applyAlignment="1">
      <alignment vertical="center"/>
    </xf>
    <xf numFmtId="14" fontId="0" fillId="2" borderId="0" xfId="0" applyNumberFormat="1" applyFill="1" applyAlignment="1">
      <alignment horizontal="right"/>
    </xf>
    <xf numFmtId="14" fontId="3" fillId="0" borderId="0" xfId="0" applyNumberFormat="1" applyFont="1" applyAlignment="1">
      <alignment vertical="center"/>
    </xf>
    <xf numFmtId="14" fontId="0" fillId="0" borderId="0" xfId="0" applyNumberFormat="1" applyAlignment="1">
      <alignment vertical="center"/>
    </xf>
    <xf numFmtId="14" fontId="0" fillId="2" borderId="0" xfId="0" applyNumberFormat="1" applyFill="1" applyAlignment="1">
      <alignment vertical="center"/>
    </xf>
    <xf numFmtId="2" fontId="3" fillId="0" borderId="0" xfId="0" applyNumberFormat="1" applyFont="1" applyAlignment="1">
      <alignment horizontal="right" vertical="center"/>
    </xf>
    <xf numFmtId="49" fontId="0" fillId="0" borderId="0" xfId="0" applyNumberFormat="1" applyAlignment="1">
      <alignment horizontal="left"/>
    </xf>
    <xf numFmtId="49" fontId="3" fillId="0" borderId="0" xfId="0" applyNumberFormat="1" applyFont="1" applyAlignment="1">
      <alignment vertical="center"/>
    </xf>
    <xf numFmtId="49" fontId="3" fillId="0" borderId="0" xfId="0" applyNumberFormat="1" applyFont="1" applyAlignment="1">
      <alignment horizontal="right"/>
    </xf>
    <xf numFmtId="49" fontId="3" fillId="0" borderId="0" xfId="0" applyNumberFormat="1" applyFont="1" applyAlignment="1">
      <alignment horizontal="left"/>
    </xf>
    <xf numFmtId="0" fontId="0" fillId="3" borderId="0" xfId="0" applyFill="1" applyAlignment="1">
      <alignment horizontal="center"/>
    </xf>
    <xf numFmtId="0" fontId="0" fillId="3" borderId="0" xfId="0" applyFill="1" applyAlignment="1">
      <alignment horizontal="right"/>
    </xf>
    <xf numFmtId="14" fontId="0" fillId="3" borderId="0" xfId="0" applyNumberFormat="1" applyFill="1" applyAlignment="1">
      <alignment horizontal="right"/>
    </xf>
    <xf numFmtId="164" fontId="0" fillId="3" borderId="0" xfId="0" applyNumberFormat="1" applyFill="1"/>
    <xf numFmtId="49" fontId="0" fillId="3" borderId="0" xfId="0" applyNumberFormat="1" applyFill="1"/>
    <xf numFmtId="14" fontId="0" fillId="3" borderId="0" xfId="0" applyNumberFormat="1" applyFill="1"/>
    <xf numFmtId="2" fontId="0" fillId="3" borderId="0" xfId="0" applyNumberFormat="1" applyFill="1"/>
    <xf numFmtId="49" fontId="0" fillId="2" borderId="0" xfId="0" applyNumberFormat="1" applyFill="1" applyAlignment="1">
      <alignment horizontal="left"/>
    </xf>
    <xf numFmtId="49" fontId="3" fillId="0" borderId="0" xfId="0" applyNumberFormat="1" applyFont="1" applyAlignment="1">
      <alignment horizontal="center"/>
    </xf>
    <xf numFmtId="49" fontId="0" fillId="0" borderId="0" xfId="0" applyNumberFormat="1" applyAlignment="1">
      <alignment horizontal="right"/>
    </xf>
    <xf numFmtId="49" fontId="0" fillId="0" borderId="0" xfId="0" applyNumberFormat="1" applyAlignment="1">
      <alignment horizontal="center"/>
    </xf>
    <xf numFmtId="49" fontId="0" fillId="2" borderId="0" xfId="0" applyNumberFormat="1" applyFill="1" applyAlignment="1">
      <alignment horizontal="center"/>
    </xf>
    <xf numFmtId="49" fontId="0" fillId="2" borderId="0" xfId="0" applyNumberFormat="1" applyFill="1" applyAlignment="1">
      <alignment horizontal="right"/>
    </xf>
    <xf numFmtId="49" fontId="0" fillId="2" borderId="0" xfId="0" applyNumberFormat="1" applyFill="1" applyAlignment="1">
      <alignment vertical="center"/>
    </xf>
    <xf numFmtId="49" fontId="0" fillId="3" borderId="0" xfId="0" applyNumberFormat="1" applyFill="1" applyAlignment="1">
      <alignment horizontal="left"/>
    </xf>
    <xf numFmtId="49" fontId="0" fillId="3" borderId="0" xfId="0" applyNumberFormat="1" applyFill="1" applyAlignment="1">
      <alignment horizontal="right"/>
    </xf>
    <xf numFmtId="2" fontId="3" fillId="8" borderId="0" xfId="0" applyNumberFormat="1" applyFont="1" applyFill="1"/>
    <xf numFmtId="0" fontId="3" fillId="7" borderId="0" xfId="0" applyFont="1" applyFill="1"/>
    <xf numFmtId="49" fontId="0" fillId="7" borderId="0" xfId="0" applyNumberFormat="1" applyFill="1"/>
    <xf numFmtId="49" fontId="0" fillId="7" borderId="0" xfId="0" applyNumberFormat="1" applyFill="1" applyAlignment="1">
      <alignment horizontal="left"/>
    </xf>
    <xf numFmtId="49" fontId="0" fillId="7" borderId="0" xfId="0" applyNumberFormat="1" applyFill="1" applyAlignment="1">
      <alignment horizontal="right"/>
    </xf>
    <xf numFmtId="49" fontId="0" fillId="7" borderId="0" xfId="0" applyNumberFormat="1" applyFill="1" applyAlignment="1">
      <alignment vertical="center"/>
    </xf>
    <xf numFmtId="0" fontId="0" fillId="7" borderId="0" xfId="0" applyFill="1" applyAlignment="1">
      <alignment horizontal="center"/>
    </xf>
    <xf numFmtId="14" fontId="0" fillId="7" borderId="0" xfId="0" applyNumberFormat="1" applyFill="1" applyAlignment="1">
      <alignment horizontal="right"/>
    </xf>
    <xf numFmtId="14" fontId="0" fillId="7" borderId="0" xfId="0" applyNumberFormat="1" applyFill="1" applyAlignment="1">
      <alignment horizontal="right" vertical="center"/>
    </xf>
    <xf numFmtId="14" fontId="0" fillId="7" borderId="0" xfId="0" applyNumberFormat="1" applyFill="1" applyAlignment="1">
      <alignment vertical="center"/>
    </xf>
    <xf numFmtId="0" fontId="0" fillId="7" borderId="0" xfId="0" applyFill="1" applyAlignment="1">
      <alignment horizontal="right"/>
    </xf>
    <xf numFmtId="164" fontId="3" fillId="7" borderId="0" xfId="0" applyNumberFormat="1" applyFont="1" applyFill="1" applyAlignment="1">
      <alignment horizontal="center"/>
    </xf>
    <xf numFmtId="8" fontId="3" fillId="7" borderId="0" xfId="0" applyNumberFormat="1" applyFont="1" applyFill="1" applyAlignment="1">
      <alignment horizontal="center"/>
    </xf>
    <xf numFmtId="164" fontId="3" fillId="7" borderId="0" xfId="0" applyNumberFormat="1" applyFont="1" applyFill="1"/>
    <xf numFmtId="165" fontId="3" fillId="7" borderId="0" xfId="0" applyNumberFormat="1" applyFont="1" applyFill="1"/>
    <xf numFmtId="2" fontId="3" fillId="7" borderId="0" xfId="0" applyNumberFormat="1" applyFont="1" applyFill="1"/>
    <xf numFmtId="164" fontId="3" fillId="7" borderId="0" xfId="0" applyNumberFormat="1" applyFont="1" applyFill="1" applyAlignment="1">
      <alignment horizontal="right"/>
    </xf>
    <xf numFmtId="10" fontId="3" fillId="7" borderId="0" xfId="0" applyNumberFormat="1" applyFont="1" applyFill="1"/>
    <xf numFmtId="2" fontId="3" fillId="7" borderId="0" xfId="0" applyNumberFormat="1" applyFont="1" applyFill="1" applyAlignment="1">
      <alignment vertical="center"/>
    </xf>
    <xf numFmtId="164" fontId="0" fillId="7" borderId="0" xfId="0" applyNumberFormat="1" applyFill="1"/>
    <xf numFmtId="0" fontId="3" fillId="7" borderId="0" xfId="0" applyFont="1" applyFill="1" applyAlignment="1">
      <alignment horizontal="left"/>
    </xf>
    <xf numFmtId="14" fontId="0" fillId="7" borderId="0" xfId="0" applyNumberFormat="1" applyFill="1"/>
    <xf numFmtId="14" fontId="3" fillId="7" borderId="0" xfId="0" applyNumberFormat="1" applyFont="1" applyFill="1"/>
    <xf numFmtId="164" fontId="3" fillId="4" borderId="0" xfId="0" applyNumberFormat="1" applyFont="1" applyFill="1" applyAlignment="1">
      <alignment horizontal="center"/>
    </xf>
    <xf numFmtId="8" fontId="3" fillId="4" borderId="0" xfId="0" applyNumberFormat="1" applyFont="1" applyFill="1" applyAlignment="1">
      <alignment horizontal="center"/>
    </xf>
    <xf numFmtId="164" fontId="3" fillId="4" borderId="0" xfId="0" applyNumberFormat="1" applyFont="1" applyFill="1"/>
    <xf numFmtId="165" fontId="3" fillId="4" borderId="0" xfId="0" applyNumberFormat="1" applyFont="1" applyFill="1"/>
    <xf numFmtId="2" fontId="3" fillId="4" borderId="0" xfId="0" applyNumberFormat="1" applyFont="1" applyFill="1"/>
    <xf numFmtId="164" fontId="3" fillId="4" borderId="0" xfId="0" applyNumberFormat="1" applyFont="1" applyFill="1" applyAlignment="1">
      <alignment horizontal="right"/>
    </xf>
    <xf numFmtId="10" fontId="3" fillId="4" borderId="0" xfId="0" applyNumberFormat="1" applyFont="1" applyFill="1"/>
    <xf numFmtId="2" fontId="3" fillId="4" borderId="0" xfId="0" applyNumberFormat="1" applyFont="1" applyFill="1" applyAlignment="1">
      <alignment vertical="center"/>
    </xf>
    <xf numFmtId="0" fontId="3" fillId="4" borderId="0" xfId="0" applyFont="1" applyFill="1" applyAlignment="1">
      <alignment horizontal="left"/>
    </xf>
    <xf numFmtId="0" fontId="3" fillId="4" borderId="0" xfId="0" applyFont="1" applyFill="1" applyAlignment="1">
      <alignment horizontal="right"/>
    </xf>
    <xf numFmtId="0" fontId="0" fillId="4" borderId="0" xfId="0" applyFill="1"/>
    <xf numFmtId="49" fontId="0" fillId="4" borderId="0" xfId="0" applyNumberFormat="1" applyFill="1"/>
    <xf numFmtId="49" fontId="0" fillId="4" borderId="0" xfId="0" applyNumberFormat="1" applyFill="1" applyAlignment="1">
      <alignment horizontal="center"/>
    </xf>
    <xf numFmtId="49" fontId="0" fillId="4" borderId="0" xfId="0" applyNumberFormat="1" applyFill="1" applyAlignment="1">
      <alignment horizontal="left"/>
    </xf>
    <xf numFmtId="49" fontId="0" fillId="4" borderId="0" xfId="0" applyNumberFormat="1" applyFill="1" applyAlignment="1">
      <alignment horizontal="right"/>
    </xf>
    <xf numFmtId="49" fontId="0" fillId="4" borderId="0" xfId="0" applyNumberFormat="1" applyFill="1" applyAlignment="1">
      <alignment vertical="center"/>
    </xf>
    <xf numFmtId="0" fontId="0" fillId="4" borderId="0" xfId="0" applyFill="1" applyAlignment="1">
      <alignment horizontal="center"/>
    </xf>
    <xf numFmtId="14" fontId="0" fillId="4" borderId="0" xfId="0" applyNumberFormat="1" applyFill="1" applyAlignment="1">
      <alignment horizontal="right"/>
    </xf>
    <xf numFmtId="164" fontId="0" fillId="4" borderId="0" xfId="0" applyNumberFormat="1" applyFill="1"/>
    <xf numFmtId="14" fontId="0" fillId="4" borderId="0" xfId="0" applyNumberFormat="1" applyFill="1"/>
    <xf numFmtId="14" fontId="0" fillId="4" borderId="0" xfId="0" applyNumberFormat="1" applyFill="1" applyAlignment="1">
      <alignment horizontal="right" vertical="center"/>
    </xf>
    <xf numFmtId="0" fontId="0" fillId="4" borderId="0" xfId="0" applyFill="1" applyAlignment="1">
      <alignment horizontal="right"/>
    </xf>
    <xf numFmtId="49" fontId="0" fillId="7" borderId="0" xfId="0" applyNumberFormat="1" applyFill="1" applyAlignment="1">
      <alignment horizontal="center"/>
    </xf>
    <xf numFmtId="49" fontId="5" fillId="0" borderId="0" xfId="1" applyNumberFormat="1" applyFill="1"/>
    <xf numFmtId="49" fontId="0" fillId="3" borderId="0" xfId="0" applyNumberFormat="1" applyFill="1" applyAlignment="1">
      <alignment vertical="center"/>
    </xf>
    <xf numFmtId="14" fontId="0" fillId="3" borderId="0" xfId="0" applyNumberFormat="1" applyFill="1" applyAlignment="1">
      <alignment horizontal="right" vertical="center"/>
    </xf>
    <xf numFmtId="14" fontId="0" fillId="3" borderId="0" xfId="0" applyNumberFormat="1" applyFill="1" applyAlignment="1">
      <alignment vertical="center"/>
    </xf>
    <xf numFmtId="2" fontId="0" fillId="2" borderId="0" xfId="0" applyNumberFormat="1" applyFill="1"/>
    <xf numFmtId="49" fontId="3" fillId="2" borderId="0" xfId="0" applyNumberFormat="1" applyFont="1" applyFill="1" applyAlignment="1">
      <alignment horizontal="left"/>
    </xf>
    <xf numFmtId="8" fontId="0" fillId="2" borderId="0" xfId="0" applyNumberFormat="1" applyFill="1"/>
    <xf numFmtId="2" fontId="0" fillId="2" borderId="0" xfId="0" applyNumberFormat="1" applyFill="1" applyAlignment="1">
      <alignment horizontal="right"/>
    </xf>
    <xf numFmtId="164" fontId="3" fillId="2" borderId="0" xfId="2" applyNumberFormat="1" applyFont="1" applyFill="1" applyAlignment="1">
      <alignment horizontal="center"/>
    </xf>
    <xf numFmtId="164" fontId="0" fillId="2" borderId="0" xfId="2" applyNumberFormat="1" applyFont="1" applyFill="1"/>
    <xf numFmtId="0" fontId="5" fillId="2" borderId="0" xfId="1" applyFill="1"/>
    <xf numFmtId="164" fontId="22" fillId="0" borderId="0" xfId="0" applyNumberFormat="1" applyFont="1"/>
    <xf numFmtId="164" fontId="0" fillId="2" borderId="0" xfId="0" applyNumberFormat="1" applyFill="1" applyAlignment="1">
      <alignment horizontal="right"/>
    </xf>
    <xf numFmtId="164" fontId="22" fillId="2" borderId="0" xfId="0" applyNumberFormat="1" applyFont="1" applyFill="1"/>
    <xf numFmtId="14" fontId="0" fillId="4" borderId="0" xfId="0" applyNumberFormat="1" applyFill="1" applyAlignment="1">
      <alignment vertical="center"/>
    </xf>
    <xf numFmtId="2" fontId="0" fillId="4" borderId="0" xfId="0" applyNumberFormat="1" applyFill="1"/>
    <xf numFmtId="14" fontId="3" fillId="4" borderId="0" xfId="0" applyNumberFormat="1" applyFont="1" applyFill="1"/>
    <xf numFmtId="49" fontId="3" fillId="4" borderId="0" xfId="0" applyNumberFormat="1" applyFont="1" applyFill="1"/>
    <xf numFmtId="0" fontId="3" fillId="0" borderId="0" xfId="0" applyFont="1" applyAlignment="1">
      <alignment horizontal="left" vertical="center"/>
    </xf>
    <xf numFmtId="0" fontId="4" fillId="0" borderId="0" xfId="0" applyFont="1" applyAlignment="1">
      <alignment vertical="center"/>
    </xf>
    <xf numFmtId="0" fontId="0" fillId="0" borderId="0" xfId="0" quotePrefix="1"/>
    <xf numFmtId="2" fontId="0" fillId="0" borderId="0" xfId="0" applyNumberFormat="1" applyAlignment="1">
      <alignment vertical="center"/>
    </xf>
    <xf numFmtId="0" fontId="4" fillId="0" borderId="0" xfId="0" applyFont="1" applyAlignment="1">
      <alignment horizontal="left" vertical="center"/>
    </xf>
    <xf numFmtId="0" fontId="4" fillId="0" borderId="0" xfId="0" applyFont="1" applyAlignment="1">
      <alignment horizontal="justify" vertical="center"/>
    </xf>
    <xf numFmtId="0" fontId="3" fillId="0" borderId="0" xfId="0" applyFont="1" applyAlignment="1">
      <alignment horizontal="justify" vertical="center"/>
    </xf>
    <xf numFmtId="0" fontId="0" fillId="0" borderId="0" xfId="0" applyAlignment="1">
      <alignment horizontal="justify" vertical="center"/>
    </xf>
    <xf numFmtId="0" fontId="4" fillId="0" borderId="0" xfId="0" applyFont="1" applyAlignment="1">
      <alignment horizontal="left" vertical="center" indent="3"/>
    </xf>
    <xf numFmtId="0" fontId="2" fillId="0" borderId="0" xfId="0" applyFont="1"/>
    <xf numFmtId="0" fontId="3" fillId="0" borderId="0" xfId="0" applyFont="1" applyAlignment="1">
      <alignment vertical="top"/>
    </xf>
    <xf numFmtId="0" fontId="10" fillId="0" borderId="0" xfId="0" applyFont="1" applyAlignment="1">
      <alignment vertical="center"/>
    </xf>
    <xf numFmtId="0" fontId="14" fillId="0" borderId="0" xfId="0" applyFont="1"/>
    <xf numFmtId="164" fontId="3" fillId="0" borderId="0" xfId="0" applyNumberFormat="1" applyFont="1" applyAlignment="1">
      <alignment vertical="center"/>
    </xf>
    <xf numFmtId="166" fontId="0" fillId="0" borderId="0" xfId="0" applyNumberFormat="1" applyAlignment="1">
      <alignment horizontal="left"/>
    </xf>
    <xf numFmtId="168" fontId="0" fillId="0" borderId="0" xfId="0" applyNumberFormat="1" applyAlignment="1">
      <alignment horizontal="left"/>
    </xf>
    <xf numFmtId="0" fontId="6" fillId="0" borderId="0" xfId="0" applyFont="1"/>
    <xf numFmtId="0" fontId="0" fillId="0" borderId="0" xfId="0" applyAlignment="1">
      <alignment horizontal="left" vertical="center"/>
    </xf>
    <xf numFmtId="20" fontId="0" fillId="0" borderId="0" xfId="0" applyNumberFormat="1" applyAlignment="1">
      <alignment horizontal="center"/>
    </xf>
    <xf numFmtId="49" fontId="3" fillId="0" borderId="0" xfId="0" applyNumberFormat="1" applyFont="1" applyAlignment="1">
      <alignment horizontal="left" vertical="center"/>
    </xf>
    <xf numFmtId="0" fontId="7" fillId="0" borderId="0" xfId="0" applyFont="1" applyAlignment="1">
      <alignment vertical="center"/>
    </xf>
    <xf numFmtId="4" fontId="3" fillId="0" borderId="0" xfId="0" applyNumberFormat="1" applyFont="1" applyAlignment="1">
      <alignment horizontal="left"/>
    </xf>
    <xf numFmtId="0" fontId="2" fillId="0" borderId="0" xfId="0" applyFont="1" applyAlignment="1">
      <alignment horizontal="right"/>
    </xf>
    <xf numFmtId="164" fontId="2" fillId="0" borderId="0" xfId="0" applyNumberFormat="1" applyFont="1"/>
    <xf numFmtId="164" fontId="2" fillId="0" borderId="0" xfId="0" applyNumberFormat="1" applyFont="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applyAlignment="1">
      <alignment horizontal="left" vertical="center"/>
    </xf>
    <xf numFmtId="14" fontId="2" fillId="0" borderId="0" xfId="0" applyNumberFormat="1" applyFont="1" applyAlignment="1">
      <alignment horizontal="right"/>
    </xf>
    <xf numFmtId="8" fontId="2" fillId="0" borderId="0" xfId="0" applyNumberFormat="1" applyFont="1" applyAlignment="1">
      <alignment horizontal="center"/>
    </xf>
    <xf numFmtId="165" fontId="2" fillId="0" borderId="0" xfId="0" applyNumberFormat="1" applyFont="1"/>
    <xf numFmtId="2" fontId="2" fillId="0" borderId="0" xfId="0" applyNumberFormat="1" applyFont="1"/>
    <xf numFmtId="10" fontId="2" fillId="0" borderId="0" xfId="0" applyNumberFormat="1" applyFont="1"/>
    <xf numFmtId="2" fontId="2" fillId="0" borderId="0" xfId="0" applyNumberFormat="1" applyFont="1" applyAlignment="1">
      <alignment vertical="center"/>
    </xf>
    <xf numFmtId="164" fontId="2" fillId="0" borderId="0" xfId="0" applyNumberFormat="1" applyFont="1" applyAlignment="1">
      <alignment horizontal="right"/>
    </xf>
    <xf numFmtId="2" fontId="2" fillId="0" borderId="0" xfId="0" applyNumberFormat="1" applyFont="1" applyAlignment="1">
      <alignment horizontal="right"/>
    </xf>
    <xf numFmtId="14" fontId="2" fillId="0" borderId="0" xfId="0" applyNumberFormat="1" applyFont="1"/>
    <xf numFmtId="49" fontId="2" fillId="0" borderId="0" xfId="0" applyNumberFormat="1" applyFont="1"/>
    <xf numFmtId="164" fontId="0" fillId="0" borderId="0" xfId="0" applyNumberFormat="1" applyAlignment="1">
      <alignment vertical="center"/>
    </xf>
    <xf numFmtId="0" fontId="20" fillId="0" borderId="0" xfId="0" applyFont="1"/>
    <xf numFmtId="164" fontId="0" fillId="0" borderId="0" xfId="0" applyNumberFormat="1" applyAlignment="1">
      <alignment wrapText="1"/>
    </xf>
    <xf numFmtId="0" fontId="0" fillId="0" borderId="0" xfId="0" applyAlignment="1">
      <alignment horizontal="center" vertical="center"/>
    </xf>
    <xf numFmtId="20" fontId="3" fillId="0" borderId="0" xfId="0" applyNumberFormat="1" applyFont="1" applyAlignment="1">
      <alignment horizontal="right"/>
    </xf>
    <xf numFmtId="15" fontId="3" fillId="0" borderId="0" xfId="0" applyNumberFormat="1" applyFont="1"/>
    <xf numFmtId="0" fontId="15" fillId="0" borderId="0" xfId="0" applyFont="1" applyAlignment="1">
      <alignment vertical="center"/>
    </xf>
    <xf numFmtId="0" fontId="4" fillId="0" borderId="0" xfId="0" applyFont="1"/>
    <xf numFmtId="0" fontId="3" fillId="0" borderId="0" xfId="0" applyFont="1" applyAlignment="1">
      <alignment wrapText="1"/>
    </xf>
    <xf numFmtId="0" fontId="13" fillId="0" borderId="0" xfId="0" applyFont="1"/>
    <xf numFmtId="0" fontId="12" fillId="0" borderId="0" xfId="0" applyFont="1"/>
    <xf numFmtId="0" fontId="7" fillId="0" borderId="0" xfId="0" applyFont="1" applyAlignment="1">
      <alignment horizontal="justify" vertical="center"/>
    </xf>
    <xf numFmtId="0" fontId="16" fillId="0" borderId="0" xfId="0" applyFont="1"/>
    <xf numFmtId="10" fontId="0" fillId="0" borderId="0" xfId="0" applyNumberFormat="1"/>
    <xf numFmtId="49" fontId="4" fillId="0" borderId="0" xfId="0" applyNumberFormat="1" applyFont="1" applyAlignment="1">
      <alignment vertical="center"/>
    </xf>
    <xf numFmtId="164" fontId="3" fillId="0" borderId="0" xfId="2" applyNumberFormat="1" applyFont="1" applyFill="1" applyAlignment="1">
      <alignment horizontal="center"/>
    </xf>
    <xf numFmtId="8" fontId="0" fillId="0" borderId="0" xfId="0" applyNumberFormat="1" applyAlignment="1">
      <alignment horizontal="right"/>
    </xf>
    <xf numFmtId="164" fontId="3" fillId="0" borderId="0" xfId="0" applyNumberFormat="1" applyFont="1" applyAlignment="1">
      <alignment horizontal="right" indent="1"/>
    </xf>
    <xf numFmtId="15" fontId="0" fillId="0" borderId="0" xfId="0" applyNumberFormat="1"/>
    <xf numFmtId="4" fontId="3" fillId="0" borderId="0" xfId="0" applyNumberFormat="1" applyFont="1" applyAlignment="1">
      <alignment horizontal="right"/>
    </xf>
    <xf numFmtId="14" fontId="3" fillId="4" borderId="0" xfId="0" applyNumberFormat="1" applyFont="1" applyFill="1" applyAlignment="1">
      <alignment horizontal="right"/>
    </xf>
    <xf numFmtId="14" fontId="3" fillId="4" borderId="0" xfId="0" applyNumberFormat="1" applyFont="1" applyFill="1" applyAlignment="1">
      <alignment horizontal="center"/>
    </xf>
    <xf numFmtId="49" fontId="3" fillId="2" borderId="0" xfId="0" applyNumberFormat="1" applyFont="1" applyFill="1" applyAlignment="1">
      <alignment horizontal="right"/>
    </xf>
    <xf numFmtId="10" fontId="3" fillId="4" borderId="0" xfId="0" applyNumberFormat="1" applyFont="1" applyFill="1" applyAlignment="1">
      <alignment horizontal="center"/>
    </xf>
    <xf numFmtId="49" fontId="3" fillId="0" borderId="0" xfId="0" applyNumberFormat="1" applyFont="1" applyFill="1"/>
    <xf numFmtId="49" fontId="3" fillId="0" borderId="0" xfId="0" applyNumberFormat="1" applyFont="1" applyFill="1" applyAlignment="1">
      <alignment horizontal="left"/>
    </xf>
    <xf numFmtId="49" fontId="0" fillId="0" borderId="0" xfId="0" applyNumberFormat="1" applyFill="1"/>
    <xf numFmtId="0" fontId="0" fillId="0" borderId="0" xfId="0" applyFill="1" applyAlignment="1">
      <alignment horizontal="right"/>
    </xf>
    <xf numFmtId="0" fontId="0" fillId="0" borderId="0" xfId="0" applyFill="1"/>
    <xf numFmtId="164" fontId="0" fillId="0" borderId="0" xfId="0" applyNumberFormat="1" applyFill="1"/>
    <xf numFmtId="164" fontId="3" fillId="0" borderId="0" xfId="0" applyNumberFormat="1" applyFont="1" applyFill="1"/>
    <xf numFmtId="164" fontId="0" fillId="0" borderId="0" xfId="0" applyNumberFormat="1" applyFill="1" applyAlignment="1">
      <alignment horizontal="left"/>
    </xf>
    <xf numFmtId="165" fontId="3" fillId="0" borderId="0" xfId="0" applyNumberFormat="1" applyFont="1" applyFill="1"/>
    <xf numFmtId="2" fontId="3" fillId="0" borderId="0" xfId="0" applyNumberFormat="1" applyFont="1" applyFill="1"/>
    <xf numFmtId="164" fontId="3" fillId="0" borderId="0" xfId="0" applyNumberFormat="1" applyFont="1" applyFill="1" applyAlignment="1">
      <alignment horizontal="right"/>
    </xf>
    <xf numFmtId="0" fontId="3" fillId="0" borderId="0" xfId="0" applyFont="1" applyFill="1" applyAlignment="1">
      <alignment horizontal="left"/>
    </xf>
    <xf numFmtId="14" fontId="0" fillId="0" borderId="0" xfId="0" applyNumberFormat="1" applyFill="1"/>
    <xf numFmtId="0" fontId="3" fillId="0" borderId="0" xfId="0" applyFont="1" applyFill="1"/>
    <xf numFmtId="14" fontId="3" fillId="0" borderId="0" xfId="0" applyNumberFormat="1" applyFont="1" applyFill="1"/>
    <xf numFmtId="0" fontId="3" fillId="0" borderId="0" xfId="0" applyFont="1" applyFill="1" applyAlignment="1">
      <alignment horizontal="right"/>
    </xf>
    <xf numFmtId="0" fontId="0" fillId="0" borderId="0" xfId="0" applyFill="1" applyAlignment="1">
      <alignment horizontal="left"/>
    </xf>
    <xf numFmtId="165" fontId="3" fillId="0" borderId="0" xfId="0" applyNumberFormat="1" applyFont="1" applyFill="1" applyAlignment="1">
      <alignment horizontal="right"/>
    </xf>
    <xf numFmtId="2" fontId="3" fillId="0" borderId="0" xfId="0" applyNumberFormat="1" applyFont="1" applyFill="1" applyAlignment="1">
      <alignment horizontal="right"/>
    </xf>
    <xf numFmtId="2" fontId="0" fillId="0" borderId="0" xfId="0" applyNumberFormat="1" applyFill="1"/>
    <xf numFmtId="0" fontId="0" fillId="0" borderId="0" xfId="0" applyFill="1" applyAlignment="1">
      <alignment vertical="center"/>
    </xf>
    <xf numFmtId="49" fontId="0" fillId="0" borderId="0" xfId="0" applyNumberFormat="1" applyFill="1" applyAlignment="1">
      <alignment vertical="center"/>
    </xf>
    <xf numFmtId="49" fontId="0" fillId="0" borderId="0" xfId="0" applyNumberFormat="1" applyFill="1" applyAlignment="1">
      <alignment horizontal="left"/>
    </xf>
    <xf numFmtId="0" fontId="3" fillId="0" borderId="0" xfId="0" applyFont="1" applyFill="1" applyAlignment="1">
      <alignment horizontal="right" vertical="center"/>
    </xf>
    <xf numFmtId="14" fontId="0" fillId="0" borderId="0" xfId="0" applyNumberFormat="1" applyFill="1" applyAlignment="1">
      <alignment horizontal="left"/>
    </xf>
    <xf numFmtId="164" fontId="3" fillId="0" borderId="0" xfId="0" applyNumberFormat="1" applyFont="1" applyFill="1" applyAlignment="1">
      <alignment horizontal="left"/>
    </xf>
    <xf numFmtId="8" fontId="0" fillId="0" borderId="0" xfId="0" applyNumberFormat="1" applyFill="1"/>
    <xf numFmtId="0" fontId="23" fillId="0" borderId="0" xfId="0" applyFont="1" applyFill="1" applyAlignment="1">
      <alignment vertical="center"/>
    </xf>
    <xf numFmtId="164" fontId="0" fillId="0" borderId="0" xfId="0" applyNumberFormat="1" applyFill="1" applyAlignment="1">
      <alignment horizontal="right"/>
    </xf>
    <xf numFmtId="0" fontId="25" fillId="0" borderId="0" xfId="0" applyFont="1"/>
    <xf numFmtId="0" fontId="25" fillId="0" borderId="0" xfId="0" applyFont="1" applyAlignment="1">
      <alignment horizontal="center"/>
    </xf>
    <xf numFmtId="0" fontId="25" fillId="0" borderId="0" xfId="0" applyFont="1" applyAlignment="1">
      <alignment horizontal="left"/>
    </xf>
    <xf numFmtId="0" fontId="25" fillId="0" borderId="0" xfId="0" applyFont="1" applyAlignment="1">
      <alignment vertical="center"/>
    </xf>
    <xf numFmtId="164" fontId="25" fillId="0" borderId="0" xfId="0" applyNumberFormat="1" applyFont="1"/>
    <xf numFmtId="164" fontId="25" fillId="0" borderId="0" xfId="0" applyNumberFormat="1" applyFont="1" applyAlignment="1">
      <alignment horizontal="left"/>
    </xf>
    <xf numFmtId="164" fontId="25" fillId="0" borderId="0" xfId="0" applyNumberFormat="1" applyFont="1" applyAlignment="1">
      <alignment horizontal="center"/>
    </xf>
    <xf numFmtId="0" fontId="25" fillId="0" borderId="0" xfId="0" applyFont="1" applyAlignment="1">
      <alignment horizontal="right" vertical="center"/>
    </xf>
    <xf numFmtId="14" fontId="25" fillId="0" borderId="0" xfId="0" applyNumberFormat="1" applyFont="1" applyAlignment="1">
      <alignment horizontal="right" vertical="center"/>
    </xf>
    <xf numFmtId="165" fontId="25" fillId="0" borderId="0" xfId="0" applyNumberFormat="1" applyFont="1"/>
    <xf numFmtId="2" fontId="25" fillId="0" borderId="0" xfId="0" applyNumberFormat="1" applyFont="1"/>
    <xf numFmtId="164" fontId="25" fillId="0" borderId="0" xfId="0" applyNumberFormat="1" applyFont="1" applyAlignment="1">
      <alignment horizontal="right"/>
    </xf>
    <xf numFmtId="14" fontId="25" fillId="0" borderId="0" xfId="0" applyNumberFormat="1" applyFont="1"/>
    <xf numFmtId="49" fontId="25" fillId="0" borderId="0" xfId="0" applyNumberFormat="1" applyFont="1"/>
    <xf numFmtId="0" fontId="24" fillId="0" borderId="0" xfId="0" applyFont="1"/>
    <xf numFmtId="2" fontId="25" fillId="0" borderId="0" xfId="0" applyNumberFormat="1" applyFont="1" applyAlignment="1">
      <alignment horizontal="right"/>
    </xf>
    <xf numFmtId="166" fontId="25" fillId="0" borderId="0" xfId="0" applyNumberFormat="1" applyFont="1"/>
    <xf numFmtId="164" fontId="25" fillId="0" borderId="0" xfId="2" applyNumberFormat="1" applyFont="1" applyFill="1"/>
    <xf numFmtId="0" fontId="25" fillId="0" borderId="0" xfId="0" applyFont="1" applyAlignment="1">
      <alignment horizontal="right"/>
    </xf>
    <xf numFmtId="0" fontId="25" fillId="0" borderId="0" xfId="0" applyFont="1" applyAlignment="1">
      <alignment horizontal="center" vertical="center"/>
    </xf>
    <xf numFmtId="14" fontId="25" fillId="0" borderId="0" xfId="0" applyNumberFormat="1" applyFont="1" applyAlignment="1">
      <alignment horizontal="left"/>
    </xf>
    <xf numFmtId="164" fontId="25" fillId="2" borderId="0" xfId="0" applyNumberFormat="1" applyFont="1" applyFill="1"/>
    <xf numFmtId="49" fontId="25" fillId="0" borderId="0" xfId="0" applyNumberFormat="1" applyFont="1" applyAlignment="1">
      <alignment horizontal="center"/>
    </xf>
    <xf numFmtId="49" fontId="25" fillId="0" borderId="0" xfId="0" applyNumberFormat="1" applyFont="1" applyAlignment="1">
      <alignment horizontal="left"/>
    </xf>
    <xf numFmtId="49" fontId="25" fillId="0" borderId="0" xfId="0" applyNumberFormat="1" applyFont="1" applyAlignment="1">
      <alignment vertical="center"/>
    </xf>
    <xf numFmtId="14" fontId="25" fillId="0" borderId="0" xfId="0" applyNumberFormat="1" applyFont="1" applyAlignment="1">
      <alignment vertical="center"/>
    </xf>
    <xf numFmtId="0" fontId="25" fillId="0" borderId="0" xfId="0" applyFont="1" applyAlignment="1">
      <alignment horizontal="left" vertical="center"/>
    </xf>
    <xf numFmtId="0" fontId="25" fillId="7" borderId="0" xfId="0" applyFont="1" applyFill="1"/>
    <xf numFmtId="49" fontId="25" fillId="0" borderId="0" xfId="0" applyNumberFormat="1" applyFont="1" applyFill="1" applyAlignment="1">
      <alignment horizontal="right"/>
    </xf>
    <xf numFmtId="49" fontId="25" fillId="0" borderId="0" xfId="0" applyNumberFormat="1" applyFont="1" applyFill="1"/>
    <xf numFmtId="49" fontId="25" fillId="0" borderId="0" xfId="0" applyNumberFormat="1" applyFont="1" applyFill="1" applyAlignment="1">
      <alignment horizontal="left"/>
    </xf>
    <xf numFmtId="49" fontId="24" fillId="0" borderId="0" xfId="0" applyNumberFormat="1" applyFont="1" applyFill="1"/>
  </cellXfs>
  <cellStyles count="3">
    <cellStyle name="Currency" xfId="2" builtinId="4"/>
    <cellStyle name="Hyperlink" xfId="1" builtinId="8"/>
    <cellStyle name="Normal" xfId="0" builtinId="0"/>
  </cellStyles>
  <dxfs count="2">
    <dxf>
      <font>
        <b/>
        <i val="0"/>
        <color rgb="FFC00000"/>
      </font>
      <fill>
        <patternFill patternType="none">
          <bgColor auto="1"/>
        </patternFill>
      </fill>
    </dxf>
    <dxf>
      <fill>
        <patternFill patternType="solid">
          <fgColor rgb="FF00B0F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bshall@hotmail.com" TargetMode="External"/><Relationship Id="rId13" Type="http://schemas.openxmlformats.org/officeDocument/2006/relationships/hyperlink" Target="mailto:debra@pdlaw.us" TargetMode="External"/><Relationship Id="rId18" Type="http://schemas.openxmlformats.org/officeDocument/2006/relationships/hyperlink" Target="mailto:billc121059@gmail.com" TargetMode="External"/><Relationship Id="rId3" Type="http://schemas.openxmlformats.org/officeDocument/2006/relationships/hyperlink" Target="mailto:jarrett.parton@framatome.com" TargetMode="External"/><Relationship Id="rId21" Type="http://schemas.openxmlformats.org/officeDocument/2006/relationships/comments" Target="../comments1.xml"/><Relationship Id="rId7" Type="http://schemas.openxmlformats.org/officeDocument/2006/relationships/hyperlink" Target="mailto:barbara.gaddy@gmail.com" TargetMode="External"/><Relationship Id="rId12" Type="http://schemas.openxmlformats.org/officeDocument/2006/relationships/hyperlink" Target="mailto:cgstilesjr@gmail.com" TargetMode="External"/><Relationship Id="rId17" Type="http://schemas.openxmlformats.org/officeDocument/2006/relationships/hyperlink" Target="mailto:drew.moses@vmf.com" TargetMode="External"/><Relationship Id="rId2" Type="http://schemas.openxmlformats.org/officeDocument/2006/relationships/hyperlink" Target="mailto:brinson@jjwlawva.com" TargetMode="External"/><Relationship Id="rId16" Type="http://schemas.openxmlformats.org/officeDocument/2006/relationships/hyperlink" Target="mailto:amanda@shoemakerlaw.net" TargetMode="External"/><Relationship Id="rId20" Type="http://schemas.openxmlformats.org/officeDocument/2006/relationships/vmlDrawing" Target="../drawings/vmlDrawing1.vml"/><Relationship Id="rId1" Type="http://schemas.openxmlformats.org/officeDocument/2006/relationships/hyperlink" Target="mailto:rosserlaw@aol.com" TargetMode="External"/><Relationship Id="rId6" Type="http://schemas.openxmlformats.org/officeDocument/2006/relationships/hyperlink" Target="mailto:randygoad670@yahoo.com" TargetMode="External"/><Relationship Id="rId11" Type="http://schemas.openxmlformats.org/officeDocument/2006/relationships/hyperlink" Target="mailto:amanda@shoemakerlaw.net" TargetMode="External"/><Relationship Id="rId5" Type="http://schemas.openxmlformats.org/officeDocument/2006/relationships/hyperlink" Target="mailto:randygoad670@yahoo.com" TargetMode="External"/><Relationship Id="rId15" Type="http://schemas.openxmlformats.org/officeDocument/2006/relationships/hyperlink" Target="mailto:drickwood61@gmail.com" TargetMode="External"/><Relationship Id="rId10" Type="http://schemas.openxmlformats.org/officeDocument/2006/relationships/hyperlink" Target="mailto:michelle@americantitle.us" TargetMode="External"/><Relationship Id="rId19" Type="http://schemas.openxmlformats.org/officeDocument/2006/relationships/printerSettings" Target="../printerSettings/printerSettings2.bin"/><Relationship Id="rId4" Type="http://schemas.openxmlformats.org/officeDocument/2006/relationships/hyperlink" Target="mailto:jsmart@daylawva.com" TargetMode="External"/><Relationship Id="rId9" Type="http://schemas.openxmlformats.org/officeDocument/2006/relationships/hyperlink" Target="mailto:Geralyn.Schaefer@usda.gov" TargetMode="External"/><Relationship Id="rId14" Type="http://schemas.openxmlformats.org/officeDocument/2006/relationships/hyperlink" Target="mailto:pamela.evans@reevanslaw.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B507D-2E1F-4597-BF1F-0CD5F634AE3D}">
  <sheetPr codeName="Sheet1"/>
  <dimension ref="A1:GP192"/>
  <sheetViews>
    <sheetView tabSelected="1" zoomScale="140" zoomScaleNormal="115" workbookViewId="0">
      <pane ySplit="1" topLeftCell="A2" activePane="bottomLeft" state="frozen"/>
      <selection pane="bottomLeft" sqref="A1:XFD1"/>
    </sheetView>
  </sheetViews>
  <sheetFormatPr defaultColWidth="9.140625" defaultRowHeight="15"/>
  <cols>
    <col min="1" max="1" width="11" style="296" bestFit="1" customWidth="1"/>
    <col min="2" max="2" width="25" style="297" bestFit="1" customWidth="1"/>
    <col min="3" max="3" width="16.140625" style="295" bestFit="1" customWidth="1"/>
    <col min="4" max="4" width="26.5703125" style="295" bestFit="1" customWidth="1"/>
    <col min="5" max="5" width="10.5703125" style="295" bestFit="1" customWidth="1"/>
    <col min="6" max="6" width="10.140625" style="295" bestFit="1" customWidth="1"/>
    <col min="7" max="7" width="6.140625" style="295" bestFit="1" customWidth="1"/>
    <col min="8" max="8" width="11.85546875" style="295" bestFit="1" customWidth="1"/>
    <col min="9" max="9" width="12.140625" style="295" bestFit="1" customWidth="1"/>
    <col min="10" max="10" width="11.7109375" style="295" bestFit="1" customWidth="1"/>
    <col min="11" max="11" width="7.7109375" style="295" bestFit="1" customWidth="1"/>
    <col min="12" max="12" width="22.7109375" style="297" bestFit="1" customWidth="1"/>
    <col min="13" max="13" width="22.5703125" style="297" bestFit="1" customWidth="1"/>
    <col min="14" max="14" width="16.28515625" style="297" bestFit="1" customWidth="1"/>
    <col min="15" max="15" width="29.85546875" style="297" bestFit="1" customWidth="1"/>
    <col min="16" max="16" width="23.140625" style="297" bestFit="1" customWidth="1"/>
    <col min="17" max="17" width="18.7109375" style="297" bestFit="1" customWidth="1"/>
    <col min="18" max="18" width="25.5703125" style="295" bestFit="1" customWidth="1"/>
    <col min="19" max="19" width="20.7109375" style="295" bestFit="1" customWidth="1"/>
    <col min="20" max="20" width="19.85546875" style="295" bestFit="1" customWidth="1"/>
    <col min="21" max="21" width="18.7109375" style="295" bestFit="1" customWidth="1"/>
    <col min="22" max="22" width="9" style="297" bestFit="1" customWidth="1"/>
    <col min="23" max="23" width="12.5703125" style="297" bestFit="1" customWidth="1"/>
    <col min="24" max="24" width="12.85546875" style="297" customWidth="1"/>
    <col min="25" max="25" width="25.28515625" style="297" bestFit="1" customWidth="1"/>
    <col min="26" max="26" width="14.7109375" style="297" bestFit="1" customWidth="1"/>
    <col min="27" max="27" width="10.28515625" style="297" bestFit="1" customWidth="1"/>
    <col min="28" max="28" width="12.140625" style="297" bestFit="1" customWidth="1"/>
    <col min="29" max="29" width="15.85546875" style="297" bestFit="1" customWidth="1"/>
    <col min="30" max="30" width="16.140625" style="297" bestFit="1" customWidth="1"/>
    <col min="31" max="31" width="25.28515625" style="297" bestFit="1" customWidth="1"/>
    <col min="32" max="32" width="17.85546875" style="297" bestFit="1" customWidth="1"/>
    <col min="33" max="33" width="13.5703125" style="297" bestFit="1" customWidth="1"/>
    <col min="34" max="34" width="12.85546875" style="297" customWidth="1"/>
    <col min="35" max="35" width="16.5703125" style="297" bestFit="1" customWidth="1"/>
    <col min="36" max="36" width="16.85546875" style="297" bestFit="1" customWidth="1"/>
    <col min="37" max="37" width="25.28515625" style="297" bestFit="1" customWidth="1"/>
    <col min="38" max="38" width="18.5703125" style="297" bestFit="1" customWidth="1"/>
    <col min="39" max="39" width="14.28515625" style="298" bestFit="1" customWidth="1"/>
    <col min="40" max="40" width="12.140625" style="298" bestFit="1" customWidth="1"/>
    <col min="41" max="41" width="15.85546875" style="297" bestFit="1" customWidth="1"/>
    <col min="42" max="42" width="16.140625" style="297" bestFit="1" customWidth="1"/>
    <col min="43" max="43" width="26.42578125" style="297" bestFit="1" customWidth="1"/>
    <col min="44" max="44" width="17.85546875" style="297" bestFit="1" customWidth="1"/>
    <col min="45" max="45" width="13.5703125" style="298" bestFit="1" customWidth="1"/>
    <col min="46" max="46" width="12.85546875" style="298" customWidth="1"/>
    <col min="47" max="47" width="16.5703125" style="297" bestFit="1" customWidth="1"/>
    <col min="48" max="48" width="16.85546875" style="297" bestFit="1" customWidth="1"/>
    <col min="49" max="49" width="26.42578125" style="297" bestFit="1" customWidth="1"/>
    <col min="50" max="50" width="18.5703125" style="297" bestFit="1" customWidth="1"/>
    <col min="51" max="51" width="14.28515625" style="298" bestFit="1" customWidth="1"/>
    <col min="52" max="52" width="12.140625" style="297" bestFit="1" customWidth="1"/>
    <col min="53" max="53" width="15.85546875" style="297" bestFit="1" customWidth="1"/>
    <col min="54" max="54" width="16.140625" style="297" bestFit="1" customWidth="1"/>
    <col min="55" max="55" width="26.42578125" style="297" bestFit="1" customWidth="1"/>
    <col min="56" max="56" width="17.85546875" style="297" bestFit="1" customWidth="1"/>
    <col min="57" max="57" width="13.5703125" style="298" bestFit="1" customWidth="1"/>
    <col min="58" max="58" width="12.85546875" style="298" customWidth="1"/>
    <col min="59" max="59" width="16.5703125" style="297" bestFit="1" customWidth="1"/>
    <col min="60" max="60" width="16.85546875" style="297" bestFit="1" customWidth="1"/>
    <col min="61" max="61" width="26.42578125" style="297" bestFit="1" customWidth="1"/>
    <col min="62" max="62" width="18.5703125" style="297" bestFit="1" customWidth="1"/>
    <col min="63" max="63" width="14.28515625" style="298" bestFit="1" customWidth="1"/>
    <col min="64" max="64" width="11" style="297" bestFit="1" customWidth="1"/>
    <col min="65" max="65" width="12.5703125" style="297" bestFit="1" customWidth="1"/>
    <col min="66" max="66" width="12.85546875" style="297" customWidth="1"/>
    <col min="67" max="67" width="11" style="321" bestFit="1" customWidth="1"/>
    <col min="68" max="68" width="10.5703125" style="297" bestFit="1" customWidth="1"/>
    <col min="69" max="69" width="12.7109375" style="312" bestFit="1" customWidth="1"/>
    <col min="70" max="70" width="19.42578125" style="298" bestFit="1" customWidth="1"/>
    <col min="71" max="71" width="22.140625" style="298" bestFit="1" customWidth="1"/>
    <col min="72" max="72" width="18.5703125" style="298" bestFit="1" customWidth="1"/>
    <col min="73" max="73" width="19.42578125" style="298" bestFit="1" customWidth="1"/>
    <col min="74" max="74" width="22.140625" style="298" bestFit="1" customWidth="1"/>
    <col min="75" max="75" width="18.5703125" style="298" bestFit="1" customWidth="1"/>
    <col min="76" max="76" width="14.42578125" style="295" customWidth="1"/>
    <col min="77" max="77" width="14" style="295" customWidth="1"/>
    <col min="78" max="83" width="14.42578125" style="295" customWidth="1"/>
    <col min="84" max="84" width="21.28515625" style="295" customWidth="1"/>
    <col min="85" max="85" width="14.42578125" style="295" customWidth="1"/>
    <col min="86" max="86" width="20.7109375" style="295" customWidth="1"/>
    <col min="87" max="87" width="17.28515625" style="295" customWidth="1"/>
    <col min="88" max="88" width="16.7109375" style="295" customWidth="1"/>
    <col min="89" max="89" width="14.42578125" style="295" customWidth="1"/>
    <col min="90" max="90" width="17.7109375" style="295" customWidth="1"/>
    <col min="91" max="91" width="14.42578125" style="295" customWidth="1"/>
    <col min="92" max="92" width="22.42578125" style="295" customWidth="1"/>
    <col min="93" max="93" width="23.28515625" style="295" customWidth="1"/>
    <col min="94" max="94" width="19.42578125" style="295" customWidth="1"/>
    <col min="95" max="95" width="17.28515625" style="295" customWidth="1"/>
    <col min="96" max="96" width="22.85546875" style="295" customWidth="1"/>
    <col min="97" max="101" width="14.42578125" style="295" customWidth="1"/>
    <col min="102" max="102" width="17" style="295" customWidth="1"/>
    <col min="103" max="105" width="14.42578125" style="295" customWidth="1"/>
    <col min="106" max="106" width="14.42578125" style="305" customWidth="1"/>
    <col min="107" max="108" width="14.42578125" style="295" customWidth="1"/>
    <col min="109" max="109" width="17.42578125" style="295" customWidth="1"/>
    <col min="110" max="110" width="18.7109375" style="295" customWidth="1"/>
    <col min="111" max="111" width="14.42578125" style="295" customWidth="1"/>
    <col min="112" max="112" width="19.7109375" style="295" customWidth="1"/>
    <col min="113" max="113" width="14.42578125" style="305" customWidth="1"/>
    <col min="114" max="114" width="14.42578125" style="295" customWidth="1"/>
    <col min="115" max="121" width="18.42578125" style="295" customWidth="1"/>
    <col min="122" max="122" width="18.42578125" style="305" customWidth="1"/>
    <col min="123" max="132" width="18.42578125" style="295" customWidth="1"/>
    <col min="133" max="133" width="18.42578125" style="305" customWidth="1"/>
    <col min="134" max="143" width="18.42578125" style="295" customWidth="1"/>
    <col min="144" max="144" width="18.42578125" style="305" customWidth="1"/>
    <col min="145" max="151" width="18.42578125" style="295" customWidth="1"/>
    <col min="152" max="152" width="18.42578125" style="305" customWidth="1"/>
    <col min="153" max="159" width="18.42578125" style="295" customWidth="1"/>
    <col min="160" max="160" width="18.42578125" style="305" customWidth="1"/>
    <col min="161" max="163" width="18.42578125" style="295" customWidth="1"/>
    <col min="164" max="167" width="21" style="295" customWidth="1"/>
    <col min="168" max="168" width="18.42578125" style="305" customWidth="1"/>
    <col min="169" max="170" width="12.85546875" style="298" customWidth="1"/>
    <col min="171" max="174" width="12.85546875" style="295" customWidth="1"/>
    <col min="175" max="175" width="12.85546875" style="298" customWidth="1"/>
    <col min="176" max="176" width="14.42578125" style="298" customWidth="1"/>
    <col min="177" max="179" width="15.42578125" style="298" customWidth="1"/>
    <col min="180" max="180" width="24.42578125" style="305" customWidth="1"/>
    <col min="181" max="181" width="18.7109375" style="305" customWidth="1"/>
    <col min="182" max="182" width="23.7109375" style="305" customWidth="1"/>
    <col min="183" max="183" width="23.140625" style="305" customWidth="1"/>
    <col min="184" max="184" width="14.85546875" style="305" customWidth="1"/>
    <col min="185" max="16384" width="9.140625" style="297"/>
  </cols>
  <sheetData>
    <row r="1" spans="1:185" s="353" customFormat="1">
      <c r="A1" s="350" t="s">
        <v>0</v>
      </c>
      <c r="B1" s="351" t="s">
        <v>1</v>
      </c>
      <c r="C1" s="351" t="s">
        <v>8</v>
      </c>
      <c r="D1" s="351" t="s">
        <v>9</v>
      </c>
      <c r="E1" s="351" t="s">
        <v>10</v>
      </c>
      <c r="F1" s="351" t="s">
        <v>11</v>
      </c>
      <c r="G1" s="351" t="s">
        <v>12</v>
      </c>
      <c r="H1" s="351" t="s">
        <v>14</v>
      </c>
      <c r="I1" s="351" t="s">
        <v>15</v>
      </c>
      <c r="J1" s="351" t="s">
        <v>16</v>
      </c>
      <c r="K1" s="351" t="s">
        <v>17</v>
      </c>
      <c r="L1" s="351" t="s">
        <v>34</v>
      </c>
      <c r="M1" s="351" t="s">
        <v>36</v>
      </c>
      <c r="N1" s="351" t="s">
        <v>37</v>
      </c>
      <c r="O1" s="351" t="s">
        <v>39</v>
      </c>
      <c r="P1" s="351" t="s">
        <v>41</v>
      </c>
      <c r="Q1" s="351" t="s">
        <v>42</v>
      </c>
      <c r="R1" s="351" t="s">
        <v>24</v>
      </c>
      <c r="S1" s="351" t="s">
        <v>25</v>
      </c>
      <c r="T1" s="351" t="s">
        <v>26</v>
      </c>
      <c r="U1" s="351" t="s">
        <v>27</v>
      </c>
      <c r="V1" s="351" t="s">
        <v>2544</v>
      </c>
      <c r="W1" s="351" t="s">
        <v>2551</v>
      </c>
      <c r="X1" s="351" t="s">
        <v>2552</v>
      </c>
      <c r="Y1" s="351" t="s">
        <v>2553</v>
      </c>
      <c r="Z1" s="351" t="s">
        <v>2554</v>
      </c>
      <c r="AA1" s="351" t="s">
        <v>2555</v>
      </c>
      <c r="AB1" s="351" t="s">
        <v>3876</v>
      </c>
      <c r="AC1" s="351" t="s">
        <v>3910</v>
      </c>
      <c r="AD1" s="351" t="s">
        <v>3909</v>
      </c>
      <c r="AE1" s="351" t="s">
        <v>3911</v>
      </c>
      <c r="AF1" s="351" t="s">
        <v>3912</v>
      </c>
      <c r="AG1" s="351" t="s">
        <v>3913</v>
      </c>
      <c r="AH1" s="351" t="s">
        <v>3942</v>
      </c>
      <c r="AI1" s="351" t="s">
        <v>3943</v>
      </c>
      <c r="AJ1" s="351" t="s">
        <v>3944</v>
      </c>
      <c r="AK1" s="351" t="s">
        <v>3945</v>
      </c>
      <c r="AL1" s="351" t="s">
        <v>3946</v>
      </c>
      <c r="AM1" s="351" t="s">
        <v>3947</v>
      </c>
      <c r="AN1" s="351" t="s">
        <v>4751</v>
      </c>
      <c r="AO1" s="351" t="s">
        <v>4752</v>
      </c>
      <c r="AP1" s="351" t="s">
        <v>4754</v>
      </c>
      <c r="AQ1" s="351" t="s">
        <v>4753</v>
      </c>
      <c r="AR1" s="351" t="s">
        <v>4755</v>
      </c>
      <c r="AS1" s="351" t="s">
        <v>4756</v>
      </c>
      <c r="AT1" s="351" t="s">
        <v>4757</v>
      </c>
      <c r="AU1" s="351" t="s">
        <v>4758</v>
      </c>
      <c r="AV1" s="351" t="s">
        <v>4759</v>
      </c>
      <c r="AW1" s="351" t="s">
        <v>4760</v>
      </c>
      <c r="AX1" s="351" t="s">
        <v>4761</v>
      </c>
      <c r="AY1" s="351" t="s">
        <v>4762</v>
      </c>
      <c r="AZ1" s="351" t="s">
        <v>5600</v>
      </c>
      <c r="BA1" s="351" t="s">
        <v>5601</v>
      </c>
      <c r="BB1" s="351" t="s">
        <v>5602</v>
      </c>
      <c r="BC1" s="351" t="s">
        <v>5603</v>
      </c>
      <c r="BD1" s="351" t="s">
        <v>5604</v>
      </c>
      <c r="BE1" s="351" t="s">
        <v>5605</v>
      </c>
      <c r="BF1" s="351" t="s">
        <v>5606</v>
      </c>
      <c r="BG1" s="351" t="s">
        <v>5607</v>
      </c>
      <c r="BH1" s="351" t="s">
        <v>5608</v>
      </c>
      <c r="BI1" s="351" t="s">
        <v>5609</v>
      </c>
      <c r="BJ1" s="351" t="s">
        <v>5610</v>
      </c>
      <c r="BK1" s="351" t="s">
        <v>5611</v>
      </c>
      <c r="BL1" s="351" t="s">
        <v>102</v>
      </c>
      <c r="BM1" s="351" t="s">
        <v>103</v>
      </c>
      <c r="BN1" s="351" t="s">
        <v>104</v>
      </c>
      <c r="BO1" s="352" t="s">
        <v>105</v>
      </c>
      <c r="BP1" s="352" t="s">
        <v>106</v>
      </c>
      <c r="BQ1" s="351" t="s">
        <v>121</v>
      </c>
      <c r="BR1" s="351" t="s">
        <v>4491</v>
      </c>
      <c r="BS1" s="351" t="s">
        <v>4492</v>
      </c>
      <c r="BT1" s="351" t="s">
        <v>4493</v>
      </c>
      <c r="BU1" s="351" t="s">
        <v>4494</v>
      </c>
      <c r="BV1" s="351" t="s">
        <v>4495</v>
      </c>
      <c r="BW1" s="351" t="s">
        <v>4496</v>
      </c>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row>
    <row r="2" spans="1:185">
      <c r="A2" s="296">
        <v>102017103</v>
      </c>
      <c r="B2" s="297" t="s">
        <v>1073</v>
      </c>
      <c r="C2" s="297" t="s">
        <v>253</v>
      </c>
      <c r="D2" s="297" t="s">
        <v>1074</v>
      </c>
      <c r="E2" s="297" t="s">
        <v>879</v>
      </c>
      <c r="F2" s="297" t="s">
        <v>309</v>
      </c>
      <c r="G2" s="297"/>
      <c r="H2" s="297"/>
      <c r="I2" s="297"/>
      <c r="J2" s="297"/>
      <c r="K2" s="297"/>
      <c r="L2" s="298"/>
      <c r="M2" s="299"/>
      <c r="N2" s="300"/>
      <c r="O2" s="298" t="s">
        <v>6060</v>
      </c>
      <c r="P2" s="300" t="s">
        <v>267</v>
      </c>
      <c r="Q2" s="300" t="s">
        <v>260</v>
      </c>
      <c r="R2" s="297"/>
      <c r="S2" s="297"/>
      <c r="T2" s="297"/>
      <c r="U2" s="297"/>
      <c r="V2" s="299">
        <v>0</v>
      </c>
      <c r="W2" s="299">
        <f>SUM(V2*0.1)</f>
        <v>0</v>
      </c>
      <c r="X2" s="299">
        <f t="shared" ref="X2:X32" ca="1" si="0">SUM(Y2*Z2)</f>
        <v>0</v>
      </c>
      <c r="Y2" s="301">
        <f t="shared" ref="Y2:Y32" si="1">SUM((V2+W2)*0.00833333333333333)</f>
        <v>0</v>
      </c>
      <c r="Z2" s="302">
        <f t="shared" ref="Z2:Z32" ca="1" si="2">MONTH(TODAY())+37</f>
        <v>41</v>
      </c>
      <c r="AA2" s="299">
        <f t="shared" ref="AA2:AA39" ca="1" si="3">SUM(V2,W2,X2)</f>
        <v>0</v>
      </c>
      <c r="AB2" s="299">
        <f>SUM(BT2*0.0052)/2</f>
        <v>257.92</v>
      </c>
      <c r="AC2" s="299">
        <f t="shared" ref="AC2:AC32" si="4">SUM(AB2*0.1)</f>
        <v>25.792000000000002</v>
      </c>
      <c r="AD2" s="299">
        <f t="shared" ref="AD2:AD32" ca="1" si="5">SUM(AE2*AF2)</f>
        <v>78.020799999999966</v>
      </c>
      <c r="AE2" s="301">
        <f t="shared" ref="AE2:AE32" si="6">SUM((AB2+AC2)*0.00833333333333333)</f>
        <v>2.3642666666666656</v>
      </c>
      <c r="AF2" s="302">
        <f t="shared" ref="AF2:AF32" ca="1" si="7">MONTH(TODAY())+29</f>
        <v>33</v>
      </c>
      <c r="AG2" s="302">
        <f t="shared" ref="AG2:AG32" ca="1" si="8">SUM(AB2,AC2,AD2)</f>
        <v>361.73279999999994</v>
      </c>
      <c r="AH2" s="299">
        <f t="shared" ref="AH2:AH10" si="9">SUM(BT2*0.0052)/2</f>
        <v>257.92</v>
      </c>
      <c r="AI2" s="299">
        <f t="shared" ref="AI2:AI32" si="10">SUM(AH2*0.1)</f>
        <v>25.792000000000002</v>
      </c>
      <c r="AJ2" s="299">
        <f t="shared" ref="AJ2:AJ32" ca="1" si="11">SUM(AK2*AL2)</f>
        <v>68.563733333333303</v>
      </c>
      <c r="AK2" s="301">
        <f t="shared" ref="AK2:AK32" si="12">SUM((AH2+AI2)*0.00833333333333333)</f>
        <v>2.3642666666666656</v>
      </c>
      <c r="AL2" s="302">
        <f t="shared" ref="AL2:AL32" ca="1" si="13">MONTH(TODAY())+25</f>
        <v>29</v>
      </c>
      <c r="AM2" s="299">
        <f t="shared" ref="AM2:AM32" ca="1" si="14">SUM(AH2,AI2,AJ2)</f>
        <v>352.27573333333328</v>
      </c>
      <c r="AN2" s="299">
        <f t="shared" ref="AN2:AN8" si="15">SUM(BW2*0.0045)/2</f>
        <v>257.84999999999997</v>
      </c>
      <c r="AO2" s="299">
        <f t="shared" ref="AO2:AO32" si="16">SUM(AN2*0.1)</f>
        <v>25.784999999999997</v>
      </c>
      <c r="AP2" s="299">
        <f t="shared" ref="AP2:AP32" ca="1" si="17">SUM(AQ2*AR2)</f>
        <v>54.363374999999976</v>
      </c>
      <c r="AQ2" s="301">
        <f t="shared" ref="AQ2:AQ32" si="18">SUM((AN2+AO2)*0.00833333333333333)</f>
        <v>2.363624999999999</v>
      </c>
      <c r="AR2" s="302">
        <f t="shared" ref="AR2:AR32" ca="1" si="19">MONTH(TODAY())+19</f>
        <v>23</v>
      </c>
      <c r="AS2" s="299">
        <f t="shared" ref="AS2:AS32" ca="1" si="20">SUM(AN2,AO2,AP2)</f>
        <v>337.99837499999995</v>
      </c>
      <c r="AT2" s="299">
        <f t="shared" ref="AT2:AT35" si="21">SUM(BW2*0.0045)/2</f>
        <v>257.84999999999997</v>
      </c>
      <c r="AU2" s="299">
        <f t="shared" ref="AU2:AU32" si="22">SUM(AT2*0.1)</f>
        <v>25.784999999999997</v>
      </c>
      <c r="AV2" s="299">
        <f t="shared" ref="AV2:AV32" ca="1" si="23">SUM(AW2*AX2)</f>
        <v>40.181624999999983</v>
      </c>
      <c r="AW2" s="301">
        <f t="shared" ref="AW2:AW32" si="24">SUM((AT2+AU2)*0.00833333333333333)</f>
        <v>2.363624999999999</v>
      </c>
      <c r="AX2" s="302">
        <f t="shared" ref="AX2:AX32" ca="1" si="25">MONTH(TODAY())+13</f>
        <v>17</v>
      </c>
      <c r="AY2" s="299">
        <f t="shared" ref="AY2:AY32" ca="1" si="26">SUM(AT2,AU2,AV2)</f>
        <v>323.81662499999999</v>
      </c>
      <c r="AZ2" s="299">
        <f t="shared" ref="AZ2:AZ35" si="27">SUM(BW2*0.0045)/2</f>
        <v>257.84999999999997</v>
      </c>
      <c r="BA2" s="299">
        <f t="shared" ref="BA2:BA32" si="28">SUM(AZ2*0.1)</f>
        <v>25.784999999999997</v>
      </c>
      <c r="BB2" s="299">
        <f t="shared" ref="BB2:BB32" ca="1" si="29">SUM(BC2*BD2)</f>
        <v>21.272624999999991</v>
      </c>
      <c r="BC2" s="301">
        <f t="shared" ref="BC2:BC32" si="30">SUM((AZ2+BA2)*0.00833333333333333)</f>
        <v>2.363624999999999</v>
      </c>
      <c r="BD2" s="302">
        <f t="shared" ref="BD2:BD32" ca="1" si="31">MONTH(TODAY())+5</f>
        <v>9</v>
      </c>
      <c r="BE2" s="299">
        <f t="shared" ref="BE2:BE32" ca="1" si="32">SUM(AZ2,BA2,BB2)</f>
        <v>304.907625</v>
      </c>
      <c r="BF2" s="299">
        <f t="shared" ref="BF2:BF47" si="33">SUM(BW2*0.0045)/2</f>
        <v>257.84999999999997</v>
      </c>
      <c r="BG2" s="299">
        <f t="shared" ref="BG2:BG32" si="34">SUM(BF2*0.1)</f>
        <v>25.784999999999997</v>
      </c>
      <c r="BH2" s="299">
        <f t="shared" ref="BH2:BH36" ca="1" si="35">SUM(BI2*BJ2)</f>
        <v>11.818124999999995</v>
      </c>
      <c r="BI2" s="301">
        <f t="shared" ref="BI2:BI32" si="36">SUM((BF2+BG2)*0.00833333333333333)</f>
        <v>2.363624999999999</v>
      </c>
      <c r="BJ2" s="302">
        <f t="shared" ref="BJ2:BJ32" ca="1" si="37">MONTH(TODAY())+1</f>
        <v>5</v>
      </c>
      <c r="BK2" s="299">
        <f t="shared" ref="BK2:BK32" ca="1" si="38">SUM(BF2,BG2,BH2)</f>
        <v>295.453125</v>
      </c>
      <c r="BL2" s="299">
        <f t="shared" ref="BL2:BL47" si="39">SUM( V2, AB2,AH2,AN2,AT2,AZ2,BF2)</f>
        <v>1547.2399999999998</v>
      </c>
      <c r="BM2" s="299">
        <f t="shared" ref="BM2:BM47" si="40">SUM(W2, AC2,AI2,AO2,AU2,BA2,BG2)</f>
        <v>154.72399999999999</v>
      </c>
      <c r="BN2" s="299">
        <f t="shared" ref="BN2:BN47" ca="1" si="41">SUM(X2, AD2,AJ2,AP2,AV2,BB2,BH2)</f>
        <v>274.22028333333327</v>
      </c>
      <c r="BO2" s="303">
        <f t="shared" ref="BO2" ca="1" si="42">SUM(BL2:BN2)</f>
        <v>1976.184283333333</v>
      </c>
      <c r="BP2" s="304" t="s">
        <v>5914</v>
      </c>
      <c r="BQ2" s="302">
        <v>3.2</v>
      </c>
      <c r="BR2" s="299">
        <v>35000</v>
      </c>
      <c r="BS2" s="299">
        <v>64200</v>
      </c>
      <c r="BT2" s="299">
        <f t="shared" ref="BT2:BT32" si="43">SUM(BR2+BS2)</f>
        <v>99200</v>
      </c>
      <c r="BU2" s="299">
        <v>35000</v>
      </c>
      <c r="BV2" s="299">
        <v>79600</v>
      </c>
      <c r="BW2" s="299">
        <f t="shared" ref="BW2:BW32" si="44">SUM(BU2+BV2)</f>
        <v>114600</v>
      </c>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305"/>
      <c r="CW2" s="297"/>
      <c r="CX2" s="297"/>
      <c r="CY2" s="297"/>
      <c r="CZ2" s="297"/>
      <c r="DA2" s="297"/>
      <c r="DB2" s="297"/>
      <c r="DD2" s="305"/>
      <c r="DE2" s="297"/>
      <c r="DF2" s="297"/>
      <c r="DG2" s="297"/>
      <c r="DH2" s="297"/>
      <c r="DI2" s="297"/>
      <c r="DJ2" s="297"/>
      <c r="DK2" s="297"/>
      <c r="DL2" s="297"/>
      <c r="DM2" s="297"/>
      <c r="DN2" s="297"/>
      <c r="DO2" s="297"/>
      <c r="DP2" s="305"/>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8"/>
      <c r="FZ2" s="297"/>
      <c r="GA2" s="297"/>
      <c r="GB2" s="297"/>
    </row>
    <row r="3" spans="1:185">
      <c r="A3" s="296">
        <v>102017104</v>
      </c>
      <c r="B3" s="297" t="s">
        <v>1076</v>
      </c>
      <c r="C3" s="297" t="s">
        <v>253</v>
      </c>
      <c r="D3" s="297" t="s">
        <v>1074</v>
      </c>
      <c r="E3" s="297" t="s">
        <v>879</v>
      </c>
      <c r="F3" s="297" t="s">
        <v>309</v>
      </c>
      <c r="G3" s="297"/>
      <c r="H3" s="297"/>
      <c r="I3" s="297"/>
      <c r="J3" s="297"/>
      <c r="K3" s="297"/>
      <c r="L3" s="297" t="s">
        <v>328</v>
      </c>
      <c r="M3" s="300" t="s">
        <v>267</v>
      </c>
      <c r="N3" s="300"/>
      <c r="O3" s="298" t="s">
        <v>6060</v>
      </c>
      <c r="P3" s="300" t="s">
        <v>267</v>
      </c>
      <c r="Q3" s="300" t="s">
        <v>260</v>
      </c>
      <c r="R3" s="297"/>
      <c r="S3" s="297"/>
      <c r="T3" s="297"/>
      <c r="U3" s="297"/>
      <c r="V3" s="299">
        <v>0</v>
      </c>
      <c r="W3" s="299">
        <f>SUM(V3*0.1)</f>
        <v>0</v>
      </c>
      <c r="X3" s="299">
        <f t="shared" ca="1" si="0"/>
        <v>0</v>
      </c>
      <c r="Y3" s="301">
        <f t="shared" si="1"/>
        <v>0</v>
      </c>
      <c r="Z3" s="302">
        <f t="shared" ca="1" si="2"/>
        <v>41</v>
      </c>
      <c r="AA3" s="299">
        <f t="shared" ca="1" si="3"/>
        <v>0</v>
      </c>
      <c r="AB3" s="299">
        <f>SUM(BT3*0.0052)/2</f>
        <v>91</v>
      </c>
      <c r="AC3" s="299">
        <f t="shared" si="4"/>
        <v>9.1</v>
      </c>
      <c r="AD3" s="299">
        <f t="shared" ca="1" si="5"/>
        <v>27.527499999999986</v>
      </c>
      <c r="AE3" s="301">
        <f t="shared" si="6"/>
        <v>0.83416666666666628</v>
      </c>
      <c r="AF3" s="302">
        <f t="shared" ca="1" si="7"/>
        <v>33</v>
      </c>
      <c r="AG3" s="302">
        <f t="shared" ca="1" si="8"/>
        <v>127.62749999999998</v>
      </c>
      <c r="AH3" s="299">
        <f t="shared" si="9"/>
        <v>91</v>
      </c>
      <c r="AI3" s="299">
        <f t="shared" si="10"/>
        <v>9.1</v>
      </c>
      <c r="AJ3" s="299">
        <f t="shared" ca="1" si="11"/>
        <v>24.190833333333323</v>
      </c>
      <c r="AK3" s="301">
        <f t="shared" si="12"/>
        <v>0.83416666666666628</v>
      </c>
      <c r="AL3" s="302">
        <f t="shared" ca="1" si="13"/>
        <v>29</v>
      </c>
      <c r="AM3" s="299">
        <f t="shared" ca="1" si="14"/>
        <v>124.29083333333332</v>
      </c>
      <c r="AN3" s="299">
        <f t="shared" si="15"/>
        <v>78.75</v>
      </c>
      <c r="AO3" s="299">
        <f t="shared" si="16"/>
        <v>7.875</v>
      </c>
      <c r="AP3" s="299">
        <f t="shared" ca="1" si="17"/>
        <v>16.603124999999995</v>
      </c>
      <c r="AQ3" s="301">
        <f t="shared" si="18"/>
        <v>0.72187499999999971</v>
      </c>
      <c r="AR3" s="302">
        <f t="shared" ca="1" si="19"/>
        <v>23</v>
      </c>
      <c r="AS3" s="299">
        <f t="shared" ca="1" si="20"/>
        <v>103.22812499999999</v>
      </c>
      <c r="AT3" s="299">
        <f t="shared" si="21"/>
        <v>78.75</v>
      </c>
      <c r="AU3" s="299">
        <f t="shared" si="22"/>
        <v>7.875</v>
      </c>
      <c r="AV3" s="299">
        <f t="shared" ca="1" si="23"/>
        <v>12.271874999999994</v>
      </c>
      <c r="AW3" s="301">
        <f t="shared" si="24"/>
        <v>0.72187499999999971</v>
      </c>
      <c r="AX3" s="302">
        <f t="shared" ca="1" si="25"/>
        <v>17</v>
      </c>
      <c r="AY3" s="299">
        <f t="shared" ca="1" si="26"/>
        <v>98.896874999999994</v>
      </c>
      <c r="AZ3" s="299">
        <f t="shared" si="27"/>
        <v>78.75</v>
      </c>
      <c r="BA3" s="299">
        <f t="shared" si="28"/>
        <v>7.875</v>
      </c>
      <c r="BB3" s="299">
        <f t="shared" ca="1" si="29"/>
        <v>6.4968749999999975</v>
      </c>
      <c r="BC3" s="301">
        <f t="shared" si="30"/>
        <v>0.72187499999999971</v>
      </c>
      <c r="BD3" s="302">
        <f t="shared" ca="1" si="31"/>
        <v>9</v>
      </c>
      <c r="BE3" s="299">
        <f t="shared" ca="1" si="32"/>
        <v>93.121875000000003</v>
      </c>
      <c r="BF3" s="299">
        <f t="shared" si="33"/>
        <v>78.75</v>
      </c>
      <c r="BG3" s="299">
        <f t="shared" si="34"/>
        <v>7.875</v>
      </c>
      <c r="BH3" s="299">
        <f t="shared" ca="1" si="35"/>
        <v>3.6093749999999987</v>
      </c>
      <c r="BI3" s="301">
        <f t="shared" si="36"/>
        <v>0.72187499999999971</v>
      </c>
      <c r="BJ3" s="302">
        <f t="shared" ca="1" si="37"/>
        <v>5</v>
      </c>
      <c r="BK3" s="299">
        <f t="shared" ca="1" si="38"/>
        <v>90.234375</v>
      </c>
      <c r="BL3" s="299">
        <f t="shared" si="39"/>
        <v>497</v>
      </c>
      <c r="BM3" s="299">
        <f t="shared" si="40"/>
        <v>49.7</v>
      </c>
      <c r="BN3" s="299">
        <f t="shared" ca="1" si="41"/>
        <v>90.699583333333294</v>
      </c>
      <c r="BO3" s="303">
        <f t="shared" ref="BO3:BO7" ca="1" si="45">SUM(BL3:BN3)</f>
        <v>637.39958333333334</v>
      </c>
      <c r="BP3" s="304" t="s">
        <v>5914</v>
      </c>
      <c r="BQ3" s="302">
        <v>3.2</v>
      </c>
      <c r="BR3" s="299">
        <v>35000</v>
      </c>
      <c r="BS3" s="299">
        <v>0</v>
      </c>
      <c r="BT3" s="299">
        <f t="shared" si="43"/>
        <v>35000</v>
      </c>
      <c r="BU3" s="299">
        <v>35000</v>
      </c>
      <c r="BV3" s="299">
        <v>0</v>
      </c>
      <c r="BW3" s="299">
        <f t="shared" si="44"/>
        <v>35000</v>
      </c>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305"/>
      <c r="CW3" s="297"/>
      <c r="CX3" s="297"/>
      <c r="CY3" s="297"/>
      <c r="CZ3" s="297"/>
      <c r="DA3" s="297"/>
      <c r="DB3" s="297"/>
      <c r="DD3" s="305"/>
      <c r="DE3" s="297"/>
      <c r="DF3" s="297"/>
      <c r="DG3" s="297"/>
      <c r="DH3" s="297"/>
      <c r="DI3" s="297"/>
      <c r="DJ3" s="297"/>
      <c r="DK3" s="297"/>
      <c r="DL3" s="297"/>
      <c r="DM3" s="297"/>
      <c r="DN3" s="297"/>
      <c r="DO3" s="297"/>
      <c r="DP3" s="305"/>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8"/>
      <c r="FZ3" s="297"/>
      <c r="GA3" s="297"/>
      <c r="GB3" s="297"/>
    </row>
    <row r="4" spans="1:185">
      <c r="A4" s="306">
        <v>102021065</v>
      </c>
      <c r="B4" s="306" t="s">
        <v>2083</v>
      </c>
      <c r="C4" s="293" t="s">
        <v>253</v>
      </c>
      <c r="D4" s="293" t="s">
        <v>1039</v>
      </c>
      <c r="E4" s="293" t="s">
        <v>2084</v>
      </c>
      <c r="F4" s="293"/>
      <c r="G4" s="293"/>
      <c r="H4" s="293"/>
      <c r="I4" s="293"/>
      <c r="J4" s="293"/>
      <c r="K4" s="293"/>
      <c r="L4" s="306"/>
      <c r="M4" s="306"/>
      <c r="N4" s="306"/>
      <c r="O4" s="306" t="s">
        <v>2190</v>
      </c>
      <c r="P4" s="306" t="s">
        <v>259</v>
      </c>
      <c r="Q4" s="306" t="s">
        <v>260</v>
      </c>
      <c r="R4" s="293"/>
      <c r="S4" s="293"/>
      <c r="T4" s="293"/>
      <c r="U4" s="293"/>
      <c r="V4" s="299">
        <f>SUM(BT4*0.0052)-28.8</f>
        <v>446.47999999999996</v>
      </c>
      <c r="W4" s="299">
        <v>43.05</v>
      </c>
      <c r="X4" s="299">
        <f t="shared" ca="1" si="0"/>
        <v>167.25608333333324</v>
      </c>
      <c r="Y4" s="301">
        <f t="shared" si="1"/>
        <v>4.0794166666666642</v>
      </c>
      <c r="Z4" s="302">
        <f t="shared" ca="1" si="2"/>
        <v>41</v>
      </c>
      <c r="AA4" s="299">
        <f t="shared" ca="1" si="3"/>
        <v>656.78608333333318</v>
      </c>
      <c r="AB4" s="299">
        <f>SUM(BT4*0.0052)/2</f>
        <v>237.64</v>
      </c>
      <c r="AC4" s="299">
        <f t="shared" si="4"/>
        <v>23.763999999999999</v>
      </c>
      <c r="AD4" s="299">
        <f t="shared" ca="1" si="5"/>
        <v>71.886099999999971</v>
      </c>
      <c r="AE4" s="301">
        <f t="shared" si="6"/>
        <v>2.1783666666666659</v>
      </c>
      <c r="AF4" s="302">
        <f t="shared" ca="1" si="7"/>
        <v>33</v>
      </c>
      <c r="AG4" s="302">
        <f t="shared" ca="1" si="8"/>
        <v>333.29009999999994</v>
      </c>
      <c r="AH4" s="299">
        <f t="shared" si="9"/>
        <v>237.64</v>
      </c>
      <c r="AI4" s="299">
        <f t="shared" si="10"/>
        <v>23.763999999999999</v>
      </c>
      <c r="AJ4" s="299">
        <f t="shared" ca="1" si="11"/>
        <v>63.172633333333309</v>
      </c>
      <c r="AK4" s="301">
        <f t="shared" si="12"/>
        <v>2.1783666666666659</v>
      </c>
      <c r="AL4" s="302">
        <f t="shared" ca="1" si="13"/>
        <v>29</v>
      </c>
      <c r="AM4" s="299">
        <f t="shared" ca="1" si="14"/>
        <v>324.57663333333329</v>
      </c>
      <c r="AN4" s="299">
        <f t="shared" si="15"/>
        <v>296.09999999999997</v>
      </c>
      <c r="AO4" s="299">
        <f t="shared" si="16"/>
        <v>29.61</v>
      </c>
      <c r="AP4" s="299">
        <f t="shared" ca="1" si="17"/>
        <v>62.427749999999968</v>
      </c>
      <c r="AQ4" s="301">
        <f t="shared" si="18"/>
        <v>2.7142499999999985</v>
      </c>
      <c r="AR4" s="302">
        <f t="shared" ca="1" si="19"/>
        <v>23</v>
      </c>
      <c r="AS4" s="299">
        <f t="shared" ca="1" si="20"/>
        <v>388.13774999999993</v>
      </c>
      <c r="AT4" s="299">
        <f t="shared" si="21"/>
        <v>296.09999999999997</v>
      </c>
      <c r="AU4" s="299">
        <f t="shared" si="22"/>
        <v>29.61</v>
      </c>
      <c r="AV4" s="299">
        <f t="shared" ca="1" si="23"/>
        <v>46.142249999999976</v>
      </c>
      <c r="AW4" s="301">
        <f t="shared" si="24"/>
        <v>2.7142499999999985</v>
      </c>
      <c r="AX4" s="302">
        <f t="shared" ca="1" si="25"/>
        <v>17</v>
      </c>
      <c r="AY4" s="299">
        <f t="shared" ca="1" si="26"/>
        <v>371.85224999999997</v>
      </c>
      <c r="AZ4" s="299">
        <f t="shared" si="27"/>
        <v>296.09999999999997</v>
      </c>
      <c r="BA4" s="299">
        <f t="shared" si="28"/>
        <v>29.61</v>
      </c>
      <c r="BB4" s="299">
        <f t="shared" ca="1" si="29"/>
        <v>24.428249999999988</v>
      </c>
      <c r="BC4" s="301">
        <f t="shared" si="30"/>
        <v>2.7142499999999985</v>
      </c>
      <c r="BD4" s="302">
        <f t="shared" ca="1" si="31"/>
        <v>9</v>
      </c>
      <c r="BE4" s="299">
        <f t="shared" ca="1" si="32"/>
        <v>350.13824999999997</v>
      </c>
      <c r="BF4" s="299">
        <f t="shared" si="33"/>
        <v>296.09999999999997</v>
      </c>
      <c r="BG4" s="299">
        <f t="shared" si="34"/>
        <v>29.61</v>
      </c>
      <c r="BH4" s="299">
        <f t="shared" ca="1" si="35"/>
        <v>13.571249999999992</v>
      </c>
      <c r="BI4" s="301">
        <f t="shared" si="36"/>
        <v>2.7142499999999985</v>
      </c>
      <c r="BJ4" s="302">
        <f t="shared" ca="1" si="37"/>
        <v>5</v>
      </c>
      <c r="BK4" s="299">
        <f t="shared" ca="1" si="38"/>
        <v>339.28125</v>
      </c>
      <c r="BL4" s="299">
        <f t="shared" si="39"/>
        <v>2106.16</v>
      </c>
      <c r="BM4" s="299">
        <f t="shared" si="40"/>
        <v>209.01800000000003</v>
      </c>
      <c r="BN4" s="299">
        <f t="shared" ca="1" si="41"/>
        <v>448.88431666666645</v>
      </c>
      <c r="BO4" s="303">
        <f t="shared" ca="1" si="45"/>
        <v>2764.0623166666664</v>
      </c>
      <c r="BP4" s="304" t="s">
        <v>5892</v>
      </c>
      <c r="BQ4" s="302">
        <v>4.87</v>
      </c>
      <c r="BR4" s="299">
        <v>31900</v>
      </c>
      <c r="BS4" s="299">
        <v>59500</v>
      </c>
      <c r="BT4" s="299">
        <f t="shared" si="43"/>
        <v>91400</v>
      </c>
      <c r="BU4" s="299">
        <v>33700</v>
      </c>
      <c r="BV4" s="299">
        <v>97900</v>
      </c>
      <c r="BW4" s="299">
        <f t="shared" si="44"/>
        <v>131600</v>
      </c>
      <c r="BX4" s="299"/>
      <c r="BY4" s="299"/>
      <c r="BZ4" s="299"/>
      <c r="CA4" s="299"/>
      <c r="CB4" s="299"/>
      <c r="CC4" s="299"/>
      <c r="CD4" s="293"/>
      <c r="CE4" s="293"/>
      <c r="CF4" s="293"/>
      <c r="CG4" s="293"/>
      <c r="CH4" s="293"/>
      <c r="CI4" s="293"/>
      <c r="CJ4" s="293"/>
      <c r="CK4" s="293"/>
      <c r="CL4" s="293"/>
      <c r="CM4" s="293"/>
      <c r="CN4" s="293"/>
      <c r="CO4" s="293"/>
      <c r="CP4" s="293"/>
      <c r="CQ4" s="293"/>
      <c r="CR4" s="293"/>
      <c r="CS4" s="293"/>
      <c r="CT4" s="293"/>
      <c r="CU4" s="293"/>
      <c r="CV4" s="293"/>
      <c r="CW4" s="293"/>
      <c r="CX4" s="293"/>
      <c r="CY4" s="293"/>
      <c r="CZ4" s="293"/>
      <c r="DA4" s="293"/>
      <c r="DB4" s="293"/>
      <c r="DC4" s="293"/>
      <c r="DD4" s="293"/>
      <c r="DE4" s="293"/>
      <c r="DF4" s="293"/>
      <c r="DG4" s="293"/>
      <c r="DH4" s="307"/>
      <c r="DI4" s="293"/>
      <c r="DJ4" s="293"/>
      <c r="DK4" s="293"/>
      <c r="DL4" s="293"/>
      <c r="DM4" s="293"/>
      <c r="DN4" s="293"/>
      <c r="DO4" s="307"/>
      <c r="DP4" s="293"/>
      <c r="DQ4" s="293"/>
      <c r="DR4" s="293"/>
      <c r="DS4" s="293"/>
      <c r="DT4" s="293"/>
      <c r="DU4" s="293"/>
      <c r="DV4" s="293"/>
      <c r="DW4" s="293"/>
      <c r="DX4" s="307"/>
      <c r="DY4" s="293"/>
      <c r="DZ4" s="293"/>
      <c r="EA4" s="293"/>
      <c r="EB4" s="293"/>
      <c r="EC4" s="293"/>
      <c r="ED4" s="293"/>
      <c r="EE4" s="293"/>
      <c r="EF4" s="293"/>
      <c r="EG4" s="293"/>
      <c r="EH4" s="293"/>
      <c r="EI4" s="307"/>
      <c r="EJ4" s="293"/>
      <c r="EK4" s="293"/>
      <c r="EL4" s="293"/>
      <c r="EM4" s="293"/>
      <c r="EN4" s="293"/>
      <c r="EO4" s="293"/>
      <c r="EP4" s="293"/>
      <c r="EQ4" s="293"/>
      <c r="ER4" s="293"/>
      <c r="ES4" s="293"/>
      <c r="ET4" s="307"/>
      <c r="EU4" s="293"/>
      <c r="EV4" s="293"/>
      <c r="EW4" s="293"/>
      <c r="EX4" s="293"/>
      <c r="EY4" s="293"/>
      <c r="EZ4" s="293"/>
      <c r="FA4" s="293"/>
      <c r="FB4" s="307"/>
      <c r="FC4" s="293"/>
      <c r="FD4" s="293"/>
      <c r="FE4" s="293"/>
      <c r="FF4" s="293"/>
      <c r="FG4" s="293"/>
      <c r="FH4" s="293"/>
      <c r="FI4" s="293"/>
      <c r="FJ4" s="307"/>
      <c r="FK4" s="293"/>
      <c r="FL4" s="293"/>
      <c r="FM4" s="293"/>
      <c r="FN4" s="293"/>
      <c r="FO4" s="293"/>
      <c r="FP4" s="293"/>
      <c r="FQ4" s="293"/>
      <c r="FR4" s="307"/>
      <c r="FS4" s="299"/>
      <c r="FT4" s="299"/>
      <c r="FU4" s="293"/>
      <c r="FV4" s="293"/>
      <c r="FW4" s="293"/>
      <c r="FX4" s="293"/>
      <c r="FY4" s="299"/>
      <c r="FZ4" s="299"/>
      <c r="GA4" s="299"/>
      <c r="GB4" s="299"/>
      <c r="GC4" s="299"/>
    </row>
    <row r="5" spans="1:185">
      <c r="A5" s="306">
        <v>102021104</v>
      </c>
      <c r="B5" s="297" t="s">
        <v>2663</v>
      </c>
      <c r="C5" s="295" t="s">
        <v>253</v>
      </c>
      <c r="D5" s="295" t="s">
        <v>946</v>
      </c>
      <c r="E5" s="295" t="s">
        <v>2664</v>
      </c>
      <c r="F5" s="295" t="s">
        <v>392</v>
      </c>
      <c r="O5" s="297" t="s">
        <v>2665</v>
      </c>
      <c r="P5" s="297" t="s">
        <v>349</v>
      </c>
      <c r="Q5" s="297" t="s">
        <v>260</v>
      </c>
      <c r="V5" s="299">
        <v>0</v>
      </c>
      <c r="W5" s="299">
        <f t="shared" ref="W5:W35" si="46">SUM(V5*0.1)</f>
        <v>0</v>
      </c>
      <c r="X5" s="299">
        <f t="shared" ca="1" si="0"/>
        <v>0</v>
      </c>
      <c r="Y5" s="301">
        <f t="shared" si="1"/>
        <v>0</v>
      </c>
      <c r="Z5" s="302">
        <f t="shared" ca="1" si="2"/>
        <v>41</v>
      </c>
      <c r="AA5" s="299">
        <f t="shared" ca="1" si="3"/>
        <v>0</v>
      </c>
      <c r="AB5" s="299">
        <f>SUM(BT5*0.0052)/2-109.73</f>
        <v>109.71</v>
      </c>
      <c r="AC5" s="299">
        <f t="shared" si="4"/>
        <v>10.971</v>
      </c>
      <c r="AD5" s="299">
        <f t="shared" ca="1" si="5"/>
        <v>33.187274999999985</v>
      </c>
      <c r="AE5" s="301">
        <f t="shared" si="6"/>
        <v>1.0056749999999997</v>
      </c>
      <c r="AF5" s="302">
        <f t="shared" ca="1" si="7"/>
        <v>33</v>
      </c>
      <c r="AG5" s="302">
        <f t="shared" ca="1" si="8"/>
        <v>153.86827499999998</v>
      </c>
      <c r="AH5" s="299">
        <f t="shared" si="9"/>
        <v>219.44</v>
      </c>
      <c r="AI5" s="299">
        <f t="shared" si="10"/>
        <v>21.944000000000003</v>
      </c>
      <c r="AJ5" s="299">
        <f t="shared" ca="1" si="11"/>
        <v>58.334466666666643</v>
      </c>
      <c r="AK5" s="301">
        <f t="shared" si="12"/>
        <v>2.0115333333333325</v>
      </c>
      <c r="AL5" s="302">
        <f t="shared" ca="1" si="13"/>
        <v>29</v>
      </c>
      <c r="AM5" s="299">
        <f t="shared" ca="1" si="14"/>
        <v>299.71846666666664</v>
      </c>
      <c r="AN5" s="299">
        <f t="shared" si="15"/>
        <v>238.27499999999998</v>
      </c>
      <c r="AO5" s="299">
        <f t="shared" si="16"/>
        <v>23.827500000000001</v>
      </c>
      <c r="AP5" s="299">
        <f t="shared" ca="1" si="17"/>
        <v>50.236312499999976</v>
      </c>
      <c r="AQ5" s="301">
        <f t="shared" si="18"/>
        <v>2.1841874999999988</v>
      </c>
      <c r="AR5" s="302">
        <f t="shared" ca="1" si="19"/>
        <v>23</v>
      </c>
      <c r="AS5" s="299">
        <f t="shared" ca="1" si="20"/>
        <v>312.33881249999996</v>
      </c>
      <c r="AT5" s="299">
        <f t="shared" si="21"/>
        <v>238.27499999999998</v>
      </c>
      <c r="AU5" s="299">
        <f t="shared" si="22"/>
        <v>23.827500000000001</v>
      </c>
      <c r="AV5" s="299">
        <f t="shared" ca="1" si="23"/>
        <v>37.131187499999982</v>
      </c>
      <c r="AW5" s="301">
        <f t="shared" si="24"/>
        <v>2.1841874999999988</v>
      </c>
      <c r="AX5" s="302">
        <f t="shared" ca="1" si="25"/>
        <v>17</v>
      </c>
      <c r="AY5" s="299">
        <f t="shared" ca="1" si="26"/>
        <v>299.23368749999997</v>
      </c>
      <c r="AZ5" s="299">
        <f t="shared" si="27"/>
        <v>238.27499999999998</v>
      </c>
      <c r="BA5" s="299">
        <f t="shared" si="28"/>
        <v>23.827500000000001</v>
      </c>
      <c r="BB5" s="299">
        <f t="shared" ca="1" si="29"/>
        <v>19.657687499999991</v>
      </c>
      <c r="BC5" s="301">
        <f t="shared" si="30"/>
        <v>2.1841874999999988</v>
      </c>
      <c r="BD5" s="302">
        <f t="shared" ca="1" si="31"/>
        <v>9</v>
      </c>
      <c r="BE5" s="299">
        <f t="shared" ca="1" si="32"/>
        <v>281.76018749999997</v>
      </c>
      <c r="BF5" s="299">
        <f t="shared" si="33"/>
        <v>238.27499999999998</v>
      </c>
      <c r="BG5" s="299">
        <f t="shared" si="34"/>
        <v>23.827500000000001</v>
      </c>
      <c r="BH5" s="299">
        <f t="shared" ca="1" si="35"/>
        <v>10.920937499999994</v>
      </c>
      <c r="BI5" s="301">
        <f t="shared" si="36"/>
        <v>2.1841874999999988</v>
      </c>
      <c r="BJ5" s="302">
        <f t="shared" ca="1" si="37"/>
        <v>5</v>
      </c>
      <c r="BK5" s="299">
        <f t="shared" ca="1" si="38"/>
        <v>273.02343749999994</v>
      </c>
      <c r="BL5" s="299">
        <f t="shared" si="39"/>
        <v>1282.25</v>
      </c>
      <c r="BM5" s="299">
        <f t="shared" si="40"/>
        <v>128.22500000000002</v>
      </c>
      <c r="BN5" s="299">
        <f t="shared" ca="1" si="41"/>
        <v>209.46786666666657</v>
      </c>
      <c r="BO5" s="303">
        <f t="shared" ca="1" si="45"/>
        <v>1619.9428666666665</v>
      </c>
      <c r="BP5" s="304" t="s">
        <v>5914</v>
      </c>
      <c r="BQ5" s="302">
        <v>4.6100000000000003</v>
      </c>
      <c r="BR5" s="299">
        <v>36100</v>
      </c>
      <c r="BS5" s="299">
        <v>48300</v>
      </c>
      <c r="BT5" s="299">
        <f t="shared" si="43"/>
        <v>84400</v>
      </c>
      <c r="BU5" s="299">
        <v>40200</v>
      </c>
      <c r="BV5" s="299">
        <v>65700</v>
      </c>
      <c r="BW5" s="299">
        <f t="shared" si="44"/>
        <v>105900</v>
      </c>
      <c r="BX5" s="298"/>
      <c r="BY5" s="298"/>
      <c r="BZ5" s="299"/>
      <c r="CA5" s="299"/>
      <c r="CB5" s="299"/>
      <c r="CC5" s="299"/>
      <c r="DB5" s="295"/>
      <c r="DH5" s="305"/>
      <c r="DI5" s="295"/>
      <c r="DO5" s="305"/>
      <c r="DR5" s="295"/>
      <c r="DX5" s="305"/>
      <c r="EC5" s="295"/>
      <c r="EI5" s="305"/>
      <c r="EN5" s="295"/>
      <c r="ET5" s="305"/>
      <c r="EV5" s="295"/>
      <c r="FB5" s="305"/>
      <c r="FD5" s="295"/>
      <c r="FJ5" s="305"/>
      <c r="FL5" s="295"/>
      <c r="FM5" s="295"/>
      <c r="FN5" s="295"/>
      <c r="FR5" s="305"/>
      <c r="FU5" s="295"/>
      <c r="FV5" s="295"/>
      <c r="FW5" s="295"/>
      <c r="FX5" s="295"/>
      <c r="FY5" s="298"/>
      <c r="FZ5" s="298"/>
      <c r="GA5" s="299"/>
      <c r="GB5" s="299"/>
      <c r="GC5" s="299"/>
    </row>
    <row r="6" spans="1:185">
      <c r="A6" s="308">
        <v>102022030</v>
      </c>
      <c r="B6" s="297" t="s">
        <v>2975</v>
      </c>
      <c r="C6" s="297"/>
      <c r="D6" s="297" t="s">
        <v>5508</v>
      </c>
      <c r="E6" s="297"/>
      <c r="F6" s="297"/>
      <c r="G6" s="297"/>
      <c r="H6" s="297"/>
      <c r="I6" s="297"/>
      <c r="J6" s="297"/>
      <c r="K6" s="297"/>
      <c r="L6" s="309" t="s">
        <v>2976</v>
      </c>
      <c r="M6" s="309" t="s">
        <v>290</v>
      </c>
      <c r="N6" s="297" t="s">
        <v>260</v>
      </c>
      <c r="O6" s="297" t="s">
        <v>5509</v>
      </c>
      <c r="P6" s="297" t="s">
        <v>386</v>
      </c>
      <c r="Q6" s="297" t="s">
        <v>260</v>
      </c>
      <c r="R6" s="297"/>
      <c r="S6" s="297"/>
      <c r="T6" s="297"/>
      <c r="U6" s="297"/>
      <c r="V6" s="303">
        <v>0</v>
      </c>
      <c r="W6" s="303">
        <f t="shared" si="46"/>
        <v>0</v>
      </c>
      <c r="X6" s="303">
        <f t="shared" ca="1" si="0"/>
        <v>0</v>
      </c>
      <c r="Y6" s="310">
        <f t="shared" si="1"/>
        <v>0</v>
      </c>
      <c r="Z6" s="302">
        <f t="shared" ca="1" si="2"/>
        <v>41</v>
      </c>
      <c r="AA6" s="303">
        <f t="shared" ca="1" si="3"/>
        <v>0</v>
      </c>
      <c r="AB6" s="299">
        <v>0</v>
      </c>
      <c r="AC6" s="303">
        <f t="shared" si="4"/>
        <v>0</v>
      </c>
      <c r="AD6" s="303">
        <f t="shared" ca="1" si="5"/>
        <v>0</v>
      </c>
      <c r="AE6" s="310">
        <f t="shared" si="6"/>
        <v>0</v>
      </c>
      <c r="AF6" s="302">
        <f t="shared" ca="1" si="7"/>
        <v>33</v>
      </c>
      <c r="AG6" s="311">
        <f t="shared" ca="1" si="8"/>
        <v>0</v>
      </c>
      <c r="AH6" s="299">
        <f t="shared" si="9"/>
        <v>361.4</v>
      </c>
      <c r="AI6" s="303">
        <f t="shared" si="10"/>
        <v>36.14</v>
      </c>
      <c r="AJ6" s="303">
        <f t="shared" ca="1" si="11"/>
        <v>96.072166666666618</v>
      </c>
      <c r="AK6" s="310">
        <f t="shared" si="12"/>
        <v>3.3128333333333315</v>
      </c>
      <c r="AL6" s="302">
        <f t="shared" ca="1" si="13"/>
        <v>29</v>
      </c>
      <c r="AM6" s="303">
        <f t="shared" ca="1" si="14"/>
        <v>493.61216666666655</v>
      </c>
      <c r="AN6" s="299">
        <f t="shared" si="15"/>
        <v>333.22499999999997</v>
      </c>
      <c r="AO6" s="303">
        <f t="shared" si="16"/>
        <v>33.322499999999998</v>
      </c>
      <c r="AP6" s="303">
        <f t="shared" ca="1" si="17"/>
        <v>70.254937499999969</v>
      </c>
      <c r="AQ6" s="301">
        <f t="shared" si="18"/>
        <v>3.0545624999999985</v>
      </c>
      <c r="AR6" s="302">
        <f t="shared" ca="1" si="19"/>
        <v>23</v>
      </c>
      <c r="AS6" s="299">
        <f t="shared" ca="1" si="20"/>
        <v>436.80243749999994</v>
      </c>
      <c r="AT6" s="299">
        <f t="shared" si="21"/>
        <v>333.22499999999997</v>
      </c>
      <c r="AU6" s="299">
        <f t="shared" si="22"/>
        <v>33.322499999999998</v>
      </c>
      <c r="AV6" s="299">
        <f t="shared" ca="1" si="23"/>
        <v>51.927562499999972</v>
      </c>
      <c r="AW6" s="301">
        <f t="shared" si="24"/>
        <v>3.0545624999999985</v>
      </c>
      <c r="AX6" s="302">
        <f t="shared" ca="1" si="25"/>
        <v>17</v>
      </c>
      <c r="AY6" s="299">
        <f t="shared" ca="1" si="26"/>
        <v>418.47506249999992</v>
      </c>
      <c r="AZ6" s="299">
        <f t="shared" si="27"/>
        <v>333.22499999999997</v>
      </c>
      <c r="BA6" s="299">
        <f t="shared" si="28"/>
        <v>33.322499999999998</v>
      </c>
      <c r="BB6" s="299">
        <f t="shared" ca="1" si="29"/>
        <v>27.491062499999988</v>
      </c>
      <c r="BC6" s="301">
        <f t="shared" si="30"/>
        <v>3.0545624999999985</v>
      </c>
      <c r="BD6" s="302">
        <f t="shared" ca="1" si="31"/>
        <v>9</v>
      </c>
      <c r="BE6" s="299">
        <f t="shared" ca="1" si="32"/>
        <v>394.03856249999995</v>
      </c>
      <c r="BF6" s="299">
        <f t="shared" si="33"/>
        <v>333.22499999999997</v>
      </c>
      <c r="BG6" s="299">
        <f t="shared" si="34"/>
        <v>33.322499999999998</v>
      </c>
      <c r="BH6" s="299">
        <f t="shared" ca="1" si="35"/>
        <v>15.272812499999993</v>
      </c>
      <c r="BI6" s="301">
        <f t="shared" si="36"/>
        <v>3.0545624999999985</v>
      </c>
      <c r="BJ6" s="302">
        <f t="shared" ca="1" si="37"/>
        <v>5</v>
      </c>
      <c r="BK6" s="299">
        <f t="shared" ca="1" si="38"/>
        <v>381.82031249999994</v>
      </c>
      <c r="BL6" s="299">
        <f t="shared" si="39"/>
        <v>1694.2999999999997</v>
      </c>
      <c r="BM6" s="299">
        <f t="shared" si="40"/>
        <v>169.42999999999998</v>
      </c>
      <c r="BN6" s="299">
        <f t="shared" ca="1" si="41"/>
        <v>261.01854166666652</v>
      </c>
      <c r="BO6" s="303">
        <f t="shared" ca="1" si="45"/>
        <v>2124.7485416666664</v>
      </c>
      <c r="BP6" s="304" t="s">
        <v>5914</v>
      </c>
      <c r="BQ6" s="302">
        <v>0.35</v>
      </c>
      <c r="BR6" s="299">
        <v>24000</v>
      </c>
      <c r="BS6" s="299">
        <v>115000</v>
      </c>
      <c r="BT6" s="299">
        <f t="shared" si="43"/>
        <v>139000</v>
      </c>
      <c r="BU6" s="299">
        <v>45000</v>
      </c>
      <c r="BV6" s="299">
        <v>103100</v>
      </c>
      <c r="BW6" s="299">
        <f t="shared" si="44"/>
        <v>148100</v>
      </c>
      <c r="BX6" s="297"/>
      <c r="BY6" s="297"/>
      <c r="BZ6" s="297"/>
      <c r="CA6" s="297"/>
      <c r="CB6" s="297"/>
      <c r="CC6" s="297"/>
      <c r="CD6" s="297"/>
      <c r="CE6" s="297"/>
      <c r="CF6" s="297"/>
      <c r="CG6" s="297"/>
      <c r="CH6" s="297"/>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G6" s="297"/>
      <c r="FH6" s="297"/>
      <c r="FI6" s="297"/>
      <c r="FJ6" s="297"/>
      <c r="FK6" s="297"/>
      <c r="FL6" s="297"/>
      <c r="FM6" s="297"/>
      <c r="FN6" s="297"/>
      <c r="FO6" s="297"/>
      <c r="FP6" s="298"/>
      <c r="FQ6" s="297"/>
      <c r="FR6" s="297"/>
      <c r="FS6" s="297"/>
      <c r="FT6" s="297"/>
      <c r="FU6" s="297"/>
      <c r="FV6" s="297"/>
      <c r="FW6" s="297"/>
      <c r="FX6" s="297"/>
      <c r="FY6" s="297"/>
      <c r="FZ6" s="297"/>
      <c r="GA6" s="297"/>
      <c r="GB6" s="297"/>
    </row>
    <row r="7" spans="1:185">
      <c r="A7" s="308">
        <v>102022036</v>
      </c>
      <c r="B7" s="297" t="s">
        <v>2992</v>
      </c>
      <c r="C7" s="297" t="s">
        <v>554</v>
      </c>
      <c r="D7" s="297" t="s">
        <v>2996</v>
      </c>
      <c r="E7" s="297" t="s">
        <v>1355</v>
      </c>
      <c r="F7" s="297" t="s">
        <v>598</v>
      </c>
      <c r="G7" s="297"/>
      <c r="H7" s="297" t="s">
        <v>2996</v>
      </c>
      <c r="I7" s="297" t="s">
        <v>805</v>
      </c>
      <c r="J7" s="297" t="s">
        <v>396</v>
      </c>
      <c r="K7" s="297"/>
      <c r="O7" s="309" t="s">
        <v>2997</v>
      </c>
      <c r="P7" s="297" t="s">
        <v>267</v>
      </c>
      <c r="Q7" s="297" t="s">
        <v>260</v>
      </c>
      <c r="R7" s="297"/>
      <c r="S7" s="297"/>
      <c r="T7" s="297"/>
      <c r="U7" s="297"/>
      <c r="V7" s="299">
        <v>0</v>
      </c>
      <c r="W7" s="299">
        <f t="shared" si="46"/>
        <v>0</v>
      </c>
      <c r="X7" s="299">
        <f t="shared" ca="1" si="0"/>
        <v>0</v>
      </c>
      <c r="Y7" s="301">
        <f t="shared" si="1"/>
        <v>0</v>
      </c>
      <c r="Z7" s="302">
        <f t="shared" ca="1" si="2"/>
        <v>41</v>
      </c>
      <c r="AA7" s="299">
        <f t="shared" ca="1" si="3"/>
        <v>0</v>
      </c>
      <c r="AB7" s="299">
        <f>SUM(BT7*0.0052)/2</f>
        <v>309.91999999999996</v>
      </c>
      <c r="AC7" s="299">
        <f t="shared" si="4"/>
        <v>30.991999999999997</v>
      </c>
      <c r="AD7" s="299">
        <f t="shared" ca="1" si="5"/>
        <v>93.750799999999941</v>
      </c>
      <c r="AE7" s="301">
        <f t="shared" si="6"/>
        <v>2.8409333333333318</v>
      </c>
      <c r="AF7" s="302">
        <f t="shared" ca="1" si="7"/>
        <v>33</v>
      </c>
      <c r="AG7" s="302">
        <f t="shared" ca="1" si="8"/>
        <v>434.66279999999995</v>
      </c>
      <c r="AH7" s="299">
        <f t="shared" si="9"/>
        <v>309.91999999999996</v>
      </c>
      <c r="AI7" s="299">
        <f t="shared" si="10"/>
        <v>30.991999999999997</v>
      </c>
      <c r="AJ7" s="299">
        <f t="shared" ca="1" si="11"/>
        <v>82.387066666666627</v>
      </c>
      <c r="AK7" s="301">
        <f t="shared" si="12"/>
        <v>2.8409333333333318</v>
      </c>
      <c r="AL7" s="302">
        <f t="shared" ca="1" si="13"/>
        <v>29</v>
      </c>
      <c r="AM7" s="299">
        <f t="shared" ca="1" si="14"/>
        <v>423.29906666666659</v>
      </c>
      <c r="AN7" s="299">
        <f t="shared" si="15"/>
        <v>278.32499999999999</v>
      </c>
      <c r="AO7" s="299">
        <f t="shared" si="16"/>
        <v>27.8325</v>
      </c>
      <c r="AP7" s="299">
        <f t="shared" ca="1" si="17"/>
        <v>58.680187499999967</v>
      </c>
      <c r="AQ7" s="301">
        <f t="shared" si="18"/>
        <v>2.5513124999999985</v>
      </c>
      <c r="AR7" s="302">
        <f t="shared" ca="1" si="19"/>
        <v>23</v>
      </c>
      <c r="AS7" s="299">
        <f t="shared" ca="1" si="20"/>
        <v>364.83768749999996</v>
      </c>
      <c r="AT7" s="299">
        <f t="shared" si="21"/>
        <v>278.32499999999999</v>
      </c>
      <c r="AU7" s="299">
        <f t="shared" si="22"/>
        <v>27.8325</v>
      </c>
      <c r="AV7" s="299">
        <f t="shared" ca="1" si="23"/>
        <v>43.372312499999978</v>
      </c>
      <c r="AW7" s="301">
        <f t="shared" si="24"/>
        <v>2.5513124999999985</v>
      </c>
      <c r="AX7" s="302">
        <f t="shared" ca="1" si="25"/>
        <v>17</v>
      </c>
      <c r="AY7" s="299">
        <f t="shared" ca="1" si="26"/>
        <v>349.52981249999993</v>
      </c>
      <c r="AZ7" s="299">
        <f t="shared" si="27"/>
        <v>278.32499999999999</v>
      </c>
      <c r="BA7" s="299">
        <f t="shared" si="28"/>
        <v>27.8325</v>
      </c>
      <c r="BB7" s="299">
        <f t="shared" ca="1" si="29"/>
        <v>22.961812499999986</v>
      </c>
      <c r="BC7" s="301">
        <f t="shared" si="30"/>
        <v>2.5513124999999985</v>
      </c>
      <c r="BD7" s="302">
        <f t="shared" ca="1" si="31"/>
        <v>9</v>
      </c>
      <c r="BE7" s="299">
        <f t="shared" ca="1" si="32"/>
        <v>329.11931249999998</v>
      </c>
      <c r="BF7" s="299">
        <f t="shared" si="33"/>
        <v>278.32499999999999</v>
      </c>
      <c r="BG7" s="299">
        <f t="shared" si="34"/>
        <v>27.8325</v>
      </c>
      <c r="BH7" s="299">
        <f t="shared" ca="1" si="35"/>
        <v>12.756562499999992</v>
      </c>
      <c r="BI7" s="301">
        <f t="shared" si="36"/>
        <v>2.5513124999999985</v>
      </c>
      <c r="BJ7" s="302">
        <f t="shared" ca="1" si="37"/>
        <v>5</v>
      </c>
      <c r="BK7" s="299">
        <f t="shared" ca="1" si="38"/>
        <v>318.91406249999994</v>
      </c>
      <c r="BL7" s="299">
        <f t="shared" si="39"/>
        <v>1733.14</v>
      </c>
      <c r="BM7" s="299">
        <f t="shared" si="40"/>
        <v>173.31399999999999</v>
      </c>
      <c r="BN7" s="299">
        <f t="shared" ca="1" si="41"/>
        <v>313.90874166666651</v>
      </c>
      <c r="BO7" s="303">
        <f t="shared" ca="1" si="45"/>
        <v>2220.3627416666668</v>
      </c>
      <c r="BP7" s="304" t="s">
        <v>5914</v>
      </c>
      <c r="BQ7" s="302">
        <v>5.09</v>
      </c>
      <c r="BR7" s="299">
        <v>63500</v>
      </c>
      <c r="BS7" s="299">
        <v>55700</v>
      </c>
      <c r="BT7" s="299">
        <f t="shared" si="43"/>
        <v>119200</v>
      </c>
      <c r="BU7" s="299">
        <v>63500</v>
      </c>
      <c r="BV7" s="299">
        <v>60200</v>
      </c>
      <c r="BW7" s="299">
        <f t="shared" si="44"/>
        <v>123700</v>
      </c>
      <c r="BX7" s="297"/>
      <c r="BY7" s="297"/>
      <c r="BZ7" s="297"/>
      <c r="CA7" s="297"/>
      <c r="CB7" s="297"/>
      <c r="CC7" s="297"/>
      <c r="CD7" s="297"/>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G7" s="297"/>
      <c r="FH7" s="297"/>
      <c r="FI7" s="297"/>
      <c r="FJ7" s="297"/>
      <c r="FK7" s="297"/>
      <c r="FL7" s="297"/>
      <c r="FM7" s="297"/>
      <c r="FN7" s="297"/>
      <c r="FO7" s="297"/>
      <c r="FP7" s="297"/>
      <c r="FQ7" s="298"/>
      <c r="FR7" s="297"/>
      <c r="FS7" s="297"/>
      <c r="FT7" s="297"/>
      <c r="FU7" s="297"/>
      <c r="FV7" s="297"/>
      <c r="FW7" s="297"/>
      <c r="FX7" s="297"/>
      <c r="FY7" s="297"/>
      <c r="FZ7" s="297"/>
      <c r="GA7" s="297"/>
      <c r="GB7" s="297"/>
    </row>
    <row r="8" spans="1:185" ht="15.95" customHeight="1">
      <c r="A8" s="308">
        <v>102022038</v>
      </c>
      <c r="B8" s="297" t="s">
        <v>2994</v>
      </c>
      <c r="C8" s="297"/>
      <c r="D8" s="297" t="s">
        <v>3001</v>
      </c>
      <c r="E8" s="297"/>
      <c r="F8" s="297"/>
      <c r="G8" s="297"/>
      <c r="H8" s="297"/>
      <c r="I8" s="297"/>
      <c r="J8" s="297"/>
      <c r="K8" s="297"/>
      <c r="L8" s="297" t="s">
        <v>328</v>
      </c>
      <c r="M8" s="297" t="s">
        <v>329</v>
      </c>
      <c r="O8" s="309" t="s">
        <v>3002</v>
      </c>
      <c r="P8" s="309" t="s">
        <v>3003</v>
      </c>
      <c r="Q8" s="297" t="s">
        <v>3004</v>
      </c>
      <c r="R8" s="297" t="s">
        <v>3005</v>
      </c>
      <c r="S8" s="309" t="s">
        <v>3002</v>
      </c>
      <c r="T8" s="309" t="s">
        <v>3003</v>
      </c>
      <c r="U8" s="297" t="s">
        <v>3004</v>
      </c>
      <c r="V8" s="299">
        <v>0</v>
      </c>
      <c r="W8" s="299">
        <f t="shared" si="46"/>
        <v>0</v>
      </c>
      <c r="X8" s="299">
        <f t="shared" ca="1" si="0"/>
        <v>0</v>
      </c>
      <c r="Y8" s="301">
        <f t="shared" si="1"/>
        <v>0</v>
      </c>
      <c r="Z8" s="302">
        <f t="shared" ca="1" si="2"/>
        <v>41</v>
      </c>
      <c r="AA8" s="299">
        <f t="shared" ca="1" si="3"/>
        <v>0</v>
      </c>
      <c r="AB8" s="299">
        <v>0</v>
      </c>
      <c r="AC8" s="299">
        <f t="shared" si="4"/>
        <v>0</v>
      </c>
      <c r="AD8" s="299">
        <f t="shared" ca="1" si="5"/>
        <v>0</v>
      </c>
      <c r="AE8" s="301">
        <f t="shared" si="6"/>
        <v>0</v>
      </c>
      <c r="AF8" s="302">
        <f t="shared" ca="1" si="7"/>
        <v>33</v>
      </c>
      <c r="AG8" s="302">
        <f t="shared" ca="1" si="8"/>
        <v>0</v>
      </c>
      <c r="AH8" s="299">
        <f t="shared" si="9"/>
        <v>852.54</v>
      </c>
      <c r="AI8" s="299">
        <f t="shared" si="10"/>
        <v>85.254000000000005</v>
      </c>
      <c r="AJ8" s="299">
        <f t="shared" ca="1" si="11"/>
        <v>226.6335499999999</v>
      </c>
      <c r="AK8" s="301">
        <f t="shared" si="12"/>
        <v>7.8149499999999961</v>
      </c>
      <c r="AL8" s="302">
        <f t="shared" ca="1" si="13"/>
        <v>29</v>
      </c>
      <c r="AM8" s="299">
        <f t="shared" ca="1" si="14"/>
        <v>1164.4275499999999</v>
      </c>
      <c r="AN8" s="299">
        <f t="shared" si="15"/>
        <v>983.69999999999993</v>
      </c>
      <c r="AO8" s="299">
        <f t="shared" si="16"/>
        <v>98.37</v>
      </c>
      <c r="AP8" s="299">
        <f t="shared" ca="1" si="17"/>
        <v>207.39674999999988</v>
      </c>
      <c r="AQ8" s="301">
        <f t="shared" si="18"/>
        <v>9.0172499999999953</v>
      </c>
      <c r="AR8" s="302">
        <f t="shared" ca="1" si="19"/>
        <v>23</v>
      </c>
      <c r="AS8" s="299">
        <f t="shared" ca="1" si="20"/>
        <v>1289.4667499999998</v>
      </c>
      <c r="AT8" s="299">
        <f t="shared" si="21"/>
        <v>983.69999999999993</v>
      </c>
      <c r="AU8" s="299">
        <f t="shared" si="22"/>
        <v>98.37</v>
      </c>
      <c r="AV8" s="299">
        <f t="shared" ca="1" si="23"/>
        <v>153.29324999999992</v>
      </c>
      <c r="AW8" s="301">
        <f t="shared" si="24"/>
        <v>9.0172499999999953</v>
      </c>
      <c r="AX8" s="302">
        <f t="shared" ca="1" si="25"/>
        <v>17</v>
      </c>
      <c r="AY8" s="299">
        <f t="shared" ca="1" si="26"/>
        <v>1235.3632499999999</v>
      </c>
      <c r="AZ8" s="299">
        <f t="shared" si="27"/>
        <v>983.69999999999993</v>
      </c>
      <c r="BA8" s="299">
        <f t="shared" si="28"/>
        <v>98.37</v>
      </c>
      <c r="BB8" s="299">
        <f t="shared" ca="1" si="29"/>
        <v>81.155249999999953</v>
      </c>
      <c r="BC8" s="301">
        <f t="shared" si="30"/>
        <v>9.0172499999999953</v>
      </c>
      <c r="BD8" s="302">
        <f t="shared" ca="1" si="31"/>
        <v>9</v>
      </c>
      <c r="BE8" s="299">
        <f t="shared" ca="1" si="32"/>
        <v>1163.22525</v>
      </c>
      <c r="BF8" s="299">
        <f t="shared" si="33"/>
        <v>983.69999999999993</v>
      </c>
      <c r="BG8" s="299">
        <f t="shared" si="34"/>
        <v>98.37</v>
      </c>
      <c r="BH8" s="299">
        <f t="shared" ca="1" si="35"/>
        <v>45.086249999999978</v>
      </c>
      <c r="BI8" s="301">
        <f t="shared" si="36"/>
        <v>9.0172499999999953</v>
      </c>
      <c r="BJ8" s="302">
        <f t="shared" ca="1" si="37"/>
        <v>5</v>
      </c>
      <c r="BK8" s="299">
        <f t="shared" ca="1" si="38"/>
        <v>1127.15625</v>
      </c>
      <c r="BL8" s="299">
        <f t="shared" si="39"/>
        <v>4787.3399999999992</v>
      </c>
      <c r="BM8" s="299">
        <f t="shared" si="40"/>
        <v>478.73400000000004</v>
      </c>
      <c r="BN8" s="299">
        <f t="shared" ca="1" si="41"/>
        <v>713.56504999999959</v>
      </c>
      <c r="BO8" s="303">
        <f t="shared" ref="BO8:BO22" ca="1" si="47">SUM(BL8:BN8)</f>
        <v>5979.6390499999989</v>
      </c>
      <c r="BP8" s="304" t="s">
        <v>5914</v>
      </c>
      <c r="BQ8" s="302">
        <v>218.6</v>
      </c>
      <c r="BR8" s="299">
        <v>327900</v>
      </c>
      <c r="BS8" s="299">
        <v>0</v>
      </c>
      <c r="BT8" s="299">
        <f t="shared" si="43"/>
        <v>327900</v>
      </c>
      <c r="BU8" s="299">
        <v>437200</v>
      </c>
      <c r="BV8" s="299">
        <v>0</v>
      </c>
      <c r="BW8" s="299">
        <f t="shared" si="44"/>
        <v>437200</v>
      </c>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8"/>
      <c r="FR8" s="297"/>
      <c r="FS8" s="297"/>
      <c r="FT8" s="297"/>
      <c r="FU8" s="297"/>
      <c r="FV8" s="297"/>
      <c r="FW8" s="297"/>
      <c r="FX8" s="297"/>
      <c r="FY8" s="297"/>
      <c r="FZ8" s="297"/>
      <c r="GA8" s="297"/>
      <c r="GB8" s="297"/>
    </row>
    <row r="9" spans="1:185">
      <c r="A9" s="308">
        <v>102022145</v>
      </c>
      <c r="B9" s="297" t="s">
        <v>2877</v>
      </c>
      <c r="C9" s="297" t="s">
        <v>253</v>
      </c>
      <c r="D9" s="297" t="s">
        <v>1224</v>
      </c>
      <c r="E9" s="297" t="s">
        <v>657</v>
      </c>
      <c r="F9" s="297" t="s">
        <v>403</v>
      </c>
      <c r="G9" s="297"/>
      <c r="H9" s="297"/>
      <c r="I9" s="297"/>
      <c r="J9" s="297"/>
      <c r="K9" s="297"/>
      <c r="L9" s="306" t="s">
        <v>328</v>
      </c>
      <c r="M9" s="309" t="s">
        <v>438</v>
      </c>
      <c r="N9" s="309"/>
      <c r="O9" s="297" t="s">
        <v>1188</v>
      </c>
      <c r="P9" s="309" t="s">
        <v>438</v>
      </c>
      <c r="Q9" s="309"/>
      <c r="R9" s="297"/>
      <c r="S9" s="297"/>
      <c r="T9" s="297"/>
      <c r="U9" s="297"/>
      <c r="V9" s="299">
        <v>0</v>
      </c>
      <c r="W9" s="299">
        <f t="shared" si="46"/>
        <v>0</v>
      </c>
      <c r="X9" s="299">
        <f t="shared" ca="1" si="0"/>
        <v>0</v>
      </c>
      <c r="Y9" s="301">
        <f t="shared" si="1"/>
        <v>0</v>
      </c>
      <c r="Z9" s="302">
        <f t="shared" ca="1" si="2"/>
        <v>41</v>
      </c>
      <c r="AA9" s="299">
        <f t="shared" ca="1" si="3"/>
        <v>0</v>
      </c>
      <c r="AB9" s="299">
        <f>SUM(BT9*0.0052)/2</f>
        <v>1.04</v>
      </c>
      <c r="AC9" s="299">
        <f t="shared" si="4"/>
        <v>0.10400000000000001</v>
      </c>
      <c r="AD9" s="299">
        <f t="shared" ca="1" si="5"/>
        <v>0.31459999999999994</v>
      </c>
      <c r="AE9" s="301">
        <f t="shared" si="6"/>
        <v>9.5333333333333312E-3</v>
      </c>
      <c r="AF9" s="302">
        <f t="shared" ca="1" si="7"/>
        <v>33</v>
      </c>
      <c r="AG9" s="302">
        <f t="shared" ca="1" si="8"/>
        <v>1.4586000000000001</v>
      </c>
      <c r="AH9" s="299">
        <f t="shared" si="9"/>
        <v>1.04</v>
      </c>
      <c r="AI9" s="299">
        <f t="shared" si="10"/>
        <v>0.10400000000000001</v>
      </c>
      <c r="AJ9" s="299">
        <f t="shared" ca="1" si="11"/>
        <v>0.27646666666666658</v>
      </c>
      <c r="AK9" s="301">
        <f t="shared" si="12"/>
        <v>9.5333333333333312E-3</v>
      </c>
      <c r="AL9" s="302">
        <f t="shared" ca="1" si="13"/>
        <v>29</v>
      </c>
      <c r="AM9" s="299">
        <f t="shared" ca="1" si="14"/>
        <v>1.4204666666666668</v>
      </c>
      <c r="AN9" s="299">
        <v>0</v>
      </c>
      <c r="AO9" s="299">
        <f t="shared" si="16"/>
        <v>0</v>
      </c>
      <c r="AP9" s="299">
        <f t="shared" ca="1" si="17"/>
        <v>0</v>
      </c>
      <c r="AQ9" s="301">
        <f t="shared" si="18"/>
        <v>0</v>
      </c>
      <c r="AR9" s="302">
        <f t="shared" ca="1" si="19"/>
        <v>23</v>
      </c>
      <c r="AS9" s="299">
        <f t="shared" ca="1" si="20"/>
        <v>0</v>
      </c>
      <c r="AT9" s="299">
        <f t="shared" si="21"/>
        <v>0.89999999999999991</v>
      </c>
      <c r="AU9" s="299">
        <f t="shared" si="22"/>
        <v>0.09</v>
      </c>
      <c r="AV9" s="299">
        <f t="shared" ca="1" si="23"/>
        <v>0.14024999999999993</v>
      </c>
      <c r="AW9" s="301">
        <f t="shared" si="24"/>
        <v>8.2499999999999952E-3</v>
      </c>
      <c r="AX9" s="302">
        <f t="shared" ca="1" si="25"/>
        <v>17</v>
      </c>
      <c r="AY9" s="299">
        <f t="shared" ca="1" si="26"/>
        <v>1.1302499999999998</v>
      </c>
      <c r="AZ9" s="299">
        <f t="shared" si="27"/>
        <v>0.89999999999999991</v>
      </c>
      <c r="BA9" s="299">
        <f t="shared" si="28"/>
        <v>0.09</v>
      </c>
      <c r="BB9" s="299">
        <f t="shared" ca="1" si="29"/>
        <v>7.4249999999999955E-2</v>
      </c>
      <c r="BC9" s="301">
        <f t="shared" si="30"/>
        <v>8.2499999999999952E-3</v>
      </c>
      <c r="BD9" s="302">
        <f t="shared" ca="1" si="31"/>
        <v>9</v>
      </c>
      <c r="BE9" s="299">
        <f t="shared" ca="1" si="32"/>
        <v>1.0642499999999999</v>
      </c>
      <c r="BF9" s="299">
        <f t="shared" si="33"/>
        <v>0.89999999999999991</v>
      </c>
      <c r="BG9" s="299">
        <f t="shared" si="34"/>
        <v>0.09</v>
      </c>
      <c r="BH9" s="299">
        <f t="shared" ca="1" si="35"/>
        <v>4.1249999999999974E-2</v>
      </c>
      <c r="BI9" s="301">
        <f t="shared" si="36"/>
        <v>8.2499999999999952E-3</v>
      </c>
      <c r="BJ9" s="302">
        <f t="shared" ca="1" si="37"/>
        <v>5</v>
      </c>
      <c r="BK9" s="299">
        <f t="shared" ca="1" si="38"/>
        <v>1.0312499999999998</v>
      </c>
      <c r="BL9" s="299">
        <f t="shared" si="39"/>
        <v>4.7799999999999994</v>
      </c>
      <c r="BM9" s="299">
        <f t="shared" si="40"/>
        <v>0.47799999999999998</v>
      </c>
      <c r="BN9" s="299">
        <f t="shared" ca="1" si="41"/>
        <v>0.84681666666666633</v>
      </c>
      <c r="BO9" s="303">
        <f t="shared" ca="1" si="47"/>
        <v>6.1048166666666654</v>
      </c>
      <c r="BP9" s="304" t="s">
        <v>5914</v>
      </c>
      <c r="BQ9" s="302">
        <v>1</v>
      </c>
      <c r="BR9" s="299">
        <v>400</v>
      </c>
      <c r="BS9" s="299">
        <v>0</v>
      </c>
      <c r="BT9" s="299">
        <f t="shared" si="43"/>
        <v>400</v>
      </c>
      <c r="BU9" s="299">
        <v>400</v>
      </c>
      <c r="BV9" s="299">
        <v>0</v>
      </c>
      <c r="BW9" s="299">
        <f t="shared" si="44"/>
        <v>400</v>
      </c>
      <c r="BX9" s="297"/>
      <c r="BY9" s="297"/>
      <c r="BZ9" s="297"/>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G9" s="297"/>
      <c r="FH9" s="297"/>
      <c r="FI9" s="297"/>
      <c r="FJ9" s="297"/>
      <c r="FK9" s="297"/>
      <c r="FL9" s="297"/>
      <c r="FM9" s="297"/>
      <c r="FN9" s="297"/>
      <c r="FO9" s="297"/>
      <c r="FP9" s="298"/>
      <c r="FQ9" s="297"/>
      <c r="FR9" s="297"/>
      <c r="FS9" s="297"/>
      <c r="FT9" s="297"/>
      <c r="FU9" s="297"/>
      <c r="FV9" s="297"/>
      <c r="FW9" s="297"/>
      <c r="FX9" s="297"/>
      <c r="FY9" s="297"/>
      <c r="FZ9" s="297"/>
      <c r="GA9" s="297"/>
      <c r="GB9" s="297"/>
    </row>
    <row r="10" spans="1:185">
      <c r="A10" s="296">
        <v>102024026</v>
      </c>
      <c r="B10" s="297" t="s">
        <v>6020</v>
      </c>
      <c r="C10" s="297" t="s">
        <v>554</v>
      </c>
      <c r="D10" s="297" t="s">
        <v>5149</v>
      </c>
      <c r="E10" s="297" t="s">
        <v>1144</v>
      </c>
      <c r="F10" s="297" t="s">
        <v>256</v>
      </c>
      <c r="G10" s="297"/>
      <c r="H10" s="297" t="s">
        <v>5149</v>
      </c>
      <c r="I10" s="297" t="s">
        <v>5150</v>
      </c>
      <c r="J10" s="297" t="s">
        <v>354</v>
      </c>
      <c r="K10" s="297"/>
      <c r="L10" s="297" t="s">
        <v>5151</v>
      </c>
      <c r="M10" s="297" t="s">
        <v>267</v>
      </c>
      <c r="N10" s="297" t="s">
        <v>260</v>
      </c>
      <c r="O10" s="297" t="s">
        <v>5152</v>
      </c>
      <c r="P10" s="297" t="s">
        <v>386</v>
      </c>
      <c r="Q10" s="297" t="s">
        <v>260</v>
      </c>
      <c r="R10" s="297"/>
      <c r="S10" s="297"/>
      <c r="T10" s="297"/>
      <c r="U10" s="297"/>
      <c r="V10" s="299">
        <f>SUM(BT10*0.0052)</f>
        <v>68.11999999999999</v>
      </c>
      <c r="W10" s="299">
        <f t="shared" si="46"/>
        <v>6.8119999999999994</v>
      </c>
      <c r="X10" s="299">
        <f t="shared" ca="1" si="0"/>
        <v>25.601766666666652</v>
      </c>
      <c r="Y10" s="301">
        <f t="shared" si="1"/>
        <v>0.62443333333333295</v>
      </c>
      <c r="Z10" s="302">
        <f t="shared" ca="1" si="2"/>
        <v>41</v>
      </c>
      <c r="AA10" s="299">
        <f t="shared" ca="1" si="3"/>
        <v>100.53376666666664</v>
      </c>
      <c r="AB10" s="299">
        <v>0</v>
      </c>
      <c r="AC10" s="299">
        <f t="shared" si="4"/>
        <v>0</v>
      </c>
      <c r="AD10" s="299">
        <f t="shared" ca="1" si="5"/>
        <v>0</v>
      </c>
      <c r="AE10" s="301">
        <f t="shared" si="6"/>
        <v>0</v>
      </c>
      <c r="AF10" s="302">
        <f t="shared" ca="1" si="7"/>
        <v>33</v>
      </c>
      <c r="AG10" s="302">
        <f t="shared" ca="1" si="8"/>
        <v>0</v>
      </c>
      <c r="AH10" s="299">
        <f t="shared" si="9"/>
        <v>34.059999999999995</v>
      </c>
      <c r="AI10" s="299">
        <f t="shared" si="10"/>
        <v>3.4059999999999997</v>
      </c>
      <c r="AJ10" s="299">
        <f t="shared" ca="1" si="11"/>
        <v>9.054283333333327</v>
      </c>
      <c r="AK10" s="301">
        <f t="shared" si="12"/>
        <v>0.31221666666666648</v>
      </c>
      <c r="AL10" s="302">
        <f t="shared" ca="1" si="13"/>
        <v>29</v>
      </c>
      <c r="AM10" s="299">
        <f t="shared" ca="1" si="14"/>
        <v>46.520283333333325</v>
      </c>
      <c r="AN10" s="299">
        <f t="shared" ref="AN10:AN35" si="48">SUM(BW10*0.0045)/2</f>
        <v>30.15</v>
      </c>
      <c r="AO10" s="299">
        <f t="shared" si="16"/>
        <v>3.0150000000000001</v>
      </c>
      <c r="AP10" s="299">
        <f t="shared" ca="1" si="17"/>
        <v>6.3566249999999966</v>
      </c>
      <c r="AQ10" s="301">
        <f t="shared" si="18"/>
        <v>0.27637499999999987</v>
      </c>
      <c r="AR10" s="302">
        <f t="shared" ca="1" si="19"/>
        <v>23</v>
      </c>
      <c r="AS10" s="299">
        <f t="shared" ca="1" si="20"/>
        <v>39.521624999999993</v>
      </c>
      <c r="AT10" s="299">
        <f t="shared" si="21"/>
        <v>30.15</v>
      </c>
      <c r="AU10" s="299">
        <f t="shared" si="22"/>
        <v>3.0150000000000001</v>
      </c>
      <c r="AV10" s="299">
        <f t="shared" ca="1" si="23"/>
        <v>4.6983749999999977</v>
      </c>
      <c r="AW10" s="301">
        <f t="shared" si="24"/>
        <v>0.27637499999999987</v>
      </c>
      <c r="AX10" s="302">
        <f t="shared" ca="1" si="25"/>
        <v>17</v>
      </c>
      <c r="AY10" s="299">
        <f t="shared" ca="1" si="26"/>
        <v>37.863374999999998</v>
      </c>
      <c r="AZ10" s="299">
        <f t="shared" si="27"/>
        <v>30.15</v>
      </c>
      <c r="BA10" s="299">
        <f t="shared" si="28"/>
        <v>3.0150000000000001</v>
      </c>
      <c r="BB10" s="299">
        <f t="shared" ca="1" si="29"/>
        <v>2.4873749999999988</v>
      </c>
      <c r="BC10" s="301">
        <f t="shared" si="30"/>
        <v>0.27637499999999987</v>
      </c>
      <c r="BD10" s="302">
        <f t="shared" ca="1" si="31"/>
        <v>9</v>
      </c>
      <c r="BE10" s="299">
        <f t="shared" ca="1" si="32"/>
        <v>35.652374999999999</v>
      </c>
      <c r="BF10" s="299">
        <f t="shared" si="33"/>
        <v>30.15</v>
      </c>
      <c r="BG10" s="299">
        <f t="shared" si="34"/>
        <v>3.0150000000000001</v>
      </c>
      <c r="BH10" s="299">
        <f t="shared" ca="1" si="35"/>
        <v>1.3818749999999993</v>
      </c>
      <c r="BI10" s="301">
        <f t="shared" si="36"/>
        <v>0.27637499999999987</v>
      </c>
      <c r="BJ10" s="302">
        <f t="shared" ca="1" si="37"/>
        <v>5</v>
      </c>
      <c r="BK10" s="299">
        <f t="shared" ca="1" si="38"/>
        <v>34.546875</v>
      </c>
      <c r="BL10" s="299">
        <f t="shared" si="39"/>
        <v>222.78</v>
      </c>
      <c r="BM10" s="299">
        <f t="shared" si="40"/>
        <v>22.278000000000002</v>
      </c>
      <c r="BN10" s="299">
        <f t="shared" ca="1" si="41"/>
        <v>49.580299999999973</v>
      </c>
      <c r="BO10" s="303">
        <f t="shared" ca="1" si="47"/>
        <v>294.63829999999996</v>
      </c>
      <c r="BP10" s="304" t="s">
        <v>5892</v>
      </c>
      <c r="BQ10" s="302">
        <v>0.46500000000000002</v>
      </c>
      <c r="BR10" s="299">
        <v>10000</v>
      </c>
      <c r="BS10" s="299">
        <v>3100</v>
      </c>
      <c r="BT10" s="299">
        <f t="shared" si="43"/>
        <v>13100</v>
      </c>
      <c r="BU10" s="299">
        <v>10000</v>
      </c>
      <c r="BV10" s="299">
        <v>3400</v>
      </c>
      <c r="BW10" s="299">
        <f t="shared" si="44"/>
        <v>13400</v>
      </c>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8"/>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M10" s="297"/>
      <c r="FN10" s="297"/>
      <c r="FO10" s="297"/>
      <c r="FP10" s="297"/>
      <c r="FQ10" s="297"/>
      <c r="FR10" s="297"/>
      <c r="FS10" s="297"/>
      <c r="FT10" s="297"/>
      <c r="FU10" s="297"/>
      <c r="FV10" s="297"/>
      <c r="FX10" s="298"/>
      <c r="FY10" s="298"/>
      <c r="GC10" s="305"/>
    </row>
    <row r="11" spans="1:185">
      <c r="A11" s="296">
        <v>102024189</v>
      </c>
      <c r="B11" s="297" t="s">
        <v>5072</v>
      </c>
      <c r="C11" s="295" t="s">
        <v>796</v>
      </c>
      <c r="D11" s="295" t="s">
        <v>5949</v>
      </c>
      <c r="E11" s="295" t="s">
        <v>5950</v>
      </c>
      <c r="F11" s="295" t="s">
        <v>403</v>
      </c>
      <c r="O11" s="297" t="s">
        <v>5139</v>
      </c>
      <c r="P11" s="297" t="s">
        <v>600</v>
      </c>
      <c r="Q11" s="297" t="s">
        <v>260</v>
      </c>
      <c r="V11" s="299">
        <v>0</v>
      </c>
      <c r="W11" s="299">
        <f t="shared" si="46"/>
        <v>0</v>
      </c>
      <c r="X11" s="299">
        <f t="shared" ca="1" si="0"/>
        <v>0</v>
      </c>
      <c r="Y11" s="301">
        <f t="shared" si="1"/>
        <v>0</v>
      </c>
      <c r="Z11" s="302">
        <f t="shared" ca="1" si="2"/>
        <v>41</v>
      </c>
      <c r="AA11" s="299">
        <f t="shared" ca="1" si="3"/>
        <v>0</v>
      </c>
      <c r="AB11" s="299">
        <v>0</v>
      </c>
      <c r="AC11" s="299">
        <f t="shared" si="4"/>
        <v>0</v>
      </c>
      <c r="AD11" s="299">
        <f t="shared" ca="1" si="5"/>
        <v>0</v>
      </c>
      <c r="AE11" s="301">
        <f t="shared" si="6"/>
        <v>0</v>
      </c>
      <c r="AF11" s="302">
        <f t="shared" ca="1" si="7"/>
        <v>33</v>
      </c>
      <c r="AG11" s="302">
        <f t="shared" ca="1" si="8"/>
        <v>0</v>
      </c>
      <c r="AH11" s="299">
        <f>SUM(BT11*0.0052)/2-13.15</f>
        <v>608.77</v>
      </c>
      <c r="AI11" s="299">
        <f t="shared" si="10"/>
        <v>60.877000000000002</v>
      </c>
      <c r="AJ11" s="299">
        <f t="shared" ca="1" si="11"/>
        <v>161.83135833333324</v>
      </c>
      <c r="AK11" s="301">
        <f t="shared" si="12"/>
        <v>5.5803916666666638</v>
      </c>
      <c r="AL11" s="302">
        <f t="shared" ca="1" si="13"/>
        <v>29</v>
      </c>
      <c r="AM11" s="299">
        <f t="shared" ca="1" si="14"/>
        <v>831.47835833333318</v>
      </c>
      <c r="AN11" s="299">
        <f t="shared" si="48"/>
        <v>688.94999999999993</v>
      </c>
      <c r="AO11" s="299">
        <f t="shared" si="16"/>
        <v>68.894999999999996</v>
      </c>
      <c r="AP11" s="299">
        <f t="shared" ca="1" si="17"/>
        <v>145.25362499999991</v>
      </c>
      <c r="AQ11" s="301">
        <f t="shared" si="18"/>
        <v>6.3153749999999969</v>
      </c>
      <c r="AR11" s="302">
        <f t="shared" ca="1" si="19"/>
        <v>23</v>
      </c>
      <c r="AS11" s="299">
        <f t="shared" ca="1" si="20"/>
        <v>903.09862499999986</v>
      </c>
      <c r="AT11" s="299">
        <f t="shared" si="21"/>
        <v>688.94999999999993</v>
      </c>
      <c r="AU11" s="299">
        <f t="shared" si="22"/>
        <v>68.894999999999996</v>
      </c>
      <c r="AV11" s="299">
        <f t="shared" ca="1" si="23"/>
        <v>107.36137499999995</v>
      </c>
      <c r="AW11" s="301">
        <f t="shared" si="24"/>
        <v>6.3153749999999969</v>
      </c>
      <c r="AX11" s="302">
        <f t="shared" ca="1" si="25"/>
        <v>17</v>
      </c>
      <c r="AY11" s="299">
        <f t="shared" ca="1" si="26"/>
        <v>865.20637499999987</v>
      </c>
      <c r="AZ11" s="299">
        <f t="shared" si="27"/>
        <v>688.94999999999993</v>
      </c>
      <c r="BA11" s="299">
        <f t="shared" si="28"/>
        <v>68.894999999999996</v>
      </c>
      <c r="BB11" s="299">
        <f t="shared" ca="1" si="29"/>
        <v>56.838374999999971</v>
      </c>
      <c r="BC11" s="301">
        <f t="shared" si="30"/>
        <v>6.3153749999999969</v>
      </c>
      <c r="BD11" s="302">
        <f t="shared" ca="1" si="31"/>
        <v>9</v>
      </c>
      <c r="BE11" s="299">
        <f t="shared" ca="1" si="32"/>
        <v>814.68337499999984</v>
      </c>
      <c r="BF11" s="299">
        <f t="shared" si="33"/>
        <v>688.94999999999993</v>
      </c>
      <c r="BG11" s="299">
        <f t="shared" si="34"/>
        <v>68.894999999999996</v>
      </c>
      <c r="BH11" s="299">
        <f t="shared" ca="1" si="35"/>
        <v>31.576874999999983</v>
      </c>
      <c r="BI11" s="301">
        <f t="shared" si="36"/>
        <v>6.3153749999999969</v>
      </c>
      <c r="BJ11" s="302">
        <f t="shared" ca="1" si="37"/>
        <v>5</v>
      </c>
      <c r="BK11" s="299">
        <f t="shared" ca="1" si="38"/>
        <v>789.42187499999989</v>
      </c>
      <c r="BL11" s="299">
        <f t="shared" si="39"/>
        <v>3364.5699999999993</v>
      </c>
      <c r="BM11" s="299">
        <f t="shared" si="40"/>
        <v>336.45699999999994</v>
      </c>
      <c r="BN11" s="299">
        <f t="shared" ca="1" si="41"/>
        <v>502.86160833333309</v>
      </c>
      <c r="BO11" s="303">
        <f t="shared" ca="1" si="47"/>
        <v>4203.8886083333318</v>
      </c>
      <c r="BP11" s="304" t="s">
        <v>5914</v>
      </c>
      <c r="BQ11" s="302">
        <v>126.7</v>
      </c>
      <c r="BR11" s="299">
        <v>239100</v>
      </c>
      <c r="BS11" s="299">
        <v>100</v>
      </c>
      <c r="BT11" s="299">
        <f t="shared" si="43"/>
        <v>239200</v>
      </c>
      <c r="BU11" s="299">
        <v>306100</v>
      </c>
      <c r="BV11" s="299">
        <v>100</v>
      </c>
      <c r="BW11" s="299">
        <f t="shared" si="44"/>
        <v>306200</v>
      </c>
    </row>
    <row r="12" spans="1:185">
      <c r="A12" s="296">
        <v>102025002</v>
      </c>
      <c r="B12" s="297" t="s">
        <v>5992</v>
      </c>
      <c r="C12" s="295" t="s">
        <v>253</v>
      </c>
      <c r="D12" s="295" t="s">
        <v>5993</v>
      </c>
      <c r="E12" s="295" t="s">
        <v>443</v>
      </c>
      <c r="F12" s="295" t="s">
        <v>399</v>
      </c>
      <c r="L12" s="297" t="s">
        <v>6062</v>
      </c>
      <c r="M12" s="297" t="s">
        <v>3489</v>
      </c>
      <c r="N12" s="297" t="s">
        <v>260</v>
      </c>
      <c r="O12" s="297" t="s">
        <v>6063</v>
      </c>
      <c r="P12" s="297" t="s">
        <v>267</v>
      </c>
      <c r="Q12" s="297" t="s">
        <v>260</v>
      </c>
      <c r="V12" s="299">
        <v>0</v>
      </c>
      <c r="W12" s="299">
        <f t="shared" si="46"/>
        <v>0</v>
      </c>
      <c r="X12" s="299">
        <f t="shared" ca="1" si="0"/>
        <v>0</v>
      </c>
      <c r="Y12" s="301">
        <f t="shared" si="1"/>
        <v>0</v>
      </c>
      <c r="Z12" s="302">
        <f t="shared" ca="1" si="2"/>
        <v>41</v>
      </c>
      <c r="AA12" s="299">
        <f t="shared" ca="1" si="3"/>
        <v>0</v>
      </c>
      <c r="AB12" s="299">
        <v>0</v>
      </c>
      <c r="AC12" s="299">
        <f t="shared" si="4"/>
        <v>0</v>
      </c>
      <c r="AD12" s="299">
        <f t="shared" ca="1" si="5"/>
        <v>0</v>
      </c>
      <c r="AE12" s="301">
        <f t="shared" si="6"/>
        <v>0</v>
      </c>
      <c r="AF12" s="302">
        <f t="shared" ca="1" si="7"/>
        <v>33</v>
      </c>
      <c r="AG12" s="302">
        <f t="shared" ca="1" si="8"/>
        <v>0</v>
      </c>
      <c r="AH12" s="299">
        <f>SUM(BT12*0.0052)/2-285.5</f>
        <v>28.839999999999975</v>
      </c>
      <c r="AI12" s="299">
        <f t="shared" si="10"/>
        <v>2.8839999999999977</v>
      </c>
      <c r="AJ12" s="299">
        <f t="shared" ca="1" si="11"/>
        <v>7.6666333333333228</v>
      </c>
      <c r="AK12" s="301">
        <f t="shared" si="12"/>
        <v>0.26436666666666631</v>
      </c>
      <c r="AL12" s="302">
        <f t="shared" ca="1" si="13"/>
        <v>29</v>
      </c>
      <c r="AM12" s="299">
        <f t="shared" ca="1" si="14"/>
        <v>39.390633333333298</v>
      </c>
      <c r="AN12" s="299">
        <f t="shared" si="48"/>
        <v>321.52499999999998</v>
      </c>
      <c r="AO12" s="299">
        <f t="shared" si="16"/>
        <v>32.152499999999996</v>
      </c>
      <c r="AP12" s="299">
        <f t="shared" ca="1" si="17"/>
        <v>67.788187499999964</v>
      </c>
      <c r="AQ12" s="301">
        <f t="shared" si="18"/>
        <v>2.9473124999999984</v>
      </c>
      <c r="AR12" s="302">
        <f t="shared" ca="1" si="19"/>
        <v>23</v>
      </c>
      <c r="AS12" s="299">
        <f t="shared" ca="1" si="20"/>
        <v>421.46568749999994</v>
      </c>
      <c r="AT12" s="299">
        <f t="shared" si="21"/>
        <v>321.52499999999998</v>
      </c>
      <c r="AU12" s="299">
        <f t="shared" si="22"/>
        <v>32.152499999999996</v>
      </c>
      <c r="AV12" s="299">
        <f t="shared" ca="1" si="23"/>
        <v>50.10431249999997</v>
      </c>
      <c r="AW12" s="301">
        <f t="shared" si="24"/>
        <v>2.9473124999999984</v>
      </c>
      <c r="AX12" s="302">
        <f t="shared" ca="1" si="25"/>
        <v>17</v>
      </c>
      <c r="AY12" s="299">
        <f t="shared" ca="1" si="26"/>
        <v>403.78181249999994</v>
      </c>
      <c r="AZ12" s="299">
        <f t="shared" si="27"/>
        <v>321.52499999999998</v>
      </c>
      <c r="BA12" s="299">
        <f t="shared" si="28"/>
        <v>32.152499999999996</v>
      </c>
      <c r="BB12" s="299">
        <f t="shared" ca="1" si="29"/>
        <v>26.525812499999986</v>
      </c>
      <c r="BC12" s="301">
        <f t="shared" si="30"/>
        <v>2.9473124999999984</v>
      </c>
      <c r="BD12" s="302">
        <f t="shared" ca="1" si="31"/>
        <v>9</v>
      </c>
      <c r="BE12" s="299">
        <f t="shared" ca="1" si="32"/>
        <v>380.20331249999992</v>
      </c>
      <c r="BF12" s="299">
        <f t="shared" si="33"/>
        <v>321.52499999999998</v>
      </c>
      <c r="BG12" s="299">
        <f t="shared" si="34"/>
        <v>32.152499999999996</v>
      </c>
      <c r="BH12" s="299">
        <f t="shared" ca="1" si="35"/>
        <v>14.736562499999993</v>
      </c>
      <c r="BI12" s="301">
        <f t="shared" si="36"/>
        <v>2.9473124999999984</v>
      </c>
      <c r="BJ12" s="302">
        <f t="shared" ca="1" si="37"/>
        <v>5</v>
      </c>
      <c r="BK12" s="299">
        <f t="shared" ca="1" si="38"/>
        <v>368.41406249999994</v>
      </c>
      <c r="BL12" s="299">
        <f t="shared" si="39"/>
        <v>1314.9399999999998</v>
      </c>
      <c r="BM12" s="299">
        <f t="shared" si="40"/>
        <v>131.494</v>
      </c>
      <c r="BN12" s="299">
        <f t="shared" ca="1" si="41"/>
        <v>166.82150833333321</v>
      </c>
      <c r="BO12" s="303">
        <f t="shared" ca="1" si="47"/>
        <v>1613.255508333333</v>
      </c>
      <c r="BP12" s="304" t="s">
        <v>5914</v>
      </c>
      <c r="BQ12" s="302">
        <v>1.91</v>
      </c>
      <c r="BR12" s="299">
        <v>28600</v>
      </c>
      <c r="BS12" s="299">
        <v>92300</v>
      </c>
      <c r="BT12" s="299">
        <f t="shared" si="43"/>
        <v>120900</v>
      </c>
      <c r="BU12" s="299">
        <v>28600</v>
      </c>
      <c r="BV12" s="299">
        <v>114300</v>
      </c>
      <c r="BW12" s="299">
        <f t="shared" si="44"/>
        <v>142900</v>
      </c>
      <c r="GC12" s="307"/>
    </row>
    <row r="13" spans="1:185">
      <c r="A13" s="296">
        <v>102025003</v>
      </c>
      <c r="B13" s="297" t="s">
        <v>5994</v>
      </c>
      <c r="C13" s="295" t="s">
        <v>253</v>
      </c>
      <c r="D13" s="295" t="s">
        <v>1394</v>
      </c>
      <c r="E13" s="295" t="s">
        <v>5995</v>
      </c>
      <c r="F13" s="295" t="s">
        <v>5996</v>
      </c>
      <c r="L13" s="297" t="s">
        <v>6064</v>
      </c>
      <c r="M13" s="297" t="s">
        <v>3489</v>
      </c>
      <c r="N13" s="297" t="s">
        <v>260</v>
      </c>
      <c r="O13" s="297" t="s">
        <v>6065</v>
      </c>
      <c r="P13" s="297" t="s">
        <v>290</v>
      </c>
      <c r="Q13" s="297" t="s">
        <v>260</v>
      </c>
      <c r="V13" s="299">
        <v>0</v>
      </c>
      <c r="W13" s="299">
        <f t="shared" si="46"/>
        <v>0</v>
      </c>
      <c r="X13" s="299">
        <f t="shared" ca="1" si="0"/>
        <v>0</v>
      </c>
      <c r="Y13" s="301">
        <f t="shared" si="1"/>
        <v>0</v>
      </c>
      <c r="Z13" s="302">
        <f t="shared" ca="1" si="2"/>
        <v>41</v>
      </c>
      <c r="AA13" s="299">
        <f t="shared" ca="1" si="3"/>
        <v>0</v>
      </c>
      <c r="AB13" s="299">
        <f>SUM(BT13*0.0052)/2</f>
        <v>206.95999999999998</v>
      </c>
      <c r="AC13" s="299">
        <f t="shared" si="4"/>
        <v>20.695999999999998</v>
      </c>
      <c r="AD13" s="299">
        <f t="shared" ca="1" si="5"/>
        <v>62.60539999999996</v>
      </c>
      <c r="AE13" s="301">
        <f t="shared" si="6"/>
        <v>1.8971333333333322</v>
      </c>
      <c r="AF13" s="302">
        <f t="shared" ca="1" si="7"/>
        <v>33</v>
      </c>
      <c r="AG13" s="302">
        <f t="shared" ca="1" si="8"/>
        <v>290.26139999999992</v>
      </c>
      <c r="AH13" s="299">
        <f t="shared" ref="AH13:AH18" si="49">SUM(BT13*0.0052)/2</f>
        <v>206.95999999999998</v>
      </c>
      <c r="AI13" s="299">
        <f t="shared" si="10"/>
        <v>20.695999999999998</v>
      </c>
      <c r="AJ13" s="299">
        <f t="shared" ca="1" si="11"/>
        <v>55.016866666666637</v>
      </c>
      <c r="AK13" s="301">
        <f t="shared" si="12"/>
        <v>1.8971333333333322</v>
      </c>
      <c r="AL13" s="302">
        <f t="shared" ca="1" si="13"/>
        <v>29</v>
      </c>
      <c r="AM13" s="299">
        <f t="shared" ca="1" si="14"/>
        <v>282.67286666666661</v>
      </c>
      <c r="AN13" s="299">
        <f t="shared" si="48"/>
        <v>269.77499999999998</v>
      </c>
      <c r="AO13" s="299">
        <f t="shared" si="16"/>
        <v>26.977499999999999</v>
      </c>
      <c r="AP13" s="299">
        <f t="shared" ca="1" si="17"/>
        <v>56.877562499999982</v>
      </c>
      <c r="AQ13" s="301">
        <f t="shared" si="18"/>
        <v>2.4729374999999991</v>
      </c>
      <c r="AR13" s="302">
        <f t="shared" ca="1" si="19"/>
        <v>23</v>
      </c>
      <c r="AS13" s="299">
        <f t="shared" ca="1" si="20"/>
        <v>353.63006250000001</v>
      </c>
      <c r="AT13" s="299">
        <f t="shared" si="21"/>
        <v>269.77499999999998</v>
      </c>
      <c r="AU13" s="299">
        <f t="shared" si="22"/>
        <v>26.977499999999999</v>
      </c>
      <c r="AV13" s="299">
        <f t="shared" ca="1" si="23"/>
        <v>42.039937499999986</v>
      </c>
      <c r="AW13" s="301">
        <f t="shared" si="24"/>
        <v>2.4729374999999991</v>
      </c>
      <c r="AX13" s="302">
        <f t="shared" ca="1" si="25"/>
        <v>17</v>
      </c>
      <c r="AY13" s="299">
        <f t="shared" ca="1" si="26"/>
        <v>338.79243750000001</v>
      </c>
      <c r="AZ13" s="299">
        <f t="shared" si="27"/>
        <v>269.77499999999998</v>
      </c>
      <c r="BA13" s="299">
        <f t="shared" si="28"/>
        <v>26.977499999999999</v>
      </c>
      <c r="BB13" s="299">
        <f t="shared" ca="1" si="29"/>
        <v>22.256437499999993</v>
      </c>
      <c r="BC13" s="301">
        <f t="shared" si="30"/>
        <v>2.4729374999999991</v>
      </c>
      <c r="BD13" s="302">
        <f t="shared" ca="1" si="31"/>
        <v>9</v>
      </c>
      <c r="BE13" s="299">
        <f t="shared" ca="1" si="32"/>
        <v>319.0089375</v>
      </c>
      <c r="BF13" s="299">
        <f t="shared" si="33"/>
        <v>269.77499999999998</v>
      </c>
      <c r="BG13" s="299">
        <f t="shared" si="34"/>
        <v>26.977499999999999</v>
      </c>
      <c r="BH13" s="299">
        <f t="shared" ca="1" si="35"/>
        <v>12.364687499999995</v>
      </c>
      <c r="BI13" s="301">
        <f t="shared" si="36"/>
        <v>2.4729374999999991</v>
      </c>
      <c r="BJ13" s="302">
        <f t="shared" ca="1" si="37"/>
        <v>5</v>
      </c>
      <c r="BK13" s="299">
        <f t="shared" ca="1" si="38"/>
        <v>309.1171875</v>
      </c>
      <c r="BL13" s="299">
        <f t="shared" si="39"/>
        <v>1493.02</v>
      </c>
      <c r="BM13" s="299">
        <f t="shared" si="40"/>
        <v>149.30199999999996</v>
      </c>
      <c r="BN13" s="299">
        <f t="shared" ca="1" si="41"/>
        <v>251.16089166666657</v>
      </c>
      <c r="BO13" s="303">
        <f t="shared" ca="1" si="47"/>
        <v>1893.4828916666665</v>
      </c>
      <c r="BP13" s="304" t="s">
        <v>5914</v>
      </c>
      <c r="BQ13" s="302">
        <v>1.22</v>
      </c>
      <c r="BR13" s="299">
        <v>25100</v>
      </c>
      <c r="BS13" s="299">
        <v>54500</v>
      </c>
      <c r="BT13" s="299">
        <f t="shared" si="43"/>
        <v>79600</v>
      </c>
      <c r="BU13" s="299">
        <v>25100</v>
      </c>
      <c r="BV13" s="299">
        <v>94800</v>
      </c>
      <c r="BW13" s="299">
        <f t="shared" si="44"/>
        <v>119900</v>
      </c>
    </row>
    <row r="14" spans="1:185" s="306" customFormat="1" ht="14.45" customHeight="1">
      <c r="A14" s="296">
        <v>102025004</v>
      </c>
      <c r="B14" s="297" t="s">
        <v>5997</v>
      </c>
      <c r="C14" s="295" t="s">
        <v>253</v>
      </c>
      <c r="D14" s="295" t="s">
        <v>5167</v>
      </c>
      <c r="E14" s="295" t="s">
        <v>1029</v>
      </c>
      <c r="F14" s="295" t="s">
        <v>426</v>
      </c>
      <c r="G14" s="295"/>
      <c r="H14" s="295"/>
      <c r="I14" s="295"/>
      <c r="J14" s="295"/>
      <c r="K14" s="295"/>
      <c r="L14" s="297" t="s">
        <v>6066</v>
      </c>
      <c r="M14" s="297" t="s">
        <v>1800</v>
      </c>
      <c r="N14" s="297" t="s">
        <v>260</v>
      </c>
      <c r="O14" s="297" t="s">
        <v>5169</v>
      </c>
      <c r="P14" s="297" t="s">
        <v>1800</v>
      </c>
      <c r="Q14" s="297" t="s">
        <v>260</v>
      </c>
      <c r="R14" s="295"/>
      <c r="S14" s="295"/>
      <c r="T14" s="295"/>
      <c r="U14" s="295"/>
      <c r="V14" s="299">
        <v>0</v>
      </c>
      <c r="W14" s="299">
        <f t="shared" si="46"/>
        <v>0</v>
      </c>
      <c r="X14" s="299">
        <f t="shared" ca="1" si="0"/>
        <v>0</v>
      </c>
      <c r="Y14" s="301">
        <f t="shared" si="1"/>
        <v>0</v>
      </c>
      <c r="Z14" s="302">
        <f t="shared" ca="1" si="2"/>
        <v>41</v>
      </c>
      <c r="AA14" s="299">
        <f t="shared" ca="1" si="3"/>
        <v>0</v>
      </c>
      <c r="AB14" s="299">
        <v>0</v>
      </c>
      <c r="AC14" s="299">
        <f t="shared" si="4"/>
        <v>0</v>
      </c>
      <c r="AD14" s="299">
        <f t="shared" ca="1" si="5"/>
        <v>0</v>
      </c>
      <c r="AE14" s="301">
        <f t="shared" si="6"/>
        <v>0</v>
      </c>
      <c r="AF14" s="302">
        <f t="shared" ca="1" si="7"/>
        <v>33</v>
      </c>
      <c r="AG14" s="302">
        <f t="shared" ca="1" si="8"/>
        <v>0</v>
      </c>
      <c r="AH14" s="299">
        <f t="shared" si="49"/>
        <v>391.56</v>
      </c>
      <c r="AI14" s="299">
        <f t="shared" si="10"/>
        <v>39.156000000000006</v>
      </c>
      <c r="AJ14" s="299">
        <f t="shared" ca="1" si="11"/>
        <v>104.08969999999995</v>
      </c>
      <c r="AK14" s="301">
        <f t="shared" si="12"/>
        <v>3.5892999999999984</v>
      </c>
      <c r="AL14" s="302">
        <f t="shared" ca="1" si="13"/>
        <v>29</v>
      </c>
      <c r="AM14" s="299">
        <f t="shared" ca="1" si="14"/>
        <v>534.8057</v>
      </c>
      <c r="AN14" s="299">
        <f t="shared" si="48"/>
        <v>416.24999999999994</v>
      </c>
      <c r="AO14" s="299">
        <f t="shared" si="16"/>
        <v>41.625</v>
      </c>
      <c r="AP14" s="299">
        <f t="shared" ca="1" si="17"/>
        <v>87.759374999999949</v>
      </c>
      <c r="AQ14" s="301">
        <f t="shared" si="18"/>
        <v>3.815624999999998</v>
      </c>
      <c r="AR14" s="302">
        <f t="shared" ca="1" si="19"/>
        <v>23</v>
      </c>
      <c r="AS14" s="299">
        <f t="shared" ca="1" si="20"/>
        <v>545.63437499999986</v>
      </c>
      <c r="AT14" s="299">
        <f t="shared" si="21"/>
        <v>416.24999999999994</v>
      </c>
      <c r="AU14" s="299">
        <f t="shared" si="22"/>
        <v>41.625</v>
      </c>
      <c r="AV14" s="299">
        <f t="shared" ca="1" si="23"/>
        <v>64.865624999999966</v>
      </c>
      <c r="AW14" s="301">
        <f t="shared" si="24"/>
        <v>3.815624999999998</v>
      </c>
      <c r="AX14" s="302">
        <f t="shared" ca="1" si="25"/>
        <v>17</v>
      </c>
      <c r="AY14" s="299">
        <f t="shared" ca="1" si="26"/>
        <v>522.74062499999991</v>
      </c>
      <c r="AZ14" s="299">
        <f t="shared" si="27"/>
        <v>416.24999999999994</v>
      </c>
      <c r="BA14" s="299">
        <f t="shared" si="28"/>
        <v>41.625</v>
      </c>
      <c r="BB14" s="299">
        <f t="shared" ca="1" si="29"/>
        <v>34.340624999999982</v>
      </c>
      <c r="BC14" s="301">
        <f t="shared" si="30"/>
        <v>3.815624999999998</v>
      </c>
      <c r="BD14" s="302">
        <f t="shared" ca="1" si="31"/>
        <v>9</v>
      </c>
      <c r="BE14" s="299">
        <f t="shared" ca="1" si="32"/>
        <v>492.21562499999993</v>
      </c>
      <c r="BF14" s="299">
        <f t="shared" si="33"/>
        <v>416.24999999999994</v>
      </c>
      <c r="BG14" s="299">
        <f t="shared" si="34"/>
        <v>41.625</v>
      </c>
      <c r="BH14" s="299">
        <f t="shared" ca="1" si="35"/>
        <v>19.078124999999989</v>
      </c>
      <c r="BI14" s="301">
        <f t="shared" si="36"/>
        <v>3.815624999999998</v>
      </c>
      <c r="BJ14" s="302">
        <f t="shared" ca="1" si="37"/>
        <v>5</v>
      </c>
      <c r="BK14" s="299">
        <f t="shared" ca="1" si="38"/>
        <v>476.95312499999994</v>
      </c>
      <c r="BL14" s="299">
        <f t="shared" si="39"/>
        <v>2056.56</v>
      </c>
      <c r="BM14" s="299">
        <f t="shared" si="40"/>
        <v>205.65600000000001</v>
      </c>
      <c r="BN14" s="299">
        <f t="shared" ca="1" si="41"/>
        <v>310.13344999999987</v>
      </c>
      <c r="BO14" s="303">
        <f t="shared" ca="1" si="47"/>
        <v>2572.3494499999997</v>
      </c>
      <c r="BP14" s="304" t="s">
        <v>5914</v>
      </c>
      <c r="BQ14" s="302">
        <v>0.71</v>
      </c>
      <c r="BR14" s="299">
        <v>20500</v>
      </c>
      <c r="BS14" s="299">
        <v>130100</v>
      </c>
      <c r="BT14" s="299">
        <f t="shared" si="43"/>
        <v>150600</v>
      </c>
      <c r="BU14" s="299">
        <v>17900</v>
      </c>
      <c r="BV14" s="299">
        <v>167100</v>
      </c>
      <c r="BW14" s="299">
        <f t="shared" si="44"/>
        <v>185000</v>
      </c>
      <c r="BX14" s="295"/>
      <c r="BY14" s="295"/>
      <c r="BZ14" s="295"/>
      <c r="CA14" s="295"/>
      <c r="CB14" s="295"/>
      <c r="CC14" s="295"/>
      <c r="CD14" s="295"/>
      <c r="CE14" s="295"/>
      <c r="CF14" s="295"/>
      <c r="CG14" s="295"/>
      <c r="CH14" s="295"/>
      <c r="CI14" s="295"/>
      <c r="CJ14" s="295"/>
      <c r="CK14" s="295"/>
      <c r="CL14" s="295"/>
      <c r="CM14" s="295"/>
      <c r="CN14" s="295"/>
      <c r="CO14" s="295"/>
      <c r="CP14" s="295"/>
      <c r="CQ14" s="295"/>
      <c r="CR14" s="295"/>
      <c r="CS14" s="295"/>
      <c r="CT14" s="295"/>
      <c r="CU14" s="295"/>
      <c r="CV14" s="295"/>
      <c r="CW14" s="295"/>
      <c r="CX14" s="295"/>
      <c r="CY14" s="295"/>
      <c r="CZ14" s="295"/>
      <c r="DA14" s="295"/>
      <c r="DB14" s="305"/>
      <c r="DC14" s="295"/>
      <c r="DD14" s="295"/>
      <c r="DE14" s="295"/>
      <c r="DF14" s="295"/>
      <c r="DG14" s="295"/>
      <c r="DH14" s="295"/>
      <c r="DI14" s="305"/>
      <c r="DJ14" s="295"/>
      <c r="DK14" s="295"/>
      <c r="DL14" s="295"/>
      <c r="DM14" s="295"/>
      <c r="DN14" s="295"/>
      <c r="DO14" s="295"/>
      <c r="DP14" s="295"/>
      <c r="DQ14" s="295"/>
      <c r="DR14" s="305"/>
      <c r="DS14" s="295"/>
      <c r="DT14" s="295"/>
      <c r="DU14" s="295"/>
      <c r="DV14" s="295"/>
      <c r="DW14" s="295"/>
      <c r="DX14" s="295"/>
      <c r="DY14" s="295"/>
      <c r="DZ14" s="295"/>
      <c r="EA14" s="295"/>
      <c r="EB14" s="295"/>
      <c r="EC14" s="305"/>
      <c r="ED14" s="295"/>
      <c r="EE14" s="295"/>
      <c r="EF14" s="295"/>
      <c r="EG14" s="295"/>
      <c r="EH14" s="295"/>
      <c r="EI14" s="295"/>
      <c r="EJ14" s="295"/>
      <c r="EK14" s="295"/>
      <c r="EL14" s="295"/>
      <c r="EM14" s="295"/>
      <c r="EN14" s="305"/>
      <c r="EO14" s="295"/>
      <c r="EP14" s="295"/>
      <c r="EQ14" s="295"/>
      <c r="ER14" s="295"/>
      <c r="ES14" s="295"/>
      <c r="ET14" s="295"/>
      <c r="EU14" s="295"/>
      <c r="EV14" s="305"/>
      <c r="EW14" s="295"/>
      <c r="EX14" s="295"/>
      <c r="EY14" s="295"/>
      <c r="EZ14" s="295"/>
      <c r="FA14" s="295"/>
      <c r="FB14" s="295"/>
      <c r="FC14" s="295"/>
      <c r="FD14" s="305"/>
      <c r="FE14" s="295"/>
      <c r="FF14" s="295"/>
      <c r="FG14" s="295"/>
      <c r="FH14" s="295"/>
      <c r="FI14" s="295"/>
      <c r="FJ14" s="295"/>
      <c r="FK14" s="295"/>
      <c r="FL14" s="305"/>
      <c r="FM14" s="298"/>
      <c r="FN14" s="298"/>
      <c r="FO14" s="295"/>
      <c r="FP14" s="295"/>
      <c r="FQ14" s="295"/>
      <c r="FR14" s="295"/>
      <c r="FS14" s="298"/>
      <c r="FT14" s="298"/>
      <c r="FU14" s="298"/>
      <c r="FV14" s="298"/>
      <c r="FW14" s="298"/>
      <c r="FX14" s="305"/>
      <c r="FY14" s="305"/>
      <c r="FZ14" s="305"/>
      <c r="GA14" s="305"/>
      <c r="GB14" s="305"/>
      <c r="GC14" s="307"/>
    </row>
    <row r="15" spans="1:185">
      <c r="A15" s="296">
        <v>102025005</v>
      </c>
      <c r="B15" s="297" t="s">
        <v>5998</v>
      </c>
      <c r="D15" s="295" t="s">
        <v>5999</v>
      </c>
      <c r="L15" s="306" t="s">
        <v>328</v>
      </c>
      <c r="M15" s="297" t="s">
        <v>627</v>
      </c>
      <c r="O15" s="297" t="s">
        <v>6067</v>
      </c>
      <c r="P15" s="297" t="s">
        <v>6068</v>
      </c>
      <c r="R15" s="295" t="s">
        <v>6069</v>
      </c>
      <c r="S15" s="295" t="s">
        <v>3498</v>
      </c>
      <c r="T15" s="295" t="s">
        <v>5961</v>
      </c>
      <c r="U15" s="295" t="s">
        <v>260</v>
      </c>
      <c r="V15" s="299">
        <v>0</v>
      </c>
      <c r="W15" s="299">
        <f t="shared" si="46"/>
        <v>0</v>
      </c>
      <c r="X15" s="299">
        <f t="shared" ca="1" si="0"/>
        <v>0</v>
      </c>
      <c r="Y15" s="301">
        <f t="shared" si="1"/>
        <v>0</v>
      </c>
      <c r="Z15" s="302">
        <f t="shared" ca="1" si="2"/>
        <v>41</v>
      </c>
      <c r="AA15" s="299">
        <f t="shared" ca="1" si="3"/>
        <v>0</v>
      </c>
      <c r="AB15" s="299">
        <f>SUM(BT15*0.0052)/2</f>
        <v>913.12</v>
      </c>
      <c r="AC15" s="299">
        <f t="shared" si="4"/>
        <v>91.312000000000012</v>
      </c>
      <c r="AD15" s="299">
        <f t="shared" ca="1" si="5"/>
        <v>276.21879999999993</v>
      </c>
      <c r="AE15" s="301">
        <f t="shared" si="6"/>
        <v>8.3702666666666641</v>
      </c>
      <c r="AF15" s="302">
        <f t="shared" ca="1" si="7"/>
        <v>33</v>
      </c>
      <c r="AG15" s="302">
        <f t="shared" ca="1" si="8"/>
        <v>1280.6507999999999</v>
      </c>
      <c r="AH15" s="299">
        <f t="shared" si="49"/>
        <v>913.12</v>
      </c>
      <c r="AI15" s="299">
        <f t="shared" si="10"/>
        <v>91.312000000000012</v>
      </c>
      <c r="AJ15" s="299">
        <f t="shared" ca="1" si="11"/>
        <v>242.73773333333327</v>
      </c>
      <c r="AK15" s="301">
        <f t="shared" si="12"/>
        <v>8.3702666666666641</v>
      </c>
      <c r="AL15" s="302">
        <f t="shared" ca="1" si="13"/>
        <v>29</v>
      </c>
      <c r="AM15" s="299">
        <f t="shared" ca="1" si="14"/>
        <v>1247.1697333333332</v>
      </c>
      <c r="AN15" s="299">
        <f t="shared" si="48"/>
        <v>790.19999999999993</v>
      </c>
      <c r="AO15" s="299">
        <f t="shared" si="16"/>
        <v>79.02</v>
      </c>
      <c r="AP15" s="299">
        <f t="shared" ca="1" si="17"/>
        <v>166.60049999999993</v>
      </c>
      <c r="AQ15" s="301">
        <f t="shared" si="18"/>
        <v>7.2434999999999965</v>
      </c>
      <c r="AR15" s="302">
        <f t="shared" ca="1" si="19"/>
        <v>23</v>
      </c>
      <c r="AS15" s="299">
        <f t="shared" ca="1" si="20"/>
        <v>1035.8204999999998</v>
      </c>
      <c r="AT15" s="299">
        <f t="shared" si="21"/>
        <v>790.19999999999993</v>
      </c>
      <c r="AU15" s="299">
        <f t="shared" si="22"/>
        <v>79.02</v>
      </c>
      <c r="AV15" s="299">
        <f t="shared" ca="1" si="23"/>
        <v>123.13949999999994</v>
      </c>
      <c r="AW15" s="301">
        <f t="shared" si="24"/>
        <v>7.2434999999999965</v>
      </c>
      <c r="AX15" s="302">
        <f t="shared" ca="1" si="25"/>
        <v>17</v>
      </c>
      <c r="AY15" s="299">
        <f t="shared" ca="1" si="26"/>
        <v>992.3594999999998</v>
      </c>
      <c r="AZ15" s="299">
        <f t="shared" si="27"/>
        <v>790.19999999999993</v>
      </c>
      <c r="BA15" s="299">
        <f t="shared" si="28"/>
        <v>79.02</v>
      </c>
      <c r="BB15" s="299">
        <f t="shared" ca="1" si="29"/>
        <v>65.191499999999962</v>
      </c>
      <c r="BC15" s="301">
        <f t="shared" si="30"/>
        <v>7.2434999999999965</v>
      </c>
      <c r="BD15" s="302">
        <f t="shared" ca="1" si="31"/>
        <v>9</v>
      </c>
      <c r="BE15" s="299">
        <f t="shared" ca="1" si="32"/>
        <v>934.41149999999993</v>
      </c>
      <c r="BF15" s="299">
        <f t="shared" si="33"/>
        <v>790.19999999999993</v>
      </c>
      <c r="BG15" s="299">
        <f t="shared" si="34"/>
        <v>79.02</v>
      </c>
      <c r="BH15" s="299">
        <f t="shared" ca="1" si="35"/>
        <v>36.21749999999998</v>
      </c>
      <c r="BI15" s="301">
        <f t="shared" si="36"/>
        <v>7.2434999999999965</v>
      </c>
      <c r="BJ15" s="302">
        <f t="shared" ca="1" si="37"/>
        <v>5</v>
      </c>
      <c r="BK15" s="299">
        <f t="shared" ca="1" si="38"/>
        <v>905.43749999999989</v>
      </c>
      <c r="BL15" s="299">
        <f t="shared" si="39"/>
        <v>4987.04</v>
      </c>
      <c r="BM15" s="299">
        <f t="shared" si="40"/>
        <v>498.70399999999995</v>
      </c>
      <c r="BN15" s="299">
        <f t="shared" ca="1" si="41"/>
        <v>910.10553333333291</v>
      </c>
      <c r="BO15" s="303">
        <f t="shared" ca="1" si="47"/>
        <v>6395.8495333333321</v>
      </c>
      <c r="BP15" s="304" t="s">
        <v>5914</v>
      </c>
      <c r="BQ15" s="302">
        <v>6.26</v>
      </c>
      <c r="BR15" s="299">
        <v>187800</v>
      </c>
      <c r="BS15" s="299">
        <v>163400</v>
      </c>
      <c r="BT15" s="299">
        <f t="shared" si="43"/>
        <v>351200</v>
      </c>
      <c r="BU15" s="299">
        <v>187800</v>
      </c>
      <c r="BV15" s="299">
        <v>163400</v>
      </c>
      <c r="BW15" s="299">
        <f t="shared" si="44"/>
        <v>351200</v>
      </c>
    </row>
    <row r="16" spans="1:185" ht="15" customHeight="1">
      <c r="A16" s="296">
        <v>102025006</v>
      </c>
      <c r="B16" s="297" t="s">
        <v>6000</v>
      </c>
      <c r="D16" s="295" t="s">
        <v>6001</v>
      </c>
      <c r="L16" s="306" t="s">
        <v>328</v>
      </c>
      <c r="M16" s="297" t="s">
        <v>627</v>
      </c>
      <c r="O16" s="297" t="s">
        <v>6071</v>
      </c>
      <c r="P16" s="297" t="s">
        <v>386</v>
      </c>
      <c r="Q16" s="297" t="s">
        <v>260</v>
      </c>
      <c r="R16" s="295" t="s">
        <v>6070</v>
      </c>
      <c r="S16" s="295" t="s">
        <v>6071</v>
      </c>
      <c r="T16" s="295" t="s">
        <v>5961</v>
      </c>
      <c r="U16" s="295" t="s">
        <v>260</v>
      </c>
      <c r="V16" s="299">
        <v>0</v>
      </c>
      <c r="W16" s="299">
        <f t="shared" si="46"/>
        <v>0</v>
      </c>
      <c r="X16" s="299">
        <f t="shared" ca="1" si="0"/>
        <v>0</v>
      </c>
      <c r="Y16" s="301">
        <f t="shared" si="1"/>
        <v>0</v>
      </c>
      <c r="Z16" s="302">
        <f t="shared" ca="1" si="2"/>
        <v>41</v>
      </c>
      <c r="AA16" s="299">
        <f t="shared" ca="1" si="3"/>
        <v>0</v>
      </c>
      <c r="AB16" s="299">
        <f>SUM(BT16*0.0052)/2</f>
        <v>284.7</v>
      </c>
      <c r="AC16" s="299">
        <f t="shared" si="4"/>
        <v>28.47</v>
      </c>
      <c r="AD16" s="299">
        <f t="shared" ca="1" si="5"/>
        <v>86.121749999999963</v>
      </c>
      <c r="AE16" s="301">
        <f t="shared" si="6"/>
        <v>2.6097499999999987</v>
      </c>
      <c r="AF16" s="302">
        <f t="shared" ca="1" si="7"/>
        <v>33</v>
      </c>
      <c r="AG16" s="302">
        <f t="shared" ca="1" si="8"/>
        <v>399.29174999999992</v>
      </c>
      <c r="AH16" s="299">
        <f t="shared" si="49"/>
        <v>284.7</v>
      </c>
      <c r="AI16" s="299">
        <f t="shared" si="10"/>
        <v>28.47</v>
      </c>
      <c r="AJ16" s="299">
        <f t="shared" ca="1" si="11"/>
        <v>75.682749999999956</v>
      </c>
      <c r="AK16" s="301">
        <f t="shared" si="12"/>
        <v>2.6097499999999987</v>
      </c>
      <c r="AL16" s="302">
        <f t="shared" ca="1" si="13"/>
        <v>29</v>
      </c>
      <c r="AM16" s="299">
        <f t="shared" ca="1" si="14"/>
        <v>388.8527499999999</v>
      </c>
      <c r="AN16" s="299">
        <f t="shared" si="48"/>
        <v>283.5</v>
      </c>
      <c r="AO16" s="299">
        <f t="shared" si="16"/>
        <v>28.35</v>
      </c>
      <c r="AP16" s="299">
        <f t="shared" ca="1" si="17"/>
        <v>59.771249999999981</v>
      </c>
      <c r="AQ16" s="301">
        <f t="shared" si="18"/>
        <v>2.598749999999999</v>
      </c>
      <c r="AR16" s="302">
        <f t="shared" ca="1" si="19"/>
        <v>23</v>
      </c>
      <c r="AS16" s="299">
        <f t="shared" ca="1" si="20"/>
        <v>371.62125000000003</v>
      </c>
      <c r="AT16" s="299">
        <f t="shared" si="21"/>
        <v>283.5</v>
      </c>
      <c r="AU16" s="299">
        <f t="shared" si="22"/>
        <v>28.35</v>
      </c>
      <c r="AV16" s="299">
        <f t="shared" ca="1" si="23"/>
        <v>44.17874999999998</v>
      </c>
      <c r="AW16" s="301">
        <f t="shared" si="24"/>
        <v>2.598749999999999</v>
      </c>
      <c r="AX16" s="302">
        <f t="shared" ca="1" si="25"/>
        <v>17</v>
      </c>
      <c r="AY16" s="299">
        <f t="shared" ca="1" si="26"/>
        <v>356.02875</v>
      </c>
      <c r="AZ16" s="299">
        <f t="shared" si="27"/>
        <v>283.5</v>
      </c>
      <c r="BA16" s="299">
        <f t="shared" si="28"/>
        <v>28.35</v>
      </c>
      <c r="BB16" s="299">
        <f t="shared" ca="1" si="29"/>
        <v>23.388749999999991</v>
      </c>
      <c r="BC16" s="301">
        <f t="shared" si="30"/>
        <v>2.598749999999999</v>
      </c>
      <c r="BD16" s="302">
        <f t="shared" ca="1" si="31"/>
        <v>9</v>
      </c>
      <c r="BE16" s="299">
        <f t="shared" ca="1" si="32"/>
        <v>335.23875000000004</v>
      </c>
      <c r="BF16" s="299">
        <f t="shared" si="33"/>
        <v>283.5</v>
      </c>
      <c r="BG16" s="299">
        <f t="shared" si="34"/>
        <v>28.35</v>
      </c>
      <c r="BH16" s="299">
        <f t="shared" ca="1" si="35"/>
        <v>12.993749999999995</v>
      </c>
      <c r="BI16" s="301">
        <f t="shared" si="36"/>
        <v>2.598749999999999</v>
      </c>
      <c r="BJ16" s="302">
        <f t="shared" ca="1" si="37"/>
        <v>5</v>
      </c>
      <c r="BK16" s="299">
        <f t="shared" ca="1" si="38"/>
        <v>324.84375</v>
      </c>
      <c r="BL16" s="299">
        <f t="shared" si="39"/>
        <v>1703.4</v>
      </c>
      <c r="BM16" s="299">
        <f t="shared" si="40"/>
        <v>170.33999999999997</v>
      </c>
      <c r="BN16" s="299">
        <f t="shared" ca="1" si="41"/>
        <v>302.13699999999989</v>
      </c>
      <c r="BO16" s="303">
        <f t="shared" ca="1" si="47"/>
        <v>2175.877</v>
      </c>
      <c r="BP16" s="304" t="s">
        <v>5914</v>
      </c>
      <c r="BQ16" s="302">
        <v>10.819000000000001</v>
      </c>
      <c r="BR16" s="299">
        <v>109500</v>
      </c>
      <c r="BS16" s="299">
        <v>0</v>
      </c>
      <c r="BT16" s="299">
        <f t="shared" si="43"/>
        <v>109500</v>
      </c>
      <c r="BU16" s="299">
        <v>126000</v>
      </c>
      <c r="BV16" s="299">
        <v>0</v>
      </c>
      <c r="BW16" s="299">
        <f t="shared" si="44"/>
        <v>126000</v>
      </c>
      <c r="GC16" s="307"/>
    </row>
    <row r="17" spans="1:185">
      <c r="A17" s="296">
        <v>102025007</v>
      </c>
      <c r="B17" s="297" t="s">
        <v>6002</v>
      </c>
      <c r="C17" s="295" t="s">
        <v>253</v>
      </c>
      <c r="D17" s="295" t="s">
        <v>511</v>
      </c>
      <c r="E17" s="295" t="s">
        <v>6003</v>
      </c>
      <c r="F17" s="295" t="s">
        <v>1220</v>
      </c>
      <c r="O17" s="297" t="s">
        <v>6072</v>
      </c>
      <c r="P17" s="297" t="s">
        <v>290</v>
      </c>
      <c r="Q17" s="297" t="s">
        <v>260</v>
      </c>
      <c r="V17" s="299">
        <v>0</v>
      </c>
      <c r="W17" s="299">
        <f t="shared" si="46"/>
        <v>0</v>
      </c>
      <c r="X17" s="299">
        <f t="shared" ca="1" si="0"/>
        <v>0</v>
      </c>
      <c r="Y17" s="301">
        <f t="shared" si="1"/>
        <v>0</v>
      </c>
      <c r="Z17" s="302">
        <f t="shared" ca="1" si="2"/>
        <v>41</v>
      </c>
      <c r="AA17" s="299">
        <f t="shared" ca="1" si="3"/>
        <v>0</v>
      </c>
      <c r="AB17" s="299">
        <v>0</v>
      </c>
      <c r="AC17" s="299">
        <f t="shared" si="4"/>
        <v>0</v>
      </c>
      <c r="AD17" s="299">
        <f t="shared" ca="1" si="5"/>
        <v>0</v>
      </c>
      <c r="AE17" s="301">
        <f t="shared" si="6"/>
        <v>0</v>
      </c>
      <c r="AF17" s="302">
        <f t="shared" ca="1" si="7"/>
        <v>33</v>
      </c>
      <c r="AG17" s="302">
        <f t="shared" ca="1" si="8"/>
        <v>0</v>
      </c>
      <c r="AH17" s="299">
        <f t="shared" si="49"/>
        <v>353.08</v>
      </c>
      <c r="AI17" s="299">
        <f t="shared" si="10"/>
        <v>35.308</v>
      </c>
      <c r="AJ17" s="299">
        <f t="shared" ca="1" si="11"/>
        <v>93.86043333333329</v>
      </c>
      <c r="AK17" s="301">
        <f t="shared" si="12"/>
        <v>3.2365666666666653</v>
      </c>
      <c r="AL17" s="302">
        <f t="shared" ca="1" si="13"/>
        <v>29</v>
      </c>
      <c r="AM17" s="299">
        <f t="shared" ca="1" si="14"/>
        <v>482.24843333333325</v>
      </c>
      <c r="AN17" s="299">
        <f t="shared" si="48"/>
        <v>445.95</v>
      </c>
      <c r="AO17" s="299">
        <f t="shared" si="16"/>
        <v>44.594999999999999</v>
      </c>
      <c r="AP17" s="299">
        <f t="shared" ca="1" si="17"/>
        <v>94.021124999999941</v>
      </c>
      <c r="AQ17" s="301">
        <f t="shared" si="18"/>
        <v>4.0878749999999977</v>
      </c>
      <c r="AR17" s="302">
        <f t="shared" ca="1" si="19"/>
        <v>23</v>
      </c>
      <c r="AS17" s="299">
        <f t="shared" ca="1" si="20"/>
        <v>584.56612499999994</v>
      </c>
      <c r="AT17" s="299">
        <f t="shared" si="21"/>
        <v>445.95</v>
      </c>
      <c r="AU17" s="299">
        <f t="shared" si="22"/>
        <v>44.594999999999999</v>
      </c>
      <c r="AV17" s="299">
        <f t="shared" ca="1" si="23"/>
        <v>69.49387499999996</v>
      </c>
      <c r="AW17" s="301">
        <f t="shared" si="24"/>
        <v>4.0878749999999977</v>
      </c>
      <c r="AX17" s="302">
        <f t="shared" ca="1" si="25"/>
        <v>17</v>
      </c>
      <c r="AY17" s="299">
        <f t="shared" ca="1" si="26"/>
        <v>560.03887499999996</v>
      </c>
      <c r="AZ17" s="299">
        <f t="shared" si="27"/>
        <v>445.95</v>
      </c>
      <c r="BA17" s="299">
        <f t="shared" si="28"/>
        <v>44.594999999999999</v>
      </c>
      <c r="BB17" s="299">
        <f t="shared" ca="1" si="29"/>
        <v>36.790874999999978</v>
      </c>
      <c r="BC17" s="301">
        <f t="shared" si="30"/>
        <v>4.0878749999999977</v>
      </c>
      <c r="BD17" s="302">
        <f t="shared" ca="1" si="31"/>
        <v>9</v>
      </c>
      <c r="BE17" s="299">
        <f t="shared" ca="1" si="32"/>
        <v>527.33587499999999</v>
      </c>
      <c r="BF17" s="299">
        <f t="shared" si="33"/>
        <v>445.95</v>
      </c>
      <c r="BG17" s="299">
        <f t="shared" si="34"/>
        <v>44.594999999999999</v>
      </c>
      <c r="BH17" s="299">
        <f t="shared" ca="1" si="35"/>
        <v>20.439374999999988</v>
      </c>
      <c r="BI17" s="301">
        <f t="shared" si="36"/>
        <v>4.0878749999999977</v>
      </c>
      <c r="BJ17" s="302">
        <f t="shared" ca="1" si="37"/>
        <v>5</v>
      </c>
      <c r="BK17" s="299">
        <f t="shared" ca="1" si="38"/>
        <v>510.98437499999994</v>
      </c>
      <c r="BL17" s="299">
        <f t="shared" si="39"/>
        <v>2136.88</v>
      </c>
      <c r="BM17" s="299">
        <f t="shared" si="40"/>
        <v>213.68799999999999</v>
      </c>
      <c r="BN17" s="299">
        <f t="shared" ca="1" si="41"/>
        <v>314.60568333333316</v>
      </c>
      <c r="BO17" s="303">
        <f t="shared" ca="1" si="47"/>
        <v>2665.1736833333334</v>
      </c>
      <c r="BP17" s="304" t="s">
        <v>5914</v>
      </c>
      <c r="BQ17" s="302">
        <f>0.13+0.12+0.11+0.11</f>
        <v>0.47</v>
      </c>
      <c r="BR17" s="299">
        <f>1000+1000+1000+21300</f>
        <v>24300</v>
      </c>
      <c r="BS17" s="299">
        <v>111500</v>
      </c>
      <c r="BT17" s="299">
        <f t="shared" si="43"/>
        <v>135800</v>
      </c>
      <c r="BU17" s="299">
        <f>1000+1000+1000+21300</f>
        <v>24300</v>
      </c>
      <c r="BV17" s="299">
        <v>173900</v>
      </c>
      <c r="BW17" s="299">
        <f t="shared" si="44"/>
        <v>198200</v>
      </c>
    </row>
    <row r="18" spans="1:185" ht="15" customHeight="1">
      <c r="A18" s="296">
        <v>102025008</v>
      </c>
      <c r="B18" s="297" t="s">
        <v>6004</v>
      </c>
      <c r="C18" s="295" t="s">
        <v>253</v>
      </c>
      <c r="D18" s="295" t="s">
        <v>511</v>
      </c>
      <c r="E18" s="295" t="s">
        <v>6003</v>
      </c>
      <c r="F18" s="295" t="s">
        <v>1220</v>
      </c>
      <c r="L18" s="306" t="s">
        <v>328</v>
      </c>
      <c r="M18" s="297" t="s">
        <v>627</v>
      </c>
      <c r="O18" s="297" t="s">
        <v>6072</v>
      </c>
      <c r="P18" s="297" t="s">
        <v>290</v>
      </c>
      <c r="Q18" s="297" t="s">
        <v>260</v>
      </c>
      <c r="V18" s="299">
        <v>0</v>
      </c>
      <c r="W18" s="299">
        <f t="shared" si="46"/>
        <v>0</v>
      </c>
      <c r="X18" s="299">
        <f t="shared" ca="1" si="0"/>
        <v>0</v>
      </c>
      <c r="Y18" s="301">
        <f t="shared" si="1"/>
        <v>0</v>
      </c>
      <c r="Z18" s="302">
        <f t="shared" ca="1" si="2"/>
        <v>41</v>
      </c>
      <c r="AA18" s="299">
        <f t="shared" ca="1" si="3"/>
        <v>0</v>
      </c>
      <c r="AB18" s="299">
        <v>0</v>
      </c>
      <c r="AC18" s="299">
        <f t="shared" si="4"/>
        <v>0</v>
      </c>
      <c r="AD18" s="299">
        <f t="shared" ca="1" si="5"/>
        <v>0</v>
      </c>
      <c r="AE18" s="301">
        <f t="shared" si="6"/>
        <v>0</v>
      </c>
      <c r="AF18" s="302">
        <f t="shared" ca="1" si="7"/>
        <v>33</v>
      </c>
      <c r="AG18" s="302">
        <f t="shared" ca="1" si="8"/>
        <v>0</v>
      </c>
      <c r="AH18" s="299">
        <f t="shared" si="49"/>
        <v>255.06</v>
      </c>
      <c r="AI18" s="299">
        <f t="shared" si="10"/>
        <v>25.506</v>
      </c>
      <c r="AJ18" s="299">
        <f t="shared" ca="1" si="11"/>
        <v>67.80344999999997</v>
      </c>
      <c r="AK18" s="301">
        <f t="shared" si="12"/>
        <v>2.3380499999999991</v>
      </c>
      <c r="AL18" s="302">
        <f t="shared" ca="1" si="13"/>
        <v>29</v>
      </c>
      <c r="AM18" s="299">
        <f t="shared" ca="1" si="14"/>
        <v>348.36945000000003</v>
      </c>
      <c r="AN18" s="299">
        <f t="shared" si="48"/>
        <v>72.899999999999991</v>
      </c>
      <c r="AO18" s="299">
        <f t="shared" si="16"/>
        <v>7.2899999999999991</v>
      </c>
      <c r="AP18" s="299">
        <f t="shared" ca="1" si="17"/>
        <v>15.369749999999993</v>
      </c>
      <c r="AQ18" s="301">
        <f t="shared" si="18"/>
        <v>0.66824999999999968</v>
      </c>
      <c r="AR18" s="302">
        <f t="shared" ca="1" si="19"/>
        <v>23</v>
      </c>
      <c r="AS18" s="299">
        <f t="shared" ca="1" si="20"/>
        <v>95.559749999999994</v>
      </c>
      <c r="AT18" s="299">
        <f t="shared" si="21"/>
        <v>72.899999999999991</v>
      </c>
      <c r="AU18" s="299">
        <f t="shared" si="22"/>
        <v>7.2899999999999991</v>
      </c>
      <c r="AV18" s="299">
        <f t="shared" ca="1" si="23"/>
        <v>11.360249999999995</v>
      </c>
      <c r="AW18" s="301">
        <f t="shared" si="24"/>
        <v>0.66824999999999968</v>
      </c>
      <c r="AX18" s="302">
        <f t="shared" ca="1" si="25"/>
        <v>17</v>
      </c>
      <c r="AY18" s="299">
        <f t="shared" ca="1" si="26"/>
        <v>91.550249999999991</v>
      </c>
      <c r="AZ18" s="299">
        <f t="shared" si="27"/>
        <v>72.899999999999991</v>
      </c>
      <c r="BA18" s="299">
        <f t="shared" si="28"/>
        <v>7.2899999999999991</v>
      </c>
      <c r="BB18" s="299">
        <f t="shared" ca="1" si="29"/>
        <v>6.014249999999997</v>
      </c>
      <c r="BC18" s="301">
        <f t="shared" si="30"/>
        <v>0.66824999999999968</v>
      </c>
      <c r="BD18" s="302">
        <f t="shared" ca="1" si="31"/>
        <v>9</v>
      </c>
      <c r="BE18" s="299">
        <f t="shared" ca="1" si="32"/>
        <v>86.204250000000002</v>
      </c>
      <c r="BF18" s="299">
        <f t="shared" si="33"/>
        <v>72.899999999999991</v>
      </c>
      <c r="BG18" s="299">
        <f t="shared" si="34"/>
        <v>7.2899999999999991</v>
      </c>
      <c r="BH18" s="299">
        <f t="shared" ca="1" si="35"/>
        <v>3.3412499999999983</v>
      </c>
      <c r="BI18" s="301">
        <f t="shared" si="36"/>
        <v>0.66824999999999968</v>
      </c>
      <c r="BJ18" s="302">
        <f t="shared" ca="1" si="37"/>
        <v>5</v>
      </c>
      <c r="BK18" s="299">
        <f t="shared" ca="1" si="38"/>
        <v>83.53125</v>
      </c>
      <c r="BL18" s="299">
        <f t="shared" si="39"/>
        <v>546.66</v>
      </c>
      <c r="BM18" s="299">
        <f t="shared" si="40"/>
        <v>54.665999999999997</v>
      </c>
      <c r="BN18" s="299">
        <f t="shared" ca="1" si="41"/>
        <v>103.88894999999997</v>
      </c>
      <c r="BO18" s="303">
        <f t="shared" ca="1" si="47"/>
        <v>705.21495000000004</v>
      </c>
      <c r="BP18" s="304" t="s">
        <v>5914</v>
      </c>
      <c r="BQ18" s="302">
        <f>0.12+0.12+0.12+0.11</f>
        <v>0.47</v>
      </c>
      <c r="BR18" s="299">
        <f>1000+1000+400+21300</f>
        <v>23700</v>
      </c>
      <c r="BS18" s="299">
        <v>74400</v>
      </c>
      <c r="BT18" s="299">
        <f t="shared" si="43"/>
        <v>98100</v>
      </c>
      <c r="BU18" s="299">
        <f>1000+1000+400+21300</f>
        <v>23700</v>
      </c>
      <c r="BV18" s="299">
        <v>8700</v>
      </c>
      <c r="BW18" s="299">
        <f t="shared" si="44"/>
        <v>32400</v>
      </c>
      <c r="GC18" s="307"/>
    </row>
    <row r="19" spans="1:185">
      <c r="A19" s="296">
        <v>102025009</v>
      </c>
      <c r="B19" s="297" t="s">
        <v>6005</v>
      </c>
      <c r="D19" s="295" t="s">
        <v>6006</v>
      </c>
      <c r="L19" s="297" t="s">
        <v>6075</v>
      </c>
      <c r="M19" s="297" t="s">
        <v>4613</v>
      </c>
      <c r="N19" s="297" t="s">
        <v>260</v>
      </c>
      <c r="O19" s="297" t="s">
        <v>6076</v>
      </c>
      <c r="P19" s="297" t="s">
        <v>290</v>
      </c>
      <c r="Q19" s="297" t="s">
        <v>260</v>
      </c>
      <c r="R19" s="295" t="s">
        <v>6073</v>
      </c>
      <c r="S19" s="295" t="s">
        <v>6074</v>
      </c>
      <c r="T19" s="295" t="s">
        <v>627</v>
      </c>
      <c r="U19" s="295" t="s">
        <v>268</v>
      </c>
      <c r="V19" s="299">
        <v>0</v>
      </c>
      <c r="W19" s="299">
        <f t="shared" si="46"/>
        <v>0</v>
      </c>
      <c r="X19" s="299">
        <f t="shared" ca="1" si="0"/>
        <v>0</v>
      </c>
      <c r="Y19" s="301">
        <f t="shared" si="1"/>
        <v>0</v>
      </c>
      <c r="Z19" s="302">
        <f t="shared" ca="1" si="2"/>
        <v>41</v>
      </c>
      <c r="AA19" s="299">
        <f t="shared" ca="1" si="3"/>
        <v>0</v>
      </c>
      <c r="AB19" s="299">
        <v>620.62</v>
      </c>
      <c r="AC19" s="299">
        <f t="shared" si="4"/>
        <v>62.062000000000005</v>
      </c>
      <c r="AD19" s="299">
        <f t="shared" ca="1" si="5"/>
        <v>187.73754999999994</v>
      </c>
      <c r="AE19" s="301">
        <f t="shared" si="6"/>
        <v>5.6890166666666646</v>
      </c>
      <c r="AF19" s="302">
        <f t="shared" ca="1" si="7"/>
        <v>33</v>
      </c>
      <c r="AG19" s="302">
        <f t="shared" ca="1" si="8"/>
        <v>870.41954999999996</v>
      </c>
      <c r="AH19" s="299">
        <v>620.62</v>
      </c>
      <c r="AI19" s="299">
        <f t="shared" si="10"/>
        <v>62.062000000000005</v>
      </c>
      <c r="AJ19" s="299">
        <f t="shared" ca="1" si="11"/>
        <v>164.98148333333327</v>
      </c>
      <c r="AK19" s="301">
        <f t="shared" si="12"/>
        <v>5.6890166666666646</v>
      </c>
      <c r="AL19" s="302">
        <f t="shared" ca="1" si="13"/>
        <v>29</v>
      </c>
      <c r="AM19" s="299">
        <f t="shared" ca="1" si="14"/>
        <v>847.66348333333326</v>
      </c>
      <c r="AN19" s="299">
        <f t="shared" si="48"/>
        <v>2195.1</v>
      </c>
      <c r="AO19" s="299">
        <f t="shared" si="16"/>
        <v>219.51</v>
      </c>
      <c r="AP19" s="299">
        <f t="shared" ca="1" si="17"/>
        <v>462.80024999999972</v>
      </c>
      <c r="AQ19" s="301">
        <f t="shared" si="18"/>
        <v>20.121749999999988</v>
      </c>
      <c r="AR19" s="302">
        <f t="shared" ca="1" si="19"/>
        <v>23</v>
      </c>
      <c r="AS19" s="299">
        <f t="shared" ca="1" si="20"/>
        <v>2877.4102499999995</v>
      </c>
      <c r="AT19" s="299">
        <f t="shared" si="21"/>
        <v>2195.1</v>
      </c>
      <c r="AU19" s="299">
        <f t="shared" si="22"/>
        <v>219.51</v>
      </c>
      <c r="AV19" s="299">
        <f t="shared" ca="1" si="23"/>
        <v>342.06974999999977</v>
      </c>
      <c r="AW19" s="301">
        <f t="shared" si="24"/>
        <v>20.121749999999988</v>
      </c>
      <c r="AX19" s="302">
        <f t="shared" ca="1" si="25"/>
        <v>17</v>
      </c>
      <c r="AY19" s="299">
        <f t="shared" ca="1" si="26"/>
        <v>2756.6797499999993</v>
      </c>
      <c r="AZ19" s="299">
        <f t="shared" si="27"/>
        <v>2195.1</v>
      </c>
      <c r="BA19" s="299">
        <f t="shared" si="28"/>
        <v>219.51</v>
      </c>
      <c r="BB19" s="299">
        <f t="shared" ca="1" si="29"/>
        <v>181.0957499999999</v>
      </c>
      <c r="BC19" s="301">
        <f t="shared" si="30"/>
        <v>20.121749999999988</v>
      </c>
      <c r="BD19" s="302">
        <f t="shared" ca="1" si="31"/>
        <v>9</v>
      </c>
      <c r="BE19" s="299">
        <f t="shared" ca="1" si="32"/>
        <v>2595.7057499999996</v>
      </c>
      <c r="BF19" s="299">
        <f t="shared" si="33"/>
        <v>2195.1</v>
      </c>
      <c r="BG19" s="299">
        <f t="shared" si="34"/>
        <v>219.51</v>
      </c>
      <c r="BH19" s="299">
        <f t="shared" ca="1" si="35"/>
        <v>100.60874999999994</v>
      </c>
      <c r="BI19" s="301">
        <f t="shared" si="36"/>
        <v>20.121749999999988</v>
      </c>
      <c r="BJ19" s="302">
        <f t="shared" ca="1" si="37"/>
        <v>5</v>
      </c>
      <c r="BK19" s="299">
        <f t="shared" ca="1" si="38"/>
        <v>2515.2187499999995</v>
      </c>
      <c r="BL19" s="299">
        <f t="shared" si="39"/>
        <v>10021.640000000001</v>
      </c>
      <c r="BM19" s="299">
        <f t="shared" si="40"/>
        <v>1002.164</v>
      </c>
      <c r="BN19" s="299">
        <f t="shared" ca="1" si="41"/>
        <v>1439.2935333333326</v>
      </c>
      <c r="BO19" s="303">
        <f t="shared" ca="1" si="47"/>
        <v>12463.097533333334</v>
      </c>
      <c r="BP19" s="304" t="s">
        <v>5914</v>
      </c>
      <c r="BQ19" s="302">
        <v>3.645</v>
      </c>
      <c r="BR19" s="299">
        <v>215300</v>
      </c>
      <c r="BS19" s="299">
        <v>489100</v>
      </c>
      <c r="BT19" s="299">
        <f t="shared" si="43"/>
        <v>704400</v>
      </c>
      <c r="BU19" s="299">
        <v>270600</v>
      </c>
      <c r="BV19" s="299">
        <v>705000</v>
      </c>
      <c r="BW19" s="299">
        <f t="shared" si="44"/>
        <v>975600</v>
      </c>
    </row>
    <row r="20" spans="1:185" ht="15" customHeight="1">
      <c r="A20" s="296">
        <v>102025010</v>
      </c>
      <c r="B20" s="297" t="s">
        <v>6007</v>
      </c>
      <c r="C20" s="295" t="s">
        <v>253</v>
      </c>
      <c r="D20" s="295" t="s">
        <v>3035</v>
      </c>
      <c r="E20" s="295" t="s">
        <v>6008</v>
      </c>
      <c r="F20" s="295" t="s">
        <v>326</v>
      </c>
      <c r="O20" s="297" t="s">
        <v>6077</v>
      </c>
      <c r="P20" s="297" t="s">
        <v>267</v>
      </c>
      <c r="Q20" s="297" t="s">
        <v>260</v>
      </c>
      <c r="V20" s="299">
        <v>0</v>
      </c>
      <c r="W20" s="299">
        <f t="shared" si="46"/>
        <v>0</v>
      </c>
      <c r="X20" s="299">
        <f t="shared" ca="1" si="0"/>
        <v>0</v>
      </c>
      <c r="Y20" s="301">
        <f t="shared" si="1"/>
        <v>0</v>
      </c>
      <c r="Z20" s="302">
        <f t="shared" ca="1" si="2"/>
        <v>41</v>
      </c>
      <c r="AA20" s="299">
        <f t="shared" ca="1" si="3"/>
        <v>0</v>
      </c>
      <c r="AB20" s="299">
        <v>0</v>
      </c>
      <c r="AC20" s="299">
        <f t="shared" si="4"/>
        <v>0</v>
      </c>
      <c r="AD20" s="299">
        <f t="shared" ca="1" si="5"/>
        <v>0</v>
      </c>
      <c r="AE20" s="301">
        <f t="shared" si="6"/>
        <v>0</v>
      </c>
      <c r="AF20" s="302">
        <f t="shared" ca="1" si="7"/>
        <v>33</v>
      </c>
      <c r="AG20" s="302">
        <f t="shared" ca="1" si="8"/>
        <v>0</v>
      </c>
      <c r="AH20" s="299">
        <f>SUM(BT20*0.0052)/2</f>
        <v>205.66</v>
      </c>
      <c r="AI20" s="299">
        <f t="shared" si="10"/>
        <v>20.566000000000003</v>
      </c>
      <c r="AJ20" s="299">
        <f t="shared" ca="1" si="11"/>
        <v>54.671283333333314</v>
      </c>
      <c r="AK20" s="301">
        <f t="shared" si="12"/>
        <v>1.8852166666666659</v>
      </c>
      <c r="AL20" s="302">
        <f t="shared" ca="1" si="13"/>
        <v>29</v>
      </c>
      <c r="AM20" s="299">
        <f t="shared" ca="1" si="14"/>
        <v>280.89728333333329</v>
      </c>
      <c r="AN20" s="299">
        <f t="shared" si="48"/>
        <v>276.97499999999997</v>
      </c>
      <c r="AO20" s="299">
        <f t="shared" si="16"/>
        <v>27.697499999999998</v>
      </c>
      <c r="AP20" s="299">
        <f t="shared" ca="1" si="17"/>
        <v>58.395562499999969</v>
      </c>
      <c r="AQ20" s="301">
        <f t="shared" si="18"/>
        <v>2.5389374999999985</v>
      </c>
      <c r="AR20" s="302">
        <f t="shared" ca="1" si="19"/>
        <v>23</v>
      </c>
      <c r="AS20" s="299">
        <f t="shared" ca="1" si="20"/>
        <v>363.06806249999994</v>
      </c>
      <c r="AT20" s="299">
        <f t="shared" si="21"/>
        <v>276.97499999999997</v>
      </c>
      <c r="AU20" s="299">
        <f t="shared" si="22"/>
        <v>27.697499999999998</v>
      </c>
      <c r="AV20" s="299">
        <f t="shared" ca="1" si="23"/>
        <v>43.161937499999972</v>
      </c>
      <c r="AW20" s="301">
        <f t="shared" si="24"/>
        <v>2.5389374999999985</v>
      </c>
      <c r="AX20" s="302">
        <f t="shared" ca="1" si="25"/>
        <v>17</v>
      </c>
      <c r="AY20" s="299">
        <f t="shared" ca="1" si="26"/>
        <v>347.83443749999992</v>
      </c>
      <c r="AZ20" s="299">
        <f t="shared" si="27"/>
        <v>276.97499999999997</v>
      </c>
      <c r="BA20" s="299">
        <f t="shared" si="28"/>
        <v>27.697499999999998</v>
      </c>
      <c r="BB20" s="299">
        <f t="shared" ca="1" si="29"/>
        <v>22.850437499999988</v>
      </c>
      <c r="BC20" s="301">
        <f t="shared" si="30"/>
        <v>2.5389374999999985</v>
      </c>
      <c r="BD20" s="302">
        <f t="shared" ca="1" si="31"/>
        <v>9</v>
      </c>
      <c r="BE20" s="299">
        <f t="shared" ca="1" si="32"/>
        <v>327.52293749999995</v>
      </c>
      <c r="BF20" s="299">
        <f t="shared" si="33"/>
        <v>276.97499999999997</v>
      </c>
      <c r="BG20" s="299">
        <f t="shared" si="34"/>
        <v>27.697499999999998</v>
      </c>
      <c r="BH20" s="299">
        <f t="shared" ca="1" si="35"/>
        <v>12.694687499999993</v>
      </c>
      <c r="BI20" s="301">
        <f t="shared" si="36"/>
        <v>2.5389374999999985</v>
      </c>
      <c r="BJ20" s="302">
        <f t="shared" ca="1" si="37"/>
        <v>5</v>
      </c>
      <c r="BK20" s="299">
        <f t="shared" ca="1" si="38"/>
        <v>317.36718749999994</v>
      </c>
      <c r="BL20" s="299">
        <f t="shared" si="39"/>
        <v>1313.5599999999997</v>
      </c>
      <c r="BM20" s="299">
        <f t="shared" si="40"/>
        <v>131.35599999999999</v>
      </c>
      <c r="BN20" s="299">
        <f t="shared" ca="1" si="41"/>
        <v>191.77390833333322</v>
      </c>
      <c r="BO20" s="303">
        <f t="shared" ca="1" si="47"/>
        <v>1636.6899083333328</v>
      </c>
      <c r="BP20" s="304" t="s">
        <v>5914</v>
      </c>
      <c r="BQ20" s="302">
        <v>0.36</v>
      </c>
      <c r="BR20" s="299">
        <v>26000</v>
      </c>
      <c r="BS20" s="299">
        <v>53100</v>
      </c>
      <c r="BT20" s="299">
        <f t="shared" si="43"/>
        <v>79100</v>
      </c>
      <c r="BU20" s="299">
        <v>45000</v>
      </c>
      <c r="BV20" s="299">
        <v>78100</v>
      </c>
      <c r="BW20" s="299">
        <f t="shared" si="44"/>
        <v>123100</v>
      </c>
      <c r="GC20" s="307"/>
    </row>
    <row r="21" spans="1:185">
      <c r="A21" s="296">
        <v>102025011</v>
      </c>
      <c r="B21" s="297" t="s">
        <v>6009</v>
      </c>
      <c r="C21" s="295" t="s">
        <v>554</v>
      </c>
      <c r="D21" s="295" t="s">
        <v>6010</v>
      </c>
      <c r="E21" s="295" t="s">
        <v>574</v>
      </c>
      <c r="F21" s="295" t="s">
        <v>256</v>
      </c>
      <c r="H21" s="295" t="s">
        <v>6010</v>
      </c>
      <c r="I21" s="295" t="s">
        <v>6011</v>
      </c>
      <c r="J21" s="295" t="s">
        <v>357</v>
      </c>
      <c r="O21" s="297" t="s">
        <v>6078</v>
      </c>
      <c r="P21" s="297" t="s">
        <v>290</v>
      </c>
      <c r="Q21" s="297" t="s">
        <v>260</v>
      </c>
      <c r="V21" s="299">
        <v>0</v>
      </c>
      <c r="W21" s="299">
        <f t="shared" si="46"/>
        <v>0</v>
      </c>
      <c r="X21" s="299">
        <f t="shared" ca="1" si="0"/>
        <v>0</v>
      </c>
      <c r="Y21" s="301">
        <f t="shared" si="1"/>
        <v>0</v>
      </c>
      <c r="Z21" s="302">
        <f t="shared" ca="1" si="2"/>
        <v>41</v>
      </c>
      <c r="AA21" s="299">
        <f t="shared" ca="1" si="3"/>
        <v>0</v>
      </c>
      <c r="AB21" s="299">
        <f>SUM(BT21*0.0052)/2</f>
        <v>174.45999999999998</v>
      </c>
      <c r="AC21" s="299">
        <f t="shared" si="4"/>
        <v>17.445999999999998</v>
      </c>
      <c r="AD21" s="299">
        <f t="shared" ca="1" si="5"/>
        <v>52.77414999999997</v>
      </c>
      <c r="AE21" s="301">
        <f t="shared" si="6"/>
        <v>1.5992166666666658</v>
      </c>
      <c r="AF21" s="302">
        <f t="shared" ca="1" si="7"/>
        <v>33</v>
      </c>
      <c r="AG21" s="302">
        <f t="shared" ca="1" si="8"/>
        <v>244.68014999999994</v>
      </c>
      <c r="AH21" s="299">
        <f>SUM(BT21*0.0052)/2</f>
        <v>174.45999999999998</v>
      </c>
      <c r="AI21" s="299">
        <f t="shared" si="10"/>
        <v>17.445999999999998</v>
      </c>
      <c r="AJ21" s="299">
        <f t="shared" ca="1" si="11"/>
        <v>46.37728333333331</v>
      </c>
      <c r="AK21" s="301">
        <f t="shared" si="12"/>
        <v>1.5992166666666658</v>
      </c>
      <c r="AL21" s="302">
        <f t="shared" ca="1" si="13"/>
        <v>29</v>
      </c>
      <c r="AM21" s="299">
        <f t="shared" ca="1" si="14"/>
        <v>238.28328333333329</v>
      </c>
      <c r="AN21" s="299">
        <f t="shared" si="48"/>
        <v>236.24999999999997</v>
      </c>
      <c r="AO21" s="299">
        <f t="shared" si="16"/>
        <v>23.625</v>
      </c>
      <c r="AP21" s="299">
        <f t="shared" ca="1" si="17"/>
        <v>49.809374999999974</v>
      </c>
      <c r="AQ21" s="301">
        <f t="shared" si="18"/>
        <v>2.165624999999999</v>
      </c>
      <c r="AR21" s="302">
        <f t="shared" ca="1" si="19"/>
        <v>23</v>
      </c>
      <c r="AS21" s="299">
        <f t="shared" ca="1" si="20"/>
        <v>309.68437499999999</v>
      </c>
      <c r="AT21" s="299">
        <f t="shared" si="21"/>
        <v>236.24999999999997</v>
      </c>
      <c r="AU21" s="299">
        <f t="shared" si="22"/>
        <v>23.625</v>
      </c>
      <c r="AV21" s="299">
        <f t="shared" ca="1" si="23"/>
        <v>36.815624999999983</v>
      </c>
      <c r="AW21" s="301">
        <f t="shared" si="24"/>
        <v>2.165624999999999</v>
      </c>
      <c r="AX21" s="302">
        <f t="shared" ca="1" si="25"/>
        <v>17</v>
      </c>
      <c r="AY21" s="299">
        <f t="shared" ca="1" si="26"/>
        <v>296.69062499999995</v>
      </c>
      <c r="AZ21" s="299">
        <f t="shared" si="27"/>
        <v>236.24999999999997</v>
      </c>
      <c r="BA21" s="299">
        <f t="shared" si="28"/>
        <v>23.625</v>
      </c>
      <c r="BB21" s="299">
        <f t="shared" ca="1" si="29"/>
        <v>19.490624999999991</v>
      </c>
      <c r="BC21" s="301">
        <f t="shared" si="30"/>
        <v>2.165624999999999</v>
      </c>
      <c r="BD21" s="302">
        <f t="shared" ca="1" si="31"/>
        <v>9</v>
      </c>
      <c r="BE21" s="299">
        <f t="shared" ca="1" si="32"/>
        <v>279.36562499999997</v>
      </c>
      <c r="BF21" s="299">
        <f t="shared" si="33"/>
        <v>236.24999999999997</v>
      </c>
      <c r="BG21" s="299">
        <f t="shared" si="34"/>
        <v>23.625</v>
      </c>
      <c r="BH21" s="299">
        <f t="shared" ca="1" si="35"/>
        <v>10.828124999999995</v>
      </c>
      <c r="BI21" s="301">
        <f t="shared" si="36"/>
        <v>2.165624999999999</v>
      </c>
      <c r="BJ21" s="302">
        <f t="shared" ca="1" si="37"/>
        <v>5</v>
      </c>
      <c r="BK21" s="299">
        <f t="shared" ca="1" si="38"/>
        <v>270.703125</v>
      </c>
      <c r="BL21" s="299">
        <f t="shared" si="39"/>
        <v>1293.9199999999998</v>
      </c>
      <c r="BM21" s="299">
        <f t="shared" si="40"/>
        <v>129.392</v>
      </c>
      <c r="BN21" s="299">
        <f t="shared" ca="1" si="41"/>
        <v>216.09518333333324</v>
      </c>
      <c r="BO21" s="303">
        <f t="shared" ca="1" si="47"/>
        <v>1639.4071833333333</v>
      </c>
      <c r="BP21" s="304" t="s">
        <v>5914</v>
      </c>
      <c r="BQ21" s="302">
        <v>0.96</v>
      </c>
      <c r="BR21" s="299">
        <v>35800</v>
      </c>
      <c r="BS21" s="299">
        <v>31300</v>
      </c>
      <c r="BT21" s="299">
        <f t="shared" si="43"/>
        <v>67100</v>
      </c>
      <c r="BU21" s="299">
        <v>61900</v>
      </c>
      <c r="BV21" s="299">
        <v>43100</v>
      </c>
      <c r="BW21" s="299">
        <f t="shared" si="44"/>
        <v>105000</v>
      </c>
    </row>
    <row r="22" spans="1:185">
      <c r="A22" s="296">
        <v>102025012</v>
      </c>
      <c r="B22" s="297" t="s">
        <v>6012</v>
      </c>
      <c r="C22" s="295" t="s">
        <v>253</v>
      </c>
      <c r="D22" s="295" t="s">
        <v>5990</v>
      </c>
      <c r="E22" s="295" t="s">
        <v>3934</v>
      </c>
      <c r="F22" s="295" t="s">
        <v>357</v>
      </c>
      <c r="L22" s="297" t="s">
        <v>6079</v>
      </c>
      <c r="M22" s="297" t="s">
        <v>3489</v>
      </c>
      <c r="N22" s="297" t="s">
        <v>260</v>
      </c>
      <c r="O22" s="297" t="s">
        <v>5174</v>
      </c>
      <c r="P22" s="297" t="s">
        <v>290</v>
      </c>
      <c r="Q22" s="297" t="s">
        <v>260</v>
      </c>
      <c r="V22" s="299">
        <v>0</v>
      </c>
      <c r="W22" s="299">
        <f t="shared" si="46"/>
        <v>0</v>
      </c>
      <c r="X22" s="299">
        <f t="shared" ca="1" si="0"/>
        <v>0</v>
      </c>
      <c r="Y22" s="301">
        <f t="shared" si="1"/>
        <v>0</v>
      </c>
      <c r="Z22" s="302">
        <f t="shared" ca="1" si="2"/>
        <v>41</v>
      </c>
      <c r="AA22" s="299">
        <f t="shared" ca="1" si="3"/>
        <v>0</v>
      </c>
      <c r="AB22" s="299">
        <f>SUM(BT22*0.0052)/2-52.33</f>
        <v>230.29000000000002</v>
      </c>
      <c r="AC22" s="299">
        <f t="shared" si="4"/>
        <v>23.029000000000003</v>
      </c>
      <c r="AD22" s="299">
        <f t="shared" ca="1" si="5"/>
        <v>69.662724999999966</v>
      </c>
      <c r="AE22" s="301">
        <f t="shared" si="6"/>
        <v>2.1109916666666657</v>
      </c>
      <c r="AF22" s="302">
        <f t="shared" ca="1" si="7"/>
        <v>33</v>
      </c>
      <c r="AG22" s="302">
        <f t="shared" ca="1" si="8"/>
        <v>322.98172499999998</v>
      </c>
      <c r="AH22" s="299">
        <f>SUM(BT22*0.0052)/2</f>
        <v>282.62</v>
      </c>
      <c r="AI22" s="299">
        <f t="shared" si="10"/>
        <v>28.262</v>
      </c>
      <c r="AJ22" s="299">
        <f t="shared" ca="1" si="11"/>
        <v>75.129816666666642</v>
      </c>
      <c r="AK22" s="301">
        <f t="shared" si="12"/>
        <v>2.5906833333333323</v>
      </c>
      <c r="AL22" s="302">
        <f t="shared" ca="1" si="13"/>
        <v>29</v>
      </c>
      <c r="AM22" s="299">
        <f t="shared" ca="1" si="14"/>
        <v>386.01181666666662</v>
      </c>
      <c r="AN22" s="299">
        <f t="shared" si="48"/>
        <v>246.6</v>
      </c>
      <c r="AO22" s="299">
        <f t="shared" si="16"/>
        <v>24.66</v>
      </c>
      <c r="AP22" s="299">
        <f t="shared" ca="1" si="17"/>
        <v>51.991499999999981</v>
      </c>
      <c r="AQ22" s="301">
        <f t="shared" si="18"/>
        <v>2.2604999999999991</v>
      </c>
      <c r="AR22" s="302">
        <f t="shared" ca="1" si="19"/>
        <v>23</v>
      </c>
      <c r="AS22" s="299">
        <f t="shared" ca="1" si="20"/>
        <v>323.25149999999996</v>
      </c>
      <c r="AT22" s="299">
        <f t="shared" si="21"/>
        <v>246.6</v>
      </c>
      <c r="AU22" s="299">
        <f t="shared" si="22"/>
        <v>24.66</v>
      </c>
      <c r="AV22" s="299">
        <f t="shared" ca="1" si="23"/>
        <v>38.428499999999985</v>
      </c>
      <c r="AW22" s="301">
        <f t="shared" si="24"/>
        <v>2.2604999999999991</v>
      </c>
      <c r="AX22" s="302">
        <f t="shared" ca="1" si="25"/>
        <v>17</v>
      </c>
      <c r="AY22" s="299">
        <f t="shared" ca="1" si="26"/>
        <v>309.68849999999998</v>
      </c>
      <c r="AZ22" s="299">
        <f t="shared" si="27"/>
        <v>246.6</v>
      </c>
      <c r="BA22" s="299">
        <f t="shared" si="28"/>
        <v>24.66</v>
      </c>
      <c r="BB22" s="299">
        <f t="shared" ca="1" si="29"/>
        <v>20.344499999999993</v>
      </c>
      <c r="BC22" s="301">
        <f t="shared" si="30"/>
        <v>2.2604999999999991</v>
      </c>
      <c r="BD22" s="302">
        <f t="shared" ca="1" si="31"/>
        <v>9</v>
      </c>
      <c r="BE22" s="299">
        <f t="shared" ca="1" si="32"/>
        <v>291.60449999999997</v>
      </c>
      <c r="BF22" s="299">
        <f t="shared" si="33"/>
        <v>246.6</v>
      </c>
      <c r="BG22" s="299">
        <f t="shared" si="34"/>
        <v>24.66</v>
      </c>
      <c r="BH22" s="299">
        <f t="shared" ca="1" si="35"/>
        <v>11.302499999999995</v>
      </c>
      <c r="BI22" s="301">
        <f t="shared" si="36"/>
        <v>2.2604999999999991</v>
      </c>
      <c r="BJ22" s="302">
        <f t="shared" ca="1" si="37"/>
        <v>5</v>
      </c>
      <c r="BK22" s="299">
        <f t="shared" ca="1" si="38"/>
        <v>282.5625</v>
      </c>
      <c r="BL22" s="299">
        <f t="shared" si="39"/>
        <v>1499.31</v>
      </c>
      <c r="BM22" s="299">
        <f t="shared" si="40"/>
        <v>149.93100000000001</v>
      </c>
      <c r="BN22" s="299">
        <f t="shared" ca="1" si="41"/>
        <v>266.85954166666653</v>
      </c>
      <c r="BO22" s="303">
        <f t="shared" ca="1" si="47"/>
        <v>1916.1005416666665</v>
      </c>
      <c r="BP22" s="304" t="s">
        <v>5914</v>
      </c>
      <c r="BQ22" s="302">
        <v>0.37</v>
      </c>
      <c r="BR22" s="299">
        <v>25000</v>
      </c>
      <c r="BS22" s="299">
        <v>83700</v>
      </c>
      <c r="BT22" s="299">
        <f t="shared" si="43"/>
        <v>108700</v>
      </c>
      <c r="BU22" s="299">
        <v>25000</v>
      </c>
      <c r="BV22" s="299">
        <v>84600</v>
      </c>
      <c r="BW22" s="299">
        <f t="shared" si="44"/>
        <v>109600</v>
      </c>
    </row>
    <row r="23" spans="1:185">
      <c r="A23" s="296">
        <v>102025013</v>
      </c>
      <c r="B23" s="297" t="s">
        <v>6013</v>
      </c>
      <c r="C23" s="295" t="s">
        <v>253</v>
      </c>
      <c r="D23" s="295" t="s">
        <v>6014</v>
      </c>
      <c r="E23" s="295" t="s">
        <v>3263</v>
      </c>
      <c r="F23" s="295" t="s">
        <v>850</v>
      </c>
      <c r="L23" s="306" t="s">
        <v>328</v>
      </c>
      <c r="M23" s="297" t="s">
        <v>3489</v>
      </c>
      <c r="O23" s="297" t="s">
        <v>6081</v>
      </c>
      <c r="P23" s="297" t="s">
        <v>6082</v>
      </c>
      <c r="V23" s="299">
        <v>0</v>
      </c>
      <c r="W23" s="299">
        <f t="shared" si="46"/>
        <v>0</v>
      </c>
      <c r="X23" s="299">
        <f t="shared" ca="1" si="0"/>
        <v>0</v>
      </c>
      <c r="Y23" s="301">
        <f t="shared" si="1"/>
        <v>0</v>
      </c>
      <c r="Z23" s="302">
        <f t="shared" ca="1" si="2"/>
        <v>41</v>
      </c>
      <c r="AA23" s="299">
        <f t="shared" ca="1" si="3"/>
        <v>0</v>
      </c>
      <c r="AB23" s="299">
        <v>71.11</v>
      </c>
      <c r="AC23" s="299">
        <f t="shared" si="4"/>
        <v>7.1110000000000007</v>
      </c>
      <c r="AD23" s="299">
        <f t="shared" ca="1" si="5"/>
        <v>21.510774999999992</v>
      </c>
      <c r="AE23" s="301">
        <f t="shared" si="6"/>
        <v>0.65184166666666643</v>
      </c>
      <c r="AF23" s="302">
        <f t="shared" ca="1" si="7"/>
        <v>33</v>
      </c>
      <c r="AG23" s="302">
        <f t="shared" ca="1" si="8"/>
        <v>99.731774999999999</v>
      </c>
      <c r="AH23" s="299">
        <v>71.099999999999994</v>
      </c>
      <c r="AI23" s="299">
        <f t="shared" si="10"/>
        <v>7.1099999999999994</v>
      </c>
      <c r="AJ23" s="299">
        <f t="shared" ca="1" si="11"/>
        <v>18.900749999999992</v>
      </c>
      <c r="AK23" s="301">
        <f t="shared" si="12"/>
        <v>0.65174999999999972</v>
      </c>
      <c r="AL23" s="302">
        <f t="shared" ca="1" si="13"/>
        <v>29</v>
      </c>
      <c r="AM23" s="299">
        <f t="shared" ca="1" si="14"/>
        <v>97.110749999999982</v>
      </c>
      <c r="AN23" s="299">
        <f t="shared" si="48"/>
        <v>497.24999999999994</v>
      </c>
      <c r="AO23" s="299">
        <f t="shared" si="16"/>
        <v>49.724999999999994</v>
      </c>
      <c r="AP23" s="299">
        <f t="shared" ca="1" si="17"/>
        <v>104.83687499999994</v>
      </c>
      <c r="AQ23" s="301">
        <f t="shared" si="18"/>
        <v>4.5581249999999969</v>
      </c>
      <c r="AR23" s="302">
        <f t="shared" ca="1" si="19"/>
        <v>23</v>
      </c>
      <c r="AS23" s="299">
        <f t="shared" ca="1" si="20"/>
        <v>651.81187499999987</v>
      </c>
      <c r="AT23" s="299">
        <f t="shared" si="21"/>
        <v>497.24999999999994</v>
      </c>
      <c r="AU23" s="299">
        <f t="shared" si="22"/>
        <v>49.724999999999994</v>
      </c>
      <c r="AV23" s="299">
        <f t="shared" ca="1" si="23"/>
        <v>77.48812499999994</v>
      </c>
      <c r="AW23" s="301">
        <f t="shared" si="24"/>
        <v>4.5581249999999969</v>
      </c>
      <c r="AX23" s="302">
        <f t="shared" ca="1" si="25"/>
        <v>17</v>
      </c>
      <c r="AY23" s="299">
        <f t="shared" ca="1" si="26"/>
        <v>624.46312499999988</v>
      </c>
      <c r="AZ23" s="299">
        <f t="shared" si="27"/>
        <v>497.24999999999994</v>
      </c>
      <c r="BA23" s="299">
        <f t="shared" si="28"/>
        <v>49.724999999999994</v>
      </c>
      <c r="BB23" s="299">
        <f t="shared" ca="1" si="29"/>
        <v>41.023124999999972</v>
      </c>
      <c r="BC23" s="301">
        <f t="shared" si="30"/>
        <v>4.5581249999999969</v>
      </c>
      <c r="BD23" s="302">
        <f t="shared" ca="1" si="31"/>
        <v>9</v>
      </c>
      <c r="BE23" s="299">
        <f t="shared" ca="1" si="32"/>
        <v>587.99812499999985</v>
      </c>
      <c r="BF23" s="299">
        <f t="shared" si="33"/>
        <v>497.24999999999994</v>
      </c>
      <c r="BG23" s="299">
        <f t="shared" si="34"/>
        <v>49.724999999999994</v>
      </c>
      <c r="BH23" s="299">
        <f t="shared" ca="1" si="35"/>
        <v>22.790624999999984</v>
      </c>
      <c r="BI23" s="301">
        <f t="shared" si="36"/>
        <v>4.5581249999999969</v>
      </c>
      <c r="BJ23" s="302">
        <f t="shared" ca="1" si="37"/>
        <v>5</v>
      </c>
      <c r="BK23" s="299">
        <f t="shared" ca="1" si="38"/>
        <v>569.76562499999989</v>
      </c>
      <c r="BL23" s="299">
        <f t="shared" si="39"/>
        <v>2131.2099999999996</v>
      </c>
      <c r="BM23" s="299">
        <f t="shared" si="40"/>
        <v>213.12099999999998</v>
      </c>
      <c r="BN23" s="299">
        <f t="shared" ca="1" si="41"/>
        <v>286.55027499999983</v>
      </c>
      <c r="BO23" s="303">
        <f t="shared" ref="BO23:BO47" ca="1" si="50">SUM(BL23:BN23)</f>
        <v>2630.8812749999997</v>
      </c>
      <c r="BP23" s="304" t="s">
        <v>5914</v>
      </c>
      <c r="BQ23" s="302">
        <v>79.23</v>
      </c>
      <c r="BR23" s="299">
        <v>195500</v>
      </c>
      <c r="BS23" s="299">
        <v>0</v>
      </c>
      <c r="BT23" s="299">
        <f t="shared" si="43"/>
        <v>195500</v>
      </c>
      <c r="BU23" s="299">
        <v>221000</v>
      </c>
      <c r="BV23" s="299">
        <v>0</v>
      </c>
      <c r="BW23" s="299">
        <f t="shared" si="44"/>
        <v>221000</v>
      </c>
    </row>
    <row r="24" spans="1:185" ht="15.95" customHeight="1">
      <c r="A24" s="296">
        <v>102025014</v>
      </c>
      <c r="B24" s="297" t="s">
        <v>6083</v>
      </c>
      <c r="C24" s="295" t="s">
        <v>554</v>
      </c>
      <c r="D24" s="295" t="s">
        <v>1212</v>
      </c>
      <c r="E24" s="295" t="s">
        <v>1513</v>
      </c>
      <c r="F24" s="295" t="s">
        <v>354</v>
      </c>
      <c r="H24" s="295" t="s">
        <v>1212</v>
      </c>
      <c r="I24" s="295" t="s">
        <v>915</v>
      </c>
      <c r="O24" s="297" t="s">
        <v>6084</v>
      </c>
      <c r="P24" s="297" t="s">
        <v>349</v>
      </c>
      <c r="Q24" s="297" t="s">
        <v>260</v>
      </c>
      <c r="V24" s="299">
        <v>0</v>
      </c>
      <c r="W24" s="299">
        <f t="shared" si="46"/>
        <v>0</v>
      </c>
      <c r="X24" s="299">
        <f t="shared" ca="1" si="0"/>
        <v>0</v>
      </c>
      <c r="Y24" s="301">
        <f t="shared" si="1"/>
        <v>0</v>
      </c>
      <c r="Z24" s="302">
        <f t="shared" ca="1" si="2"/>
        <v>41</v>
      </c>
      <c r="AA24" s="299">
        <f t="shared" ca="1" si="3"/>
        <v>0</v>
      </c>
      <c r="AB24" s="299">
        <v>0</v>
      </c>
      <c r="AC24" s="299">
        <f t="shared" si="4"/>
        <v>0</v>
      </c>
      <c r="AD24" s="299">
        <f t="shared" ca="1" si="5"/>
        <v>0</v>
      </c>
      <c r="AE24" s="301">
        <f t="shared" si="6"/>
        <v>0</v>
      </c>
      <c r="AF24" s="302">
        <f t="shared" ca="1" si="7"/>
        <v>33</v>
      </c>
      <c r="AG24" s="302">
        <f t="shared" ca="1" si="8"/>
        <v>0</v>
      </c>
      <c r="AH24" s="299">
        <f>SUM(BT24*0.0052)/2-229.4</f>
        <v>16.039999999999992</v>
      </c>
      <c r="AI24" s="299">
        <f t="shared" si="10"/>
        <v>1.6039999999999992</v>
      </c>
      <c r="AJ24" s="299">
        <f t="shared" ca="1" si="11"/>
        <v>4.2639666666666631</v>
      </c>
      <c r="AK24" s="301">
        <f t="shared" si="12"/>
        <v>0.14703333333333321</v>
      </c>
      <c r="AL24" s="302">
        <f t="shared" ca="1" si="13"/>
        <v>29</v>
      </c>
      <c r="AM24" s="299">
        <f t="shared" ca="1" si="14"/>
        <v>21.907966666666653</v>
      </c>
      <c r="AN24" s="299">
        <f t="shared" si="48"/>
        <v>388.34999999999997</v>
      </c>
      <c r="AO24" s="299">
        <f t="shared" si="16"/>
        <v>38.835000000000001</v>
      </c>
      <c r="AP24" s="299">
        <f t="shared" ca="1" si="17"/>
        <v>81.87712499999995</v>
      </c>
      <c r="AQ24" s="301">
        <f t="shared" si="18"/>
        <v>3.5598749999999981</v>
      </c>
      <c r="AR24" s="302">
        <f t="shared" ca="1" si="19"/>
        <v>23</v>
      </c>
      <c r="AS24" s="299">
        <f t="shared" ca="1" si="20"/>
        <v>509.06212499999992</v>
      </c>
      <c r="AT24" s="299">
        <f t="shared" si="21"/>
        <v>388.34999999999997</v>
      </c>
      <c r="AU24" s="299">
        <f t="shared" si="22"/>
        <v>38.835000000000001</v>
      </c>
      <c r="AV24" s="299">
        <f t="shared" ca="1" si="23"/>
        <v>60.517874999999968</v>
      </c>
      <c r="AW24" s="301">
        <f t="shared" si="24"/>
        <v>3.5598749999999981</v>
      </c>
      <c r="AX24" s="302">
        <f t="shared" ca="1" si="25"/>
        <v>17</v>
      </c>
      <c r="AY24" s="299">
        <f t="shared" ca="1" si="26"/>
        <v>487.70287499999989</v>
      </c>
      <c r="AZ24" s="299">
        <f t="shared" si="27"/>
        <v>388.34999999999997</v>
      </c>
      <c r="BA24" s="299">
        <f t="shared" si="28"/>
        <v>38.835000000000001</v>
      </c>
      <c r="BB24" s="299">
        <f t="shared" ca="1" si="29"/>
        <v>32.038874999999983</v>
      </c>
      <c r="BC24" s="301">
        <f t="shared" si="30"/>
        <v>3.5598749999999981</v>
      </c>
      <c r="BD24" s="302">
        <f t="shared" ca="1" si="31"/>
        <v>9</v>
      </c>
      <c r="BE24" s="299">
        <f t="shared" ca="1" si="32"/>
        <v>459.22387499999991</v>
      </c>
      <c r="BF24" s="299">
        <f t="shared" si="33"/>
        <v>388.34999999999997</v>
      </c>
      <c r="BG24" s="299">
        <f t="shared" si="34"/>
        <v>38.835000000000001</v>
      </c>
      <c r="BH24" s="299">
        <f t="shared" ca="1" si="35"/>
        <v>17.799374999999991</v>
      </c>
      <c r="BI24" s="301">
        <f t="shared" si="36"/>
        <v>3.5598749999999981</v>
      </c>
      <c r="BJ24" s="302">
        <f t="shared" ca="1" si="37"/>
        <v>5</v>
      </c>
      <c r="BK24" s="299">
        <f t="shared" ca="1" si="38"/>
        <v>444.98437499999994</v>
      </c>
      <c r="BL24" s="299">
        <f t="shared" si="39"/>
        <v>1569.4399999999998</v>
      </c>
      <c r="BM24" s="299">
        <f t="shared" si="40"/>
        <v>156.94400000000002</v>
      </c>
      <c r="BN24" s="299">
        <f t="shared" ca="1" si="41"/>
        <v>196.49721666666656</v>
      </c>
      <c r="BO24" s="303">
        <f t="shared" ca="1" si="50"/>
        <v>1922.8812166666664</v>
      </c>
      <c r="BP24" s="304" t="s">
        <v>5914</v>
      </c>
      <c r="BQ24" s="302">
        <v>2.0699999999999998</v>
      </c>
      <c r="BR24" s="299">
        <v>25400</v>
      </c>
      <c r="BS24" s="299">
        <v>69000</v>
      </c>
      <c r="BT24" s="299">
        <f t="shared" si="43"/>
        <v>94400</v>
      </c>
      <c r="BU24" s="299">
        <v>41400</v>
      </c>
      <c r="BV24" s="299">
        <v>131200</v>
      </c>
      <c r="BW24" s="299">
        <f t="shared" si="44"/>
        <v>172600</v>
      </c>
      <c r="FV24" s="299"/>
      <c r="FW24" s="312"/>
    </row>
    <row r="25" spans="1:185">
      <c r="A25" s="296">
        <v>102025015</v>
      </c>
      <c r="B25" s="297" t="s">
        <v>6016</v>
      </c>
      <c r="C25" s="295" t="s">
        <v>554</v>
      </c>
      <c r="D25" s="295" t="s">
        <v>6015</v>
      </c>
      <c r="E25" s="295" t="s">
        <v>2058</v>
      </c>
      <c r="F25" s="295" t="s">
        <v>537</v>
      </c>
      <c r="H25" s="295" t="s">
        <v>6015</v>
      </c>
      <c r="I25" s="295" t="s">
        <v>5208</v>
      </c>
      <c r="L25" s="306" t="s">
        <v>6086</v>
      </c>
      <c r="M25" s="297" t="s">
        <v>5961</v>
      </c>
      <c r="O25" s="297" t="s">
        <v>6085</v>
      </c>
      <c r="P25" s="297" t="s">
        <v>349</v>
      </c>
      <c r="Q25" s="297" t="s">
        <v>260</v>
      </c>
      <c r="V25" s="299">
        <v>0</v>
      </c>
      <c r="W25" s="299">
        <f t="shared" si="46"/>
        <v>0</v>
      </c>
      <c r="X25" s="299">
        <f t="shared" ca="1" si="0"/>
        <v>0</v>
      </c>
      <c r="Y25" s="301">
        <f t="shared" si="1"/>
        <v>0</v>
      </c>
      <c r="Z25" s="302">
        <f t="shared" ca="1" si="2"/>
        <v>41</v>
      </c>
      <c r="AA25" s="299">
        <f t="shared" ca="1" si="3"/>
        <v>0</v>
      </c>
      <c r="AB25" s="299">
        <f>SUM(BT25*0.0052)/2</f>
        <v>355.41999999999996</v>
      </c>
      <c r="AC25" s="299">
        <f t="shared" si="4"/>
        <v>35.541999999999994</v>
      </c>
      <c r="AD25" s="299">
        <f t="shared" ca="1" si="5"/>
        <v>107.51454999999993</v>
      </c>
      <c r="AE25" s="301">
        <f t="shared" si="6"/>
        <v>3.2580166666666646</v>
      </c>
      <c r="AF25" s="302">
        <f t="shared" ca="1" si="7"/>
        <v>33</v>
      </c>
      <c r="AG25" s="302">
        <f t="shared" ca="1" si="8"/>
        <v>498.47654999999986</v>
      </c>
      <c r="AH25" s="299">
        <f>SUM(BT25*0.0052)/2</f>
        <v>355.41999999999996</v>
      </c>
      <c r="AI25" s="299">
        <f t="shared" si="10"/>
        <v>35.541999999999994</v>
      </c>
      <c r="AJ25" s="299">
        <f t="shared" ca="1" si="11"/>
        <v>94.482483333333278</v>
      </c>
      <c r="AK25" s="301">
        <f t="shared" si="12"/>
        <v>3.2580166666666646</v>
      </c>
      <c r="AL25" s="302">
        <f t="shared" ca="1" si="13"/>
        <v>29</v>
      </c>
      <c r="AM25" s="299">
        <f t="shared" ca="1" si="14"/>
        <v>485.44448333333321</v>
      </c>
      <c r="AN25" s="299">
        <f t="shared" si="48"/>
        <v>339.97499999999997</v>
      </c>
      <c r="AO25" s="299">
        <f t="shared" si="16"/>
        <v>33.997499999999995</v>
      </c>
      <c r="AP25" s="299">
        <f t="shared" ca="1" si="17"/>
        <v>71.678062499999953</v>
      </c>
      <c r="AQ25" s="301">
        <f t="shared" si="18"/>
        <v>3.1164374999999982</v>
      </c>
      <c r="AR25" s="302">
        <f t="shared" ca="1" si="19"/>
        <v>23</v>
      </c>
      <c r="AS25" s="299">
        <f t="shared" ca="1" si="20"/>
        <v>445.65056249999992</v>
      </c>
      <c r="AT25" s="299">
        <f t="shared" si="21"/>
        <v>339.97499999999997</v>
      </c>
      <c r="AU25" s="299">
        <f t="shared" si="22"/>
        <v>33.997499999999995</v>
      </c>
      <c r="AV25" s="299">
        <f t="shared" ca="1" si="23"/>
        <v>52.979437499999968</v>
      </c>
      <c r="AW25" s="301">
        <f t="shared" si="24"/>
        <v>3.1164374999999982</v>
      </c>
      <c r="AX25" s="302">
        <f t="shared" ca="1" si="25"/>
        <v>17</v>
      </c>
      <c r="AY25" s="299">
        <f t="shared" ca="1" si="26"/>
        <v>426.95193749999993</v>
      </c>
      <c r="AZ25" s="299">
        <f t="shared" si="27"/>
        <v>339.97499999999997</v>
      </c>
      <c r="BA25" s="299">
        <f t="shared" si="28"/>
        <v>33.997499999999995</v>
      </c>
      <c r="BB25" s="299">
        <f t="shared" ca="1" si="29"/>
        <v>28.047937499999982</v>
      </c>
      <c r="BC25" s="301">
        <f t="shared" si="30"/>
        <v>3.1164374999999982</v>
      </c>
      <c r="BD25" s="302">
        <f t="shared" ca="1" si="31"/>
        <v>9</v>
      </c>
      <c r="BE25" s="299">
        <f t="shared" ca="1" si="32"/>
        <v>402.02043749999996</v>
      </c>
      <c r="BF25" s="299">
        <f t="shared" si="33"/>
        <v>339.97499999999997</v>
      </c>
      <c r="BG25" s="299">
        <f t="shared" si="34"/>
        <v>33.997499999999995</v>
      </c>
      <c r="BH25" s="299">
        <f t="shared" ca="1" si="35"/>
        <v>15.582187499999991</v>
      </c>
      <c r="BI25" s="301">
        <f t="shared" si="36"/>
        <v>3.1164374999999982</v>
      </c>
      <c r="BJ25" s="302">
        <f t="shared" ca="1" si="37"/>
        <v>5</v>
      </c>
      <c r="BK25" s="299">
        <f t="shared" ca="1" si="38"/>
        <v>389.55468749999994</v>
      </c>
      <c r="BL25" s="299">
        <f t="shared" si="39"/>
        <v>2070.7399999999998</v>
      </c>
      <c r="BM25" s="299">
        <f t="shared" si="40"/>
        <v>207.07399999999998</v>
      </c>
      <c r="BN25" s="299">
        <f t="shared" ca="1" si="41"/>
        <v>370.28465833333308</v>
      </c>
      <c r="BO25" s="303">
        <f t="shared" ca="1" si="50"/>
        <v>2648.0986583333329</v>
      </c>
      <c r="BP25" s="304" t="s">
        <v>5914</v>
      </c>
      <c r="BQ25" s="302">
        <f>0.12*5</f>
        <v>0.6</v>
      </c>
      <c r="BR25" s="299">
        <f>21300+1000*4</f>
        <v>25300</v>
      </c>
      <c r="BS25" s="299">
        <v>111400</v>
      </c>
      <c r="BT25" s="299">
        <f t="shared" si="43"/>
        <v>136700</v>
      </c>
      <c r="BU25" s="299">
        <f>29800+1000*4</f>
        <v>33800</v>
      </c>
      <c r="BV25" s="299">
        <v>117300</v>
      </c>
      <c r="BW25" s="299">
        <f t="shared" si="44"/>
        <v>151100</v>
      </c>
    </row>
    <row r="26" spans="1:185">
      <c r="A26" s="296">
        <v>102025016</v>
      </c>
      <c r="B26" s="297" t="s">
        <v>6017</v>
      </c>
      <c r="C26" s="295" t="s">
        <v>554</v>
      </c>
      <c r="D26" s="295" t="s">
        <v>6015</v>
      </c>
      <c r="E26" s="295" t="s">
        <v>2058</v>
      </c>
      <c r="F26" s="295" t="s">
        <v>537</v>
      </c>
      <c r="H26" s="295" t="s">
        <v>6015</v>
      </c>
      <c r="I26" s="295" t="s">
        <v>5208</v>
      </c>
      <c r="L26" s="306" t="s">
        <v>328</v>
      </c>
      <c r="M26" s="297" t="s">
        <v>5961</v>
      </c>
      <c r="O26" s="297" t="s">
        <v>6085</v>
      </c>
      <c r="P26" s="297" t="s">
        <v>349</v>
      </c>
      <c r="V26" s="299">
        <v>0</v>
      </c>
      <c r="W26" s="299">
        <f t="shared" si="46"/>
        <v>0</v>
      </c>
      <c r="X26" s="299">
        <f t="shared" ca="1" si="0"/>
        <v>0</v>
      </c>
      <c r="Y26" s="301">
        <f t="shared" si="1"/>
        <v>0</v>
      </c>
      <c r="Z26" s="302">
        <f t="shared" ca="1" si="2"/>
        <v>41</v>
      </c>
      <c r="AA26" s="299">
        <f t="shared" ca="1" si="3"/>
        <v>0</v>
      </c>
      <c r="AB26" s="299">
        <f>SUM(BT26*0.0052)/2</f>
        <v>59.279999999999994</v>
      </c>
      <c r="AC26" s="299">
        <f t="shared" si="4"/>
        <v>5.9279999999999999</v>
      </c>
      <c r="AD26" s="299">
        <f t="shared" ca="1" si="5"/>
        <v>17.932199999999991</v>
      </c>
      <c r="AE26" s="301">
        <f t="shared" si="6"/>
        <v>0.54339999999999977</v>
      </c>
      <c r="AF26" s="302">
        <f t="shared" ca="1" si="7"/>
        <v>33</v>
      </c>
      <c r="AG26" s="302">
        <f t="shared" ca="1" si="8"/>
        <v>83.140199999999993</v>
      </c>
      <c r="AH26" s="299">
        <f>SUM(BT26*0.0052)/2</f>
        <v>59.279999999999994</v>
      </c>
      <c r="AI26" s="299">
        <f t="shared" si="10"/>
        <v>5.9279999999999999</v>
      </c>
      <c r="AJ26" s="299">
        <f t="shared" ca="1" si="11"/>
        <v>15.758599999999994</v>
      </c>
      <c r="AK26" s="301">
        <f t="shared" si="12"/>
        <v>0.54339999999999977</v>
      </c>
      <c r="AL26" s="302">
        <f t="shared" ca="1" si="13"/>
        <v>29</v>
      </c>
      <c r="AM26" s="299">
        <f t="shared" ca="1" si="14"/>
        <v>80.9666</v>
      </c>
      <c r="AN26" s="299">
        <f t="shared" si="48"/>
        <v>68.174999999999997</v>
      </c>
      <c r="AO26" s="299">
        <f t="shared" si="16"/>
        <v>6.8174999999999999</v>
      </c>
      <c r="AP26" s="299">
        <f t="shared" ca="1" si="17"/>
        <v>14.373562499999993</v>
      </c>
      <c r="AQ26" s="301">
        <f t="shared" si="18"/>
        <v>0.6249374999999997</v>
      </c>
      <c r="AR26" s="302">
        <f t="shared" ca="1" si="19"/>
        <v>23</v>
      </c>
      <c r="AS26" s="299">
        <f t="shared" ca="1" si="20"/>
        <v>89.366062499999984</v>
      </c>
      <c r="AT26" s="299">
        <f t="shared" si="21"/>
        <v>68.174999999999997</v>
      </c>
      <c r="AU26" s="299">
        <f t="shared" si="22"/>
        <v>6.8174999999999999</v>
      </c>
      <c r="AV26" s="299">
        <f t="shared" ca="1" si="23"/>
        <v>10.623937499999995</v>
      </c>
      <c r="AW26" s="301">
        <f t="shared" si="24"/>
        <v>0.6249374999999997</v>
      </c>
      <c r="AX26" s="302">
        <f t="shared" ca="1" si="25"/>
        <v>17</v>
      </c>
      <c r="AY26" s="299">
        <f t="shared" ca="1" si="26"/>
        <v>85.616437499999989</v>
      </c>
      <c r="AZ26" s="299">
        <f t="shared" si="27"/>
        <v>68.174999999999997</v>
      </c>
      <c r="BA26" s="299">
        <f t="shared" si="28"/>
        <v>6.8174999999999999</v>
      </c>
      <c r="BB26" s="299">
        <f t="shared" ca="1" si="29"/>
        <v>5.6244374999999973</v>
      </c>
      <c r="BC26" s="301">
        <f t="shared" si="30"/>
        <v>0.6249374999999997</v>
      </c>
      <c r="BD26" s="302">
        <f t="shared" ca="1" si="31"/>
        <v>9</v>
      </c>
      <c r="BE26" s="299">
        <f t="shared" ca="1" si="32"/>
        <v>80.616937499999992</v>
      </c>
      <c r="BF26" s="299">
        <f t="shared" si="33"/>
        <v>68.174999999999997</v>
      </c>
      <c r="BG26" s="299">
        <f t="shared" si="34"/>
        <v>6.8174999999999999</v>
      </c>
      <c r="BH26" s="299">
        <f t="shared" ca="1" si="35"/>
        <v>3.1246874999999985</v>
      </c>
      <c r="BI26" s="301">
        <f t="shared" si="36"/>
        <v>0.6249374999999997</v>
      </c>
      <c r="BJ26" s="302">
        <f t="shared" ca="1" si="37"/>
        <v>5</v>
      </c>
      <c r="BK26" s="299">
        <f t="shared" ca="1" si="38"/>
        <v>78.117187499999986</v>
      </c>
      <c r="BL26" s="299">
        <f t="shared" si="39"/>
        <v>391.26</v>
      </c>
      <c r="BM26" s="299">
        <f t="shared" si="40"/>
        <v>39.126000000000005</v>
      </c>
      <c r="BN26" s="299">
        <f t="shared" ca="1" si="41"/>
        <v>67.437424999999962</v>
      </c>
      <c r="BO26" s="303">
        <f t="shared" ca="1" si="50"/>
        <v>497.82342499999993</v>
      </c>
      <c r="BP26" s="304" t="s">
        <v>5914</v>
      </c>
      <c r="BQ26" s="302">
        <f>0.12*5</f>
        <v>0.6</v>
      </c>
      <c r="BR26" s="299">
        <f>1000*4+18800</f>
        <v>22800</v>
      </c>
      <c r="BS26" s="299">
        <v>0</v>
      </c>
      <c r="BT26" s="299">
        <f t="shared" si="43"/>
        <v>22800</v>
      </c>
      <c r="BU26" s="299">
        <f>1000*4+26300</f>
        <v>30300</v>
      </c>
      <c r="BV26" s="299">
        <v>0</v>
      </c>
      <c r="BW26" s="299">
        <f t="shared" si="44"/>
        <v>30300</v>
      </c>
    </row>
    <row r="27" spans="1:185">
      <c r="A27" s="296">
        <v>102025017</v>
      </c>
      <c r="B27" s="297" t="s">
        <v>6019</v>
      </c>
      <c r="C27" s="295" t="s">
        <v>253</v>
      </c>
      <c r="D27" s="295" t="s">
        <v>6018</v>
      </c>
      <c r="E27" s="295" t="s">
        <v>4052</v>
      </c>
      <c r="F27" s="295" t="s">
        <v>392</v>
      </c>
      <c r="O27" s="297" t="s">
        <v>6087</v>
      </c>
      <c r="P27" s="297" t="s">
        <v>386</v>
      </c>
      <c r="Q27" s="297" t="s">
        <v>260</v>
      </c>
      <c r="V27" s="299">
        <v>0</v>
      </c>
      <c r="W27" s="299">
        <f t="shared" si="46"/>
        <v>0</v>
      </c>
      <c r="X27" s="299">
        <f t="shared" ca="1" si="0"/>
        <v>0</v>
      </c>
      <c r="Y27" s="301">
        <f t="shared" si="1"/>
        <v>0</v>
      </c>
      <c r="Z27" s="302">
        <f t="shared" ca="1" si="2"/>
        <v>41</v>
      </c>
      <c r="AA27" s="299">
        <f t="shared" ca="1" si="3"/>
        <v>0</v>
      </c>
      <c r="AB27" s="299">
        <f>SUM(BT27*0.0052)/2</f>
        <v>345.8</v>
      </c>
      <c r="AC27" s="299">
        <f t="shared" si="4"/>
        <v>34.580000000000005</v>
      </c>
      <c r="AD27" s="299">
        <f t="shared" ca="1" si="5"/>
        <v>104.60449999999994</v>
      </c>
      <c r="AE27" s="301">
        <f t="shared" si="6"/>
        <v>3.1698333333333317</v>
      </c>
      <c r="AF27" s="302">
        <f t="shared" ca="1" si="7"/>
        <v>33</v>
      </c>
      <c r="AG27" s="302">
        <f t="shared" ca="1" si="8"/>
        <v>484.98449999999991</v>
      </c>
      <c r="AH27" s="299">
        <f>SUM(BT27*0.0052)/2</f>
        <v>345.8</v>
      </c>
      <c r="AI27" s="299">
        <f t="shared" si="10"/>
        <v>34.580000000000005</v>
      </c>
      <c r="AJ27" s="299">
        <f t="shared" ca="1" si="11"/>
        <v>91.925166666666627</v>
      </c>
      <c r="AK27" s="301">
        <f t="shared" si="12"/>
        <v>3.1698333333333317</v>
      </c>
      <c r="AL27" s="302">
        <f t="shared" ca="1" si="13"/>
        <v>29</v>
      </c>
      <c r="AM27" s="299">
        <f t="shared" ca="1" si="14"/>
        <v>472.30516666666665</v>
      </c>
      <c r="AN27" s="299">
        <f t="shared" si="48"/>
        <v>456.29999999999995</v>
      </c>
      <c r="AO27" s="299">
        <f t="shared" si="16"/>
        <v>45.629999999999995</v>
      </c>
      <c r="AP27" s="299">
        <f t="shared" ca="1" si="17"/>
        <v>96.203249999999954</v>
      </c>
      <c r="AQ27" s="301">
        <f t="shared" si="18"/>
        <v>4.1827499999999977</v>
      </c>
      <c r="AR27" s="302">
        <f t="shared" ca="1" si="19"/>
        <v>23</v>
      </c>
      <c r="AS27" s="299">
        <f t="shared" ca="1" si="20"/>
        <v>598.13324999999986</v>
      </c>
      <c r="AT27" s="299">
        <f t="shared" si="21"/>
        <v>456.29999999999995</v>
      </c>
      <c r="AU27" s="299">
        <f t="shared" si="22"/>
        <v>45.629999999999995</v>
      </c>
      <c r="AV27" s="299">
        <f t="shared" ca="1" si="23"/>
        <v>71.106749999999963</v>
      </c>
      <c r="AW27" s="301">
        <f t="shared" si="24"/>
        <v>4.1827499999999977</v>
      </c>
      <c r="AX27" s="302">
        <f t="shared" ca="1" si="25"/>
        <v>17</v>
      </c>
      <c r="AY27" s="299">
        <f t="shared" ca="1" si="26"/>
        <v>573.03674999999987</v>
      </c>
      <c r="AZ27" s="299">
        <f t="shared" si="27"/>
        <v>456.29999999999995</v>
      </c>
      <c r="BA27" s="299">
        <f t="shared" si="28"/>
        <v>45.629999999999995</v>
      </c>
      <c r="BB27" s="299">
        <f t="shared" ca="1" si="29"/>
        <v>37.644749999999981</v>
      </c>
      <c r="BC27" s="301">
        <f t="shared" si="30"/>
        <v>4.1827499999999977</v>
      </c>
      <c r="BD27" s="302">
        <f t="shared" ca="1" si="31"/>
        <v>9</v>
      </c>
      <c r="BE27" s="299">
        <f t="shared" ca="1" si="32"/>
        <v>539.57474999999988</v>
      </c>
      <c r="BF27" s="299">
        <f t="shared" si="33"/>
        <v>456.29999999999995</v>
      </c>
      <c r="BG27" s="299">
        <f t="shared" si="34"/>
        <v>45.629999999999995</v>
      </c>
      <c r="BH27" s="299">
        <f t="shared" ca="1" si="35"/>
        <v>20.91374999999999</v>
      </c>
      <c r="BI27" s="301">
        <f t="shared" si="36"/>
        <v>4.1827499999999977</v>
      </c>
      <c r="BJ27" s="302">
        <f t="shared" ca="1" si="37"/>
        <v>5</v>
      </c>
      <c r="BK27" s="299">
        <f t="shared" ca="1" si="38"/>
        <v>522.84374999999989</v>
      </c>
      <c r="BL27" s="299">
        <f t="shared" si="39"/>
        <v>2516.8000000000002</v>
      </c>
      <c r="BM27" s="299">
        <f t="shared" si="40"/>
        <v>251.68</v>
      </c>
      <c r="BN27" s="299">
        <f t="shared" ca="1" si="41"/>
        <v>422.3981666666665</v>
      </c>
      <c r="BO27" s="303">
        <f t="shared" ca="1" si="50"/>
        <v>3190.8781666666664</v>
      </c>
      <c r="BP27" s="304" t="s">
        <v>5914</v>
      </c>
      <c r="BQ27" s="302">
        <f>0.11+0.12+0.12+0.15+0.13</f>
        <v>0.63</v>
      </c>
      <c r="BR27" s="299">
        <f>1000*4+10000</f>
        <v>14000</v>
      </c>
      <c r="BS27" s="299">
        <v>119000</v>
      </c>
      <c r="BT27" s="299">
        <f t="shared" si="43"/>
        <v>133000</v>
      </c>
      <c r="BU27" s="299">
        <f>1000*4+10000</f>
        <v>14000</v>
      </c>
      <c r="BV27" s="299">
        <v>188800</v>
      </c>
      <c r="BW27" s="299">
        <f t="shared" si="44"/>
        <v>202800</v>
      </c>
    </row>
    <row r="28" spans="1:185">
      <c r="A28" s="296">
        <v>102025018</v>
      </c>
      <c r="B28" s="297" t="s">
        <v>6021</v>
      </c>
      <c r="C28" s="295" t="s">
        <v>434</v>
      </c>
      <c r="D28" s="295" t="s">
        <v>6023</v>
      </c>
      <c r="E28" s="295" t="s">
        <v>657</v>
      </c>
      <c r="F28" s="295" t="s">
        <v>469</v>
      </c>
      <c r="H28" s="295" t="s">
        <v>695</v>
      </c>
      <c r="I28" s="295" t="s">
        <v>6022</v>
      </c>
      <c r="J28" s="295" t="s">
        <v>537</v>
      </c>
      <c r="O28" s="297" t="s">
        <v>6088</v>
      </c>
      <c r="P28" s="297" t="s">
        <v>386</v>
      </c>
      <c r="Q28" s="297" t="s">
        <v>260</v>
      </c>
      <c r="V28" s="299">
        <v>0</v>
      </c>
      <c r="W28" s="299">
        <f t="shared" si="46"/>
        <v>0</v>
      </c>
      <c r="X28" s="299">
        <f t="shared" ca="1" si="0"/>
        <v>0</v>
      </c>
      <c r="Y28" s="301">
        <f t="shared" si="1"/>
        <v>0</v>
      </c>
      <c r="Z28" s="302">
        <f t="shared" ca="1" si="2"/>
        <v>41</v>
      </c>
      <c r="AA28" s="299">
        <f t="shared" ca="1" si="3"/>
        <v>0</v>
      </c>
      <c r="AB28" s="299">
        <f>SUM(BT28*0.0052)/2</f>
        <v>400.91999999999996</v>
      </c>
      <c r="AC28" s="299">
        <f t="shared" si="4"/>
        <v>40.091999999999999</v>
      </c>
      <c r="AD28" s="299">
        <f t="shared" ca="1" si="5"/>
        <v>121.27829999999993</v>
      </c>
      <c r="AE28" s="301">
        <f t="shared" si="6"/>
        <v>3.6750999999999978</v>
      </c>
      <c r="AF28" s="302">
        <f t="shared" ca="1" si="7"/>
        <v>33</v>
      </c>
      <c r="AG28" s="302">
        <f t="shared" ca="1" si="8"/>
        <v>562.29029999999989</v>
      </c>
      <c r="AH28" s="299">
        <f>SUM(BT28*0.0052)/2</f>
        <v>400.91999999999996</v>
      </c>
      <c r="AI28" s="299">
        <f t="shared" si="10"/>
        <v>40.091999999999999</v>
      </c>
      <c r="AJ28" s="299">
        <f t="shared" ca="1" si="11"/>
        <v>106.57789999999994</v>
      </c>
      <c r="AK28" s="301">
        <f t="shared" si="12"/>
        <v>3.6750999999999978</v>
      </c>
      <c r="AL28" s="302">
        <f t="shared" ca="1" si="13"/>
        <v>29</v>
      </c>
      <c r="AM28" s="299">
        <f t="shared" ca="1" si="14"/>
        <v>547.58989999999994</v>
      </c>
      <c r="AN28" s="299">
        <f t="shared" si="48"/>
        <v>471.15</v>
      </c>
      <c r="AO28" s="299">
        <f t="shared" si="16"/>
        <v>47.115000000000002</v>
      </c>
      <c r="AP28" s="299">
        <f t="shared" ca="1" si="17"/>
        <v>99.334124999999972</v>
      </c>
      <c r="AQ28" s="301">
        <f t="shared" si="18"/>
        <v>4.3188749999999985</v>
      </c>
      <c r="AR28" s="302">
        <f t="shared" ca="1" si="19"/>
        <v>23</v>
      </c>
      <c r="AS28" s="299">
        <f t="shared" ca="1" si="20"/>
        <v>617.59912499999996</v>
      </c>
      <c r="AT28" s="299">
        <f t="shared" si="21"/>
        <v>471.15</v>
      </c>
      <c r="AU28" s="299">
        <f t="shared" si="22"/>
        <v>47.115000000000002</v>
      </c>
      <c r="AV28" s="299">
        <f t="shared" ca="1" si="23"/>
        <v>73.420874999999967</v>
      </c>
      <c r="AW28" s="301">
        <f t="shared" si="24"/>
        <v>4.3188749999999985</v>
      </c>
      <c r="AX28" s="302">
        <f t="shared" ca="1" si="25"/>
        <v>17</v>
      </c>
      <c r="AY28" s="299">
        <f t="shared" ca="1" si="26"/>
        <v>591.6858749999999</v>
      </c>
      <c r="AZ28" s="299">
        <f t="shared" si="27"/>
        <v>471.15</v>
      </c>
      <c r="BA28" s="299">
        <f t="shared" si="28"/>
        <v>47.115000000000002</v>
      </c>
      <c r="BB28" s="299">
        <f t="shared" ca="1" si="29"/>
        <v>38.869874999999986</v>
      </c>
      <c r="BC28" s="301">
        <f t="shared" si="30"/>
        <v>4.3188749999999985</v>
      </c>
      <c r="BD28" s="302">
        <f t="shared" ca="1" si="31"/>
        <v>9</v>
      </c>
      <c r="BE28" s="299">
        <f t="shared" ca="1" si="32"/>
        <v>557.13487499999997</v>
      </c>
      <c r="BF28" s="299">
        <f t="shared" si="33"/>
        <v>471.15</v>
      </c>
      <c r="BG28" s="299">
        <f t="shared" si="34"/>
        <v>47.115000000000002</v>
      </c>
      <c r="BH28" s="299">
        <f t="shared" ca="1" si="35"/>
        <v>21.594374999999992</v>
      </c>
      <c r="BI28" s="301">
        <f t="shared" si="36"/>
        <v>4.3188749999999985</v>
      </c>
      <c r="BJ28" s="302">
        <f t="shared" ca="1" si="37"/>
        <v>5</v>
      </c>
      <c r="BK28" s="299">
        <f t="shared" ca="1" si="38"/>
        <v>539.859375</v>
      </c>
      <c r="BL28" s="299">
        <f t="shared" si="39"/>
        <v>2686.44</v>
      </c>
      <c r="BM28" s="299">
        <f t="shared" si="40"/>
        <v>268.64400000000001</v>
      </c>
      <c r="BN28" s="299">
        <f t="shared" ca="1" si="41"/>
        <v>461.07544999999982</v>
      </c>
      <c r="BO28" s="303">
        <f t="shared" ca="1" si="50"/>
        <v>3416.1594499999997</v>
      </c>
      <c r="BP28" s="304" t="s">
        <v>5914</v>
      </c>
      <c r="BQ28" s="302">
        <v>1.27</v>
      </c>
      <c r="BR28" s="299">
        <v>20000</v>
      </c>
      <c r="BS28" s="299">
        <v>134200</v>
      </c>
      <c r="BT28" s="299">
        <f t="shared" si="43"/>
        <v>154200</v>
      </c>
      <c r="BU28" s="299">
        <v>22000</v>
      </c>
      <c r="BV28" s="299">
        <v>187400</v>
      </c>
      <c r="BW28" s="299">
        <f t="shared" si="44"/>
        <v>209400</v>
      </c>
    </row>
    <row r="29" spans="1:185">
      <c r="A29" s="296">
        <v>102025019</v>
      </c>
      <c r="B29" s="297" t="s">
        <v>6024</v>
      </c>
      <c r="C29" s="295" t="s">
        <v>554</v>
      </c>
      <c r="D29" s="295" t="s">
        <v>6025</v>
      </c>
      <c r="E29" s="295" t="s">
        <v>871</v>
      </c>
      <c r="F29" s="295" t="s">
        <v>396</v>
      </c>
      <c r="H29" s="295" t="s">
        <v>6025</v>
      </c>
      <c r="I29" s="295" t="s">
        <v>6026</v>
      </c>
      <c r="O29" s="297" t="s">
        <v>6089</v>
      </c>
      <c r="P29" s="297" t="s">
        <v>349</v>
      </c>
      <c r="Q29" s="297" t="s">
        <v>260</v>
      </c>
      <c r="V29" s="299">
        <v>0</v>
      </c>
      <c r="W29" s="299">
        <f t="shared" si="46"/>
        <v>0</v>
      </c>
      <c r="X29" s="299">
        <f t="shared" ca="1" si="0"/>
        <v>0</v>
      </c>
      <c r="Y29" s="301">
        <f t="shared" si="1"/>
        <v>0</v>
      </c>
      <c r="Z29" s="302">
        <f t="shared" ca="1" si="2"/>
        <v>41</v>
      </c>
      <c r="AA29" s="299">
        <f t="shared" ca="1" si="3"/>
        <v>0</v>
      </c>
      <c r="AB29" s="299">
        <v>0</v>
      </c>
      <c r="AC29" s="299">
        <f t="shared" si="4"/>
        <v>0</v>
      </c>
      <c r="AD29" s="299">
        <f t="shared" ca="1" si="5"/>
        <v>0</v>
      </c>
      <c r="AE29" s="301">
        <f t="shared" si="6"/>
        <v>0</v>
      </c>
      <c r="AF29" s="302">
        <f t="shared" ca="1" si="7"/>
        <v>33</v>
      </c>
      <c r="AG29" s="302">
        <f t="shared" ca="1" si="8"/>
        <v>0</v>
      </c>
      <c r="AH29" s="299">
        <f>SUM(BT29*0.0052)/2-31.68</f>
        <v>444.38</v>
      </c>
      <c r="AI29" s="299">
        <f t="shared" si="10"/>
        <v>44.438000000000002</v>
      </c>
      <c r="AJ29" s="299">
        <f t="shared" ca="1" si="11"/>
        <v>118.1310166666666</v>
      </c>
      <c r="AK29" s="301">
        <f t="shared" si="12"/>
        <v>4.0734833333333311</v>
      </c>
      <c r="AL29" s="302">
        <f t="shared" ca="1" si="13"/>
        <v>29</v>
      </c>
      <c r="AM29" s="299">
        <f t="shared" ca="1" si="14"/>
        <v>606.94901666666658</v>
      </c>
      <c r="AN29" s="299">
        <f t="shared" si="48"/>
        <v>603.9</v>
      </c>
      <c r="AO29" s="299">
        <f t="shared" si="16"/>
        <v>60.39</v>
      </c>
      <c r="AP29" s="299">
        <f t="shared" ca="1" si="17"/>
        <v>127.32224999999994</v>
      </c>
      <c r="AQ29" s="301">
        <f t="shared" si="18"/>
        <v>5.5357499999999975</v>
      </c>
      <c r="AR29" s="302">
        <f t="shared" ca="1" si="19"/>
        <v>23</v>
      </c>
      <c r="AS29" s="299">
        <f t="shared" ca="1" si="20"/>
        <v>791.6122499999999</v>
      </c>
      <c r="AT29" s="299">
        <f t="shared" si="21"/>
        <v>603.9</v>
      </c>
      <c r="AU29" s="299">
        <f t="shared" si="22"/>
        <v>60.39</v>
      </c>
      <c r="AV29" s="299">
        <f t="shared" ca="1" si="23"/>
        <v>94.107749999999953</v>
      </c>
      <c r="AW29" s="301">
        <f t="shared" si="24"/>
        <v>5.5357499999999975</v>
      </c>
      <c r="AX29" s="302">
        <f t="shared" ca="1" si="25"/>
        <v>17</v>
      </c>
      <c r="AY29" s="299">
        <f t="shared" ca="1" si="26"/>
        <v>758.39774999999986</v>
      </c>
      <c r="AZ29" s="299">
        <f t="shared" si="27"/>
        <v>603.9</v>
      </c>
      <c r="BA29" s="299">
        <f t="shared" si="28"/>
        <v>60.39</v>
      </c>
      <c r="BB29" s="299">
        <f t="shared" ca="1" si="29"/>
        <v>49.82174999999998</v>
      </c>
      <c r="BC29" s="301">
        <f t="shared" si="30"/>
        <v>5.5357499999999975</v>
      </c>
      <c r="BD29" s="302">
        <f t="shared" ca="1" si="31"/>
        <v>9</v>
      </c>
      <c r="BE29" s="299">
        <f t="shared" ca="1" si="32"/>
        <v>714.11174999999992</v>
      </c>
      <c r="BF29" s="299">
        <f t="shared" si="33"/>
        <v>603.9</v>
      </c>
      <c r="BG29" s="299">
        <f t="shared" si="34"/>
        <v>60.39</v>
      </c>
      <c r="BH29" s="299">
        <f t="shared" ca="1" si="35"/>
        <v>27.678749999999987</v>
      </c>
      <c r="BI29" s="301">
        <f t="shared" si="36"/>
        <v>5.5357499999999975</v>
      </c>
      <c r="BJ29" s="302">
        <f t="shared" ca="1" si="37"/>
        <v>5</v>
      </c>
      <c r="BK29" s="299">
        <f t="shared" ca="1" si="38"/>
        <v>691.96875</v>
      </c>
      <c r="BL29" s="299">
        <f t="shared" si="39"/>
        <v>2859.98</v>
      </c>
      <c r="BM29" s="299">
        <f t="shared" si="40"/>
        <v>285.99799999999999</v>
      </c>
      <c r="BN29" s="299">
        <f t="shared" ca="1" si="41"/>
        <v>417.06151666666648</v>
      </c>
      <c r="BO29" s="303">
        <f t="shared" ca="1" si="50"/>
        <v>3563.0395166666667</v>
      </c>
      <c r="BP29" s="304" t="s">
        <v>5914</v>
      </c>
      <c r="BQ29" s="302">
        <v>3.07</v>
      </c>
      <c r="BR29" s="299">
        <v>28400</v>
      </c>
      <c r="BS29" s="299">
        <v>154700</v>
      </c>
      <c r="BT29" s="299">
        <f t="shared" si="43"/>
        <v>183100</v>
      </c>
      <c r="BU29" s="299">
        <v>33700</v>
      </c>
      <c r="BV29" s="299">
        <v>234700</v>
      </c>
      <c r="BW29" s="299">
        <f t="shared" si="44"/>
        <v>268400</v>
      </c>
    </row>
    <row r="30" spans="1:185">
      <c r="A30" s="296">
        <v>102025020</v>
      </c>
      <c r="B30" s="297" t="s">
        <v>6027</v>
      </c>
      <c r="C30" s="295" t="s">
        <v>434</v>
      </c>
      <c r="D30" s="295" t="s">
        <v>762</v>
      </c>
      <c r="E30" s="295" t="s">
        <v>6028</v>
      </c>
      <c r="H30" s="295" t="s">
        <v>1492</v>
      </c>
      <c r="I30" s="295" t="s">
        <v>6029</v>
      </c>
      <c r="O30" s="297" t="s">
        <v>6090</v>
      </c>
      <c r="P30" s="297" t="s">
        <v>386</v>
      </c>
      <c r="Q30" s="297" t="s">
        <v>260</v>
      </c>
      <c r="V30" s="299">
        <v>0</v>
      </c>
      <c r="W30" s="299">
        <f t="shared" si="46"/>
        <v>0</v>
      </c>
      <c r="X30" s="299">
        <f t="shared" ca="1" si="0"/>
        <v>0</v>
      </c>
      <c r="Y30" s="301">
        <f t="shared" si="1"/>
        <v>0</v>
      </c>
      <c r="Z30" s="302">
        <f t="shared" ca="1" si="2"/>
        <v>41</v>
      </c>
      <c r="AA30" s="299">
        <f t="shared" ca="1" si="3"/>
        <v>0</v>
      </c>
      <c r="AB30" s="299">
        <f>SUM(BT30*0.0052)/2-373.6</f>
        <v>131.31999999999994</v>
      </c>
      <c r="AC30" s="299">
        <f t="shared" si="4"/>
        <v>13.131999999999994</v>
      </c>
      <c r="AD30" s="299">
        <f t="shared" ca="1" si="5"/>
        <v>39.724299999999971</v>
      </c>
      <c r="AE30" s="301">
        <f t="shared" si="6"/>
        <v>1.2037666666666658</v>
      </c>
      <c r="AF30" s="302">
        <f t="shared" ca="1" si="7"/>
        <v>33</v>
      </c>
      <c r="AG30" s="302">
        <f t="shared" ca="1" si="8"/>
        <v>184.17629999999991</v>
      </c>
      <c r="AH30" s="299">
        <f>SUM(BT30*0.0052)/2</f>
        <v>504.91999999999996</v>
      </c>
      <c r="AI30" s="299">
        <f t="shared" si="10"/>
        <v>50.491999999999997</v>
      </c>
      <c r="AJ30" s="299">
        <f t="shared" ca="1" si="11"/>
        <v>134.22456666666659</v>
      </c>
      <c r="AK30" s="301">
        <f t="shared" si="12"/>
        <v>4.628433333333331</v>
      </c>
      <c r="AL30" s="302">
        <f t="shared" ca="1" si="13"/>
        <v>29</v>
      </c>
      <c r="AM30" s="299">
        <f t="shared" ca="1" si="14"/>
        <v>689.63656666666657</v>
      </c>
      <c r="AN30" s="299">
        <f t="shared" si="48"/>
        <v>662.84999999999991</v>
      </c>
      <c r="AO30" s="299">
        <f t="shared" si="16"/>
        <v>66.284999999999997</v>
      </c>
      <c r="AP30" s="299">
        <f t="shared" ca="1" si="17"/>
        <v>139.75087499999992</v>
      </c>
      <c r="AQ30" s="301">
        <f t="shared" si="18"/>
        <v>6.0761249999999967</v>
      </c>
      <c r="AR30" s="302">
        <f t="shared" ca="1" si="19"/>
        <v>23</v>
      </c>
      <c r="AS30" s="299">
        <f t="shared" ca="1" si="20"/>
        <v>868.88587499999983</v>
      </c>
      <c r="AT30" s="299">
        <f t="shared" si="21"/>
        <v>662.84999999999991</v>
      </c>
      <c r="AU30" s="299">
        <f t="shared" si="22"/>
        <v>66.284999999999997</v>
      </c>
      <c r="AV30" s="299">
        <f t="shared" ca="1" si="23"/>
        <v>103.29412499999994</v>
      </c>
      <c r="AW30" s="301">
        <f t="shared" si="24"/>
        <v>6.0761249999999967</v>
      </c>
      <c r="AX30" s="302">
        <f t="shared" ca="1" si="25"/>
        <v>17</v>
      </c>
      <c r="AY30" s="299">
        <f t="shared" ca="1" si="26"/>
        <v>832.42912499999977</v>
      </c>
      <c r="AZ30" s="299">
        <f t="shared" si="27"/>
        <v>662.84999999999991</v>
      </c>
      <c r="BA30" s="299">
        <f t="shared" si="28"/>
        <v>66.284999999999997</v>
      </c>
      <c r="BB30" s="299">
        <f t="shared" ca="1" si="29"/>
        <v>54.685124999999971</v>
      </c>
      <c r="BC30" s="301">
        <f t="shared" si="30"/>
        <v>6.0761249999999967</v>
      </c>
      <c r="BD30" s="302">
        <f t="shared" ca="1" si="31"/>
        <v>9</v>
      </c>
      <c r="BE30" s="299">
        <f t="shared" ca="1" si="32"/>
        <v>783.82012499999985</v>
      </c>
      <c r="BF30" s="299">
        <f t="shared" si="33"/>
        <v>662.84999999999991</v>
      </c>
      <c r="BG30" s="299">
        <f t="shared" si="34"/>
        <v>66.284999999999997</v>
      </c>
      <c r="BH30" s="299">
        <f t="shared" ca="1" si="35"/>
        <v>30.380624999999984</v>
      </c>
      <c r="BI30" s="301">
        <f t="shared" si="36"/>
        <v>6.0761249999999967</v>
      </c>
      <c r="BJ30" s="302">
        <f t="shared" ca="1" si="37"/>
        <v>5</v>
      </c>
      <c r="BK30" s="299">
        <f t="shared" ca="1" si="38"/>
        <v>759.51562499999989</v>
      </c>
      <c r="BL30" s="299">
        <f t="shared" si="39"/>
        <v>3287.6399999999994</v>
      </c>
      <c r="BM30" s="299">
        <f t="shared" si="40"/>
        <v>328.76400000000001</v>
      </c>
      <c r="BN30" s="299">
        <f t="shared" ca="1" si="41"/>
        <v>502.05961666666639</v>
      </c>
      <c r="BO30" s="303">
        <f t="shared" ca="1" si="50"/>
        <v>4118.463616666666</v>
      </c>
      <c r="BP30" s="304" t="s">
        <v>5914</v>
      </c>
      <c r="BQ30" s="302">
        <v>1.3</v>
      </c>
      <c r="BR30" s="299">
        <v>17400</v>
      </c>
      <c r="BS30" s="299">
        <v>176800</v>
      </c>
      <c r="BT30" s="299">
        <f t="shared" si="43"/>
        <v>194200</v>
      </c>
      <c r="BU30" s="299">
        <v>21500</v>
      </c>
      <c r="BV30" s="299">
        <v>273100</v>
      </c>
      <c r="BW30" s="299">
        <f t="shared" si="44"/>
        <v>294600</v>
      </c>
    </row>
    <row r="31" spans="1:185" ht="15" customHeight="1">
      <c r="A31" s="296">
        <v>102025021</v>
      </c>
      <c r="B31" s="297" t="s">
        <v>6030</v>
      </c>
      <c r="C31" s="295" t="s">
        <v>554</v>
      </c>
      <c r="D31" s="295" t="s">
        <v>6031</v>
      </c>
      <c r="E31" s="295" t="s">
        <v>1695</v>
      </c>
      <c r="H31" s="295" t="s">
        <v>6031</v>
      </c>
      <c r="I31" s="295" t="s">
        <v>6032</v>
      </c>
      <c r="L31" s="297" t="s">
        <v>6091</v>
      </c>
      <c r="M31" s="297" t="s">
        <v>6092</v>
      </c>
      <c r="N31" s="297" t="s">
        <v>260</v>
      </c>
      <c r="O31" s="297" t="s">
        <v>6093</v>
      </c>
      <c r="P31" s="297" t="s">
        <v>344</v>
      </c>
      <c r="V31" s="299">
        <v>0</v>
      </c>
      <c r="W31" s="299">
        <f t="shared" si="46"/>
        <v>0</v>
      </c>
      <c r="X31" s="299">
        <f t="shared" ca="1" si="0"/>
        <v>0</v>
      </c>
      <c r="Y31" s="301">
        <f t="shared" si="1"/>
        <v>0</v>
      </c>
      <c r="Z31" s="302">
        <f t="shared" ca="1" si="2"/>
        <v>41</v>
      </c>
      <c r="AA31" s="299">
        <f t="shared" ca="1" si="3"/>
        <v>0</v>
      </c>
      <c r="AB31" s="299">
        <v>0</v>
      </c>
      <c r="AC31" s="299">
        <f t="shared" si="4"/>
        <v>0</v>
      </c>
      <c r="AD31" s="299">
        <f t="shared" ca="1" si="5"/>
        <v>0</v>
      </c>
      <c r="AE31" s="301">
        <f t="shared" si="6"/>
        <v>0</v>
      </c>
      <c r="AF31" s="302">
        <f t="shared" ca="1" si="7"/>
        <v>33</v>
      </c>
      <c r="AG31" s="302">
        <f t="shared" ca="1" si="8"/>
        <v>0</v>
      </c>
      <c r="AH31" s="299">
        <f>SUM(BT31*0.0052)/2-149.41</f>
        <v>71.069999999999993</v>
      </c>
      <c r="AI31" s="299">
        <f t="shared" si="10"/>
        <v>7.1069999999999993</v>
      </c>
      <c r="AJ31" s="299">
        <f t="shared" ca="1" si="11"/>
        <v>18.89277499999999</v>
      </c>
      <c r="AK31" s="301">
        <f t="shared" si="12"/>
        <v>0.65147499999999969</v>
      </c>
      <c r="AL31" s="302">
        <f t="shared" ca="1" si="13"/>
        <v>29</v>
      </c>
      <c r="AM31" s="299">
        <f t="shared" ca="1" si="14"/>
        <v>97.069774999999979</v>
      </c>
      <c r="AN31" s="299">
        <f t="shared" si="48"/>
        <v>260.09999999999997</v>
      </c>
      <c r="AO31" s="299">
        <f t="shared" si="16"/>
        <v>26.009999999999998</v>
      </c>
      <c r="AP31" s="299">
        <f t="shared" ca="1" si="17"/>
        <v>54.837749999999964</v>
      </c>
      <c r="AQ31" s="301">
        <f t="shared" si="18"/>
        <v>2.3842499999999984</v>
      </c>
      <c r="AR31" s="302">
        <f t="shared" ca="1" si="19"/>
        <v>23</v>
      </c>
      <c r="AS31" s="299">
        <f t="shared" ca="1" si="20"/>
        <v>340.94774999999993</v>
      </c>
      <c r="AT31" s="299">
        <f t="shared" si="21"/>
        <v>260.09999999999997</v>
      </c>
      <c r="AU31" s="299">
        <f t="shared" si="22"/>
        <v>26.009999999999998</v>
      </c>
      <c r="AV31" s="299">
        <f t="shared" ca="1" si="23"/>
        <v>40.532249999999976</v>
      </c>
      <c r="AW31" s="301">
        <f t="shared" si="24"/>
        <v>2.3842499999999984</v>
      </c>
      <c r="AX31" s="302">
        <f t="shared" ca="1" si="25"/>
        <v>17</v>
      </c>
      <c r="AY31" s="299">
        <f t="shared" ca="1" si="26"/>
        <v>326.64224999999993</v>
      </c>
      <c r="AZ31" s="299">
        <f t="shared" si="27"/>
        <v>260.09999999999997</v>
      </c>
      <c r="BA31" s="299">
        <f t="shared" si="28"/>
        <v>26.009999999999998</v>
      </c>
      <c r="BB31" s="299">
        <f t="shared" ca="1" si="29"/>
        <v>21.458249999999985</v>
      </c>
      <c r="BC31" s="301">
        <f t="shared" si="30"/>
        <v>2.3842499999999984</v>
      </c>
      <c r="BD31" s="302">
        <f t="shared" ca="1" si="31"/>
        <v>9</v>
      </c>
      <c r="BE31" s="299">
        <f t="shared" ca="1" si="32"/>
        <v>307.56824999999992</v>
      </c>
      <c r="BF31" s="299">
        <f t="shared" si="33"/>
        <v>260.09999999999997</v>
      </c>
      <c r="BG31" s="299">
        <f t="shared" si="34"/>
        <v>26.009999999999998</v>
      </c>
      <c r="BH31" s="299">
        <f t="shared" ca="1" si="35"/>
        <v>11.921249999999992</v>
      </c>
      <c r="BI31" s="301">
        <f t="shared" si="36"/>
        <v>2.3842499999999984</v>
      </c>
      <c r="BJ31" s="302">
        <f t="shared" ca="1" si="37"/>
        <v>5</v>
      </c>
      <c r="BK31" s="299">
        <f t="shared" ca="1" si="38"/>
        <v>298.03124999999994</v>
      </c>
      <c r="BL31" s="299">
        <f t="shared" si="39"/>
        <v>1111.4699999999998</v>
      </c>
      <c r="BM31" s="299">
        <f t="shared" si="40"/>
        <v>111.14699999999999</v>
      </c>
      <c r="BN31" s="299">
        <f t="shared" ca="1" si="41"/>
        <v>147.6422749999999</v>
      </c>
      <c r="BO31" s="303">
        <f t="shared" ca="1" si="50"/>
        <v>1370.2592749999997</v>
      </c>
      <c r="BP31" s="304" t="s">
        <v>5914</v>
      </c>
      <c r="BQ31" s="302">
        <v>0.64</v>
      </c>
      <c r="BR31" s="299">
        <v>8300</v>
      </c>
      <c r="BS31" s="299">
        <v>76500</v>
      </c>
      <c r="BT31" s="299">
        <f t="shared" si="43"/>
        <v>84800</v>
      </c>
      <c r="BU31" s="299">
        <v>11500</v>
      </c>
      <c r="BV31" s="299">
        <v>104100</v>
      </c>
      <c r="BW31" s="299">
        <f t="shared" si="44"/>
        <v>115600</v>
      </c>
    </row>
    <row r="32" spans="1:185">
      <c r="A32" s="296">
        <v>102025022</v>
      </c>
      <c r="B32" s="297" t="s">
        <v>6033</v>
      </c>
      <c r="C32" s="295" t="s">
        <v>554</v>
      </c>
      <c r="D32" s="295" t="s">
        <v>6034</v>
      </c>
      <c r="E32" s="295" t="s">
        <v>6035</v>
      </c>
      <c r="F32" s="295" t="s">
        <v>469</v>
      </c>
      <c r="H32" s="295" t="s">
        <v>6034</v>
      </c>
      <c r="I32" s="295" t="s">
        <v>551</v>
      </c>
      <c r="J32" s="295" t="s">
        <v>469</v>
      </c>
      <c r="O32" s="297" t="s">
        <v>6094</v>
      </c>
      <c r="P32" s="297" t="s">
        <v>438</v>
      </c>
      <c r="Q32" s="297" t="s">
        <v>260</v>
      </c>
      <c r="V32" s="299">
        <v>0</v>
      </c>
      <c r="W32" s="299">
        <f t="shared" si="46"/>
        <v>0</v>
      </c>
      <c r="X32" s="299">
        <f t="shared" ca="1" si="0"/>
        <v>0</v>
      </c>
      <c r="Y32" s="301">
        <f t="shared" si="1"/>
        <v>0</v>
      </c>
      <c r="Z32" s="302">
        <f t="shared" ca="1" si="2"/>
        <v>41</v>
      </c>
      <c r="AA32" s="299">
        <f t="shared" ca="1" si="3"/>
        <v>0</v>
      </c>
      <c r="AB32" s="299">
        <v>0</v>
      </c>
      <c r="AC32" s="299">
        <f t="shared" si="4"/>
        <v>0</v>
      </c>
      <c r="AD32" s="299">
        <f t="shared" ca="1" si="5"/>
        <v>0</v>
      </c>
      <c r="AE32" s="301">
        <f t="shared" si="6"/>
        <v>0</v>
      </c>
      <c r="AF32" s="302">
        <f t="shared" ca="1" si="7"/>
        <v>33</v>
      </c>
      <c r="AG32" s="302">
        <f t="shared" ca="1" si="8"/>
        <v>0</v>
      </c>
      <c r="AH32" s="299">
        <f>SUM(BT32*0.0052)/2-168.73</f>
        <v>147.68999999999997</v>
      </c>
      <c r="AI32" s="299">
        <f t="shared" si="10"/>
        <v>14.768999999999998</v>
      </c>
      <c r="AJ32" s="299">
        <f t="shared" ca="1" si="11"/>
        <v>39.260924999999979</v>
      </c>
      <c r="AK32" s="301">
        <f t="shared" si="12"/>
        <v>1.3538249999999992</v>
      </c>
      <c r="AL32" s="302">
        <f t="shared" ca="1" si="13"/>
        <v>29</v>
      </c>
      <c r="AM32" s="299">
        <f t="shared" ca="1" si="14"/>
        <v>201.71992499999996</v>
      </c>
      <c r="AN32" s="299">
        <f t="shared" si="48"/>
        <v>337.72499999999997</v>
      </c>
      <c r="AO32" s="299">
        <f t="shared" si="16"/>
        <v>33.772500000000001</v>
      </c>
      <c r="AP32" s="299">
        <f t="shared" ca="1" si="17"/>
        <v>71.203687499999958</v>
      </c>
      <c r="AQ32" s="301">
        <f t="shared" si="18"/>
        <v>3.0958124999999983</v>
      </c>
      <c r="AR32" s="302">
        <f t="shared" ca="1" si="19"/>
        <v>23</v>
      </c>
      <c r="AS32" s="299">
        <f t="shared" ca="1" si="20"/>
        <v>442.70118749999989</v>
      </c>
      <c r="AT32" s="299">
        <f t="shared" si="21"/>
        <v>337.72499999999997</v>
      </c>
      <c r="AU32" s="299">
        <f t="shared" si="22"/>
        <v>33.772500000000001</v>
      </c>
      <c r="AV32" s="299">
        <f t="shared" ca="1" si="23"/>
        <v>52.628812499999974</v>
      </c>
      <c r="AW32" s="301">
        <f t="shared" si="24"/>
        <v>3.0958124999999983</v>
      </c>
      <c r="AX32" s="302">
        <f t="shared" ca="1" si="25"/>
        <v>17</v>
      </c>
      <c r="AY32" s="299">
        <f t="shared" ca="1" si="26"/>
        <v>424.12631249999993</v>
      </c>
      <c r="AZ32" s="299">
        <f t="shared" si="27"/>
        <v>337.72499999999997</v>
      </c>
      <c r="BA32" s="299">
        <f t="shared" si="28"/>
        <v>33.772500000000001</v>
      </c>
      <c r="BB32" s="299">
        <f t="shared" ca="1" si="29"/>
        <v>27.862312499999984</v>
      </c>
      <c r="BC32" s="301">
        <f t="shared" si="30"/>
        <v>3.0958124999999983</v>
      </c>
      <c r="BD32" s="302">
        <f t="shared" ca="1" si="31"/>
        <v>9</v>
      </c>
      <c r="BE32" s="299">
        <f t="shared" ca="1" si="32"/>
        <v>399.35981249999992</v>
      </c>
      <c r="BF32" s="299">
        <f t="shared" si="33"/>
        <v>337.72499999999997</v>
      </c>
      <c r="BG32" s="299">
        <f t="shared" si="34"/>
        <v>33.772500000000001</v>
      </c>
      <c r="BH32" s="299">
        <f t="shared" ca="1" si="35"/>
        <v>15.479062499999991</v>
      </c>
      <c r="BI32" s="301">
        <f t="shared" si="36"/>
        <v>3.0958124999999983</v>
      </c>
      <c r="BJ32" s="302">
        <f t="shared" ca="1" si="37"/>
        <v>5</v>
      </c>
      <c r="BK32" s="299">
        <f t="shared" ca="1" si="38"/>
        <v>386.97656249999994</v>
      </c>
      <c r="BL32" s="299">
        <f t="shared" si="39"/>
        <v>1498.5899999999997</v>
      </c>
      <c r="BM32" s="299">
        <f t="shared" si="40"/>
        <v>149.85900000000001</v>
      </c>
      <c r="BN32" s="299">
        <f t="shared" ca="1" si="41"/>
        <v>206.43479999999988</v>
      </c>
      <c r="BO32" s="303">
        <f t="shared" ca="1" si="50"/>
        <v>1854.8837999999996</v>
      </c>
      <c r="BP32" s="304" t="s">
        <v>5914</v>
      </c>
      <c r="BQ32" s="302">
        <v>2.2000000000000002</v>
      </c>
      <c r="BR32" s="299">
        <v>20600</v>
      </c>
      <c r="BS32" s="299">
        <v>101100</v>
      </c>
      <c r="BT32" s="299">
        <f t="shared" si="43"/>
        <v>121700</v>
      </c>
      <c r="BU32" s="299">
        <v>22000</v>
      </c>
      <c r="BV32" s="299">
        <v>128100</v>
      </c>
      <c r="BW32" s="299">
        <f t="shared" si="44"/>
        <v>150100</v>
      </c>
    </row>
    <row r="33" spans="1:75" ht="15" customHeight="1">
      <c r="A33" s="296">
        <v>102025023</v>
      </c>
      <c r="B33" s="297" t="s">
        <v>6037</v>
      </c>
      <c r="C33" s="295" t="s">
        <v>434</v>
      </c>
      <c r="D33" s="295" t="s">
        <v>6036</v>
      </c>
      <c r="E33" s="295" t="s">
        <v>1294</v>
      </c>
      <c r="F33" s="295" t="s">
        <v>309</v>
      </c>
      <c r="H33" s="295" t="s">
        <v>3234</v>
      </c>
      <c r="I33" s="295" t="s">
        <v>391</v>
      </c>
      <c r="J33" s="295" t="s">
        <v>426</v>
      </c>
      <c r="O33" s="297" t="s">
        <v>6095</v>
      </c>
      <c r="P33" s="297" t="s">
        <v>259</v>
      </c>
      <c r="Q33" s="297" t="s">
        <v>260</v>
      </c>
      <c r="V33" s="299">
        <v>0</v>
      </c>
      <c r="W33" s="299">
        <f t="shared" si="46"/>
        <v>0</v>
      </c>
      <c r="X33" s="299">
        <f t="shared" ref="X33:X47" ca="1" si="51">SUM(Y33*Z33)</f>
        <v>0</v>
      </c>
      <c r="Y33" s="301">
        <f t="shared" ref="Y33:Y47" si="52">SUM((V33+W33)*0.00833333333333333)</f>
        <v>0</v>
      </c>
      <c r="Z33" s="302">
        <f t="shared" ref="Z33:Z47" ca="1" si="53">MONTH(TODAY())+37</f>
        <v>41</v>
      </c>
      <c r="AA33" s="299">
        <f t="shared" ca="1" si="3"/>
        <v>0</v>
      </c>
      <c r="AB33" s="299">
        <f>SUM(BT33*0.0052)/2</f>
        <v>244.66</v>
      </c>
      <c r="AC33" s="299">
        <f t="shared" ref="AC33:AC47" si="54">SUM(AB33*0.1)</f>
        <v>24.466000000000001</v>
      </c>
      <c r="AD33" s="299">
        <f t="shared" ref="AD33:AD47" ca="1" si="55">SUM(AE33*AF33)</f>
        <v>74.009649999999965</v>
      </c>
      <c r="AE33" s="301">
        <f t="shared" ref="AE33:AE47" si="56">SUM((AB33+AC33)*0.00833333333333333)</f>
        <v>2.2427166666666656</v>
      </c>
      <c r="AF33" s="302">
        <f t="shared" ref="AF33:AF47" ca="1" si="57">MONTH(TODAY())+29</f>
        <v>33</v>
      </c>
      <c r="AG33" s="302">
        <f t="shared" ref="AG33:AG47" ca="1" si="58">SUM(AB33,AC33,AD33)</f>
        <v>343.13564999999994</v>
      </c>
      <c r="AH33" s="299">
        <f t="shared" ref="AH33:AH44" si="59">SUM(BT33*0.0052)/2</f>
        <v>244.66</v>
      </c>
      <c r="AI33" s="299">
        <f t="shared" ref="AI33:AI47" si="60">SUM(AH33*0.1)</f>
        <v>24.466000000000001</v>
      </c>
      <c r="AJ33" s="299">
        <f t="shared" ref="AJ33:AJ47" ca="1" si="61">SUM(AK33*AL33)</f>
        <v>65.038783333333299</v>
      </c>
      <c r="AK33" s="301">
        <f t="shared" ref="AK33:AK47" si="62">SUM((AH33+AI33)*0.00833333333333333)</f>
        <v>2.2427166666666656</v>
      </c>
      <c r="AL33" s="302">
        <f t="shared" ref="AL33:AL47" ca="1" si="63">MONTH(TODAY())+25</f>
        <v>29</v>
      </c>
      <c r="AM33" s="299">
        <f t="shared" ref="AM33:AM47" ca="1" si="64">SUM(AH33,AI33,AJ33)</f>
        <v>334.16478333333328</v>
      </c>
      <c r="AN33" s="299">
        <f t="shared" si="48"/>
        <v>281.47499999999997</v>
      </c>
      <c r="AO33" s="299">
        <f t="shared" ref="AO33:AO47" si="65">SUM(AN33*0.1)</f>
        <v>28.147499999999997</v>
      </c>
      <c r="AP33" s="299">
        <f t="shared" ref="AP33:AP47" ca="1" si="66">SUM(AQ33*AR33)</f>
        <v>59.344312499999958</v>
      </c>
      <c r="AQ33" s="301">
        <f t="shared" ref="AQ33:AQ47" si="67">SUM((AN33+AO33)*0.00833333333333333)</f>
        <v>2.5801874999999983</v>
      </c>
      <c r="AR33" s="302">
        <f t="shared" ref="AR33:AR47" ca="1" si="68">MONTH(TODAY())+19</f>
        <v>23</v>
      </c>
      <c r="AS33" s="299">
        <f t="shared" ref="AS33:AS47" ca="1" si="69">SUM(AN33,AO33,AP33)</f>
        <v>368.96681249999989</v>
      </c>
      <c r="AT33" s="299">
        <f t="shared" si="21"/>
        <v>281.47499999999997</v>
      </c>
      <c r="AU33" s="299">
        <f t="shared" ref="AU33:AU47" si="70">SUM(AT33*0.1)</f>
        <v>28.147499999999997</v>
      </c>
      <c r="AV33" s="299">
        <f t="shared" ref="AV33:AV47" ca="1" si="71">SUM(AW33*AX33)</f>
        <v>43.863187499999974</v>
      </c>
      <c r="AW33" s="301">
        <f t="shared" ref="AW33:AW47" si="72">SUM((AT33+AU33)*0.00833333333333333)</f>
        <v>2.5801874999999983</v>
      </c>
      <c r="AX33" s="302">
        <f t="shared" ref="AX33:AX47" ca="1" si="73">MONTH(TODAY())+13</f>
        <v>17</v>
      </c>
      <c r="AY33" s="299">
        <f t="shared" ref="AY33:AY47" ca="1" si="74">SUM(AT33,AU33,AV33)</f>
        <v>353.48568749999993</v>
      </c>
      <c r="AZ33" s="299">
        <f t="shared" si="27"/>
        <v>281.47499999999997</v>
      </c>
      <c r="BA33" s="299">
        <f t="shared" ref="BA33:BA47" si="75">SUM(AZ33*0.1)</f>
        <v>28.147499999999997</v>
      </c>
      <c r="BB33" s="299">
        <f t="shared" ref="BB33:BB47" ca="1" si="76">SUM(BC33*BD33)</f>
        <v>23.221687499999984</v>
      </c>
      <c r="BC33" s="301">
        <f t="shared" ref="BC33:BC47" si="77">SUM((AZ33+BA33)*0.00833333333333333)</f>
        <v>2.5801874999999983</v>
      </c>
      <c r="BD33" s="302">
        <f t="shared" ref="BD33:BD47" ca="1" si="78">MONTH(TODAY())+5</f>
        <v>9</v>
      </c>
      <c r="BE33" s="299">
        <f t="shared" ref="BE33:BE47" ca="1" si="79">SUM(AZ33,BA33,BB33)</f>
        <v>332.84418749999992</v>
      </c>
      <c r="BF33" s="299">
        <f t="shared" si="33"/>
        <v>281.47499999999997</v>
      </c>
      <c r="BG33" s="299">
        <f t="shared" ref="BG33:BG47" si="80">SUM(BF33*0.1)</f>
        <v>28.147499999999997</v>
      </c>
      <c r="BH33" s="299">
        <f t="shared" ca="1" si="35"/>
        <v>12.900937499999991</v>
      </c>
      <c r="BI33" s="301">
        <f t="shared" ref="BI33:BI47" si="81">SUM((BF33+BG33)*0.00833333333333333)</f>
        <v>2.5801874999999983</v>
      </c>
      <c r="BJ33" s="302">
        <f t="shared" ref="BJ33:BJ47" ca="1" si="82">MONTH(TODAY())+1</f>
        <v>5</v>
      </c>
      <c r="BK33" s="299">
        <f t="shared" ref="BK33:BK47" ca="1" si="83">SUM(BF33,BG33,BH33)</f>
        <v>322.52343749999994</v>
      </c>
      <c r="BL33" s="299">
        <f t="shared" si="39"/>
        <v>1615.2199999999998</v>
      </c>
      <c r="BM33" s="299">
        <f t="shared" si="40"/>
        <v>161.52199999999999</v>
      </c>
      <c r="BN33" s="299">
        <f t="shared" ca="1" si="41"/>
        <v>278.37855833333316</v>
      </c>
      <c r="BO33" s="303">
        <f t="shared" ca="1" si="50"/>
        <v>2055.1205583333331</v>
      </c>
      <c r="BP33" s="304" t="s">
        <v>5914</v>
      </c>
      <c r="BQ33" s="302">
        <v>0.43</v>
      </c>
      <c r="BR33" s="299">
        <v>8400</v>
      </c>
      <c r="BS33" s="299">
        <v>85700</v>
      </c>
      <c r="BT33" s="299">
        <f t="shared" ref="BT33:BT47" si="84">SUM(BR33+BS33)</f>
        <v>94100</v>
      </c>
      <c r="BU33" s="299">
        <v>10000</v>
      </c>
      <c r="BV33" s="299">
        <v>115100</v>
      </c>
      <c r="BW33" s="299">
        <f t="shared" ref="BW33:BW47" si="85">SUM(BU33+BV33)</f>
        <v>125100</v>
      </c>
    </row>
    <row r="34" spans="1:75">
      <c r="A34" s="296">
        <v>102025024</v>
      </c>
      <c r="B34" s="297" t="s">
        <v>6039</v>
      </c>
      <c r="C34" s="295" t="s">
        <v>434</v>
      </c>
      <c r="D34" s="295" t="s">
        <v>6036</v>
      </c>
      <c r="E34" s="295" t="s">
        <v>1294</v>
      </c>
      <c r="F34" s="295" t="s">
        <v>309</v>
      </c>
      <c r="H34" s="295" t="s">
        <v>3234</v>
      </c>
      <c r="I34" s="295" t="s">
        <v>391</v>
      </c>
      <c r="J34" s="295" t="s">
        <v>426</v>
      </c>
      <c r="L34" s="306" t="s">
        <v>328</v>
      </c>
      <c r="M34" s="297" t="s">
        <v>259</v>
      </c>
      <c r="O34" s="297" t="s">
        <v>6095</v>
      </c>
      <c r="P34" s="297" t="s">
        <v>259</v>
      </c>
      <c r="Q34" s="297" t="s">
        <v>260</v>
      </c>
      <c r="V34" s="299">
        <v>0</v>
      </c>
      <c r="W34" s="299">
        <f t="shared" si="46"/>
        <v>0</v>
      </c>
      <c r="X34" s="299">
        <f t="shared" ca="1" si="51"/>
        <v>0</v>
      </c>
      <c r="Y34" s="301">
        <f t="shared" si="52"/>
        <v>0</v>
      </c>
      <c r="Z34" s="302">
        <f t="shared" ca="1" si="53"/>
        <v>41</v>
      </c>
      <c r="AA34" s="299">
        <f t="shared" ca="1" si="3"/>
        <v>0</v>
      </c>
      <c r="AB34" s="299">
        <f>SUM(BT34*0.0052)/2</f>
        <v>18.2</v>
      </c>
      <c r="AC34" s="299">
        <f t="shared" si="54"/>
        <v>1.82</v>
      </c>
      <c r="AD34" s="299">
        <f t="shared" ca="1" si="55"/>
        <v>5.505499999999997</v>
      </c>
      <c r="AE34" s="301">
        <f t="shared" si="56"/>
        <v>0.16683333333333325</v>
      </c>
      <c r="AF34" s="302">
        <f t="shared" ca="1" si="57"/>
        <v>33</v>
      </c>
      <c r="AG34" s="302">
        <f t="shared" ca="1" si="58"/>
        <v>25.525499999999997</v>
      </c>
      <c r="AH34" s="299">
        <f t="shared" si="59"/>
        <v>18.2</v>
      </c>
      <c r="AI34" s="299">
        <f t="shared" si="60"/>
        <v>1.82</v>
      </c>
      <c r="AJ34" s="299">
        <f t="shared" ca="1" si="61"/>
        <v>4.8381666666666643</v>
      </c>
      <c r="AK34" s="301">
        <f t="shared" si="62"/>
        <v>0.16683333333333325</v>
      </c>
      <c r="AL34" s="302">
        <f t="shared" ca="1" si="63"/>
        <v>29</v>
      </c>
      <c r="AM34" s="299">
        <f t="shared" ca="1" si="64"/>
        <v>24.858166666666662</v>
      </c>
      <c r="AN34" s="299">
        <f t="shared" si="48"/>
        <v>26.999999999999996</v>
      </c>
      <c r="AO34" s="299">
        <f t="shared" si="65"/>
        <v>2.6999999999999997</v>
      </c>
      <c r="AP34" s="299">
        <f t="shared" ca="1" si="66"/>
        <v>5.6924999999999963</v>
      </c>
      <c r="AQ34" s="301">
        <f t="shared" si="67"/>
        <v>0.24749999999999986</v>
      </c>
      <c r="AR34" s="302">
        <f t="shared" ca="1" si="68"/>
        <v>23</v>
      </c>
      <c r="AS34" s="299">
        <f t="shared" ca="1" si="69"/>
        <v>35.392499999999991</v>
      </c>
      <c r="AT34" s="299">
        <f t="shared" si="21"/>
        <v>26.999999999999996</v>
      </c>
      <c r="AU34" s="299">
        <f t="shared" si="70"/>
        <v>2.6999999999999997</v>
      </c>
      <c r="AV34" s="299">
        <f t="shared" ca="1" si="71"/>
        <v>4.2074999999999978</v>
      </c>
      <c r="AW34" s="301">
        <f t="shared" si="72"/>
        <v>0.24749999999999986</v>
      </c>
      <c r="AX34" s="302">
        <f t="shared" ca="1" si="73"/>
        <v>17</v>
      </c>
      <c r="AY34" s="299">
        <f t="shared" ca="1" si="74"/>
        <v>33.907499999999992</v>
      </c>
      <c r="AZ34" s="299">
        <f t="shared" si="27"/>
        <v>26.999999999999996</v>
      </c>
      <c r="BA34" s="299">
        <f t="shared" si="75"/>
        <v>2.6999999999999997</v>
      </c>
      <c r="BB34" s="299">
        <f t="shared" ca="1" si="76"/>
        <v>2.2274999999999987</v>
      </c>
      <c r="BC34" s="301">
        <f t="shared" si="77"/>
        <v>0.24749999999999986</v>
      </c>
      <c r="BD34" s="302">
        <f t="shared" ca="1" si="78"/>
        <v>9</v>
      </c>
      <c r="BE34" s="299">
        <f t="shared" ca="1" si="79"/>
        <v>31.927499999999995</v>
      </c>
      <c r="BF34" s="299">
        <f t="shared" si="33"/>
        <v>26.999999999999996</v>
      </c>
      <c r="BG34" s="299">
        <f t="shared" si="80"/>
        <v>2.6999999999999997</v>
      </c>
      <c r="BH34" s="299">
        <f t="shared" ca="1" si="35"/>
        <v>1.2374999999999994</v>
      </c>
      <c r="BI34" s="301">
        <f t="shared" si="81"/>
        <v>0.24749999999999986</v>
      </c>
      <c r="BJ34" s="302">
        <f t="shared" ca="1" si="82"/>
        <v>5</v>
      </c>
      <c r="BK34" s="299">
        <f t="shared" ca="1" si="83"/>
        <v>30.937499999999996</v>
      </c>
      <c r="BL34" s="299">
        <f t="shared" si="39"/>
        <v>144.39999999999998</v>
      </c>
      <c r="BM34" s="299">
        <f t="shared" si="40"/>
        <v>14.439999999999998</v>
      </c>
      <c r="BN34" s="299">
        <f t="shared" ca="1" si="41"/>
        <v>23.708666666666655</v>
      </c>
      <c r="BO34" s="303">
        <f t="shared" ca="1" si="50"/>
        <v>182.54866666666663</v>
      </c>
      <c r="BP34" s="304" t="s">
        <v>5914</v>
      </c>
      <c r="BQ34" s="302">
        <v>2.4700000000000002</v>
      </c>
      <c r="BR34" s="299">
        <v>7000</v>
      </c>
      <c r="BS34" s="299">
        <v>0</v>
      </c>
      <c r="BT34" s="299">
        <f t="shared" si="84"/>
        <v>7000</v>
      </c>
      <c r="BU34" s="299">
        <v>12000</v>
      </c>
      <c r="BV34" s="299">
        <v>0</v>
      </c>
      <c r="BW34" s="299">
        <f t="shared" si="85"/>
        <v>12000</v>
      </c>
    </row>
    <row r="35" spans="1:75">
      <c r="A35" s="296">
        <v>102025025</v>
      </c>
      <c r="B35" s="297" t="s">
        <v>6038</v>
      </c>
      <c r="C35" s="295" t="s">
        <v>434</v>
      </c>
      <c r="D35" s="295" t="s">
        <v>6036</v>
      </c>
      <c r="E35" s="295" t="s">
        <v>1294</v>
      </c>
      <c r="F35" s="295" t="s">
        <v>309</v>
      </c>
      <c r="H35" s="295" t="s">
        <v>3234</v>
      </c>
      <c r="I35" s="295" t="s">
        <v>391</v>
      </c>
      <c r="J35" s="295" t="s">
        <v>426</v>
      </c>
      <c r="O35" s="297" t="s">
        <v>6095</v>
      </c>
      <c r="P35" s="297" t="s">
        <v>259</v>
      </c>
      <c r="Q35" s="297" t="s">
        <v>260</v>
      </c>
      <c r="V35" s="299">
        <v>0</v>
      </c>
      <c r="W35" s="299">
        <f t="shared" si="46"/>
        <v>0</v>
      </c>
      <c r="X35" s="299">
        <f t="shared" ca="1" si="51"/>
        <v>0</v>
      </c>
      <c r="Y35" s="301">
        <f t="shared" si="52"/>
        <v>0</v>
      </c>
      <c r="Z35" s="302">
        <f t="shared" ca="1" si="53"/>
        <v>41</v>
      </c>
      <c r="AA35" s="299">
        <f t="shared" ca="1" si="3"/>
        <v>0</v>
      </c>
      <c r="AB35" s="299">
        <f>SUM(BT35*0.0052)/2</f>
        <v>107.38</v>
      </c>
      <c r="AC35" s="299">
        <f t="shared" si="54"/>
        <v>10.738</v>
      </c>
      <c r="AD35" s="299">
        <f t="shared" ca="1" si="55"/>
        <v>32.482449999999986</v>
      </c>
      <c r="AE35" s="301">
        <f t="shared" si="56"/>
        <v>0.98431666666666617</v>
      </c>
      <c r="AF35" s="302">
        <f t="shared" ca="1" si="57"/>
        <v>33</v>
      </c>
      <c r="AG35" s="302">
        <f t="shared" ca="1" si="58"/>
        <v>150.60044999999997</v>
      </c>
      <c r="AH35" s="299">
        <f t="shared" si="59"/>
        <v>107.38</v>
      </c>
      <c r="AI35" s="299">
        <f t="shared" si="60"/>
        <v>10.738</v>
      </c>
      <c r="AJ35" s="299">
        <f t="shared" ca="1" si="61"/>
        <v>28.54518333333332</v>
      </c>
      <c r="AK35" s="301">
        <f t="shared" si="62"/>
        <v>0.98431666666666617</v>
      </c>
      <c r="AL35" s="302">
        <f t="shared" ca="1" si="63"/>
        <v>29</v>
      </c>
      <c r="AM35" s="299">
        <f t="shared" ca="1" si="64"/>
        <v>146.66318333333331</v>
      </c>
      <c r="AN35" s="299">
        <f t="shared" si="48"/>
        <v>98.999999999999986</v>
      </c>
      <c r="AO35" s="299">
        <f t="shared" si="65"/>
        <v>9.8999999999999986</v>
      </c>
      <c r="AP35" s="299">
        <f t="shared" ca="1" si="66"/>
        <v>20.872499999999988</v>
      </c>
      <c r="AQ35" s="301">
        <f t="shared" si="67"/>
        <v>0.90749999999999942</v>
      </c>
      <c r="AR35" s="302">
        <f t="shared" ca="1" si="68"/>
        <v>23</v>
      </c>
      <c r="AS35" s="299">
        <f t="shared" ca="1" si="69"/>
        <v>129.77249999999998</v>
      </c>
      <c r="AT35" s="299">
        <f t="shared" si="21"/>
        <v>98.999999999999986</v>
      </c>
      <c r="AU35" s="299">
        <f t="shared" si="70"/>
        <v>9.8999999999999986</v>
      </c>
      <c r="AV35" s="299">
        <f t="shared" ca="1" si="71"/>
        <v>15.42749999999999</v>
      </c>
      <c r="AW35" s="301">
        <f t="shared" si="72"/>
        <v>0.90749999999999942</v>
      </c>
      <c r="AX35" s="302">
        <f t="shared" ca="1" si="73"/>
        <v>17</v>
      </c>
      <c r="AY35" s="299">
        <f t="shared" ca="1" si="74"/>
        <v>124.32749999999997</v>
      </c>
      <c r="AZ35" s="299">
        <f t="shared" si="27"/>
        <v>98.999999999999986</v>
      </c>
      <c r="BA35" s="299">
        <f t="shared" si="75"/>
        <v>9.8999999999999986</v>
      </c>
      <c r="BB35" s="299">
        <f t="shared" ca="1" si="76"/>
        <v>8.1674999999999951</v>
      </c>
      <c r="BC35" s="301">
        <f t="shared" si="77"/>
        <v>0.90749999999999942</v>
      </c>
      <c r="BD35" s="302">
        <f t="shared" ca="1" si="78"/>
        <v>9</v>
      </c>
      <c r="BE35" s="299">
        <f t="shared" ca="1" si="79"/>
        <v>117.06749999999997</v>
      </c>
      <c r="BF35" s="299">
        <f t="shared" si="33"/>
        <v>98.999999999999986</v>
      </c>
      <c r="BG35" s="299">
        <f t="shared" si="80"/>
        <v>9.8999999999999986</v>
      </c>
      <c r="BH35" s="299">
        <f t="shared" ca="1" si="35"/>
        <v>4.537499999999997</v>
      </c>
      <c r="BI35" s="301">
        <f t="shared" si="81"/>
        <v>0.90749999999999942</v>
      </c>
      <c r="BJ35" s="302">
        <f t="shared" ca="1" si="82"/>
        <v>5</v>
      </c>
      <c r="BK35" s="299">
        <f t="shared" ca="1" si="83"/>
        <v>113.43749999999997</v>
      </c>
      <c r="BL35" s="299">
        <f t="shared" si="39"/>
        <v>610.76</v>
      </c>
      <c r="BM35" s="299">
        <f t="shared" si="40"/>
        <v>61.075999999999993</v>
      </c>
      <c r="BN35" s="299">
        <f t="shared" ca="1" si="41"/>
        <v>110.03263333333327</v>
      </c>
      <c r="BO35" s="303">
        <f t="shared" ca="1" si="50"/>
        <v>781.86863333333326</v>
      </c>
      <c r="BP35" s="304" t="s">
        <v>5914</v>
      </c>
      <c r="BQ35" s="302">
        <v>7.69</v>
      </c>
      <c r="BR35" s="299">
        <v>35400</v>
      </c>
      <c r="BS35" s="299">
        <v>5900</v>
      </c>
      <c r="BT35" s="299">
        <f t="shared" si="84"/>
        <v>41300</v>
      </c>
      <c r="BU35" s="299">
        <v>38100</v>
      </c>
      <c r="BV35" s="299">
        <v>5900</v>
      </c>
      <c r="BW35" s="299">
        <f t="shared" si="85"/>
        <v>44000</v>
      </c>
    </row>
    <row r="36" spans="1:75">
      <c r="A36" s="296">
        <v>102025026</v>
      </c>
      <c r="B36" s="297" t="s">
        <v>6040</v>
      </c>
      <c r="C36" s="295" t="s">
        <v>253</v>
      </c>
      <c r="D36" s="295" t="s">
        <v>4474</v>
      </c>
      <c r="E36" s="295" t="s">
        <v>3156</v>
      </c>
      <c r="F36" s="295" t="s">
        <v>357</v>
      </c>
      <c r="L36" s="297" t="s">
        <v>6096</v>
      </c>
      <c r="M36" s="297" t="s">
        <v>5920</v>
      </c>
      <c r="N36" s="297" t="s">
        <v>260</v>
      </c>
      <c r="O36" s="297" t="s">
        <v>6097</v>
      </c>
      <c r="P36" s="297" t="s">
        <v>344</v>
      </c>
      <c r="Q36" s="297" t="s">
        <v>260</v>
      </c>
      <c r="V36" s="299">
        <v>0</v>
      </c>
      <c r="W36" s="299">
        <f t="shared" ref="W36:W47" si="86">SUM(V36*0.1)</f>
        <v>0</v>
      </c>
      <c r="X36" s="299">
        <f t="shared" ca="1" si="51"/>
        <v>0</v>
      </c>
      <c r="Y36" s="301">
        <f t="shared" si="52"/>
        <v>0</v>
      </c>
      <c r="Z36" s="302">
        <f t="shared" ca="1" si="53"/>
        <v>41</v>
      </c>
      <c r="AA36" s="299">
        <f t="shared" ca="1" si="3"/>
        <v>0</v>
      </c>
      <c r="AB36" s="299">
        <v>0</v>
      </c>
      <c r="AC36" s="299">
        <f t="shared" si="54"/>
        <v>0</v>
      </c>
      <c r="AD36" s="299">
        <f t="shared" ca="1" si="55"/>
        <v>0</v>
      </c>
      <c r="AE36" s="301">
        <f t="shared" si="56"/>
        <v>0</v>
      </c>
      <c r="AF36" s="302">
        <f t="shared" ca="1" si="57"/>
        <v>33</v>
      </c>
      <c r="AG36" s="302">
        <f t="shared" ca="1" si="58"/>
        <v>0</v>
      </c>
      <c r="AH36" s="299">
        <f t="shared" si="59"/>
        <v>27.299999999999997</v>
      </c>
      <c r="AI36" s="299">
        <f t="shared" si="60"/>
        <v>2.73</v>
      </c>
      <c r="AJ36" s="299">
        <f t="shared" ca="1" si="61"/>
        <v>7.2572499999999955</v>
      </c>
      <c r="AK36" s="301">
        <f t="shared" si="62"/>
        <v>0.25024999999999986</v>
      </c>
      <c r="AL36" s="302">
        <f t="shared" ca="1" si="63"/>
        <v>29</v>
      </c>
      <c r="AM36" s="299">
        <f t="shared" ca="1" si="64"/>
        <v>37.287249999999993</v>
      </c>
      <c r="AN36" s="299">
        <v>0</v>
      </c>
      <c r="AO36" s="299">
        <f t="shared" si="65"/>
        <v>0</v>
      </c>
      <c r="AP36" s="299">
        <f t="shared" ca="1" si="66"/>
        <v>0</v>
      </c>
      <c r="AQ36" s="301">
        <f t="shared" si="67"/>
        <v>0</v>
      </c>
      <c r="AR36" s="302">
        <f t="shared" ca="1" si="68"/>
        <v>23</v>
      </c>
      <c r="AS36" s="299">
        <f t="shared" ca="1" si="69"/>
        <v>0</v>
      </c>
      <c r="AT36" s="299">
        <v>0</v>
      </c>
      <c r="AU36" s="299">
        <f t="shared" si="70"/>
        <v>0</v>
      </c>
      <c r="AV36" s="299">
        <f t="shared" ca="1" si="71"/>
        <v>0</v>
      </c>
      <c r="AW36" s="301">
        <f t="shared" si="72"/>
        <v>0</v>
      </c>
      <c r="AX36" s="302">
        <f t="shared" ca="1" si="73"/>
        <v>17</v>
      </c>
      <c r="AY36" s="299">
        <f t="shared" ca="1" si="74"/>
        <v>0</v>
      </c>
      <c r="AZ36" s="299">
        <v>0</v>
      </c>
      <c r="BA36" s="299">
        <f t="shared" si="75"/>
        <v>0</v>
      </c>
      <c r="BB36" s="299">
        <f t="shared" ca="1" si="76"/>
        <v>0</v>
      </c>
      <c r="BC36" s="301">
        <f t="shared" si="77"/>
        <v>0</v>
      </c>
      <c r="BD36" s="302">
        <f t="shared" ca="1" si="78"/>
        <v>9</v>
      </c>
      <c r="BE36" s="299">
        <f t="shared" ca="1" si="79"/>
        <v>0</v>
      </c>
      <c r="BF36" s="299">
        <f t="shared" si="33"/>
        <v>30.15</v>
      </c>
      <c r="BG36" s="299">
        <f t="shared" si="80"/>
        <v>3.0150000000000001</v>
      </c>
      <c r="BH36" s="299">
        <f t="shared" ca="1" si="35"/>
        <v>1.3818749999999993</v>
      </c>
      <c r="BI36" s="301">
        <f t="shared" si="81"/>
        <v>0.27637499999999987</v>
      </c>
      <c r="BJ36" s="302">
        <f t="shared" ca="1" si="82"/>
        <v>5</v>
      </c>
      <c r="BK36" s="299">
        <f t="shared" ca="1" si="83"/>
        <v>34.546875</v>
      </c>
      <c r="BL36" s="299">
        <f t="shared" si="39"/>
        <v>57.449999999999996</v>
      </c>
      <c r="BM36" s="299">
        <f t="shared" si="40"/>
        <v>5.7450000000000001</v>
      </c>
      <c r="BN36" s="299">
        <f t="shared" ca="1" si="41"/>
        <v>8.6391249999999946</v>
      </c>
      <c r="BO36" s="303">
        <f t="shared" ca="1" si="50"/>
        <v>71.834124999999986</v>
      </c>
      <c r="BP36" s="304" t="s">
        <v>5914</v>
      </c>
      <c r="BQ36" s="302">
        <v>0.14000000000000001</v>
      </c>
      <c r="BR36" s="299">
        <v>3400</v>
      </c>
      <c r="BS36" s="299">
        <v>7100</v>
      </c>
      <c r="BT36" s="299">
        <f t="shared" si="84"/>
        <v>10500</v>
      </c>
      <c r="BU36" s="299">
        <v>5700</v>
      </c>
      <c r="BV36" s="299">
        <v>7700</v>
      </c>
      <c r="BW36" s="299">
        <f t="shared" si="85"/>
        <v>13400</v>
      </c>
    </row>
    <row r="37" spans="1:75">
      <c r="A37" s="296">
        <v>102025027</v>
      </c>
      <c r="B37" s="297" t="s">
        <v>6041</v>
      </c>
      <c r="C37" s="295" t="s">
        <v>311</v>
      </c>
      <c r="D37" s="295" t="s">
        <v>4474</v>
      </c>
      <c r="E37" s="295" t="s">
        <v>3156</v>
      </c>
      <c r="F37" s="295" t="s">
        <v>357</v>
      </c>
      <c r="L37" s="297" t="s">
        <v>6098</v>
      </c>
      <c r="M37" s="297" t="s">
        <v>5920</v>
      </c>
      <c r="N37" s="297" t="s">
        <v>260</v>
      </c>
      <c r="O37" s="297" t="s">
        <v>6097</v>
      </c>
      <c r="P37" s="297" t="s">
        <v>344</v>
      </c>
      <c r="Q37" s="297" t="s">
        <v>260</v>
      </c>
      <c r="V37" s="299">
        <v>0</v>
      </c>
      <c r="W37" s="299">
        <f t="shared" si="86"/>
        <v>0</v>
      </c>
      <c r="X37" s="299">
        <f t="shared" ca="1" si="51"/>
        <v>0</v>
      </c>
      <c r="Y37" s="301">
        <f t="shared" si="52"/>
        <v>0</v>
      </c>
      <c r="Z37" s="302">
        <f t="shared" ca="1" si="53"/>
        <v>41</v>
      </c>
      <c r="AA37" s="299">
        <f t="shared" ca="1" si="3"/>
        <v>0</v>
      </c>
      <c r="AB37" s="299">
        <v>0</v>
      </c>
      <c r="AC37" s="299">
        <f t="shared" si="54"/>
        <v>0</v>
      </c>
      <c r="AD37" s="299">
        <f t="shared" ca="1" si="55"/>
        <v>0</v>
      </c>
      <c r="AE37" s="301">
        <f t="shared" si="56"/>
        <v>0</v>
      </c>
      <c r="AF37" s="302">
        <f t="shared" ca="1" si="57"/>
        <v>33</v>
      </c>
      <c r="AG37" s="302">
        <f t="shared" ca="1" si="58"/>
        <v>0</v>
      </c>
      <c r="AH37" s="299">
        <f t="shared" si="59"/>
        <v>46.8</v>
      </c>
      <c r="AI37" s="299">
        <f t="shared" si="60"/>
        <v>4.68</v>
      </c>
      <c r="AJ37" s="299">
        <f t="shared" ca="1" si="61"/>
        <v>12.440999999999994</v>
      </c>
      <c r="AK37" s="301">
        <f t="shared" si="62"/>
        <v>0.42899999999999977</v>
      </c>
      <c r="AL37" s="302">
        <f t="shared" ca="1" si="63"/>
        <v>29</v>
      </c>
      <c r="AM37" s="299">
        <f t="shared" ca="1" si="64"/>
        <v>63.920999999999992</v>
      </c>
      <c r="AN37" s="299">
        <v>0</v>
      </c>
      <c r="AO37" s="299">
        <f t="shared" si="65"/>
        <v>0</v>
      </c>
      <c r="AP37" s="299">
        <f t="shared" ca="1" si="66"/>
        <v>0</v>
      </c>
      <c r="AQ37" s="301">
        <f t="shared" si="67"/>
        <v>0</v>
      </c>
      <c r="AR37" s="302">
        <f t="shared" ca="1" si="68"/>
        <v>23</v>
      </c>
      <c r="AS37" s="299">
        <f t="shared" ca="1" si="69"/>
        <v>0</v>
      </c>
      <c r="AT37" s="299">
        <v>0</v>
      </c>
      <c r="AU37" s="299">
        <f t="shared" si="70"/>
        <v>0</v>
      </c>
      <c r="AV37" s="299">
        <f t="shared" ca="1" si="71"/>
        <v>0</v>
      </c>
      <c r="AW37" s="301">
        <f t="shared" si="72"/>
        <v>0</v>
      </c>
      <c r="AX37" s="302">
        <f t="shared" ca="1" si="73"/>
        <v>17</v>
      </c>
      <c r="AY37" s="299">
        <f t="shared" ca="1" si="74"/>
        <v>0</v>
      </c>
      <c r="AZ37" s="299">
        <v>0</v>
      </c>
      <c r="BA37" s="299">
        <f t="shared" si="75"/>
        <v>0</v>
      </c>
      <c r="BB37" s="299">
        <f t="shared" ca="1" si="76"/>
        <v>0</v>
      </c>
      <c r="BC37" s="301">
        <f t="shared" si="77"/>
        <v>0</v>
      </c>
      <c r="BD37" s="302">
        <f t="shared" ca="1" si="78"/>
        <v>9</v>
      </c>
      <c r="BE37" s="299">
        <f t="shared" ca="1" si="79"/>
        <v>0</v>
      </c>
      <c r="BF37" s="299">
        <f t="shared" si="33"/>
        <v>57.824999999999996</v>
      </c>
      <c r="BG37" s="299">
        <f t="shared" si="80"/>
        <v>5.7824999999999998</v>
      </c>
      <c r="BH37" s="299">
        <v>0</v>
      </c>
      <c r="BI37" s="301">
        <f t="shared" si="81"/>
        <v>0.53006249999999977</v>
      </c>
      <c r="BJ37" s="302">
        <f t="shared" ca="1" si="82"/>
        <v>5</v>
      </c>
      <c r="BK37" s="299">
        <f t="shared" si="83"/>
        <v>63.607499999999995</v>
      </c>
      <c r="BL37" s="299">
        <f t="shared" si="39"/>
        <v>104.625</v>
      </c>
      <c r="BM37" s="299">
        <f t="shared" si="40"/>
        <v>10.462499999999999</v>
      </c>
      <c r="BN37" s="299">
        <f t="shared" ca="1" si="41"/>
        <v>12.440999999999994</v>
      </c>
      <c r="BO37" s="303">
        <f t="shared" ca="1" si="50"/>
        <v>127.52849999999999</v>
      </c>
      <c r="BP37" s="304" t="s">
        <v>5914</v>
      </c>
      <c r="BQ37" s="302">
        <v>0.64600000000000002</v>
      </c>
      <c r="BR37" s="299">
        <v>12000</v>
      </c>
      <c r="BS37" s="299">
        <v>6000</v>
      </c>
      <c r="BT37" s="299">
        <f t="shared" si="84"/>
        <v>18000</v>
      </c>
      <c r="BU37" s="299">
        <v>18000</v>
      </c>
      <c r="BV37" s="299">
        <v>7700</v>
      </c>
      <c r="BW37" s="299">
        <f t="shared" si="85"/>
        <v>25700</v>
      </c>
    </row>
    <row r="38" spans="1:75">
      <c r="A38" s="296">
        <v>102025028</v>
      </c>
      <c r="B38" s="297" t="s">
        <v>6042</v>
      </c>
      <c r="D38" s="295" t="s">
        <v>5479</v>
      </c>
      <c r="L38" s="297" t="s">
        <v>5481</v>
      </c>
      <c r="M38" s="297" t="s">
        <v>5920</v>
      </c>
      <c r="N38" s="297" t="s">
        <v>260</v>
      </c>
      <c r="O38" s="297" t="s">
        <v>5729</v>
      </c>
      <c r="P38" s="297" t="s">
        <v>259</v>
      </c>
      <c r="R38" s="295" t="s">
        <v>6080</v>
      </c>
      <c r="S38" s="295" t="s">
        <v>5481</v>
      </c>
      <c r="T38" s="295" t="s">
        <v>5920</v>
      </c>
      <c r="U38" s="295" t="s">
        <v>260</v>
      </c>
      <c r="V38" s="299">
        <v>0</v>
      </c>
      <c r="W38" s="299">
        <f t="shared" si="86"/>
        <v>0</v>
      </c>
      <c r="X38" s="299">
        <f t="shared" ca="1" si="51"/>
        <v>0</v>
      </c>
      <c r="Y38" s="301">
        <f t="shared" si="52"/>
        <v>0</v>
      </c>
      <c r="Z38" s="302">
        <f t="shared" ca="1" si="53"/>
        <v>41</v>
      </c>
      <c r="AA38" s="299">
        <f t="shared" ca="1" si="3"/>
        <v>0</v>
      </c>
      <c r="AB38" s="299">
        <f>SUM(BT38*0.0052)/2</f>
        <v>1016.0799999999999</v>
      </c>
      <c r="AC38" s="299">
        <f t="shared" si="54"/>
        <v>101.608</v>
      </c>
      <c r="AD38" s="299">
        <f t="shared" ca="1" si="55"/>
        <v>307.36419999999987</v>
      </c>
      <c r="AE38" s="301">
        <f t="shared" si="56"/>
        <v>9.3140666666666618</v>
      </c>
      <c r="AF38" s="302">
        <f t="shared" ca="1" si="57"/>
        <v>33</v>
      </c>
      <c r="AG38" s="302">
        <f t="shared" ca="1" si="58"/>
        <v>1425.0521999999996</v>
      </c>
      <c r="AH38" s="299">
        <f t="shared" si="59"/>
        <v>1016.0799999999999</v>
      </c>
      <c r="AI38" s="299">
        <f t="shared" si="60"/>
        <v>101.608</v>
      </c>
      <c r="AJ38" s="299">
        <f t="shared" ca="1" si="61"/>
        <v>270.10793333333322</v>
      </c>
      <c r="AK38" s="301">
        <f t="shared" si="62"/>
        <v>9.3140666666666618</v>
      </c>
      <c r="AL38" s="302">
        <f t="shared" ca="1" si="63"/>
        <v>29</v>
      </c>
      <c r="AM38" s="299">
        <f t="shared" ca="1" si="64"/>
        <v>1387.7959333333331</v>
      </c>
      <c r="AN38" s="299">
        <f t="shared" ref="AN38:AN47" si="87">SUM(BW38*0.0045)/2</f>
        <v>1038.375</v>
      </c>
      <c r="AO38" s="299">
        <f t="shared" si="65"/>
        <v>103.83750000000001</v>
      </c>
      <c r="AP38" s="299">
        <f t="shared" ca="1" si="66"/>
        <v>218.92406249999993</v>
      </c>
      <c r="AQ38" s="301">
        <f t="shared" si="67"/>
        <v>9.5184374999999974</v>
      </c>
      <c r="AR38" s="302">
        <f t="shared" ca="1" si="68"/>
        <v>23</v>
      </c>
      <c r="AS38" s="299">
        <f t="shared" ca="1" si="69"/>
        <v>1361.1365625000001</v>
      </c>
      <c r="AT38" s="299">
        <f t="shared" ref="AT38:AT47" si="88">SUM(BW38*0.0045)/2</f>
        <v>1038.375</v>
      </c>
      <c r="AU38" s="299">
        <f t="shared" si="70"/>
        <v>103.83750000000001</v>
      </c>
      <c r="AV38" s="299">
        <f t="shared" ca="1" si="71"/>
        <v>161.81343749999996</v>
      </c>
      <c r="AW38" s="301">
        <f t="shared" si="72"/>
        <v>9.5184374999999974</v>
      </c>
      <c r="AX38" s="302">
        <f t="shared" ca="1" si="73"/>
        <v>17</v>
      </c>
      <c r="AY38" s="299">
        <f t="shared" ca="1" si="74"/>
        <v>1304.0259375000001</v>
      </c>
      <c r="AZ38" s="299">
        <f t="shared" ref="AZ38:AZ47" si="89">SUM(BW38*0.0045)/2</f>
        <v>1038.375</v>
      </c>
      <c r="BA38" s="299">
        <f t="shared" si="75"/>
        <v>103.83750000000001</v>
      </c>
      <c r="BB38" s="299">
        <f t="shared" ca="1" si="76"/>
        <v>85.665937499999984</v>
      </c>
      <c r="BC38" s="301">
        <f t="shared" si="77"/>
        <v>9.5184374999999974</v>
      </c>
      <c r="BD38" s="302">
        <f t="shared" ca="1" si="78"/>
        <v>9</v>
      </c>
      <c r="BE38" s="299">
        <f t="shared" ca="1" si="79"/>
        <v>1227.8784375</v>
      </c>
      <c r="BF38" s="299">
        <f t="shared" si="33"/>
        <v>1038.375</v>
      </c>
      <c r="BG38" s="299">
        <f t="shared" si="80"/>
        <v>103.83750000000001</v>
      </c>
      <c r="BH38" s="299">
        <f t="shared" ref="BH38:BH47" ca="1" si="90">SUM(BI38*BJ38)</f>
        <v>47.592187499999987</v>
      </c>
      <c r="BI38" s="301">
        <f t="shared" si="81"/>
        <v>9.5184374999999974</v>
      </c>
      <c r="BJ38" s="302">
        <f t="shared" ca="1" si="82"/>
        <v>5</v>
      </c>
      <c r="BK38" s="299">
        <f t="shared" ca="1" si="83"/>
        <v>1189.8046875</v>
      </c>
      <c r="BL38" s="299">
        <f t="shared" si="39"/>
        <v>6185.66</v>
      </c>
      <c r="BM38" s="299">
        <f t="shared" si="40"/>
        <v>618.56599999999992</v>
      </c>
      <c r="BN38" s="299">
        <f t="shared" ca="1" si="41"/>
        <v>1091.4677583333328</v>
      </c>
      <c r="BO38" s="303">
        <f t="shared" ca="1" si="50"/>
        <v>7895.6937583333329</v>
      </c>
      <c r="BP38" s="304" t="s">
        <v>5914</v>
      </c>
      <c r="BQ38" s="302">
        <v>4</v>
      </c>
      <c r="BR38" s="299">
        <v>144000</v>
      </c>
      <c r="BS38" s="299">
        <v>246800</v>
      </c>
      <c r="BT38" s="299">
        <f t="shared" si="84"/>
        <v>390800</v>
      </c>
      <c r="BU38" s="299">
        <v>144000</v>
      </c>
      <c r="BV38" s="299">
        <v>317500</v>
      </c>
      <c r="BW38" s="299">
        <f t="shared" si="85"/>
        <v>461500</v>
      </c>
    </row>
    <row r="39" spans="1:75">
      <c r="A39" s="296">
        <v>102025029</v>
      </c>
      <c r="B39" s="297" t="s">
        <v>6044</v>
      </c>
      <c r="C39" s="295" t="s">
        <v>434</v>
      </c>
      <c r="D39" s="295" t="s">
        <v>6113</v>
      </c>
      <c r="E39" s="295" t="s">
        <v>6043</v>
      </c>
      <c r="F39" s="295" t="s">
        <v>537</v>
      </c>
      <c r="L39" s="306" t="s">
        <v>328</v>
      </c>
      <c r="M39" s="297" t="s">
        <v>259</v>
      </c>
      <c r="O39" s="297" t="s">
        <v>6099</v>
      </c>
      <c r="P39" s="297" t="s">
        <v>259</v>
      </c>
      <c r="Q39" s="297" t="s">
        <v>260</v>
      </c>
      <c r="V39" s="299">
        <v>0</v>
      </c>
      <c r="W39" s="299">
        <f t="shared" si="86"/>
        <v>0</v>
      </c>
      <c r="X39" s="299">
        <f t="shared" ca="1" si="51"/>
        <v>0</v>
      </c>
      <c r="Y39" s="301">
        <f t="shared" si="52"/>
        <v>0</v>
      </c>
      <c r="Z39" s="302">
        <f t="shared" ca="1" si="53"/>
        <v>41</v>
      </c>
      <c r="AA39" s="299">
        <f t="shared" ca="1" si="3"/>
        <v>0</v>
      </c>
      <c r="AB39" s="299">
        <f>SUM(BT39*0.0052)/2</f>
        <v>5.2</v>
      </c>
      <c r="AC39" s="299">
        <f t="shared" si="54"/>
        <v>0.52</v>
      </c>
      <c r="AD39" s="299">
        <f t="shared" ca="1" si="55"/>
        <v>1.5729999999999995</v>
      </c>
      <c r="AE39" s="301">
        <f t="shared" si="56"/>
        <v>4.7666666666666649E-2</v>
      </c>
      <c r="AF39" s="302">
        <f t="shared" ca="1" si="57"/>
        <v>33</v>
      </c>
      <c r="AG39" s="302">
        <f t="shared" ca="1" si="58"/>
        <v>7.2930000000000001</v>
      </c>
      <c r="AH39" s="299">
        <f t="shared" si="59"/>
        <v>5.2</v>
      </c>
      <c r="AI39" s="299">
        <f t="shared" si="60"/>
        <v>0.52</v>
      </c>
      <c r="AJ39" s="299">
        <f t="shared" ca="1" si="61"/>
        <v>1.3823333333333327</v>
      </c>
      <c r="AK39" s="301">
        <f t="shared" si="62"/>
        <v>4.7666666666666649E-2</v>
      </c>
      <c r="AL39" s="302">
        <f t="shared" ca="1" si="63"/>
        <v>29</v>
      </c>
      <c r="AM39" s="299">
        <f t="shared" ca="1" si="64"/>
        <v>7.1023333333333332</v>
      </c>
      <c r="AN39" s="299">
        <f t="shared" si="87"/>
        <v>4.5</v>
      </c>
      <c r="AO39" s="299">
        <f t="shared" si="65"/>
        <v>0.45</v>
      </c>
      <c r="AP39" s="299">
        <f t="shared" ca="1" si="66"/>
        <v>0.94874999999999954</v>
      </c>
      <c r="AQ39" s="301">
        <f t="shared" si="67"/>
        <v>4.1249999999999981E-2</v>
      </c>
      <c r="AR39" s="302">
        <f t="shared" ca="1" si="68"/>
        <v>23</v>
      </c>
      <c r="AS39" s="299">
        <f t="shared" ca="1" si="69"/>
        <v>5.8987499999999997</v>
      </c>
      <c r="AT39" s="299">
        <f t="shared" si="88"/>
        <v>4.5</v>
      </c>
      <c r="AU39" s="299">
        <f t="shared" si="70"/>
        <v>0.45</v>
      </c>
      <c r="AV39" s="299">
        <f t="shared" ca="1" si="71"/>
        <v>0.70124999999999971</v>
      </c>
      <c r="AW39" s="301">
        <f t="shared" si="72"/>
        <v>4.1249999999999981E-2</v>
      </c>
      <c r="AX39" s="302">
        <f t="shared" ca="1" si="73"/>
        <v>17</v>
      </c>
      <c r="AY39" s="299">
        <f t="shared" ca="1" si="74"/>
        <v>5.6512500000000001</v>
      </c>
      <c r="AZ39" s="299">
        <f t="shared" si="89"/>
        <v>4.5</v>
      </c>
      <c r="BA39" s="299">
        <f t="shared" si="75"/>
        <v>0.45</v>
      </c>
      <c r="BB39" s="299">
        <f t="shared" ca="1" si="76"/>
        <v>0.37124999999999986</v>
      </c>
      <c r="BC39" s="301">
        <f t="shared" si="77"/>
        <v>4.1249999999999981E-2</v>
      </c>
      <c r="BD39" s="302">
        <f t="shared" ca="1" si="78"/>
        <v>9</v>
      </c>
      <c r="BE39" s="299">
        <f t="shared" ca="1" si="79"/>
        <v>5.32125</v>
      </c>
      <c r="BF39" s="299">
        <f t="shared" si="33"/>
        <v>4.5</v>
      </c>
      <c r="BG39" s="299">
        <f t="shared" si="80"/>
        <v>0.45</v>
      </c>
      <c r="BH39" s="299">
        <f t="shared" ca="1" si="90"/>
        <v>0.20624999999999991</v>
      </c>
      <c r="BI39" s="301">
        <f t="shared" si="81"/>
        <v>4.1249999999999981E-2</v>
      </c>
      <c r="BJ39" s="302">
        <f t="shared" ca="1" si="82"/>
        <v>5</v>
      </c>
      <c r="BK39" s="299">
        <f t="shared" ca="1" si="83"/>
        <v>5.15625</v>
      </c>
      <c r="BL39" s="299">
        <f t="shared" si="39"/>
        <v>28.4</v>
      </c>
      <c r="BM39" s="299">
        <f t="shared" si="40"/>
        <v>2.8400000000000003</v>
      </c>
      <c r="BN39" s="299">
        <f t="shared" ca="1" si="41"/>
        <v>5.1828333333333312</v>
      </c>
      <c r="BO39" s="303">
        <f t="shared" ca="1" si="50"/>
        <v>36.42283333333333</v>
      </c>
      <c r="BP39" s="304" t="s">
        <v>5914</v>
      </c>
      <c r="BQ39" s="302">
        <f>0.14+0.2</f>
        <v>0.34</v>
      </c>
      <c r="BR39" s="299">
        <f>1000+1000</f>
        <v>2000</v>
      </c>
      <c r="BS39" s="299">
        <v>0</v>
      </c>
      <c r="BT39" s="299">
        <f t="shared" si="84"/>
        <v>2000</v>
      </c>
      <c r="BU39" s="299">
        <f>1000+1000</f>
        <v>2000</v>
      </c>
      <c r="BV39" s="299">
        <v>0</v>
      </c>
      <c r="BW39" s="299">
        <f t="shared" si="85"/>
        <v>2000</v>
      </c>
    </row>
    <row r="40" spans="1:75">
      <c r="A40" s="296">
        <v>102025030</v>
      </c>
      <c r="B40" s="297" t="s">
        <v>6045</v>
      </c>
      <c r="C40" s="295" t="s">
        <v>311</v>
      </c>
      <c r="D40" s="295" t="s">
        <v>6046</v>
      </c>
      <c r="E40" s="295" t="s">
        <v>420</v>
      </c>
      <c r="F40" s="295" t="s">
        <v>426</v>
      </c>
      <c r="L40" s="297" t="s">
        <v>6100</v>
      </c>
      <c r="M40" s="297" t="s">
        <v>259</v>
      </c>
      <c r="N40" s="297" t="s">
        <v>260</v>
      </c>
      <c r="O40" s="297" t="s">
        <v>6101</v>
      </c>
      <c r="P40" s="297" t="s">
        <v>344</v>
      </c>
      <c r="Q40" s="297" t="s">
        <v>260</v>
      </c>
      <c r="V40" s="299">
        <v>0</v>
      </c>
      <c r="W40" s="299">
        <f t="shared" si="86"/>
        <v>0</v>
      </c>
      <c r="X40" s="299">
        <f t="shared" ca="1" si="51"/>
        <v>0</v>
      </c>
      <c r="Y40" s="301">
        <f t="shared" si="52"/>
        <v>0</v>
      </c>
      <c r="Z40" s="302">
        <f t="shared" ca="1" si="53"/>
        <v>41</v>
      </c>
      <c r="AA40" s="299">
        <v>0</v>
      </c>
      <c r="AB40" s="299">
        <f>SUM(BT40*0.0052)/2-443.84</f>
        <v>136.73999999999995</v>
      </c>
      <c r="AC40" s="299">
        <f t="shared" si="54"/>
        <v>13.673999999999996</v>
      </c>
      <c r="AD40" s="299">
        <f t="shared" ca="1" si="55"/>
        <v>41.363849999999971</v>
      </c>
      <c r="AE40" s="301">
        <f t="shared" si="56"/>
        <v>1.2534499999999991</v>
      </c>
      <c r="AF40" s="302">
        <f t="shared" ca="1" si="57"/>
        <v>33</v>
      </c>
      <c r="AG40" s="302">
        <f t="shared" ca="1" si="58"/>
        <v>191.77784999999994</v>
      </c>
      <c r="AH40" s="299">
        <f t="shared" si="59"/>
        <v>580.57999999999993</v>
      </c>
      <c r="AI40" s="299">
        <f t="shared" si="60"/>
        <v>58.057999999999993</v>
      </c>
      <c r="AJ40" s="299">
        <f t="shared" ca="1" si="61"/>
        <v>154.33751666666657</v>
      </c>
      <c r="AK40" s="301">
        <f t="shared" si="62"/>
        <v>5.3219833333333302</v>
      </c>
      <c r="AL40" s="302">
        <f t="shared" ca="1" si="63"/>
        <v>29</v>
      </c>
      <c r="AM40" s="299">
        <f t="shared" ca="1" si="64"/>
        <v>792.97551666666652</v>
      </c>
      <c r="AN40" s="299">
        <f t="shared" si="87"/>
        <v>724.94999999999993</v>
      </c>
      <c r="AO40" s="299">
        <f t="shared" si="65"/>
        <v>72.49499999999999</v>
      </c>
      <c r="AP40" s="299">
        <f t="shared" ca="1" si="66"/>
        <v>152.84362499999992</v>
      </c>
      <c r="AQ40" s="301">
        <f t="shared" si="67"/>
        <v>6.6453749999999969</v>
      </c>
      <c r="AR40" s="302">
        <f t="shared" ca="1" si="68"/>
        <v>23</v>
      </c>
      <c r="AS40" s="299">
        <f t="shared" ca="1" si="69"/>
        <v>950.28862499999991</v>
      </c>
      <c r="AT40" s="299">
        <f t="shared" si="88"/>
        <v>724.94999999999993</v>
      </c>
      <c r="AU40" s="299">
        <f t="shared" si="70"/>
        <v>72.49499999999999</v>
      </c>
      <c r="AV40" s="299">
        <f t="shared" ca="1" si="71"/>
        <v>112.97137499999995</v>
      </c>
      <c r="AW40" s="301">
        <f t="shared" si="72"/>
        <v>6.6453749999999969</v>
      </c>
      <c r="AX40" s="302">
        <f t="shared" ca="1" si="73"/>
        <v>17</v>
      </c>
      <c r="AY40" s="299">
        <f t="shared" ca="1" si="74"/>
        <v>910.4163749999999</v>
      </c>
      <c r="AZ40" s="299">
        <f t="shared" si="89"/>
        <v>724.94999999999993</v>
      </c>
      <c r="BA40" s="299">
        <f t="shared" si="75"/>
        <v>72.49499999999999</v>
      </c>
      <c r="BB40" s="299">
        <f t="shared" ca="1" si="76"/>
        <v>59.80837499999997</v>
      </c>
      <c r="BC40" s="301">
        <f t="shared" si="77"/>
        <v>6.6453749999999969</v>
      </c>
      <c r="BD40" s="302">
        <f t="shared" ca="1" si="78"/>
        <v>9</v>
      </c>
      <c r="BE40" s="299">
        <f t="shared" ca="1" si="79"/>
        <v>857.25337499999989</v>
      </c>
      <c r="BF40" s="299">
        <f t="shared" si="33"/>
        <v>724.94999999999993</v>
      </c>
      <c r="BG40" s="299">
        <f t="shared" si="80"/>
        <v>72.49499999999999</v>
      </c>
      <c r="BH40" s="299">
        <f t="shared" ca="1" si="90"/>
        <v>33.226874999999986</v>
      </c>
      <c r="BI40" s="301">
        <f t="shared" si="81"/>
        <v>6.6453749999999969</v>
      </c>
      <c r="BJ40" s="302">
        <f t="shared" ca="1" si="82"/>
        <v>5</v>
      </c>
      <c r="BK40" s="299">
        <f t="shared" ca="1" si="83"/>
        <v>830.67187499999989</v>
      </c>
      <c r="BL40" s="299">
        <f t="shared" si="39"/>
        <v>3617.1199999999994</v>
      </c>
      <c r="BM40" s="299">
        <f t="shared" si="40"/>
        <v>361.71199999999999</v>
      </c>
      <c r="BN40" s="299">
        <f t="shared" ca="1" si="41"/>
        <v>554.5516166666664</v>
      </c>
      <c r="BO40" s="303">
        <f t="shared" ca="1" si="50"/>
        <v>4533.3836166666661</v>
      </c>
      <c r="BP40" s="304" t="s">
        <v>5914</v>
      </c>
      <c r="BQ40" s="302">
        <v>25.469000000000001</v>
      </c>
      <c r="BR40" s="299">
        <v>78800</v>
      </c>
      <c r="BS40" s="299">
        <v>144500</v>
      </c>
      <c r="BT40" s="299">
        <f t="shared" si="84"/>
        <v>223300</v>
      </c>
      <c r="BU40" s="299">
        <v>106400</v>
      </c>
      <c r="BV40" s="299">
        <v>215800</v>
      </c>
      <c r="BW40" s="299">
        <f t="shared" si="85"/>
        <v>322200</v>
      </c>
    </row>
    <row r="41" spans="1:75">
      <c r="A41" s="296">
        <v>102025031</v>
      </c>
      <c r="B41" s="297" t="s">
        <v>6047</v>
      </c>
      <c r="C41" s="295" t="s">
        <v>311</v>
      </c>
      <c r="D41" s="295" t="s">
        <v>6048</v>
      </c>
      <c r="E41" s="295" t="s">
        <v>776</v>
      </c>
      <c r="F41" s="295" t="s">
        <v>403</v>
      </c>
      <c r="O41" s="297" t="s">
        <v>6102</v>
      </c>
      <c r="P41" s="297" t="s">
        <v>329</v>
      </c>
      <c r="Q41" s="297" t="s">
        <v>260</v>
      </c>
      <c r="V41" s="299">
        <v>0</v>
      </c>
      <c r="W41" s="299">
        <f t="shared" si="86"/>
        <v>0</v>
      </c>
      <c r="X41" s="299">
        <f t="shared" ca="1" si="51"/>
        <v>0</v>
      </c>
      <c r="Y41" s="301">
        <f t="shared" si="52"/>
        <v>0</v>
      </c>
      <c r="Z41" s="302">
        <f t="shared" ca="1" si="53"/>
        <v>41</v>
      </c>
      <c r="AA41" s="299">
        <f ca="1">SUM(V41,W41,X41)</f>
        <v>0</v>
      </c>
      <c r="AB41" s="299">
        <f>SUM(BT41*0.0052)/2</f>
        <v>637.78</v>
      </c>
      <c r="AC41" s="299">
        <f t="shared" si="54"/>
        <v>63.777999999999999</v>
      </c>
      <c r="AD41" s="299">
        <f t="shared" ca="1" si="55"/>
        <v>192.92844999999991</v>
      </c>
      <c r="AE41" s="301">
        <f t="shared" si="56"/>
        <v>5.8463166666666639</v>
      </c>
      <c r="AF41" s="302">
        <f t="shared" ca="1" si="57"/>
        <v>33</v>
      </c>
      <c r="AG41" s="302">
        <f t="shared" ca="1" si="58"/>
        <v>894.48644999999988</v>
      </c>
      <c r="AH41" s="299">
        <f t="shared" si="59"/>
        <v>637.78</v>
      </c>
      <c r="AI41" s="299">
        <f t="shared" si="60"/>
        <v>63.777999999999999</v>
      </c>
      <c r="AJ41" s="299">
        <f t="shared" ca="1" si="61"/>
        <v>169.54318333333325</v>
      </c>
      <c r="AK41" s="301">
        <f t="shared" si="62"/>
        <v>5.8463166666666639</v>
      </c>
      <c r="AL41" s="302">
        <f t="shared" ca="1" si="63"/>
        <v>29</v>
      </c>
      <c r="AM41" s="299">
        <f t="shared" ca="1" si="64"/>
        <v>871.10118333333321</v>
      </c>
      <c r="AN41" s="299">
        <f t="shared" si="87"/>
        <v>685.8</v>
      </c>
      <c r="AO41" s="299">
        <f t="shared" si="65"/>
        <v>68.58</v>
      </c>
      <c r="AP41" s="299">
        <f t="shared" ca="1" si="66"/>
        <v>144.58949999999993</v>
      </c>
      <c r="AQ41" s="301">
        <f t="shared" si="67"/>
        <v>6.2864999999999975</v>
      </c>
      <c r="AR41" s="302">
        <f t="shared" ca="1" si="68"/>
        <v>23</v>
      </c>
      <c r="AS41" s="299">
        <f t="shared" ca="1" si="69"/>
        <v>898.96949999999993</v>
      </c>
      <c r="AT41" s="299">
        <f t="shared" si="88"/>
        <v>685.8</v>
      </c>
      <c r="AU41" s="299">
        <f t="shared" si="70"/>
        <v>68.58</v>
      </c>
      <c r="AV41" s="299">
        <f t="shared" ca="1" si="71"/>
        <v>106.87049999999996</v>
      </c>
      <c r="AW41" s="301">
        <f t="shared" si="72"/>
        <v>6.2864999999999975</v>
      </c>
      <c r="AX41" s="302">
        <f t="shared" ca="1" si="73"/>
        <v>17</v>
      </c>
      <c r="AY41" s="299">
        <f t="shared" ca="1" si="74"/>
        <v>861.25049999999999</v>
      </c>
      <c r="AZ41" s="299">
        <f t="shared" si="89"/>
        <v>685.8</v>
      </c>
      <c r="BA41" s="299">
        <f t="shared" si="75"/>
        <v>68.58</v>
      </c>
      <c r="BB41" s="299">
        <f t="shared" ca="1" si="76"/>
        <v>56.578499999999977</v>
      </c>
      <c r="BC41" s="301">
        <f t="shared" si="77"/>
        <v>6.2864999999999975</v>
      </c>
      <c r="BD41" s="302">
        <f t="shared" ca="1" si="78"/>
        <v>9</v>
      </c>
      <c r="BE41" s="299">
        <f t="shared" ca="1" si="79"/>
        <v>810.95849999999996</v>
      </c>
      <c r="BF41" s="299">
        <f t="shared" si="33"/>
        <v>685.8</v>
      </c>
      <c r="BG41" s="299">
        <f t="shared" si="80"/>
        <v>68.58</v>
      </c>
      <c r="BH41" s="299">
        <f t="shared" ca="1" si="90"/>
        <v>31.432499999999987</v>
      </c>
      <c r="BI41" s="301">
        <f t="shared" si="81"/>
        <v>6.2864999999999975</v>
      </c>
      <c r="BJ41" s="302">
        <f t="shared" ca="1" si="82"/>
        <v>5</v>
      </c>
      <c r="BK41" s="299">
        <f t="shared" ca="1" si="83"/>
        <v>785.8125</v>
      </c>
      <c r="BL41" s="299">
        <f t="shared" si="39"/>
        <v>4018.76</v>
      </c>
      <c r="BM41" s="299">
        <f t="shared" si="40"/>
        <v>401.87599999999998</v>
      </c>
      <c r="BN41" s="299">
        <f t="shared" ca="1" si="41"/>
        <v>701.94263333333299</v>
      </c>
      <c r="BO41" s="303">
        <f t="shared" ca="1" si="50"/>
        <v>5122.5786333333335</v>
      </c>
      <c r="BP41" s="304" t="s">
        <v>5914</v>
      </c>
      <c r="BQ41" s="302">
        <v>7</v>
      </c>
      <c r="BR41" s="299">
        <v>30100</v>
      </c>
      <c r="BS41" s="299">
        <v>215200</v>
      </c>
      <c r="BT41" s="299">
        <f t="shared" si="84"/>
        <v>245300</v>
      </c>
      <c r="BU41" s="299">
        <v>38700</v>
      </c>
      <c r="BV41" s="299">
        <v>266100</v>
      </c>
      <c r="BW41" s="299">
        <f t="shared" si="85"/>
        <v>304800</v>
      </c>
    </row>
    <row r="42" spans="1:75">
      <c r="A42" s="296">
        <v>102025032</v>
      </c>
      <c r="B42" s="297" t="s">
        <v>6050</v>
      </c>
      <c r="C42" s="295" t="s">
        <v>253</v>
      </c>
      <c r="D42" s="295" t="s">
        <v>6049</v>
      </c>
      <c r="E42" s="295" t="s">
        <v>738</v>
      </c>
      <c r="F42" s="295" t="s">
        <v>256</v>
      </c>
      <c r="O42" s="297" t="s">
        <v>6111</v>
      </c>
      <c r="P42" s="297" t="s">
        <v>259</v>
      </c>
      <c r="Q42" s="297" t="s">
        <v>260</v>
      </c>
      <c r="V42" s="299">
        <v>0</v>
      </c>
      <c r="W42" s="299">
        <f t="shared" si="86"/>
        <v>0</v>
      </c>
      <c r="X42" s="299">
        <f t="shared" ca="1" si="51"/>
        <v>0</v>
      </c>
      <c r="Y42" s="301">
        <f t="shared" si="52"/>
        <v>0</v>
      </c>
      <c r="Z42" s="302">
        <f t="shared" ca="1" si="53"/>
        <v>41</v>
      </c>
      <c r="AA42" s="299">
        <f ca="1">SUM(V42,W42,X42)</f>
        <v>0</v>
      </c>
      <c r="AB42" s="299">
        <f>SUM(BT42*0.0052)/2</f>
        <v>203.84</v>
      </c>
      <c r="AC42" s="299">
        <f t="shared" si="54"/>
        <v>20.384</v>
      </c>
      <c r="AD42" s="299">
        <f t="shared" ca="1" si="55"/>
        <v>61.661599999999972</v>
      </c>
      <c r="AE42" s="301">
        <f t="shared" si="56"/>
        <v>1.8685333333333325</v>
      </c>
      <c r="AF42" s="302">
        <f t="shared" ca="1" si="57"/>
        <v>33</v>
      </c>
      <c r="AG42" s="302">
        <f t="shared" ca="1" si="58"/>
        <v>285.88559999999995</v>
      </c>
      <c r="AH42" s="299">
        <f t="shared" si="59"/>
        <v>203.84</v>
      </c>
      <c r="AI42" s="299">
        <f t="shared" si="60"/>
        <v>20.384</v>
      </c>
      <c r="AJ42" s="299">
        <f t="shared" ca="1" si="61"/>
        <v>54.187466666666644</v>
      </c>
      <c r="AK42" s="301">
        <f t="shared" si="62"/>
        <v>1.8685333333333325</v>
      </c>
      <c r="AL42" s="302">
        <f t="shared" ca="1" si="63"/>
        <v>29</v>
      </c>
      <c r="AM42" s="299">
        <f t="shared" ca="1" si="64"/>
        <v>278.41146666666663</v>
      </c>
      <c r="AN42" s="299">
        <f t="shared" si="87"/>
        <v>228.14999999999998</v>
      </c>
      <c r="AO42" s="299">
        <f t="shared" si="65"/>
        <v>22.814999999999998</v>
      </c>
      <c r="AP42" s="299">
        <f t="shared" ca="1" si="66"/>
        <v>48.101624999999977</v>
      </c>
      <c r="AQ42" s="301">
        <f t="shared" si="67"/>
        <v>2.0913749999999989</v>
      </c>
      <c r="AR42" s="302">
        <f t="shared" ca="1" si="68"/>
        <v>23</v>
      </c>
      <c r="AS42" s="299">
        <f t="shared" ca="1" si="69"/>
        <v>299.06662499999993</v>
      </c>
      <c r="AT42" s="299">
        <f t="shared" si="88"/>
        <v>228.14999999999998</v>
      </c>
      <c r="AU42" s="299">
        <f t="shared" si="70"/>
        <v>22.814999999999998</v>
      </c>
      <c r="AV42" s="299">
        <f t="shared" ca="1" si="71"/>
        <v>35.553374999999981</v>
      </c>
      <c r="AW42" s="301">
        <f t="shared" si="72"/>
        <v>2.0913749999999989</v>
      </c>
      <c r="AX42" s="302">
        <f t="shared" ca="1" si="73"/>
        <v>17</v>
      </c>
      <c r="AY42" s="299">
        <f t="shared" ca="1" si="74"/>
        <v>286.51837499999993</v>
      </c>
      <c r="AZ42" s="299">
        <f t="shared" si="89"/>
        <v>228.14999999999998</v>
      </c>
      <c r="BA42" s="299">
        <f t="shared" si="75"/>
        <v>22.814999999999998</v>
      </c>
      <c r="BB42" s="299">
        <f t="shared" ca="1" si="76"/>
        <v>18.82237499999999</v>
      </c>
      <c r="BC42" s="301">
        <f t="shared" si="77"/>
        <v>2.0913749999999989</v>
      </c>
      <c r="BD42" s="302">
        <f t="shared" ca="1" si="78"/>
        <v>9</v>
      </c>
      <c r="BE42" s="299">
        <f t="shared" ca="1" si="79"/>
        <v>269.78737499999994</v>
      </c>
      <c r="BF42" s="299">
        <f t="shared" si="33"/>
        <v>228.14999999999998</v>
      </c>
      <c r="BG42" s="299">
        <f t="shared" si="80"/>
        <v>22.814999999999998</v>
      </c>
      <c r="BH42" s="299">
        <f t="shared" ca="1" si="90"/>
        <v>10.456874999999995</v>
      </c>
      <c r="BI42" s="301">
        <f t="shared" si="81"/>
        <v>2.0913749999999989</v>
      </c>
      <c r="BJ42" s="302">
        <f t="shared" ca="1" si="82"/>
        <v>5</v>
      </c>
      <c r="BK42" s="299">
        <f t="shared" ca="1" si="83"/>
        <v>261.42187499999994</v>
      </c>
      <c r="BL42" s="299">
        <f t="shared" si="39"/>
        <v>1320.2799999999997</v>
      </c>
      <c r="BM42" s="299">
        <f t="shared" si="40"/>
        <v>132.02799999999999</v>
      </c>
      <c r="BN42" s="299">
        <f t="shared" ca="1" si="41"/>
        <v>228.78331666666656</v>
      </c>
      <c r="BO42" s="303">
        <f t="shared" ca="1" si="50"/>
        <v>1681.0913166666664</v>
      </c>
      <c r="BP42" s="304" t="s">
        <v>5914</v>
      </c>
      <c r="BQ42" s="302">
        <f>0.07+0.08+0.09</f>
        <v>0.24000000000000002</v>
      </c>
      <c r="BR42" s="299">
        <f>1000+12000+1000</f>
        <v>14000</v>
      </c>
      <c r="BS42" s="299">
        <v>64400</v>
      </c>
      <c r="BT42" s="299">
        <f t="shared" si="84"/>
        <v>78400</v>
      </c>
      <c r="BU42" s="299">
        <f>1000+12000+1000</f>
        <v>14000</v>
      </c>
      <c r="BV42" s="299">
        <v>87400</v>
      </c>
      <c r="BW42" s="299">
        <f t="shared" si="85"/>
        <v>101400</v>
      </c>
    </row>
    <row r="43" spans="1:75">
      <c r="A43" s="296">
        <v>102025033</v>
      </c>
      <c r="B43" s="297" t="s">
        <v>6051</v>
      </c>
      <c r="C43" s="295" t="s">
        <v>311</v>
      </c>
      <c r="D43" s="295" t="s">
        <v>6112</v>
      </c>
      <c r="E43" s="295" t="s">
        <v>577</v>
      </c>
      <c r="F43" s="295" t="s">
        <v>357</v>
      </c>
      <c r="L43" s="297" t="s">
        <v>6103</v>
      </c>
      <c r="M43" s="297" t="s">
        <v>259</v>
      </c>
      <c r="N43" s="297" t="s">
        <v>260</v>
      </c>
      <c r="O43" s="297" t="s">
        <v>6104</v>
      </c>
      <c r="P43" s="297" t="s">
        <v>756</v>
      </c>
      <c r="Q43" s="297" t="s">
        <v>6105</v>
      </c>
      <c r="V43" s="299">
        <v>0</v>
      </c>
      <c r="W43" s="299">
        <f t="shared" si="86"/>
        <v>0</v>
      </c>
      <c r="X43" s="299">
        <f t="shared" ca="1" si="51"/>
        <v>0</v>
      </c>
      <c r="Y43" s="301">
        <f t="shared" si="52"/>
        <v>0</v>
      </c>
      <c r="Z43" s="302">
        <f t="shared" ca="1" si="53"/>
        <v>41</v>
      </c>
      <c r="AA43" s="299">
        <v>0</v>
      </c>
      <c r="AB43" s="299">
        <f>SUM(BT43*0.0052)/2</f>
        <v>288.59999999999997</v>
      </c>
      <c r="AC43" s="299">
        <f t="shared" si="54"/>
        <v>28.86</v>
      </c>
      <c r="AD43" s="299">
        <f t="shared" ca="1" si="55"/>
        <v>87.301499999999962</v>
      </c>
      <c r="AE43" s="301">
        <f t="shared" si="56"/>
        <v>2.6454999999999989</v>
      </c>
      <c r="AF43" s="302">
        <f t="shared" ca="1" si="57"/>
        <v>33</v>
      </c>
      <c r="AG43" s="302">
        <f t="shared" ca="1" si="58"/>
        <v>404.76149999999996</v>
      </c>
      <c r="AH43" s="299">
        <f t="shared" si="59"/>
        <v>288.59999999999997</v>
      </c>
      <c r="AI43" s="299">
        <f t="shared" si="60"/>
        <v>28.86</v>
      </c>
      <c r="AJ43" s="299">
        <f t="shared" ca="1" si="61"/>
        <v>76.719499999999968</v>
      </c>
      <c r="AK43" s="301">
        <f t="shared" si="62"/>
        <v>2.6454999999999989</v>
      </c>
      <c r="AL43" s="302">
        <f t="shared" ca="1" si="63"/>
        <v>29</v>
      </c>
      <c r="AM43" s="299">
        <f t="shared" ca="1" si="64"/>
        <v>394.17949999999996</v>
      </c>
      <c r="AN43" s="299">
        <f t="shared" si="87"/>
        <v>249.74999999999997</v>
      </c>
      <c r="AO43" s="299">
        <f t="shared" si="65"/>
        <v>24.974999999999998</v>
      </c>
      <c r="AP43" s="299">
        <f t="shared" ca="1" si="66"/>
        <v>52.655624999999972</v>
      </c>
      <c r="AQ43" s="301">
        <f t="shared" si="67"/>
        <v>2.2893749999999988</v>
      </c>
      <c r="AR43" s="302">
        <f t="shared" ca="1" si="68"/>
        <v>23</v>
      </c>
      <c r="AS43" s="299">
        <f t="shared" ca="1" si="69"/>
        <v>327.38062499999995</v>
      </c>
      <c r="AT43" s="299">
        <f t="shared" si="88"/>
        <v>249.74999999999997</v>
      </c>
      <c r="AU43" s="299">
        <f t="shared" si="70"/>
        <v>24.974999999999998</v>
      </c>
      <c r="AV43" s="299">
        <f t="shared" ca="1" si="71"/>
        <v>38.919374999999981</v>
      </c>
      <c r="AW43" s="301">
        <f t="shared" si="72"/>
        <v>2.2893749999999988</v>
      </c>
      <c r="AX43" s="302">
        <f t="shared" ca="1" si="73"/>
        <v>17</v>
      </c>
      <c r="AY43" s="299">
        <f t="shared" ca="1" si="74"/>
        <v>313.64437499999997</v>
      </c>
      <c r="AZ43" s="299">
        <f t="shared" si="89"/>
        <v>249.74999999999997</v>
      </c>
      <c r="BA43" s="299">
        <f t="shared" si="75"/>
        <v>24.974999999999998</v>
      </c>
      <c r="BB43" s="299">
        <f t="shared" ca="1" si="76"/>
        <v>20.60437499999999</v>
      </c>
      <c r="BC43" s="301">
        <f t="shared" si="77"/>
        <v>2.2893749999999988</v>
      </c>
      <c r="BD43" s="302">
        <f t="shared" ca="1" si="78"/>
        <v>9</v>
      </c>
      <c r="BE43" s="299">
        <f t="shared" ca="1" si="79"/>
        <v>295.32937499999997</v>
      </c>
      <c r="BF43" s="299">
        <f t="shared" si="33"/>
        <v>249.74999999999997</v>
      </c>
      <c r="BG43" s="299">
        <f t="shared" si="80"/>
        <v>24.974999999999998</v>
      </c>
      <c r="BH43" s="299">
        <f t="shared" ca="1" si="90"/>
        <v>11.446874999999995</v>
      </c>
      <c r="BI43" s="301">
        <f t="shared" si="81"/>
        <v>2.2893749999999988</v>
      </c>
      <c r="BJ43" s="302">
        <f t="shared" ca="1" si="82"/>
        <v>5</v>
      </c>
      <c r="BK43" s="299">
        <f t="shared" ca="1" si="83"/>
        <v>286.17187499999994</v>
      </c>
      <c r="BL43" s="299">
        <f t="shared" si="39"/>
        <v>1576.1999999999998</v>
      </c>
      <c r="BM43" s="299">
        <f t="shared" si="40"/>
        <v>157.61999999999998</v>
      </c>
      <c r="BN43" s="299">
        <f t="shared" ca="1" si="41"/>
        <v>287.64724999999981</v>
      </c>
      <c r="BO43" s="303">
        <f t="shared" ca="1" si="50"/>
        <v>2021.4672499999995</v>
      </c>
      <c r="BP43" s="304" t="s">
        <v>5914</v>
      </c>
      <c r="BQ43" s="302">
        <v>0.22</v>
      </c>
      <c r="BR43" s="299">
        <v>50000</v>
      </c>
      <c r="BS43" s="299">
        <v>61000</v>
      </c>
      <c r="BT43" s="299">
        <f t="shared" si="84"/>
        <v>111000</v>
      </c>
      <c r="BU43" s="299">
        <v>50000</v>
      </c>
      <c r="BV43" s="299">
        <v>61000</v>
      </c>
      <c r="BW43" s="299">
        <f t="shared" si="85"/>
        <v>111000</v>
      </c>
    </row>
    <row r="44" spans="1:75">
      <c r="A44" s="296">
        <v>102025034</v>
      </c>
      <c r="B44" s="297" t="s">
        <v>6053</v>
      </c>
      <c r="C44" s="295" t="s">
        <v>253</v>
      </c>
      <c r="D44" s="295" t="s">
        <v>609</v>
      </c>
      <c r="E44" s="295" t="s">
        <v>1191</v>
      </c>
      <c r="F44" s="295" t="s">
        <v>6052</v>
      </c>
      <c r="L44" s="306" t="s">
        <v>328</v>
      </c>
      <c r="M44" s="297" t="s">
        <v>259</v>
      </c>
      <c r="O44" s="297" t="s">
        <v>6107</v>
      </c>
      <c r="P44" s="297" t="s">
        <v>259</v>
      </c>
      <c r="Q44" s="297" t="s">
        <v>260</v>
      </c>
      <c r="V44" s="299">
        <v>0</v>
      </c>
      <c r="W44" s="299">
        <f t="shared" si="86"/>
        <v>0</v>
      </c>
      <c r="X44" s="299">
        <f t="shared" ca="1" si="51"/>
        <v>0</v>
      </c>
      <c r="Y44" s="301">
        <f t="shared" si="52"/>
        <v>0</v>
      </c>
      <c r="Z44" s="302">
        <f t="shared" ca="1" si="53"/>
        <v>41</v>
      </c>
      <c r="AA44" s="299">
        <f t="shared" ref="AA44:AA47" ca="1" si="91">SUM(V44,W44,X44)</f>
        <v>0</v>
      </c>
      <c r="AB44" s="299">
        <f>SUM(BT44*0.0052)/2</f>
        <v>28.599999999999998</v>
      </c>
      <c r="AC44" s="299">
        <f t="shared" si="54"/>
        <v>2.86</v>
      </c>
      <c r="AD44" s="299">
        <f t="shared" ca="1" si="55"/>
        <v>8.6514999999999969</v>
      </c>
      <c r="AE44" s="301">
        <f t="shared" si="56"/>
        <v>0.26216666666666655</v>
      </c>
      <c r="AF44" s="302">
        <f t="shared" ca="1" si="57"/>
        <v>33</v>
      </c>
      <c r="AG44" s="302">
        <f t="shared" ca="1" si="58"/>
        <v>40.111499999999992</v>
      </c>
      <c r="AH44" s="299">
        <f t="shared" si="59"/>
        <v>28.599999999999998</v>
      </c>
      <c r="AI44" s="299">
        <f t="shared" si="60"/>
        <v>2.86</v>
      </c>
      <c r="AJ44" s="299">
        <f t="shared" ca="1" si="61"/>
        <v>7.6028333333333302</v>
      </c>
      <c r="AK44" s="301">
        <f t="shared" si="62"/>
        <v>0.26216666666666655</v>
      </c>
      <c r="AL44" s="302">
        <f t="shared" ca="1" si="63"/>
        <v>29</v>
      </c>
      <c r="AM44" s="299">
        <f t="shared" ca="1" si="64"/>
        <v>39.06283333333333</v>
      </c>
      <c r="AN44" s="299">
        <f t="shared" si="87"/>
        <v>34.875</v>
      </c>
      <c r="AO44" s="299">
        <f t="shared" si="65"/>
        <v>3.4875000000000003</v>
      </c>
      <c r="AP44" s="299">
        <f t="shared" ca="1" si="66"/>
        <v>7.3528124999999962</v>
      </c>
      <c r="AQ44" s="301">
        <f t="shared" si="67"/>
        <v>0.31968749999999985</v>
      </c>
      <c r="AR44" s="302">
        <f t="shared" ca="1" si="68"/>
        <v>23</v>
      </c>
      <c r="AS44" s="299">
        <f t="shared" ca="1" si="69"/>
        <v>45.715312499999996</v>
      </c>
      <c r="AT44" s="299">
        <f t="shared" si="88"/>
        <v>34.875</v>
      </c>
      <c r="AU44" s="299">
        <f t="shared" si="70"/>
        <v>3.4875000000000003</v>
      </c>
      <c r="AV44" s="299">
        <f t="shared" ca="1" si="71"/>
        <v>5.4346874999999972</v>
      </c>
      <c r="AW44" s="301">
        <f t="shared" si="72"/>
        <v>0.31968749999999985</v>
      </c>
      <c r="AX44" s="302">
        <f t="shared" ca="1" si="73"/>
        <v>17</v>
      </c>
      <c r="AY44" s="299">
        <f t="shared" ca="1" si="74"/>
        <v>43.797187499999993</v>
      </c>
      <c r="AZ44" s="299">
        <f t="shared" si="89"/>
        <v>34.875</v>
      </c>
      <c r="BA44" s="299">
        <f t="shared" si="75"/>
        <v>3.4875000000000003</v>
      </c>
      <c r="BB44" s="299">
        <f t="shared" ca="1" si="76"/>
        <v>2.8771874999999985</v>
      </c>
      <c r="BC44" s="301">
        <f t="shared" si="77"/>
        <v>0.31968749999999985</v>
      </c>
      <c r="BD44" s="302">
        <f t="shared" ca="1" si="78"/>
        <v>9</v>
      </c>
      <c r="BE44" s="299">
        <f t="shared" ca="1" si="79"/>
        <v>41.239687499999995</v>
      </c>
      <c r="BF44" s="299">
        <f t="shared" si="33"/>
        <v>34.875</v>
      </c>
      <c r="BG44" s="299">
        <f t="shared" si="80"/>
        <v>3.4875000000000003</v>
      </c>
      <c r="BH44" s="299">
        <f t="shared" ca="1" si="90"/>
        <v>1.5984374999999993</v>
      </c>
      <c r="BI44" s="301">
        <f t="shared" si="81"/>
        <v>0.31968749999999985</v>
      </c>
      <c r="BJ44" s="302">
        <f t="shared" ca="1" si="82"/>
        <v>5</v>
      </c>
      <c r="BK44" s="299">
        <f t="shared" ca="1" si="83"/>
        <v>39.9609375</v>
      </c>
      <c r="BL44" s="299">
        <f t="shared" si="39"/>
        <v>196.7</v>
      </c>
      <c r="BM44" s="299">
        <f t="shared" si="40"/>
        <v>19.670000000000002</v>
      </c>
      <c r="BN44" s="299">
        <f t="shared" ca="1" si="41"/>
        <v>33.517458333333323</v>
      </c>
      <c r="BO44" s="303">
        <f t="shared" ca="1" si="50"/>
        <v>249.88745833333331</v>
      </c>
      <c r="BP44" s="304" t="s">
        <v>5914</v>
      </c>
      <c r="BQ44" s="302">
        <v>0.2</v>
      </c>
      <c r="BR44" s="299">
        <f>9000+2000</f>
        <v>11000</v>
      </c>
      <c r="BS44" s="299">
        <v>0</v>
      </c>
      <c r="BT44" s="299">
        <f t="shared" si="84"/>
        <v>11000</v>
      </c>
      <c r="BU44" s="299">
        <f>13500+2000</f>
        <v>15500</v>
      </c>
      <c r="BV44" s="299">
        <v>0</v>
      </c>
      <c r="BW44" s="299">
        <f t="shared" si="85"/>
        <v>15500</v>
      </c>
    </row>
    <row r="45" spans="1:75">
      <c r="A45" s="296">
        <v>102025035</v>
      </c>
      <c r="B45" s="297" t="s">
        <v>6054</v>
      </c>
      <c r="C45" s="295" t="s">
        <v>554</v>
      </c>
      <c r="D45" s="295" t="s">
        <v>6055</v>
      </c>
      <c r="E45" s="295" t="s">
        <v>1294</v>
      </c>
      <c r="F45" s="295" t="s">
        <v>354</v>
      </c>
      <c r="H45" s="295" t="s">
        <v>6055</v>
      </c>
      <c r="I45" s="295" t="s">
        <v>1286</v>
      </c>
      <c r="J45" s="295" t="s">
        <v>396</v>
      </c>
      <c r="O45" s="297" t="s">
        <v>6106</v>
      </c>
      <c r="P45" s="297" t="s">
        <v>6092</v>
      </c>
      <c r="Q45" s="297" t="s">
        <v>260</v>
      </c>
      <c r="V45" s="299">
        <v>0</v>
      </c>
      <c r="W45" s="299">
        <f t="shared" si="86"/>
        <v>0</v>
      </c>
      <c r="X45" s="299">
        <f t="shared" ca="1" si="51"/>
        <v>0</v>
      </c>
      <c r="Y45" s="301">
        <f t="shared" si="52"/>
        <v>0</v>
      </c>
      <c r="Z45" s="302">
        <f t="shared" ca="1" si="53"/>
        <v>41</v>
      </c>
      <c r="AA45" s="299">
        <f t="shared" ca="1" si="91"/>
        <v>0</v>
      </c>
      <c r="AB45" s="299">
        <v>0</v>
      </c>
      <c r="AC45" s="299">
        <f t="shared" si="54"/>
        <v>0</v>
      </c>
      <c r="AD45" s="299">
        <f t="shared" ca="1" si="55"/>
        <v>0</v>
      </c>
      <c r="AE45" s="301">
        <f t="shared" si="56"/>
        <v>0</v>
      </c>
      <c r="AF45" s="302">
        <f t="shared" ca="1" si="57"/>
        <v>33</v>
      </c>
      <c r="AG45" s="302">
        <f t="shared" ca="1" si="58"/>
        <v>0</v>
      </c>
      <c r="AH45" s="299">
        <f>SUM(BT45*0.0052)/2-671.41</f>
        <v>32.92999999999995</v>
      </c>
      <c r="AI45" s="299">
        <f t="shared" si="60"/>
        <v>3.2929999999999953</v>
      </c>
      <c r="AJ45" s="299">
        <f t="shared" ca="1" si="61"/>
        <v>8.7538916666666484</v>
      </c>
      <c r="AK45" s="301">
        <f t="shared" si="62"/>
        <v>0.30185833333333273</v>
      </c>
      <c r="AL45" s="302">
        <f t="shared" ca="1" si="63"/>
        <v>29</v>
      </c>
      <c r="AM45" s="299">
        <f t="shared" ca="1" si="64"/>
        <v>44.976891666666589</v>
      </c>
      <c r="AN45" s="299">
        <f t="shared" si="87"/>
        <v>904.72499999999991</v>
      </c>
      <c r="AO45" s="299">
        <f t="shared" si="65"/>
        <v>90.472499999999997</v>
      </c>
      <c r="AP45" s="299">
        <f t="shared" ca="1" si="66"/>
        <v>190.74618749999991</v>
      </c>
      <c r="AQ45" s="301">
        <f t="shared" si="67"/>
        <v>8.2933124999999954</v>
      </c>
      <c r="AR45" s="302">
        <f t="shared" ca="1" si="68"/>
        <v>23</v>
      </c>
      <c r="AS45" s="299">
        <f t="shared" ca="1" si="69"/>
        <v>1185.9436874999997</v>
      </c>
      <c r="AT45" s="299">
        <f t="shared" si="88"/>
        <v>904.72499999999991</v>
      </c>
      <c r="AU45" s="299">
        <f t="shared" si="70"/>
        <v>90.472499999999997</v>
      </c>
      <c r="AV45" s="299">
        <f t="shared" ca="1" si="71"/>
        <v>140.98631249999991</v>
      </c>
      <c r="AW45" s="301">
        <f t="shared" si="72"/>
        <v>8.2933124999999954</v>
      </c>
      <c r="AX45" s="302">
        <f t="shared" ca="1" si="73"/>
        <v>17</v>
      </c>
      <c r="AY45" s="299">
        <f t="shared" ca="1" si="74"/>
        <v>1136.1838124999997</v>
      </c>
      <c r="AZ45" s="299">
        <f t="shared" si="89"/>
        <v>904.72499999999991</v>
      </c>
      <c r="BA45" s="299">
        <f t="shared" si="75"/>
        <v>90.472499999999997</v>
      </c>
      <c r="BB45" s="299">
        <f t="shared" ca="1" si="76"/>
        <v>74.639812499999962</v>
      </c>
      <c r="BC45" s="301">
        <f t="shared" si="77"/>
        <v>8.2933124999999954</v>
      </c>
      <c r="BD45" s="302">
        <f t="shared" ca="1" si="78"/>
        <v>9</v>
      </c>
      <c r="BE45" s="299">
        <f t="shared" ca="1" si="79"/>
        <v>1069.8373124999998</v>
      </c>
      <c r="BF45" s="299">
        <f t="shared" si="33"/>
        <v>904.72499999999991</v>
      </c>
      <c r="BG45" s="299">
        <f t="shared" si="80"/>
        <v>90.472499999999997</v>
      </c>
      <c r="BH45" s="299">
        <f t="shared" ca="1" si="90"/>
        <v>41.466562499999981</v>
      </c>
      <c r="BI45" s="301">
        <f t="shared" si="81"/>
        <v>8.2933124999999954</v>
      </c>
      <c r="BJ45" s="302">
        <f t="shared" ca="1" si="82"/>
        <v>5</v>
      </c>
      <c r="BK45" s="299">
        <f t="shared" ca="1" si="83"/>
        <v>1036.6640624999998</v>
      </c>
      <c r="BL45" s="299">
        <f t="shared" si="39"/>
        <v>3651.8299999999995</v>
      </c>
      <c r="BM45" s="299">
        <f t="shared" si="40"/>
        <v>365.18299999999999</v>
      </c>
      <c r="BN45" s="299">
        <f t="shared" ca="1" si="41"/>
        <v>456.59276666666642</v>
      </c>
      <c r="BO45" s="303">
        <f t="shared" ca="1" si="50"/>
        <v>4473.6057666666657</v>
      </c>
      <c r="BP45" s="304" t="s">
        <v>5914</v>
      </c>
      <c r="BQ45" s="302">
        <v>2.2999999999999998</v>
      </c>
      <c r="BR45" s="299">
        <v>55000</v>
      </c>
      <c r="BS45" s="299">
        <v>215900</v>
      </c>
      <c r="BT45" s="299">
        <f t="shared" si="84"/>
        <v>270900</v>
      </c>
      <c r="BU45" s="299">
        <v>26900</v>
      </c>
      <c r="BV45" s="299">
        <v>375200</v>
      </c>
      <c r="BW45" s="299">
        <f t="shared" si="85"/>
        <v>402100</v>
      </c>
    </row>
    <row r="46" spans="1:75">
      <c r="A46" s="296">
        <v>102025036</v>
      </c>
      <c r="B46" s="297" t="s">
        <v>6056</v>
      </c>
      <c r="C46" s="295" t="s">
        <v>554</v>
      </c>
      <c r="D46" s="295" t="s">
        <v>6057</v>
      </c>
      <c r="E46" s="295" t="s">
        <v>6058</v>
      </c>
      <c r="F46" s="295" t="s">
        <v>396</v>
      </c>
      <c r="H46" s="295" t="s">
        <v>6057</v>
      </c>
      <c r="I46" s="295" t="s">
        <v>3020</v>
      </c>
      <c r="J46" s="295" t="s">
        <v>256</v>
      </c>
      <c r="L46" s="306" t="s">
        <v>328</v>
      </c>
      <c r="M46" s="297" t="s">
        <v>6092</v>
      </c>
      <c r="O46" s="297" t="s">
        <v>6108</v>
      </c>
      <c r="P46" s="297" t="s">
        <v>6109</v>
      </c>
      <c r="V46" s="299">
        <v>0</v>
      </c>
      <c r="W46" s="299">
        <f t="shared" si="86"/>
        <v>0</v>
      </c>
      <c r="X46" s="299">
        <f t="shared" ca="1" si="51"/>
        <v>0</v>
      </c>
      <c r="Y46" s="301">
        <f t="shared" si="52"/>
        <v>0</v>
      </c>
      <c r="Z46" s="302">
        <f t="shared" ca="1" si="53"/>
        <v>41</v>
      </c>
      <c r="AA46" s="299">
        <f t="shared" ca="1" si="91"/>
        <v>0</v>
      </c>
      <c r="AB46" s="299">
        <f>SUM(BT46*0.0052)/2</f>
        <v>421.2</v>
      </c>
      <c r="AC46" s="299">
        <f t="shared" si="54"/>
        <v>42.120000000000005</v>
      </c>
      <c r="AD46" s="299">
        <f t="shared" ca="1" si="55"/>
        <v>127.41299999999995</v>
      </c>
      <c r="AE46" s="301">
        <f t="shared" si="56"/>
        <v>3.8609999999999984</v>
      </c>
      <c r="AF46" s="302">
        <f t="shared" ca="1" si="57"/>
        <v>33</v>
      </c>
      <c r="AG46" s="302">
        <f t="shared" ca="1" si="58"/>
        <v>590.73299999999995</v>
      </c>
      <c r="AH46" s="299">
        <f>SUM(BT46*0.0052)/2</f>
        <v>421.2</v>
      </c>
      <c r="AI46" s="299">
        <f t="shared" si="60"/>
        <v>42.120000000000005</v>
      </c>
      <c r="AJ46" s="299">
        <f t="shared" ca="1" si="61"/>
        <v>111.96899999999995</v>
      </c>
      <c r="AK46" s="301">
        <f t="shared" si="62"/>
        <v>3.8609999999999984</v>
      </c>
      <c r="AL46" s="302">
        <f t="shared" ca="1" si="63"/>
        <v>29</v>
      </c>
      <c r="AM46" s="299">
        <f t="shared" ca="1" si="64"/>
        <v>575.28899999999999</v>
      </c>
      <c r="AN46" s="299">
        <f t="shared" si="87"/>
        <v>303.75</v>
      </c>
      <c r="AO46" s="299">
        <f t="shared" si="65"/>
        <v>30.375</v>
      </c>
      <c r="AP46" s="299">
        <f t="shared" ca="1" si="66"/>
        <v>64.040624999999977</v>
      </c>
      <c r="AQ46" s="301">
        <f t="shared" si="67"/>
        <v>2.7843749999999989</v>
      </c>
      <c r="AR46" s="302">
        <f t="shared" ca="1" si="68"/>
        <v>23</v>
      </c>
      <c r="AS46" s="299">
        <f t="shared" ca="1" si="69"/>
        <v>398.16562499999998</v>
      </c>
      <c r="AT46" s="299">
        <f t="shared" si="88"/>
        <v>303.75</v>
      </c>
      <c r="AU46" s="299">
        <f t="shared" si="70"/>
        <v>30.375</v>
      </c>
      <c r="AV46" s="299">
        <f t="shared" ca="1" si="71"/>
        <v>47.33437499999998</v>
      </c>
      <c r="AW46" s="301">
        <f t="shared" si="72"/>
        <v>2.7843749999999989</v>
      </c>
      <c r="AX46" s="302">
        <f t="shared" ca="1" si="73"/>
        <v>17</v>
      </c>
      <c r="AY46" s="299">
        <f t="shared" ca="1" si="74"/>
        <v>381.45937499999997</v>
      </c>
      <c r="AZ46" s="299">
        <f t="shared" si="89"/>
        <v>303.75</v>
      </c>
      <c r="BA46" s="299">
        <f t="shared" si="75"/>
        <v>30.375</v>
      </c>
      <c r="BB46" s="299">
        <f t="shared" ca="1" si="76"/>
        <v>25.059374999999989</v>
      </c>
      <c r="BC46" s="301">
        <f t="shared" si="77"/>
        <v>2.7843749999999989</v>
      </c>
      <c r="BD46" s="302">
        <f t="shared" ca="1" si="78"/>
        <v>9</v>
      </c>
      <c r="BE46" s="299">
        <f t="shared" ca="1" si="79"/>
        <v>359.18437499999999</v>
      </c>
      <c r="BF46" s="299">
        <f t="shared" si="33"/>
        <v>303.75</v>
      </c>
      <c r="BG46" s="299">
        <f t="shared" si="80"/>
        <v>30.375</v>
      </c>
      <c r="BH46" s="299">
        <f t="shared" ca="1" si="90"/>
        <v>13.921874999999995</v>
      </c>
      <c r="BI46" s="301">
        <f t="shared" si="81"/>
        <v>2.7843749999999989</v>
      </c>
      <c r="BJ46" s="302">
        <f t="shared" ca="1" si="82"/>
        <v>5</v>
      </c>
      <c r="BK46" s="299">
        <f t="shared" ca="1" si="83"/>
        <v>348.046875</v>
      </c>
      <c r="BL46" s="299">
        <f t="shared" si="39"/>
        <v>2057.4</v>
      </c>
      <c r="BM46" s="299">
        <f t="shared" si="40"/>
        <v>205.74</v>
      </c>
      <c r="BN46" s="299">
        <f t="shared" ca="1" si="41"/>
        <v>389.73824999999982</v>
      </c>
      <c r="BO46" s="303">
        <f t="shared" ca="1" si="50"/>
        <v>2652.8782500000002</v>
      </c>
      <c r="BP46" s="304" t="s">
        <v>5914</v>
      </c>
      <c r="BQ46" s="302">
        <v>1.425</v>
      </c>
      <c r="BR46" s="299">
        <v>162000</v>
      </c>
      <c r="BS46" s="299">
        <v>0</v>
      </c>
      <c r="BT46" s="299">
        <f t="shared" si="84"/>
        <v>162000</v>
      </c>
      <c r="BU46" s="299">
        <v>135000</v>
      </c>
      <c r="BV46" s="299">
        <v>0</v>
      </c>
      <c r="BW46" s="299">
        <f t="shared" si="85"/>
        <v>135000</v>
      </c>
    </row>
    <row r="47" spans="1:75">
      <c r="A47" s="296">
        <v>102025037</v>
      </c>
      <c r="B47" s="297" t="s">
        <v>6059</v>
      </c>
      <c r="C47" s="295" t="s">
        <v>311</v>
      </c>
      <c r="D47" s="295" t="s">
        <v>6114</v>
      </c>
      <c r="E47" s="295" t="s">
        <v>4022</v>
      </c>
      <c r="L47" s="306" t="s">
        <v>328</v>
      </c>
      <c r="M47" s="297" t="s">
        <v>5951</v>
      </c>
      <c r="O47" s="297" t="s">
        <v>6110</v>
      </c>
      <c r="P47" s="297" t="s">
        <v>438</v>
      </c>
      <c r="Q47" s="297" t="s">
        <v>260</v>
      </c>
      <c r="V47" s="299">
        <v>0</v>
      </c>
      <c r="W47" s="299">
        <f t="shared" si="86"/>
        <v>0</v>
      </c>
      <c r="X47" s="299">
        <f t="shared" ca="1" si="51"/>
        <v>0</v>
      </c>
      <c r="Y47" s="301">
        <f t="shared" si="52"/>
        <v>0</v>
      </c>
      <c r="Z47" s="302">
        <f t="shared" ca="1" si="53"/>
        <v>41</v>
      </c>
      <c r="AA47" s="299">
        <f t="shared" ca="1" si="91"/>
        <v>0</v>
      </c>
      <c r="AB47" s="299">
        <f>SUM(BT47*0.0052)/2</f>
        <v>17.16</v>
      </c>
      <c r="AC47" s="299">
        <f t="shared" si="54"/>
        <v>1.7160000000000002</v>
      </c>
      <c r="AD47" s="299">
        <f t="shared" ca="1" si="55"/>
        <v>5.1908999999999983</v>
      </c>
      <c r="AE47" s="301">
        <f t="shared" si="56"/>
        <v>0.15729999999999994</v>
      </c>
      <c r="AF47" s="302">
        <f t="shared" ca="1" si="57"/>
        <v>33</v>
      </c>
      <c r="AG47" s="302">
        <f t="shared" ca="1" si="58"/>
        <v>24.0669</v>
      </c>
      <c r="AH47" s="299">
        <f>SUM(BT47*0.0052)/2</f>
        <v>17.16</v>
      </c>
      <c r="AI47" s="299">
        <f t="shared" si="60"/>
        <v>1.7160000000000002</v>
      </c>
      <c r="AJ47" s="299">
        <f t="shared" ca="1" si="61"/>
        <v>4.5616999999999983</v>
      </c>
      <c r="AK47" s="301">
        <f t="shared" si="62"/>
        <v>0.15729999999999994</v>
      </c>
      <c r="AL47" s="302">
        <f t="shared" ca="1" si="63"/>
        <v>29</v>
      </c>
      <c r="AM47" s="299">
        <f t="shared" ca="1" si="64"/>
        <v>23.4377</v>
      </c>
      <c r="AN47" s="299">
        <f t="shared" si="87"/>
        <v>16.875</v>
      </c>
      <c r="AO47" s="299">
        <f t="shared" si="65"/>
        <v>1.6875</v>
      </c>
      <c r="AP47" s="299">
        <f t="shared" ca="1" si="66"/>
        <v>3.557812499999998</v>
      </c>
      <c r="AQ47" s="301">
        <f t="shared" si="67"/>
        <v>0.15468749999999992</v>
      </c>
      <c r="AR47" s="302">
        <f t="shared" ca="1" si="68"/>
        <v>23</v>
      </c>
      <c r="AS47" s="299">
        <f t="shared" ca="1" si="69"/>
        <v>22.120312499999997</v>
      </c>
      <c r="AT47" s="299">
        <f t="shared" si="88"/>
        <v>16.875</v>
      </c>
      <c r="AU47" s="299">
        <f t="shared" si="70"/>
        <v>1.6875</v>
      </c>
      <c r="AV47" s="299">
        <f t="shared" ca="1" si="71"/>
        <v>2.6296874999999988</v>
      </c>
      <c r="AW47" s="301">
        <f t="shared" si="72"/>
        <v>0.15468749999999992</v>
      </c>
      <c r="AX47" s="302">
        <f t="shared" ca="1" si="73"/>
        <v>17</v>
      </c>
      <c r="AY47" s="299">
        <f t="shared" ca="1" si="74"/>
        <v>21.192187499999999</v>
      </c>
      <c r="AZ47" s="299">
        <f t="shared" si="89"/>
        <v>16.875</v>
      </c>
      <c r="BA47" s="299">
        <f t="shared" si="75"/>
        <v>1.6875</v>
      </c>
      <c r="BB47" s="299">
        <f t="shared" ca="1" si="76"/>
        <v>1.3921874999999992</v>
      </c>
      <c r="BC47" s="301">
        <f t="shared" si="77"/>
        <v>0.15468749999999992</v>
      </c>
      <c r="BD47" s="302">
        <f t="shared" ca="1" si="78"/>
        <v>9</v>
      </c>
      <c r="BE47" s="299">
        <f t="shared" ca="1" si="79"/>
        <v>19.954687499999999</v>
      </c>
      <c r="BF47" s="299">
        <f t="shared" si="33"/>
        <v>16.875</v>
      </c>
      <c r="BG47" s="299">
        <f t="shared" si="80"/>
        <v>1.6875</v>
      </c>
      <c r="BH47" s="299">
        <f t="shared" ca="1" si="90"/>
        <v>0.77343749999999956</v>
      </c>
      <c r="BI47" s="301">
        <f t="shared" si="81"/>
        <v>0.15468749999999992</v>
      </c>
      <c r="BJ47" s="302">
        <f t="shared" ca="1" si="82"/>
        <v>5</v>
      </c>
      <c r="BK47" s="299">
        <f t="shared" ca="1" si="83"/>
        <v>19.3359375</v>
      </c>
      <c r="BL47" s="299">
        <f t="shared" si="39"/>
        <v>101.82</v>
      </c>
      <c r="BM47" s="299">
        <f t="shared" si="40"/>
        <v>10.182</v>
      </c>
      <c r="BN47" s="299">
        <f t="shared" ca="1" si="41"/>
        <v>18.105724999999993</v>
      </c>
      <c r="BO47" s="303">
        <f t="shared" ca="1" si="50"/>
        <v>130.10772499999999</v>
      </c>
      <c r="BP47" s="304" t="s">
        <v>5914</v>
      </c>
      <c r="BQ47" s="302">
        <v>0.20399999999999999</v>
      </c>
      <c r="BR47" s="299">
        <v>6600</v>
      </c>
      <c r="BS47" s="299">
        <v>0</v>
      </c>
      <c r="BT47" s="299">
        <f t="shared" si="84"/>
        <v>6600</v>
      </c>
      <c r="BU47" s="299">
        <v>7500</v>
      </c>
      <c r="BV47" s="299">
        <v>0</v>
      </c>
      <c r="BW47" s="299">
        <f t="shared" si="85"/>
        <v>7500</v>
      </c>
    </row>
    <row r="48" spans="1:75">
      <c r="V48" s="299"/>
      <c r="W48" s="299"/>
      <c r="X48" s="299"/>
      <c r="Y48" s="301"/>
      <c r="Z48" s="302"/>
      <c r="AA48" s="299"/>
      <c r="AB48" s="299"/>
      <c r="AC48" s="299"/>
      <c r="AD48" s="299"/>
      <c r="AE48" s="301"/>
      <c r="AF48" s="302"/>
      <c r="AG48" s="302"/>
      <c r="AH48" s="299"/>
      <c r="AI48" s="299"/>
      <c r="AJ48" s="299"/>
      <c r="AK48" s="301"/>
      <c r="AL48" s="302"/>
      <c r="AM48" s="299"/>
      <c r="AN48" s="299"/>
      <c r="AO48" s="299"/>
      <c r="AP48" s="299"/>
      <c r="AQ48" s="301"/>
      <c r="AR48" s="302"/>
      <c r="AS48" s="299"/>
      <c r="AT48" s="299"/>
      <c r="AU48" s="299"/>
      <c r="AV48" s="299"/>
      <c r="AW48" s="301"/>
      <c r="AX48" s="302"/>
      <c r="AY48" s="299"/>
      <c r="AZ48" s="299"/>
      <c r="BA48" s="299"/>
      <c r="BB48" s="299"/>
      <c r="BC48" s="301"/>
      <c r="BD48" s="302"/>
      <c r="BE48" s="299"/>
      <c r="BF48" s="299"/>
      <c r="BG48" s="299"/>
      <c r="BH48" s="299"/>
      <c r="BI48" s="301"/>
      <c r="BJ48" s="302"/>
      <c r="BK48" s="299"/>
      <c r="BL48" s="299"/>
      <c r="BM48" s="299"/>
      <c r="BN48" s="299"/>
      <c r="BO48" s="303"/>
      <c r="BP48" s="304"/>
      <c r="BT48" s="299"/>
      <c r="BW48" s="299"/>
    </row>
    <row r="49" spans="1:198">
      <c r="N49" s="309"/>
      <c r="P49" s="309"/>
      <c r="Q49" s="309"/>
      <c r="V49" s="299"/>
      <c r="W49" s="299"/>
      <c r="X49" s="299"/>
      <c r="Y49" s="301"/>
      <c r="Z49" s="302"/>
      <c r="AA49" s="299"/>
      <c r="AB49" s="299"/>
      <c r="AC49" s="299"/>
      <c r="AD49" s="299"/>
      <c r="AE49" s="301"/>
      <c r="AF49" s="302"/>
      <c r="AG49" s="302"/>
      <c r="AH49" s="299"/>
      <c r="AI49" s="299"/>
      <c r="AJ49" s="299"/>
      <c r="AK49" s="301"/>
      <c r="AL49" s="302"/>
      <c r="AM49" s="299"/>
      <c r="AN49" s="299"/>
      <c r="AO49" s="299"/>
      <c r="AP49" s="299"/>
      <c r="AQ49" s="301"/>
      <c r="AR49" s="302"/>
      <c r="AS49" s="299"/>
      <c r="AT49" s="299"/>
      <c r="AU49" s="299"/>
      <c r="AV49" s="299"/>
      <c r="AW49" s="301"/>
      <c r="AX49" s="302"/>
      <c r="AY49" s="299"/>
      <c r="AZ49" s="299"/>
      <c r="BA49" s="299"/>
      <c r="BB49" s="299"/>
      <c r="BC49" s="301"/>
      <c r="BD49" s="302"/>
      <c r="BE49" s="299"/>
      <c r="BF49" s="299"/>
      <c r="BG49" s="299"/>
      <c r="BH49" s="299"/>
      <c r="BI49" s="301"/>
      <c r="BJ49" s="302"/>
      <c r="BK49" s="299"/>
      <c r="BL49" s="299"/>
      <c r="BM49" s="299"/>
      <c r="BN49" s="299"/>
      <c r="BO49" s="303"/>
      <c r="BP49" s="304"/>
      <c r="BT49" s="299"/>
      <c r="BW49" s="299"/>
    </row>
    <row r="50" spans="1:198">
      <c r="A50" s="308"/>
      <c r="B50" s="306"/>
      <c r="C50" s="293"/>
      <c r="D50" s="293"/>
      <c r="E50" s="293"/>
      <c r="F50" s="293"/>
      <c r="G50" s="293"/>
      <c r="H50" s="293"/>
      <c r="I50" s="293"/>
      <c r="J50" s="293"/>
      <c r="K50" s="293"/>
      <c r="L50" s="306"/>
      <c r="M50" s="306"/>
      <c r="N50" s="306"/>
      <c r="O50" s="306"/>
      <c r="P50" s="306"/>
      <c r="Q50" s="306"/>
      <c r="R50" s="293"/>
      <c r="S50" s="293"/>
      <c r="T50" s="293"/>
      <c r="U50" s="293"/>
      <c r="V50" s="299"/>
      <c r="W50" s="299"/>
      <c r="X50" s="299"/>
      <c r="Y50" s="301"/>
      <c r="Z50" s="302"/>
      <c r="AA50" s="299"/>
      <c r="AB50" s="299"/>
      <c r="AC50" s="299"/>
      <c r="AD50" s="299"/>
      <c r="AE50" s="301"/>
      <c r="AF50" s="302"/>
      <c r="AG50" s="302"/>
      <c r="AH50" s="299"/>
      <c r="AI50" s="299"/>
      <c r="AJ50" s="299"/>
      <c r="AK50" s="301"/>
      <c r="AL50" s="302"/>
      <c r="AM50" s="299"/>
      <c r="AN50" s="299"/>
      <c r="AO50" s="299"/>
      <c r="AP50" s="299"/>
      <c r="AQ50" s="301"/>
      <c r="AR50" s="302"/>
      <c r="AS50" s="299"/>
      <c r="AT50" s="299"/>
      <c r="AU50" s="299"/>
      <c r="AV50" s="299"/>
      <c r="AW50" s="301"/>
      <c r="AX50" s="302"/>
      <c r="AY50" s="299"/>
      <c r="AZ50" s="299"/>
      <c r="BA50" s="299"/>
      <c r="BB50" s="299"/>
      <c r="BC50" s="301"/>
      <c r="BD50" s="302"/>
      <c r="BE50" s="299"/>
      <c r="BF50" s="299"/>
      <c r="BG50" s="299"/>
      <c r="BH50" s="299"/>
      <c r="BI50" s="301"/>
      <c r="BJ50" s="302"/>
      <c r="BK50" s="299"/>
      <c r="BL50" s="299"/>
      <c r="BM50" s="299"/>
      <c r="BN50" s="299"/>
      <c r="BO50" s="303"/>
      <c r="BP50" s="304"/>
      <c r="BQ50" s="302"/>
      <c r="BR50" s="299"/>
      <c r="BS50" s="299"/>
      <c r="BT50" s="299"/>
      <c r="BU50" s="299"/>
      <c r="BV50" s="299"/>
      <c r="BW50" s="299"/>
      <c r="BY50" s="293"/>
      <c r="DL50" s="293"/>
      <c r="DM50" s="293"/>
      <c r="DN50" s="293"/>
      <c r="DO50" s="293"/>
      <c r="DP50" s="293"/>
      <c r="DQ50" s="293"/>
      <c r="DW50" s="293"/>
      <c r="DX50" s="293"/>
      <c r="DY50" s="293"/>
      <c r="DZ50" s="293"/>
      <c r="EA50" s="293"/>
      <c r="EB50" s="293"/>
      <c r="EH50" s="293"/>
      <c r="EI50" s="293"/>
      <c r="EJ50" s="293"/>
      <c r="EK50" s="293"/>
      <c r="EL50" s="293"/>
      <c r="EM50" s="293"/>
      <c r="EN50" s="307"/>
      <c r="EO50" s="293"/>
      <c r="EQ50" s="293"/>
      <c r="ER50" s="293"/>
      <c r="FO50" s="293"/>
      <c r="FP50" s="293"/>
      <c r="FQ50" s="293"/>
      <c r="FR50" s="293"/>
      <c r="FS50" s="299"/>
      <c r="FT50" s="299"/>
      <c r="FU50" s="299"/>
      <c r="FV50" s="299"/>
      <c r="FW50" s="299"/>
      <c r="FX50" s="307"/>
      <c r="FY50" s="307"/>
      <c r="FZ50" s="307"/>
      <c r="GA50" s="307"/>
      <c r="GB50" s="307"/>
    </row>
    <row r="51" spans="1:198">
      <c r="L51" s="306"/>
      <c r="M51" s="306"/>
      <c r="N51" s="304"/>
      <c r="O51" s="306"/>
      <c r="P51" s="306"/>
      <c r="Q51" s="306"/>
      <c r="R51" s="293"/>
      <c r="S51" s="293"/>
      <c r="T51" s="293"/>
      <c r="U51" s="293"/>
      <c r="V51" s="299"/>
      <c r="W51" s="299"/>
      <c r="X51" s="299"/>
      <c r="Y51" s="301"/>
      <c r="Z51" s="302"/>
      <c r="AA51" s="299"/>
      <c r="AB51" s="299"/>
      <c r="AC51" s="299"/>
      <c r="AD51" s="299"/>
      <c r="AE51" s="301"/>
      <c r="AF51" s="302"/>
      <c r="AG51" s="302"/>
      <c r="AH51" s="299"/>
      <c r="AI51" s="299"/>
      <c r="AJ51" s="299"/>
      <c r="AK51" s="301"/>
      <c r="AL51" s="302"/>
      <c r="AM51" s="299"/>
      <c r="AN51" s="299"/>
      <c r="AO51" s="299"/>
      <c r="AP51" s="299"/>
      <c r="AQ51" s="301"/>
      <c r="AR51" s="302"/>
      <c r="AS51" s="299"/>
      <c r="AT51" s="299"/>
      <c r="AU51" s="299"/>
      <c r="AV51" s="299"/>
      <c r="AW51" s="301"/>
      <c r="AX51" s="302"/>
      <c r="AY51" s="299"/>
      <c r="AZ51" s="299"/>
      <c r="BA51" s="299"/>
      <c r="BB51" s="299"/>
      <c r="BC51" s="301"/>
      <c r="BD51" s="302"/>
      <c r="BE51" s="299"/>
      <c r="BF51" s="299"/>
      <c r="BG51" s="299"/>
      <c r="BH51" s="299"/>
      <c r="BI51" s="301"/>
      <c r="BJ51" s="302"/>
      <c r="BK51" s="299"/>
      <c r="BL51" s="299"/>
      <c r="BM51" s="299"/>
      <c r="BN51" s="299"/>
      <c r="BO51" s="303"/>
      <c r="BP51" s="304"/>
      <c r="BQ51" s="302"/>
      <c r="BR51" s="299"/>
      <c r="BS51" s="299"/>
      <c r="BT51" s="299"/>
      <c r="BU51" s="299"/>
      <c r="BV51" s="299"/>
      <c r="BW51" s="299"/>
      <c r="BX51" s="293"/>
      <c r="BY51" s="293"/>
      <c r="BZ51" s="293"/>
      <c r="CA51" s="293"/>
      <c r="CB51" s="293"/>
      <c r="CC51" s="293"/>
      <c r="CD51" s="293"/>
      <c r="CE51" s="293"/>
      <c r="CF51" s="293"/>
      <c r="CG51" s="293"/>
      <c r="CH51" s="293"/>
      <c r="CI51" s="293"/>
      <c r="CJ51" s="293"/>
      <c r="CK51" s="293"/>
      <c r="CL51" s="293"/>
      <c r="CM51" s="293"/>
      <c r="CN51" s="293"/>
      <c r="CO51" s="293"/>
      <c r="CP51" s="293"/>
      <c r="CQ51" s="293"/>
      <c r="CR51" s="293"/>
      <c r="CS51" s="293"/>
      <c r="CT51" s="293"/>
      <c r="CU51" s="293"/>
      <c r="CV51" s="293"/>
      <c r="CW51" s="293"/>
      <c r="CX51" s="293"/>
      <c r="CY51" s="293"/>
      <c r="CZ51" s="293"/>
      <c r="DA51" s="293"/>
      <c r="DB51" s="307"/>
      <c r="DD51" s="293"/>
      <c r="DE51" s="293"/>
      <c r="DF51" s="293"/>
      <c r="DG51" s="293"/>
      <c r="DH51" s="293"/>
      <c r="DI51" s="307"/>
      <c r="DJ51" s="293"/>
      <c r="DK51" s="293"/>
      <c r="DT51" s="293"/>
      <c r="DU51" s="293"/>
      <c r="DV51" s="293"/>
      <c r="EC51" s="307"/>
      <c r="ED51" s="293"/>
      <c r="EE51" s="293"/>
      <c r="EF51" s="293"/>
      <c r="EG51" s="293"/>
      <c r="EH51" s="293"/>
      <c r="EI51" s="293"/>
      <c r="EJ51" s="293"/>
      <c r="EK51" s="293"/>
      <c r="EL51" s="293"/>
      <c r="EM51" s="293"/>
      <c r="EN51" s="307"/>
      <c r="EO51" s="293"/>
      <c r="EP51" s="293"/>
      <c r="EQ51" s="293"/>
      <c r="ER51" s="293"/>
      <c r="ES51" s="293"/>
      <c r="ET51" s="293"/>
      <c r="EU51" s="293"/>
      <c r="EV51" s="307"/>
      <c r="EW51" s="293"/>
      <c r="EX51" s="293"/>
      <c r="EY51" s="293"/>
      <c r="EZ51" s="293"/>
      <c r="FA51" s="293"/>
      <c r="FB51" s="293"/>
      <c r="FC51" s="293"/>
      <c r="FD51" s="307"/>
      <c r="FE51" s="293"/>
      <c r="FF51" s="293"/>
      <c r="FG51" s="293"/>
      <c r="FH51" s="293"/>
      <c r="FI51" s="293"/>
      <c r="FJ51" s="293"/>
      <c r="FK51" s="293"/>
      <c r="FL51" s="307"/>
      <c r="FM51" s="299"/>
      <c r="FN51" s="299"/>
      <c r="FO51" s="293"/>
      <c r="FP51" s="293"/>
      <c r="FQ51" s="293"/>
      <c r="FR51" s="293"/>
      <c r="FS51" s="299"/>
      <c r="FT51" s="299"/>
      <c r="FU51" s="299"/>
      <c r="FV51" s="299"/>
      <c r="FW51" s="299"/>
      <c r="FX51" s="307"/>
      <c r="FY51" s="307"/>
      <c r="FZ51" s="307"/>
      <c r="GA51" s="307"/>
      <c r="GB51" s="307"/>
      <c r="GC51" s="307"/>
    </row>
    <row r="52" spans="1:198">
      <c r="B52" s="309"/>
      <c r="V52" s="299"/>
      <c r="W52" s="299"/>
      <c r="X52" s="299"/>
      <c r="Y52" s="301"/>
      <c r="Z52" s="302"/>
      <c r="AA52" s="299"/>
      <c r="AB52" s="299"/>
      <c r="AC52" s="299"/>
      <c r="AD52" s="299"/>
      <c r="AE52" s="301"/>
      <c r="AF52" s="302"/>
      <c r="AG52" s="302"/>
      <c r="AH52" s="299"/>
      <c r="AI52" s="299"/>
      <c r="AJ52" s="299"/>
      <c r="AK52" s="301"/>
      <c r="AL52" s="302"/>
      <c r="AM52" s="299"/>
      <c r="AN52" s="299"/>
      <c r="AO52" s="299"/>
      <c r="AP52" s="299"/>
      <c r="AQ52" s="301"/>
      <c r="AR52" s="302"/>
      <c r="AS52" s="299"/>
      <c r="AT52" s="299"/>
      <c r="AU52" s="299"/>
      <c r="AV52" s="299"/>
      <c r="AW52" s="301"/>
      <c r="AX52" s="302"/>
      <c r="AY52" s="299"/>
      <c r="AZ52" s="299"/>
      <c r="BA52" s="299"/>
      <c r="BB52" s="299"/>
      <c r="BC52" s="301"/>
      <c r="BD52" s="302"/>
      <c r="BE52" s="299"/>
      <c r="BF52" s="299"/>
      <c r="BG52" s="299"/>
      <c r="BH52" s="299"/>
      <c r="BI52" s="301"/>
      <c r="BJ52" s="302"/>
      <c r="BK52" s="299"/>
      <c r="BL52" s="299"/>
      <c r="BM52" s="299"/>
      <c r="BN52" s="299"/>
      <c r="BO52" s="303"/>
      <c r="BP52" s="304"/>
      <c r="BQ52" s="302"/>
      <c r="BR52" s="299"/>
      <c r="BS52" s="299"/>
      <c r="BT52" s="299"/>
      <c r="BU52" s="299"/>
      <c r="BV52" s="299"/>
      <c r="BW52" s="299"/>
      <c r="GC52" s="307"/>
    </row>
    <row r="53" spans="1:198" s="306" customFormat="1">
      <c r="A53" s="308"/>
      <c r="C53" s="293"/>
      <c r="D53" s="293"/>
      <c r="E53" s="293"/>
      <c r="F53" s="293"/>
      <c r="G53" s="293"/>
      <c r="H53" s="293"/>
      <c r="I53" s="293"/>
      <c r="J53" s="293"/>
      <c r="K53" s="293"/>
      <c r="R53" s="293"/>
      <c r="S53" s="293"/>
      <c r="T53" s="294"/>
      <c r="U53" s="293"/>
      <c r="V53" s="299"/>
      <c r="W53" s="299"/>
      <c r="X53" s="299"/>
      <c r="Y53" s="301"/>
      <c r="Z53" s="302"/>
      <c r="AA53" s="299"/>
      <c r="AB53" s="299"/>
      <c r="AC53" s="299"/>
      <c r="AD53" s="299"/>
      <c r="AE53" s="301"/>
      <c r="AF53" s="302"/>
      <c r="AG53" s="302"/>
      <c r="AH53" s="299"/>
      <c r="AI53" s="299"/>
      <c r="AJ53" s="299"/>
      <c r="AK53" s="301"/>
      <c r="AL53" s="302"/>
      <c r="AM53" s="299"/>
      <c r="AN53" s="299"/>
      <c r="AO53" s="299"/>
      <c r="AP53" s="299"/>
      <c r="AQ53" s="301"/>
      <c r="AR53" s="302"/>
      <c r="AS53" s="299"/>
      <c r="AT53" s="299"/>
      <c r="AU53" s="299"/>
      <c r="AV53" s="299"/>
      <c r="AW53" s="301"/>
      <c r="AX53" s="302"/>
      <c r="AY53" s="299"/>
      <c r="AZ53" s="299"/>
      <c r="BA53" s="299"/>
      <c r="BB53" s="299"/>
      <c r="BC53" s="301"/>
      <c r="BD53" s="302"/>
      <c r="BE53" s="299"/>
      <c r="BF53" s="299"/>
      <c r="BG53" s="299"/>
      <c r="BH53" s="299"/>
      <c r="BI53" s="301"/>
      <c r="BJ53" s="302"/>
      <c r="BK53" s="299"/>
      <c r="BL53" s="299"/>
      <c r="BM53" s="299"/>
      <c r="BN53" s="299"/>
      <c r="BO53" s="303"/>
      <c r="BP53" s="304"/>
      <c r="BQ53" s="302"/>
      <c r="BR53" s="299"/>
      <c r="BS53" s="299"/>
      <c r="BT53" s="299"/>
      <c r="BU53" s="299"/>
      <c r="BV53" s="299"/>
      <c r="BW53" s="299"/>
      <c r="BX53" s="313"/>
      <c r="BY53" s="313"/>
      <c r="BZ53" s="313"/>
      <c r="CA53" s="313"/>
      <c r="CB53" s="313"/>
      <c r="CC53" s="313"/>
      <c r="CD53" s="293"/>
      <c r="CE53" s="293"/>
      <c r="CF53" s="293"/>
      <c r="CG53" s="293"/>
      <c r="CH53" s="293"/>
      <c r="CI53" s="293"/>
      <c r="CJ53" s="293"/>
      <c r="CK53" s="293"/>
      <c r="CL53" s="293"/>
      <c r="CM53" s="293"/>
      <c r="CN53" s="293"/>
      <c r="CO53" s="293"/>
      <c r="CP53" s="293"/>
      <c r="CQ53" s="293"/>
      <c r="CR53" s="293"/>
      <c r="CS53" s="293"/>
      <c r="CT53" s="293"/>
      <c r="CU53" s="293"/>
      <c r="CV53" s="293"/>
      <c r="CW53" s="293"/>
      <c r="CX53" s="293"/>
      <c r="CY53" s="293"/>
      <c r="CZ53" s="293"/>
      <c r="DA53" s="293"/>
      <c r="DB53" s="307"/>
      <c r="DC53" s="293"/>
      <c r="DD53" s="293"/>
      <c r="DE53" s="293"/>
      <c r="DF53" s="293"/>
      <c r="DG53" s="293"/>
      <c r="DH53" s="293"/>
      <c r="DI53" s="307"/>
      <c r="DJ53" s="293"/>
      <c r="DK53" s="293"/>
      <c r="DL53" s="293"/>
      <c r="DM53" s="293"/>
      <c r="DN53" s="293"/>
      <c r="DO53" s="293"/>
      <c r="DP53" s="293"/>
      <c r="DQ53" s="293"/>
      <c r="DR53" s="307"/>
      <c r="DS53" s="293"/>
      <c r="DT53" s="293"/>
      <c r="DU53" s="293"/>
      <c r="DV53" s="293"/>
      <c r="DW53" s="293"/>
      <c r="DX53" s="293"/>
      <c r="DY53" s="293"/>
      <c r="DZ53" s="293"/>
      <c r="EA53" s="293"/>
      <c r="EB53" s="293"/>
      <c r="EC53" s="307"/>
      <c r="ED53" s="293"/>
      <c r="EE53" s="293"/>
      <c r="EF53" s="293"/>
      <c r="EG53" s="293"/>
      <c r="EH53" s="293"/>
      <c r="EI53" s="293"/>
      <c r="EJ53" s="293"/>
      <c r="EK53" s="293"/>
      <c r="EL53" s="293"/>
      <c r="EM53" s="293"/>
      <c r="EN53" s="307"/>
      <c r="EO53" s="293"/>
      <c r="EP53" s="293"/>
      <c r="EQ53" s="293"/>
      <c r="ER53" s="293"/>
      <c r="ES53" s="293"/>
      <c r="ET53" s="293"/>
      <c r="EU53" s="293"/>
      <c r="EV53" s="307"/>
      <c r="EW53" s="293"/>
      <c r="EX53" s="293"/>
      <c r="EY53" s="293"/>
      <c r="EZ53" s="293"/>
      <c r="FA53" s="293"/>
      <c r="FB53" s="293"/>
      <c r="FC53" s="293"/>
      <c r="FD53" s="307"/>
      <c r="FE53" s="293"/>
      <c r="FF53" s="293"/>
      <c r="FG53" s="293"/>
      <c r="FH53" s="293"/>
      <c r="FI53" s="293"/>
      <c r="FJ53" s="293"/>
      <c r="FK53" s="293"/>
      <c r="FL53" s="307"/>
      <c r="FM53" s="299"/>
      <c r="FN53" s="299"/>
      <c r="FO53" s="293"/>
      <c r="FP53" s="293"/>
      <c r="FQ53" s="293"/>
      <c r="FR53" s="293"/>
      <c r="FS53" s="299"/>
      <c r="FT53" s="299"/>
      <c r="FU53" s="299"/>
      <c r="FV53" s="299"/>
      <c r="FW53" s="299"/>
      <c r="FX53" s="307"/>
      <c r="FY53" s="307"/>
      <c r="FZ53" s="307"/>
      <c r="GA53" s="307"/>
      <c r="GB53" s="307"/>
      <c r="GC53" s="297"/>
      <c r="GD53" s="297"/>
      <c r="GE53" s="297"/>
      <c r="GF53" s="297"/>
      <c r="GG53" s="297"/>
      <c r="GH53" s="297"/>
      <c r="GI53" s="297"/>
      <c r="GJ53" s="297"/>
      <c r="GK53" s="297"/>
      <c r="GL53" s="297"/>
      <c r="GM53" s="297"/>
      <c r="GN53" s="297"/>
      <c r="GO53" s="297"/>
      <c r="GP53" s="297"/>
    </row>
    <row r="54" spans="1:198">
      <c r="A54" s="308"/>
      <c r="L54" s="306"/>
      <c r="M54" s="306"/>
      <c r="V54" s="299"/>
      <c r="W54" s="299"/>
      <c r="X54" s="299"/>
      <c r="Y54" s="301"/>
      <c r="Z54" s="302"/>
      <c r="AA54" s="299"/>
      <c r="AB54" s="299"/>
      <c r="AC54" s="299"/>
      <c r="AD54" s="299"/>
      <c r="AE54" s="301"/>
      <c r="AF54" s="302"/>
      <c r="AG54" s="302"/>
      <c r="AH54" s="299"/>
      <c r="AI54" s="299"/>
      <c r="AJ54" s="299"/>
      <c r="AK54" s="301"/>
      <c r="AL54" s="302"/>
      <c r="AM54" s="299"/>
      <c r="AN54" s="299"/>
      <c r="AO54" s="299"/>
      <c r="AP54" s="299"/>
      <c r="AQ54" s="301"/>
      <c r="AR54" s="302"/>
      <c r="AS54" s="299"/>
      <c r="AT54" s="299"/>
      <c r="AU54" s="299"/>
      <c r="AV54" s="299"/>
      <c r="AW54" s="301"/>
      <c r="AX54" s="302"/>
      <c r="AY54" s="299"/>
      <c r="AZ54" s="299"/>
      <c r="BA54" s="299"/>
      <c r="BB54" s="299"/>
      <c r="BC54" s="301"/>
      <c r="BD54" s="302"/>
      <c r="BE54" s="299"/>
      <c r="BF54" s="299"/>
      <c r="BG54" s="299"/>
      <c r="BH54" s="299"/>
      <c r="BI54" s="301"/>
      <c r="BJ54" s="302"/>
      <c r="BK54" s="299"/>
      <c r="BL54" s="299"/>
      <c r="BM54" s="299"/>
      <c r="BN54" s="299"/>
      <c r="BO54" s="303"/>
      <c r="BP54" s="304"/>
      <c r="BT54" s="299"/>
      <c r="BU54" s="299"/>
      <c r="BV54" s="299"/>
      <c r="BW54" s="299"/>
      <c r="FU54" s="299"/>
      <c r="FV54" s="299"/>
      <c r="FW54" s="299"/>
      <c r="GC54" s="307"/>
    </row>
    <row r="55" spans="1:198">
      <c r="A55" s="308"/>
      <c r="L55" s="306"/>
      <c r="M55" s="306"/>
      <c r="V55" s="299"/>
      <c r="W55" s="299"/>
      <c r="X55" s="299"/>
      <c r="Y55" s="301"/>
      <c r="Z55" s="302"/>
      <c r="AA55" s="299"/>
      <c r="AB55" s="299"/>
      <c r="AC55" s="299"/>
      <c r="AD55" s="299"/>
      <c r="AE55" s="301"/>
      <c r="AF55" s="302"/>
      <c r="AG55" s="302"/>
      <c r="AH55" s="299"/>
      <c r="AI55" s="299"/>
      <c r="AJ55" s="299"/>
      <c r="AK55" s="301"/>
      <c r="AL55" s="302"/>
      <c r="AM55" s="299"/>
      <c r="AN55" s="299"/>
      <c r="AO55" s="299"/>
      <c r="AP55" s="299"/>
      <c r="AQ55" s="301"/>
      <c r="AR55" s="302"/>
      <c r="AS55" s="299"/>
      <c r="AT55" s="299"/>
      <c r="AU55" s="299"/>
      <c r="AV55" s="299"/>
      <c r="AW55" s="301"/>
      <c r="AX55" s="302"/>
      <c r="AY55" s="299"/>
      <c r="AZ55" s="299"/>
      <c r="BA55" s="299"/>
      <c r="BB55" s="299"/>
      <c r="BC55" s="301"/>
      <c r="BD55" s="302"/>
      <c r="BE55" s="299"/>
      <c r="BF55" s="299"/>
      <c r="BG55" s="299"/>
      <c r="BH55" s="299"/>
      <c r="BI55" s="301"/>
      <c r="BJ55" s="302"/>
      <c r="BK55" s="299"/>
      <c r="BL55" s="299"/>
      <c r="BM55" s="299"/>
      <c r="BN55" s="299"/>
      <c r="BO55" s="303"/>
      <c r="BP55" s="304"/>
      <c r="BT55" s="299"/>
      <c r="BU55" s="299"/>
      <c r="BV55" s="299"/>
      <c r="BW55" s="299"/>
      <c r="FU55" s="299"/>
      <c r="FV55" s="299"/>
      <c r="FW55" s="299"/>
    </row>
    <row r="56" spans="1:198">
      <c r="A56" s="308"/>
      <c r="L56" s="306"/>
      <c r="M56" s="306"/>
      <c r="V56" s="299"/>
      <c r="W56" s="299"/>
      <c r="X56" s="299"/>
      <c r="Y56" s="301"/>
      <c r="Z56" s="302"/>
      <c r="AA56" s="299"/>
      <c r="AB56" s="299"/>
      <c r="AC56" s="299"/>
      <c r="AD56" s="299"/>
      <c r="AE56" s="301"/>
      <c r="AF56" s="302"/>
      <c r="AG56" s="302"/>
      <c r="AH56" s="299"/>
      <c r="AI56" s="299"/>
      <c r="AJ56" s="299"/>
      <c r="AK56" s="301"/>
      <c r="AL56" s="302"/>
      <c r="AM56" s="299"/>
      <c r="AN56" s="299"/>
      <c r="AO56" s="299"/>
      <c r="AP56" s="299"/>
      <c r="AQ56" s="301"/>
      <c r="AR56" s="302"/>
      <c r="AS56" s="299"/>
      <c r="AT56" s="299"/>
      <c r="AU56" s="299"/>
      <c r="AV56" s="299"/>
      <c r="AW56" s="301"/>
      <c r="AX56" s="302"/>
      <c r="AY56" s="299"/>
      <c r="AZ56" s="299"/>
      <c r="BA56" s="299"/>
      <c r="BB56" s="299"/>
      <c r="BC56" s="301"/>
      <c r="BD56" s="302"/>
      <c r="BE56" s="299"/>
      <c r="BF56" s="299"/>
      <c r="BG56" s="299"/>
      <c r="BH56" s="299"/>
      <c r="BI56" s="301"/>
      <c r="BJ56" s="302"/>
      <c r="BK56" s="299"/>
      <c r="BL56" s="299"/>
      <c r="BM56" s="299"/>
      <c r="BN56" s="299"/>
      <c r="BO56" s="303"/>
      <c r="BP56" s="304"/>
      <c r="BT56" s="299"/>
      <c r="BU56" s="299"/>
      <c r="BV56" s="299"/>
      <c r="BW56" s="299"/>
      <c r="FU56" s="299"/>
      <c r="FV56" s="299"/>
      <c r="FW56" s="299"/>
      <c r="GC56" s="307"/>
    </row>
    <row r="57" spans="1:198">
      <c r="A57" s="308"/>
      <c r="L57" s="306"/>
      <c r="M57" s="306"/>
      <c r="V57" s="299"/>
      <c r="W57" s="299"/>
      <c r="X57" s="299"/>
      <c r="Y57" s="301"/>
      <c r="Z57" s="302"/>
      <c r="AA57" s="299"/>
      <c r="AB57" s="299"/>
      <c r="AC57" s="299"/>
      <c r="AD57" s="299"/>
      <c r="AE57" s="301"/>
      <c r="AF57" s="302"/>
      <c r="AG57" s="302"/>
      <c r="AH57" s="299"/>
      <c r="AI57" s="299"/>
      <c r="AJ57" s="299"/>
      <c r="AK57" s="301"/>
      <c r="AL57" s="302"/>
      <c r="AM57" s="299"/>
      <c r="AN57" s="299"/>
      <c r="AO57" s="299"/>
      <c r="AP57" s="299"/>
      <c r="AQ57" s="301"/>
      <c r="AR57" s="302"/>
      <c r="AS57" s="299"/>
      <c r="AT57" s="299"/>
      <c r="AU57" s="299"/>
      <c r="AV57" s="299"/>
      <c r="AW57" s="301"/>
      <c r="AX57" s="302"/>
      <c r="AY57" s="299"/>
      <c r="AZ57" s="299"/>
      <c r="BA57" s="299"/>
      <c r="BB57" s="299"/>
      <c r="BC57" s="301"/>
      <c r="BD57" s="302"/>
      <c r="BE57" s="299"/>
      <c r="BF57" s="299"/>
      <c r="BG57" s="299"/>
      <c r="BH57" s="299"/>
      <c r="BI57" s="301"/>
      <c r="BJ57" s="302"/>
      <c r="BK57" s="299"/>
      <c r="BL57" s="299"/>
      <c r="BM57" s="299"/>
      <c r="BN57" s="299"/>
      <c r="BO57" s="303"/>
      <c r="BP57" s="304"/>
      <c r="BT57" s="299"/>
      <c r="BU57" s="299"/>
      <c r="BV57" s="299"/>
      <c r="BW57" s="299"/>
      <c r="FU57" s="299"/>
      <c r="FV57" s="299"/>
      <c r="FW57" s="299"/>
    </row>
    <row r="58" spans="1:198">
      <c r="A58" s="308"/>
      <c r="L58" s="306"/>
      <c r="M58" s="306"/>
      <c r="V58" s="299"/>
      <c r="W58" s="299"/>
      <c r="X58" s="299"/>
      <c r="Y58" s="301"/>
      <c r="Z58" s="302"/>
      <c r="AA58" s="299"/>
      <c r="AB58" s="299"/>
      <c r="AC58" s="299"/>
      <c r="AD58" s="299"/>
      <c r="AE58" s="301"/>
      <c r="AF58" s="302"/>
      <c r="AG58" s="302"/>
      <c r="AH58" s="299"/>
      <c r="AI58" s="299"/>
      <c r="AJ58" s="299"/>
      <c r="AK58" s="301"/>
      <c r="AL58" s="302"/>
      <c r="AM58" s="299"/>
      <c r="AN58" s="299"/>
      <c r="AO58" s="299"/>
      <c r="AP58" s="299"/>
      <c r="AQ58" s="301"/>
      <c r="AR58" s="302"/>
      <c r="AS58" s="299"/>
      <c r="AT58" s="299"/>
      <c r="AU58" s="299"/>
      <c r="AV58" s="299"/>
      <c r="AW58" s="301"/>
      <c r="AX58" s="302"/>
      <c r="AY58" s="299"/>
      <c r="AZ58" s="299"/>
      <c r="BA58" s="299"/>
      <c r="BB58" s="299"/>
      <c r="BC58" s="301"/>
      <c r="BD58" s="302"/>
      <c r="BE58" s="299"/>
      <c r="BF58" s="299"/>
      <c r="BG58" s="299"/>
      <c r="BH58" s="299"/>
      <c r="BI58" s="301"/>
      <c r="BJ58" s="302"/>
      <c r="BK58" s="299"/>
      <c r="BL58" s="299"/>
      <c r="BM58" s="299"/>
      <c r="BN58" s="299"/>
      <c r="BO58" s="303"/>
      <c r="BP58" s="304"/>
      <c r="BT58" s="299"/>
      <c r="BU58" s="299"/>
      <c r="BV58" s="299"/>
      <c r="BW58" s="299"/>
      <c r="FU58" s="299"/>
      <c r="FV58" s="299"/>
      <c r="FW58" s="299"/>
      <c r="GC58" s="307"/>
    </row>
    <row r="59" spans="1:198">
      <c r="A59" s="308"/>
      <c r="L59" s="306"/>
      <c r="M59" s="306"/>
      <c r="V59" s="299"/>
      <c r="W59" s="299"/>
      <c r="X59" s="299"/>
      <c r="Y59" s="301"/>
      <c r="Z59" s="302"/>
      <c r="AA59" s="299"/>
      <c r="AB59" s="299"/>
      <c r="AC59" s="299"/>
      <c r="AD59" s="299"/>
      <c r="AE59" s="301"/>
      <c r="AF59" s="302"/>
      <c r="AG59" s="302"/>
      <c r="AH59" s="299"/>
      <c r="AI59" s="299"/>
      <c r="AJ59" s="299"/>
      <c r="AK59" s="301"/>
      <c r="AL59" s="302"/>
      <c r="AM59" s="299"/>
      <c r="AN59" s="299"/>
      <c r="AO59" s="299"/>
      <c r="AP59" s="299"/>
      <c r="AQ59" s="301"/>
      <c r="AR59" s="302"/>
      <c r="AS59" s="299"/>
      <c r="AT59" s="299"/>
      <c r="AU59" s="299"/>
      <c r="AV59" s="299"/>
      <c r="AW59" s="301"/>
      <c r="AX59" s="302"/>
      <c r="AY59" s="299"/>
      <c r="AZ59" s="299"/>
      <c r="BA59" s="299"/>
      <c r="BB59" s="299"/>
      <c r="BC59" s="301"/>
      <c r="BD59" s="302"/>
      <c r="BE59" s="299"/>
      <c r="BF59" s="299"/>
      <c r="BG59" s="299"/>
      <c r="BH59" s="299"/>
      <c r="BI59" s="301"/>
      <c r="BJ59" s="302"/>
      <c r="BK59" s="299"/>
      <c r="BL59" s="299"/>
      <c r="BM59" s="299"/>
      <c r="BN59" s="299"/>
      <c r="BO59" s="303"/>
      <c r="BP59" s="304"/>
      <c r="BT59" s="299"/>
      <c r="BU59" s="299"/>
      <c r="BV59" s="299"/>
      <c r="BW59" s="299"/>
      <c r="FU59" s="299"/>
      <c r="FV59" s="299"/>
      <c r="FW59" s="299"/>
    </row>
    <row r="60" spans="1:198">
      <c r="P60" s="309"/>
      <c r="Q60" s="309"/>
      <c r="V60" s="299"/>
      <c r="W60" s="299"/>
      <c r="X60" s="299"/>
      <c r="Y60" s="301"/>
      <c r="Z60" s="302"/>
      <c r="AA60" s="299"/>
      <c r="AB60" s="299"/>
      <c r="AC60" s="299"/>
      <c r="AD60" s="299"/>
      <c r="AE60" s="301"/>
      <c r="AF60" s="302"/>
      <c r="AG60" s="302"/>
      <c r="AH60" s="299"/>
      <c r="AI60" s="299"/>
      <c r="AJ60" s="299"/>
      <c r="AK60" s="301"/>
      <c r="AL60" s="302"/>
      <c r="AM60" s="299"/>
      <c r="AN60" s="299"/>
      <c r="AO60" s="299"/>
      <c r="AP60" s="299"/>
      <c r="AQ60" s="301"/>
      <c r="AR60" s="302"/>
      <c r="AS60" s="299"/>
      <c r="AT60" s="299"/>
      <c r="AU60" s="299"/>
      <c r="AV60" s="299"/>
      <c r="AW60" s="301"/>
      <c r="AX60" s="302"/>
      <c r="AY60" s="299"/>
      <c r="AZ60" s="299"/>
      <c r="BA60" s="299"/>
      <c r="BB60" s="299"/>
      <c r="BC60" s="301"/>
      <c r="BD60" s="302"/>
      <c r="BE60" s="299"/>
      <c r="BF60" s="299"/>
      <c r="BG60" s="299"/>
      <c r="BH60" s="299"/>
      <c r="BI60" s="301"/>
      <c r="BJ60" s="302"/>
      <c r="BK60" s="299"/>
      <c r="BL60" s="299"/>
      <c r="BM60" s="299"/>
      <c r="BN60" s="299"/>
      <c r="BO60" s="303"/>
      <c r="BP60" s="304"/>
      <c r="BT60" s="299"/>
      <c r="BW60" s="299"/>
      <c r="BX60" s="314"/>
      <c r="CF60" s="315"/>
      <c r="CG60" s="315"/>
      <c r="CH60" s="315"/>
      <c r="FU60" s="299"/>
      <c r="FV60" s="299"/>
      <c r="FW60" s="299"/>
    </row>
    <row r="61" spans="1:198">
      <c r="A61" s="316"/>
      <c r="B61" s="306"/>
      <c r="C61" s="293"/>
      <c r="D61" s="293"/>
      <c r="E61" s="293"/>
      <c r="F61" s="293"/>
      <c r="G61" s="293"/>
      <c r="H61" s="293"/>
      <c r="I61" s="293"/>
      <c r="J61" s="293"/>
      <c r="K61" s="293"/>
      <c r="L61" s="306"/>
      <c r="M61" s="306"/>
      <c r="N61" s="306"/>
      <c r="O61" s="306"/>
      <c r="P61" s="306"/>
      <c r="Q61" s="306"/>
      <c r="V61" s="303"/>
      <c r="W61" s="303"/>
      <c r="X61" s="303"/>
      <c r="Y61" s="310"/>
      <c r="Z61" s="302"/>
      <c r="AA61" s="303"/>
      <c r="AB61" s="303"/>
      <c r="AC61" s="303"/>
      <c r="AD61" s="303"/>
      <c r="AE61" s="310"/>
      <c r="AF61" s="302"/>
      <c r="AG61" s="311"/>
      <c r="AH61" s="303"/>
      <c r="AI61" s="303"/>
      <c r="AJ61" s="303"/>
      <c r="AK61" s="310"/>
      <c r="AL61" s="302"/>
      <c r="AM61" s="303"/>
      <c r="AN61" s="299"/>
      <c r="AO61" s="303"/>
      <c r="AP61" s="303"/>
      <c r="AQ61" s="301"/>
      <c r="AR61" s="302"/>
      <c r="AS61" s="299"/>
      <c r="AT61" s="299"/>
      <c r="AU61" s="299"/>
      <c r="AV61" s="299"/>
      <c r="AW61" s="301"/>
      <c r="AX61" s="302"/>
      <c r="AY61" s="299"/>
      <c r="AZ61" s="299"/>
      <c r="BA61" s="299"/>
      <c r="BB61" s="299"/>
      <c r="BC61" s="301"/>
      <c r="BD61" s="302"/>
      <c r="BE61" s="299"/>
      <c r="BF61" s="299"/>
      <c r="BG61" s="299"/>
      <c r="BH61" s="299"/>
      <c r="BI61" s="301"/>
      <c r="BJ61" s="302"/>
      <c r="BK61" s="299"/>
      <c r="BL61" s="299"/>
      <c r="BM61" s="299"/>
      <c r="BN61" s="299"/>
      <c r="BO61" s="303"/>
      <c r="BP61" s="306"/>
      <c r="BQ61" s="302"/>
      <c r="BR61" s="299"/>
      <c r="BS61" s="299"/>
      <c r="BT61" s="299"/>
      <c r="BU61" s="299"/>
      <c r="BV61" s="299"/>
      <c r="BW61" s="299"/>
      <c r="FU61" s="299"/>
      <c r="FV61" s="299"/>
      <c r="FW61" s="299"/>
      <c r="GC61" s="307"/>
    </row>
    <row r="62" spans="1:198">
      <c r="V62" s="299"/>
      <c r="W62" s="299"/>
      <c r="X62" s="299"/>
      <c r="Y62" s="301"/>
      <c r="Z62" s="302"/>
      <c r="AA62" s="299"/>
      <c r="AB62" s="299"/>
      <c r="AC62" s="299"/>
      <c r="AD62" s="299"/>
      <c r="AE62" s="301"/>
      <c r="AF62" s="302"/>
      <c r="AG62" s="302"/>
      <c r="AH62" s="299"/>
      <c r="AI62" s="299"/>
      <c r="AJ62" s="299"/>
      <c r="AK62" s="301"/>
      <c r="AL62" s="302"/>
      <c r="AM62" s="299"/>
      <c r="AN62" s="299"/>
      <c r="AO62" s="299"/>
      <c r="AP62" s="299"/>
      <c r="AQ62" s="301"/>
      <c r="AR62" s="302"/>
      <c r="AS62" s="299"/>
      <c r="AT62" s="299"/>
      <c r="AU62" s="299"/>
      <c r="AV62" s="299"/>
      <c r="AW62" s="301"/>
      <c r="AX62" s="302"/>
      <c r="AY62" s="299"/>
      <c r="AZ62" s="299"/>
      <c r="BA62" s="299"/>
      <c r="BB62" s="299"/>
      <c r="BC62" s="301"/>
      <c r="BD62" s="302"/>
      <c r="BE62" s="299"/>
      <c r="BF62" s="299"/>
      <c r="BG62" s="299"/>
      <c r="BH62" s="299"/>
      <c r="BI62" s="301"/>
      <c r="BJ62" s="302"/>
      <c r="BK62" s="299"/>
      <c r="BL62" s="299"/>
      <c r="BM62" s="299"/>
      <c r="BN62" s="299"/>
      <c r="BO62" s="303"/>
      <c r="BP62" s="304"/>
      <c r="BT62" s="299"/>
      <c r="BU62" s="299"/>
      <c r="BV62" s="299"/>
      <c r="BW62" s="299"/>
      <c r="DX62" s="293"/>
      <c r="DY62" s="293"/>
      <c r="DZ62" s="293"/>
      <c r="EA62" s="293"/>
      <c r="EB62" s="293"/>
      <c r="FP62" s="293"/>
      <c r="FU62" s="299"/>
      <c r="FV62" s="299"/>
      <c r="FW62" s="299"/>
    </row>
    <row r="63" spans="1:198">
      <c r="A63" s="308"/>
      <c r="B63" s="306"/>
      <c r="C63" s="293"/>
      <c r="D63" s="293"/>
      <c r="E63" s="293"/>
      <c r="F63" s="293"/>
      <c r="G63" s="293"/>
      <c r="H63" s="293"/>
      <c r="I63" s="293"/>
      <c r="J63" s="293"/>
      <c r="K63" s="293"/>
      <c r="L63" s="306"/>
      <c r="M63" s="306"/>
      <c r="N63" s="306"/>
      <c r="O63" s="306"/>
      <c r="P63" s="304"/>
      <c r="Q63" s="309"/>
      <c r="R63" s="315"/>
      <c r="S63" s="315"/>
      <c r="T63" s="315"/>
      <c r="U63" s="315"/>
      <c r="V63" s="303"/>
      <c r="W63" s="303"/>
      <c r="X63" s="303"/>
      <c r="Y63" s="310"/>
      <c r="Z63" s="302"/>
      <c r="AA63" s="303"/>
      <c r="AB63" s="303"/>
      <c r="AC63" s="303"/>
      <c r="AD63" s="303"/>
      <c r="AE63" s="310"/>
      <c r="AF63" s="302"/>
      <c r="AG63" s="311"/>
      <c r="AH63" s="303"/>
      <c r="AI63" s="303"/>
      <c r="AJ63" s="303"/>
      <c r="AK63" s="310"/>
      <c r="AL63" s="302"/>
      <c r="AM63" s="303"/>
      <c r="AN63" s="299"/>
      <c r="AO63" s="303"/>
      <c r="AP63" s="303"/>
      <c r="AQ63" s="301"/>
      <c r="AR63" s="302"/>
      <c r="AS63" s="299"/>
      <c r="AT63" s="299"/>
      <c r="AU63" s="299"/>
      <c r="AV63" s="299"/>
      <c r="AW63" s="301"/>
      <c r="AX63" s="302"/>
      <c r="AY63" s="299"/>
      <c r="AZ63" s="299"/>
      <c r="BA63" s="299"/>
      <c r="BB63" s="299"/>
      <c r="BC63" s="301"/>
      <c r="BD63" s="302"/>
      <c r="BE63" s="299"/>
      <c r="BF63" s="299"/>
      <c r="BG63" s="299"/>
      <c r="BH63" s="299"/>
      <c r="BI63" s="301"/>
      <c r="BJ63" s="302"/>
      <c r="BK63" s="299"/>
      <c r="BL63" s="299"/>
      <c r="BM63" s="299"/>
      <c r="BN63" s="299"/>
      <c r="BO63" s="303"/>
      <c r="BP63" s="306"/>
      <c r="BQ63" s="302"/>
      <c r="BR63" s="299"/>
      <c r="BS63" s="299"/>
      <c r="BT63" s="299"/>
      <c r="BU63" s="299"/>
      <c r="BV63" s="299"/>
      <c r="BW63" s="299"/>
      <c r="BX63" s="315"/>
      <c r="BY63" s="315"/>
      <c r="BZ63" s="315"/>
      <c r="CA63" s="315"/>
      <c r="CB63" s="315"/>
      <c r="CC63" s="315"/>
      <c r="CD63" s="315"/>
      <c r="CE63" s="315"/>
      <c r="CF63" s="315"/>
      <c r="CG63" s="315"/>
      <c r="CH63" s="315"/>
      <c r="CI63" s="315"/>
      <c r="CJ63" s="315"/>
      <c r="CK63" s="315"/>
      <c r="CL63" s="315"/>
      <c r="CM63" s="315"/>
      <c r="CN63" s="315"/>
      <c r="CO63" s="315"/>
      <c r="CP63" s="315"/>
      <c r="CQ63" s="315"/>
      <c r="CR63" s="315"/>
      <c r="CS63" s="315"/>
      <c r="CT63" s="315"/>
      <c r="CU63" s="315"/>
      <c r="CV63" s="315"/>
      <c r="CW63" s="315"/>
      <c r="CX63" s="315"/>
      <c r="CY63" s="315"/>
      <c r="CZ63" s="315"/>
      <c r="DA63" s="315"/>
      <c r="DB63" s="317"/>
      <c r="DC63" s="315"/>
      <c r="DD63" s="315"/>
      <c r="DE63" s="315"/>
      <c r="DF63" s="315"/>
      <c r="DG63" s="315"/>
      <c r="DH63" s="315"/>
      <c r="DI63" s="317"/>
      <c r="DJ63" s="315"/>
      <c r="DK63" s="315"/>
      <c r="DL63" s="315"/>
      <c r="DM63" s="315"/>
      <c r="DN63" s="315"/>
      <c r="DO63" s="315"/>
      <c r="DP63" s="315"/>
      <c r="DQ63" s="315"/>
      <c r="DR63" s="317"/>
      <c r="DS63" s="315"/>
      <c r="DT63" s="315"/>
      <c r="DU63" s="315"/>
      <c r="DV63" s="315"/>
      <c r="DW63" s="315"/>
      <c r="DX63" s="315"/>
      <c r="DY63" s="315"/>
      <c r="DZ63" s="315"/>
      <c r="EA63" s="315"/>
      <c r="EB63" s="315"/>
      <c r="EC63" s="317"/>
      <c r="ED63" s="315"/>
      <c r="EE63" s="315"/>
      <c r="EF63" s="315"/>
      <c r="EG63" s="315"/>
      <c r="EH63" s="315"/>
      <c r="EI63" s="315"/>
      <c r="EJ63" s="315"/>
      <c r="EK63" s="315"/>
      <c r="EL63" s="315"/>
      <c r="EM63" s="315"/>
      <c r="EN63" s="317"/>
      <c r="EO63" s="315"/>
      <c r="EP63" s="315"/>
      <c r="EQ63" s="315"/>
      <c r="ER63" s="315"/>
      <c r="ES63" s="315"/>
      <c r="ET63" s="315"/>
      <c r="EU63" s="315"/>
      <c r="EV63" s="317"/>
      <c r="EW63" s="315"/>
      <c r="EX63" s="315"/>
      <c r="EY63" s="315"/>
      <c r="EZ63" s="315"/>
      <c r="FA63" s="315"/>
      <c r="FB63" s="315"/>
      <c r="FC63" s="315"/>
      <c r="FD63" s="317"/>
      <c r="FE63" s="315"/>
      <c r="FF63" s="315"/>
      <c r="FG63" s="315"/>
      <c r="FH63" s="315"/>
      <c r="FI63" s="315"/>
      <c r="FJ63" s="315"/>
      <c r="FK63" s="315"/>
      <c r="FL63" s="317"/>
      <c r="FM63" s="300"/>
      <c r="FN63" s="300"/>
      <c r="FO63" s="315"/>
      <c r="FP63" s="315"/>
      <c r="FQ63" s="315"/>
      <c r="FR63" s="315"/>
      <c r="FS63" s="300"/>
      <c r="FT63" s="300"/>
      <c r="FU63" s="318"/>
      <c r="FV63" s="318"/>
      <c r="FW63" s="318"/>
      <c r="FX63" s="317"/>
      <c r="FY63" s="317"/>
      <c r="FZ63" s="317"/>
      <c r="GA63" s="317"/>
      <c r="GB63" s="317"/>
      <c r="GC63" s="307"/>
    </row>
    <row r="64" spans="1:198">
      <c r="A64" s="308"/>
      <c r="B64" s="306"/>
      <c r="C64" s="293"/>
      <c r="D64" s="293"/>
      <c r="E64" s="293"/>
      <c r="F64" s="293"/>
      <c r="G64" s="293"/>
      <c r="H64" s="293"/>
      <c r="I64" s="293"/>
      <c r="J64" s="293"/>
      <c r="K64" s="293"/>
      <c r="L64" s="306"/>
      <c r="M64" s="306"/>
      <c r="N64" s="306"/>
      <c r="O64" s="306"/>
      <c r="P64" s="306"/>
      <c r="Q64" s="306"/>
      <c r="R64" s="293"/>
      <c r="S64" s="293"/>
      <c r="T64" s="293"/>
      <c r="U64" s="293"/>
      <c r="V64" s="299"/>
      <c r="W64" s="299"/>
      <c r="X64" s="299"/>
      <c r="Y64" s="301"/>
      <c r="Z64" s="302"/>
      <c r="AA64" s="299"/>
      <c r="AB64" s="299"/>
      <c r="AC64" s="299"/>
      <c r="AD64" s="299"/>
      <c r="AE64" s="301"/>
      <c r="AF64" s="302"/>
      <c r="AG64" s="302"/>
      <c r="AH64" s="299"/>
      <c r="AI64" s="299"/>
      <c r="AJ64" s="299"/>
      <c r="AK64" s="301"/>
      <c r="AL64" s="302"/>
      <c r="AM64" s="299"/>
      <c r="AN64" s="299"/>
      <c r="AO64" s="299"/>
      <c r="AP64" s="299"/>
      <c r="AQ64" s="301"/>
      <c r="AR64" s="302"/>
      <c r="AS64" s="299"/>
      <c r="AT64" s="299"/>
      <c r="AU64" s="299"/>
      <c r="AV64" s="299"/>
      <c r="AW64" s="301"/>
      <c r="AX64" s="302"/>
      <c r="AY64" s="299"/>
      <c r="AZ64" s="299"/>
      <c r="BA64" s="299"/>
      <c r="BB64" s="299"/>
      <c r="BC64" s="301"/>
      <c r="BD64" s="302"/>
      <c r="BE64" s="299"/>
      <c r="BF64" s="299"/>
      <c r="BG64" s="299"/>
      <c r="BH64" s="299"/>
      <c r="BI64" s="301"/>
      <c r="BJ64" s="302"/>
      <c r="BK64" s="299"/>
      <c r="BL64" s="299"/>
      <c r="BM64" s="299"/>
      <c r="BN64" s="299"/>
      <c r="BO64" s="303"/>
      <c r="BP64" s="306"/>
      <c r="BQ64" s="302"/>
      <c r="BR64" s="299"/>
      <c r="BS64" s="299"/>
      <c r="BT64" s="299"/>
      <c r="BU64" s="299"/>
      <c r="BV64" s="299"/>
      <c r="BW64" s="299"/>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3"/>
      <c r="CU64" s="293"/>
      <c r="CV64" s="293"/>
      <c r="CW64" s="293"/>
      <c r="CX64" s="293"/>
      <c r="CY64" s="293"/>
      <c r="CZ64" s="293"/>
      <c r="DA64" s="293"/>
      <c r="DB64" s="307"/>
      <c r="DC64" s="293"/>
      <c r="DD64" s="293"/>
      <c r="DE64" s="293"/>
      <c r="DF64" s="293"/>
      <c r="DG64" s="293"/>
      <c r="DH64" s="293"/>
      <c r="DI64" s="307"/>
      <c r="DJ64" s="293"/>
      <c r="DK64" s="293"/>
      <c r="DL64" s="293"/>
      <c r="DM64" s="293"/>
      <c r="DN64" s="293"/>
      <c r="DO64" s="293"/>
      <c r="DP64" s="293"/>
      <c r="DQ64" s="293"/>
      <c r="DR64" s="307"/>
      <c r="DS64" s="293"/>
      <c r="DT64" s="293"/>
      <c r="DU64" s="293"/>
      <c r="DV64" s="293"/>
      <c r="DW64" s="293"/>
      <c r="DX64" s="293"/>
      <c r="DY64" s="293"/>
      <c r="DZ64" s="293"/>
      <c r="EA64" s="293"/>
      <c r="EB64" s="293"/>
      <c r="EC64" s="307"/>
      <c r="ED64" s="293"/>
      <c r="EE64" s="293"/>
      <c r="EF64" s="293"/>
      <c r="EG64" s="293"/>
      <c r="EH64" s="293"/>
      <c r="EI64" s="293"/>
      <c r="EJ64" s="293"/>
      <c r="EK64" s="293"/>
      <c r="EL64" s="293"/>
      <c r="EM64" s="293"/>
      <c r="EN64" s="307"/>
      <c r="EO64" s="293"/>
      <c r="EP64" s="293"/>
      <c r="EQ64" s="293"/>
      <c r="ER64" s="293"/>
      <c r="ES64" s="293"/>
      <c r="ET64" s="293"/>
      <c r="EU64" s="293"/>
      <c r="EV64" s="307"/>
      <c r="EW64" s="293"/>
      <c r="EX64" s="293"/>
      <c r="EY64" s="293"/>
      <c r="EZ64" s="293"/>
      <c r="FA64" s="293"/>
      <c r="FB64" s="293"/>
      <c r="FC64" s="293"/>
      <c r="FD64" s="307"/>
      <c r="FE64" s="293"/>
      <c r="FF64" s="293"/>
      <c r="FG64" s="293"/>
      <c r="FH64" s="293"/>
      <c r="FI64" s="293"/>
      <c r="FJ64" s="293"/>
      <c r="FK64" s="293"/>
      <c r="FL64" s="307"/>
      <c r="FM64" s="299"/>
      <c r="FN64" s="299"/>
      <c r="FO64" s="293"/>
      <c r="FP64" s="293"/>
      <c r="FQ64" s="293"/>
      <c r="FR64" s="293"/>
      <c r="FS64" s="299"/>
      <c r="FT64" s="299"/>
      <c r="FU64" s="299"/>
      <c r="FV64" s="299"/>
      <c r="FW64" s="299"/>
      <c r="FX64" s="307"/>
      <c r="FY64" s="307"/>
      <c r="FZ64" s="307"/>
      <c r="GA64" s="307"/>
      <c r="GB64" s="307"/>
    </row>
    <row r="65" spans="1:185">
      <c r="A65" s="308"/>
      <c r="B65" s="306"/>
      <c r="C65" s="293"/>
      <c r="D65" s="293"/>
      <c r="E65" s="293"/>
      <c r="F65" s="293"/>
      <c r="G65" s="293"/>
      <c r="H65" s="293"/>
      <c r="I65" s="293"/>
      <c r="J65" s="293"/>
      <c r="K65" s="293"/>
      <c r="L65" s="306"/>
      <c r="M65" s="306"/>
      <c r="N65" s="306"/>
      <c r="O65" s="306"/>
      <c r="P65" s="306"/>
      <c r="Q65" s="306"/>
      <c r="V65" s="299"/>
      <c r="W65" s="299"/>
      <c r="X65" s="299"/>
      <c r="Y65" s="301"/>
      <c r="Z65" s="302"/>
      <c r="AA65" s="299"/>
      <c r="AB65" s="299"/>
      <c r="AC65" s="299"/>
      <c r="AD65" s="299"/>
      <c r="AE65" s="301"/>
      <c r="AF65" s="302"/>
      <c r="AG65" s="302"/>
      <c r="AH65" s="299"/>
      <c r="AI65" s="299"/>
      <c r="AJ65" s="299"/>
      <c r="AK65" s="301"/>
      <c r="AL65" s="302"/>
      <c r="AM65" s="299"/>
      <c r="AN65" s="299"/>
      <c r="AO65" s="299"/>
      <c r="AP65" s="299"/>
      <c r="AQ65" s="301"/>
      <c r="AR65" s="302"/>
      <c r="AS65" s="299"/>
      <c r="AT65" s="299"/>
      <c r="AU65" s="299"/>
      <c r="AV65" s="299"/>
      <c r="AW65" s="301"/>
      <c r="AX65" s="302"/>
      <c r="AY65" s="299"/>
      <c r="AZ65" s="299"/>
      <c r="BA65" s="299"/>
      <c r="BB65" s="299"/>
      <c r="BC65" s="301"/>
      <c r="BD65" s="302"/>
      <c r="BE65" s="299"/>
      <c r="BF65" s="299"/>
      <c r="BG65" s="299"/>
      <c r="BH65" s="299"/>
      <c r="BI65" s="301"/>
      <c r="BJ65" s="302"/>
      <c r="BK65" s="299"/>
      <c r="BL65" s="299"/>
      <c r="BM65" s="299"/>
      <c r="BN65" s="299"/>
      <c r="BO65" s="303"/>
      <c r="BP65" s="304"/>
      <c r="BQ65" s="302"/>
      <c r="BR65" s="299"/>
      <c r="BS65" s="299"/>
      <c r="BT65" s="299"/>
      <c r="BU65" s="299"/>
      <c r="BV65" s="299"/>
      <c r="BW65" s="299"/>
      <c r="GC65" s="307"/>
    </row>
    <row r="66" spans="1:185">
      <c r="A66" s="308"/>
      <c r="L66" s="306"/>
      <c r="M66" s="306"/>
      <c r="V66" s="299"/>
      <c r="W66" s="299"/>
      <c r="X66" s="299"/>
      <c r="Y66" s="301"/>
      <c r="Z66" s="302"/>
      <c r="AA66" s="299"/>
      <c r="AB66" s="299"/>
      <c r="AC66" s="299"/>
      <c r="AD66" s="299"/>
      <c r="AE66" s="301"/>
      <c r="AF66" s="302"/>
      <c r="AG66" s="302"/>
      <c r="AH66" s="299"/>
      <c r="AI66" s="299"/>
      <c r="AJ66" s="299"/>
      <c r="AK66" s="301"/>
      <c r="AL66" s="302"/>
      <c r="AM66" s="299"/>
      <c r="AN66" s="299"/>
      <c r="AO66" s="299"/>
      <c r="AP66" s="299"/>
      <c r="AQ66" s="301"/>
      <c r="AR66" s="302"/>
      <c r="AS66" s="299"/>
      <c r="AT66" s="299"/>
      <c r="AU66" s="299"/>
      <c r="AV66" s="299"/>
      <c r="AW66" s="301"/>
      <c r="AX66" s="302"/>
      <c r="AY66" s="299"/>
      <c r="AZ66" s="299"/>
      <c r="BA66" s="299"/>
      <c r="BB66" s="299"/>
      <c r="BC66" s="301"/>
      <c r="BD66" s="302"/>
      <c r="BE66" s="299"/>
      <c r="BF66" s="299"/>
      <c r="BG66" s="299"/>
      <c r="BH66" s="299"/>
      <c r="BI66" s="301"/>
      <c r="BJ66" s="302"/>
      <c r="BK66" s="299"/>
      <c r="BL66" s="299"/>
      <c r="BM66" s="299"/>
      <c r="BN66" s="299"/>
      <c r="BO66" s="303"/>
      <c r="BP66" s="304"/>
      <c r="BT66" s="299"/>
      <c r="BU66" s="299"/>
      <c r="BV66" s="299"/>
      <c r="BW66" s="299"/>
      <c r="BX66" s="297"/>
      <c r="BZ66" s="297"/>
      <c r="FU66" s="299"/>
      <c r="FV66" s="299"/>
      <c r="FW66" s="299"/>
    </row>
    <row r="67" spans="1:185">
      <c r="A67" s="308"/>
      <c r="L67" s="306"/>
      <c r="M67" s="306"/>
      <c r="V67" s="299"/>
      <c r="W67" s="299"/>
      <c r="X67" s="299"/>
      <c r="Y67" s="301"/>
      <c r="Z67" s="302"/>
      <c r="AA67" s="299"/>
      <c r="AB67" s="299"/>
      <c r="AC67" s="299"/>
      <c r="AD67" s="299"/>
      <c r="AE67" s="301"/>
      <c r="AF67" s="302"/>
      <c r="AG67" s="302"/>
      <c r="AH67" s="299"/>
      <c r="AI67" s="299"/>
      <c r="AJ67" s="299"/>
      <c r="AK67" s="301"/>
      <c r="AL67" s="302"/>
      <c r="AM67" s="299"/>
      <c r="AN67" s="299"/>
      <c r="AO67" s="299"/>
      <c r="AP67" s="299"/>
      <c r="AQ67" s="301"/>
      <c r="AR67" s="302"/>
      <c r="AS67" s="299"/>
      <c r="AT67" s="299"/>
      <c r="AU67" s="299"/>
      <c r="AV67" s="299"/>
      <c r="AW67" s="301"/>
      <c r="AX67" s="302"/>
      <c r="AY67" s="299"/>
      <c r="AZ67" s="299"/>
      <c r="BA67" s="299"/>
      <c r="BB67" s="299"/>
      <c r="BC67" s="301"/>
      <c r="BD67" s="302"/>
      <c r="BE67" s="299"/>
      <c r="BF67" s="299"/>
      <c r="BG67" s="299"/>
      <c r="BH67" s="299"/>
      <c r="BI67" s="301"/>
      <c r="BJ67" s="302"/>
      <c r="BK67" s="299"/>
      <c r="BL67" s="299"/>
      <c r="BM67" s="299"/>
      <c r="BN67" s="299"/>
      <c r="BO67" s="303"/>
      <c r="BP67" s="304"/>
      <c r="BT67" s="299"/>
      <c r="BU67" s="299"/>
      <c r="BV67" s="299"/>
      <c r="BW67" s="299"/>
      <c r="FU67" s="299"/>
      <c r="FV67" s="299"/>
      <c r="FW67" s="299"/>
      <c r="GC67" s="307"/>
    </row>
    <row r="68" spans="1:185">
      <c r="A68" s="308"/>
      <c r="B68" s="306"/>
      <c r="C68" s="293"/>
      <c r="D68" s="293"/>
      <c r="E68" s="293"/>
      <c r="F68" s="293"/>
      <c r="G68" s="293"/>
      <c r="H68" s="293"/>
      <c r="I68" s="293"/>
      <c r="J68" s="293"/>
      <c r="K68" s="293"/>
      <c r="L68" s="306"/>
      <c r="M68" s="306"/>
      <c r="N68" s="304"/>
      <c r="O68" s="306"/>
      <c r="P68" s="306"/>
      <c r="R68" s="293"/>
      <c r="S68" s="293"/>
      <c r="T68" s="293"/>
      <c r="U68" s="293"/>
      <c r="V68" s="299"/>
      <c r="W68" s="299"/>
      <c r="X68" s="299"/>
      <c r="Y68" s="301"/>
      <c r="Z68" s="302"/>
      <c r="AA68" s="299"/>
      <c r="AB68" s="299"/>
      <c r="AC68" s="299"/>
      <c r="AD68" s="299"/>
      <c r="AE68" s="301"/>
      <c r="AF68" s="302"/>
      <c r="AG68" s="302"/>
      <c r="AH68" s="299"/>
      <c r="AI68" s="299"/>
      <c r="AJ68" s="299"/>
      <c r="AK68" s="301"/>
      <c r="AL68" s="302"/>
      <c r="AM68" s="299"/>
      <c r="AN68" s="299"/>
      <c r="AO68" s="299"/>
      <c r="AP68" s="299"/>
      <c r="AQ68" s="301"/>
      <c r="AR68" s="302"/>
      <c r="AS68" s="299"/>
      <c r="AT68" s="299"/>
      <c r="AU68" s="299"/>
      <c r="AV68" s="299"/>
      <c r="AW68" s="301"/>
      <c r="AX68" s="302"/>
      <c r="AY68" s="299"/>
      <c r="AZ68" s="299"/>
      <c r="BA68" s="299"/>
      <c r="BB68" s="299"/>
      <c r="BC68" s="301"/>
      <c r="BD68" s="302"/>
      <c r="BE68" s="299"/>
      <c r="BF68" s="299"/>
      <c r="BG68" s="299"/>
      <c r="BH68" s="299"/>
      <c r="BI68" s="301"/>
      <c r="BJ68" s="302"/>
      <c r="BK68" s="299"/>
      <c r="BL68" s="299"/>
      <c r="BM68" s="299"/>
      <c r="BN68" s="299"/>
      <c r="BO68" s="303"/>
      <c r="BP68" s="304"/>
      <c r="BQ68" s="302"/>
      <c r="BR68" s="299"/>
      <c r="BS68" s="299"/>
      <c r="BT68" s="299"/>
      <c r="BU68" s="299"/>
      <c r="BV68" s="299"/>
      <c r="BW68" s="299"/>
      <c r="EO68" s="293"/>
      <c r="EP68" s="293"/>
      <c r="EQ68" s="293"/>
      <c r="ER68" s="293"/>
      <c r="ES68" s="293"/>
      <c r="ET68" s="293"/>
      <c r="EU68" s="293"/>
      <c r="EV68" s="307"/>
      <c r="EW68" s="293"/>
      <c r="EX68" s="293"/>
      <c r="EY68" s="293"/>
      <c r="EZ68" s="293"/>
      <c r="FA68" s="293"/>
      <c r="FB68" s="293"/>
      <c r="FC68" s="293"/>
      <c r="FD68" s="307"/>
      <c r="FE68" s="293"/>
      <c r="FF68" s="293"/>
      <c r="FG68" s="293"/>
      <c r="FH68" s="293"/>
      <c r="FI68" s="293"/>
      <c r="FJ68" s="293"/>
      <c r="FK68" s="293"/>
    </row>
    <row r="69" spans="1:185">
      <c r="A69" s="308"/>
      <c r="B69" s="306"/>
      <c r="C69" s="293"/>
      <c r="D69" s="293"/>
      <c r="E69" s="293"/>
      <c r="F69" s="293"/>
      <c r="G69" s="293"/>
      <c r="H69" s="293"/>
      <c r="I69" s="293"/>
      <c r="J69" s="293"/>
      <c r="K69" s="293"/>
      <c r="L69" s="306"/>
      <c r="M69" s="306"/>
      <c r="N69" s="306"/>
      <c r="O69" s="306"/>
      <c r="P69" s="306"/>
      <c r="Q69" s="306"/>
      <c r="R69" s="293"/>
      <c r="S69" s="293"/>
      <c r="T69" s="293"/>
      <c r="U69" s="293"/>
      <c r="V69" s="299"/>
      <c r="W69" s="299"/>
      <c r="X69" s="299"/>
      <c r="Y69" s="301"/>
      <c r="Z69" s="302"/>
      <c r="AA69" s="299"/>
      <c r="AB69" s="299"/>
      <c r="AC69" s="299"/>
      <c r="AD69" s="299"/>
      <c r="AE69" s="301"/>
      <c r="AF69" s="302"/>
      <c r="AG69" s="302"/>
      <c r="AH69" s="299"/>
      <c r="AI69" s="299"/>
      <c r="AJ69" s="299"/>
      <c r="AK69" s="301"/>
      <c r="AL69" s="302"/>
      <c r="AM69" s="299"/>
      <c r="AN69" s="299"/>
      <c r="AO69" s="299"/>
      <c r="AP69" s="299"/>
      <c r="AQ69" s="301"/>
      <c r="AR69" s="302"/>
      <c r="AS69" s="299"/>
      <c r="AT69" s="299"/>
      <c r="AU69" s="299"/>
      <c r="AV69" s="299"/>
      <c r="AW69" s="301"/>
      <c r="AX69" s="302"/>
      <c r="AY69" s="299"/>
      <c r="AZ69" s="299"/>
      <c r="BA69" s="299"/>
      <c r="BB69" s="299"/>
      <c r="BC69" s="301"/>
      <c r="BD69" s="302"/>
      <c r="BE69" s="299"/>
      <c r="BF69" s="299"/>
      <c r="BG69" s="299"/>
      <c r="BH69" s="299"/>
      <c r="BI69" s="301"/>
      <c r="BJ69" s="302"/>
      <c r="BK69" s="299"/>
      <c r="BL69" s="299"/>
      <c r="BM69" s="299"/>
      <c r="BN69" s="299"/>
      <c r="BO69" s="303"/>
      <c r="BP69" s="304"/>
      <c r="BQ69" s="302"/>
      <c r="BR69" s="299"/>
      <c r="BS69" s="299"/>
      <c r="BT69" s="299"/>
      <c r="BU69" s="299"/>
      <c r="BV69" s="299"/>
      <c r="BW69" s="299"/>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307"/>
      <c r="DC69" s="293"/>
      <c r="DD69" s="293"/>
      <c r="DE69" s="293"/>
      <c r="DF69" s="293"/>
      <c r="DG69" s="293"/>
      <c r="DH69" s="293"/>
      <c r="DI69" s="307"/>
      <c r="DJ69" s="293"/>
      <c r="DK69" s="293"/>
      <c r="DL69" s="293"/>
      <c r="DM69" s="293"/>
      <c r="DN69" s="293"/>
      <c r="DO69" s="293"/>
      <c r="DP69" s="293"/>
      <c r="DQ69" s="293"/>
      <c r="DR69" s="307"/>
      <c r="DS69" s="293"/>
      <c r="DT69" s="293"/>
      <c r="DU69" s="293"/>
      <c r="DV69" s="293"/>
      <c r="DW69" s="293"/>
      <c r="DX69" s="293"/>
      <c r="DY69" s="293"/>
      <c r="DZ69" s="293"/>
      <c r="EA69" s="293"/>
      <c r="EB69" s="293"/>
      <c r="EC69" s="307"/>
      <c r="ED69" s="293"/>
      <c r="EE69" s="293"/>
      <c r="EF69" s="293"/>
      <c r="EG69" s="293"/>
      <c r="EH69" s="293"/>
      <c r="EI69" s="293"/>
      <c r="EJ69" s="293"/>
      <c r="EK69" s="293"/>
      <c r="EL69" s="293"/>
      <c r="EM69" s="293"/>
      <c r="EN69" s="307"/>
      <c r="EO69" s="293"/>
      <c r="EP69" s="293"/>
      <c r="EQ69" s="293"/>
      <c r="ER69" s="293"/>
      <c r="ES69" s="293"/>
      <c r="ET69" s="293"/>
      <c r="EU69" s="293"/>
      <c r="EV69" s="307"/>
      <c r="EW69" s="293"/>
      <c r="EX69" s="293"/>
      <c r="EY69" s="293"/>
      <c r="EZ69" s="293"/>
      <c r="FA69" s="293"/>
      <c r="FB69" s="293"/>
      <c r="FC69" s="293"/>
      <c r="FD69" s="307"/>
      <c r="FE69" s="293"/>
      <c r="FF69" s="293"/>
      <c r="FG69" s="293"/>
      <c r="FH69" s="293"/>
      <c r="FI69" s="293"/>
      <c r="FJ69" s="293"/>
      <c r="FK69" s="293"/>
      <c r="FL69" s="307"/>
      <c r="FM69" s="299"/>
      <c r="FN69" s="299"/>
      <c r="FO69" s="293"/>
      <c r="FP69" s="293"/>
      <c r="FQ69" s="293"/>
      <c r="FR69" s="293"/>
      <c r="FS69" s="299"/>
      <c r="FT69" s="299"/>
      <c r="FU69" s="299"/>
      <c r="FV69" s="299"/>
      <c r="FW69" s="299"/>
      <c r="FX69" s="307"/>
      <c r="FY69" s="307"/>
      <c r="FZ69" s="307"/>
      <c r="GA69" s="307"/>
      <c r="GB69" s="307"/>
      <c r="GC69" s="307"/>
    </row>
    <row r="70" spans="1:185">
      <c r="A70" s="308"/>
      <c r="L70" s="306"/>
      <c r="M70" s="306"/>
      <c r="V70" s="299"/>
      <c r="W70" s="299"/>
      <c r="X70" s="299"/>
      <c r="Y70" s="301"/>
      <c r="Z70" s="302"/>
      <c r="AA70" s="299"/>
      <c r="AB70" s="299"/>
      <c r="AC70" s="299"/>
      <c r="AD70" s="299"/>
      <c r="AE70" s="301"/>
      <c r="AF70" s="302"/>
      <c r="AG70" s="302"/>
      <c r="AH70" s="299"/>
      <c r="AI70" s="299"/>
      <c r="AJ70" s="299"/>
      <c r="AK70" s="301"/>
      <c r="AL70" s="302"/>
      <c r="AM70" s="299"/>
      <c r="AN70" s="299"/>
      <c r="AO70" s="299"/>
      <c r="AP70" s="299"/>
      <c r="AQ70" s="301"/>
      <c r="AR70" s="302"/>
      <c r="AS70" s="299"/>
      <c r="AT70" s="299"/>
      <c r="AU70" s="299"/>
      <c r="AV70" s="299"/>
      <c r="AW70" s="301"/>
      <c r="AX70" s="302"/>
      <c r="AY70" s="299"/>
      <c r="AZ70" s="299"/>
      <c r="BA70" s="299"/>
      <c r="BB70" s="299"/>
      <c r="BC70" s="301"/>
      <c r="BD70" s="302"/>
      <c r="BE70" s="299"/>
      <c r="BF70" s="299"/>
      <c r="BG70" s="299"/>
      <c r="BH70" s="299"/>
      <c r="BI70" s="301"/>
      <c r="BJ70" s="302"/>
      <c r="BK70" s="299"/>
      <c r="BL70" s="299"/>
      <c r="BM70" s="299"/>
      <c r="BN70" s="299"/>
      <c r="BO70" s="303"/>
      <c r="BP70" s="304"/>
      <c r="BT70" s="299"/>
      <c r="BU70" s="299"/>
      <c r="BV70" s="299"/>
      <c r="BW70" s="299"/>
      <c r="FU70" s="299"/>
      <c r="FV70" s="299"/>
      <c r="FW70" s="299"/>
      <c r="GC70" s="307"/>
    </row>
    <row r="71" spans="1:185">
      <c r="A71" s="308"/>
      <c r="B71" s="306"/>
      <c r="C71" s="293"/>
      <c r="D71" s="293"/>
      <c r="E71" s="293"/>
      <c r="F71" s="293"/>
      <c r="G71" s="293"/>
      <c r="H71" s="293"/>
      <c r="I71" s="293"/>
      <c r="J71" s="293"/>
      <c r="K71" s="293"/>
      <c r="L71" s="306"/>
      <c r="M71" s="306"/>
      <c r="N71" s="306"/>
      <c r="O71" s="306"/>
      <c r="P71" s="306"/>
      <c r="Q71" s="306"/>
      <c r="V71" s="299"/>
      <c r="W71" s="299"/>
      <c r="X71" s="299"/>
      <c r="Y71" s="301"/>
      <c r="Z71" s="302"/>
      <c r="AA71" s="299"/>
      <c r="AB71" s="299"/>
      <c r="AC71" s="299"/>
      <c r="AD71" s="299"/>
      <c r="AE71" s="301"/>
      <c r="AF71" s="302"/>
      <c r="AG71" s="302"/>
      <c r="AH71" s="299"/>
      <c r="AI71" s="299"/>
      <c r="AJ71" s="299"/>
      <c r="AK71" s="301"/>
      <c r="AL71" s="302"/>
      <c r="AM71" s="299"/>
      <c r="AN71" s="299"/>
      <c r="AO71" s="299"/>
      <c r="AP71" s="299"/>
      <c r="AQ71" s="301"/>
      <c r="AR71" s="302"/>
      <c r="AS71" s="299"/>
      <c r="AT71" s="299"/>
      <c r="AU71" s="299"/>
      <c r="AV71" s="299"/>
      <c r="AW71" s="301"/>
      <c r="AX71" s="302"/>
      <c r="AY71" s="299"/>
      <c r="AZ71" s="299"/>
      <c r="BA71" s="299"/>
      <c r="BB71" s="299"/>
      <c r="BC71" s="301"/>
      <c r="BD71" s="302"/>
      <c r="BE71" s="299"/>
      <c r="BF71" s="299"/>
      <c r="BG71" s="299"/>
      <c r="BH71" s="299"/>
      <c r="BI71" s="301"/>
      <c r="BJ71" s="302"/>
      <c r="BK71" s="299"/>
      <c r="BL71" s="299"/>
      <c r="BM71" s="299"/>
      <c r="BN71" s="299"/>
      <c r="BO71" s="303"/>
      <c r="BP71" s="304"/>
      <c r="BQ71" s="302"/>
      <c r="BR71" s="299"/>
      <c r="BS71" s="299"/>
      <c r="BT71" s="299"/>
      <c r="BU71" s="299"/>
      <c r="BV71" s="299"/>
      <c r="BW71" s="299"/>
    </row>
    <row r="72" spans="1:185">
      <c r="A72" s="308"/>
      <c r="B72" s="306"/>
      <c r="C72" s="293"/>
      <c r="D72" s="293"/>
      <c r="E72" s="293"/>
      <c r="F72" s="293"/>
      <c r="G72" s="293"/>
      <c r="H72" s="293"/>
      <c r="I72" s="293"/>
      <c r="J72" s="293"/>
      <c r="K72" s="293"/>
      <c r="L72" s="306"/>
      <c r="M72" s="306"/>
      <c r="N72" s="306"/>
      <c r="O72" s="306"/>
      <c r="P72" s="306"/>
      <c r="Q72" s="306"/>
      <c r="V72" s="299"/>
      <c r="W72" s="299"/>
      <c r="X72" s="299"/>
      <c r="Y72" s="301"/>
      <c r="Z72" s="302"/>
      <c r="AA72" s="299"/>
      <c r="AB72" s="299"/>
      <c r="AC72" s="299"/>
      <c r="AD72" s="299"/>
      <c r="AE72" s="301"/>
      <c r="AF72" s="302"/>
      <c r="AG72" s="302"/>
      <c r="AH72" s="299"/>
      <c r="AI72" s="299"/>
      <c r="AJ72" s="299"/>
      <c r="AK72" s="301"/>
      <c r="AL72" s="302"/>
      <c r="AM72" s="299"/>
      <c r="AN72" s="299"/>
      <c r="AO72" s="299"/>
      <c r="AP72" s="299"/>
      <c r="AQ72" s="301"/>
      <c r="AR72" s="302"/>
      <c r="AS72" s="299"/>
      <c r="AT72" s="299"/>
      <c r="AU72" s="299"/>
      <c r="AV72" s="299"/>
      <c r="AW72" s="301"/>
      <c r="AX72" s="302"/>
      <c r="AY72" s="299"/>
      <c r="AZ72" s="299"/>
      <c r="BA72" s="299"/>
      <c r="BB72" s="299"/>
      <c r="BC72" s="301"/>
      <c r="BD72" s="302"/>
      <c r="BE72" s="299"/>
      <c r="BF72" s="299"/>
      <c r="BG72" s="299"/>
      <c r="BH72" s="299"/>
      <c r="BI72" s="301"/>
      <c r="BJ72" s="302"/>
      <c r="BK72" s="299"/>
      <c r="BL72" s="299"/>
      <c r="BM72" s="299"/>
      <c r="BN72" s="299"/>
      <c r="BO72" s="303"/>
      <c r="BP72" s="304"/>
      <c r="BQ72" s="302"/>
      <c r="BR72" s="299"/>
      <c r="BS72" s="299"/>
      <c r="BT72" s="299"/>
      <c r="BU72" s="299"/>
      <c r="BV72" s="299"/>
      <c r="BW72" s="299"/>
      <c r="GC72" s="307"/>
    </row>
    <row r="73" spans="1:185">
      <c r="A73" s="308"/>
      <c r="B73" s="306"/>
      <c r="C73" s="293"/>
      <c r="D73" s="293"/>
      <c r="E73" s="293"/>
      <c r="F73" s="293"/>
      <c r="G73" s="293"/>
      <c r="H73" s="293"/>
      <c r="I73" s="293"/>
      <c r="J73" s="293"/>
      <c r="K73" s="293"/>
      <c r="L73" s="306"/>
      <c r="M73" s="306"/>
      <c r="R73" s="293"/>
      <c r="S73" s="293"/>
      <c r="T73" s="293"/>
      <c r="U73" s="293"/>
      <c r="V73" s="299"/>
      <c r="W73" s="299"/>
      <c r="X73" s="299"/>
      <c r="Y73" s="301"/>
      <c r="Z73" s="302"/>
      <c r="AA73" s="299"/>
      <c r="AB73" s="299"/>
      <c r="AC73" s="299"/>
      <c r="AD73" s="299"/>
      <c r="AE73" s="301"/>
      <c r="AF73" s="302"/>
      <c r="AG73" s="302"/>
      <c r="AH73" s="299"/>
      <c r="AI73" s="299"/>
      <c r="AJ73" s="299"/>
      <c r="AK73" s="301"/>
      <c r="AL73" s="302"/>
      <c r="AM73" s="299"/>
      <c r="AN73" s="299"/>
      <c r="AO73" s="299"/>
      <c r="AP73" s="299"/>
      <c r="AQ73" s="301"/>
      <c r="AR73" s="302"/>
      <c r="AS73" s="299"/>
      <c r="AT73" s="299"/>
      <c r="AU73" s="299"/>
      <c r="AV73" s="299"/>
      <c r="AW73" s="301"/>
      <c r="AX73" s="302"/>
      <c r="AY73" s="299"/>
      <c r="AZ73" s="299"/>
      <c r="BA73" s="299"/>
      <c r="BB73" s="299"/>
      <c r="BC73" s="301"/>
      <c r="BD73" s="302"/>
      <c r="BE73" s="299"/>
      <c r="BF73" s="299"/>
      <c r="BG73" s="299"/>
      <c r="BH73" s="299"/>
      <c r="BI73" s="301"/>
      <c r="BJ73" s="302"/>
      <c r="BK73" s="299"/>
      <c r="BL73" s="299"/>
      <c r="BM73" s="299"/>
      <c r="BN73" s="299"/>
      <c r="BO73" s="303"/>
      <c r="BP73" s="304"/>
      <c r="BQ73" s="302"/>
      <c r="BR73" s="299"/>
      <c r="BS73" s="299"/>
      <c r="BT73" s="299"/>
      <c r="BU73" s="299"/>
      <c r="BV73" s="299"/>
      <c r="BW73" s="299"/>
      <c r="FL73" s="307"/>
      <c r="FM73" s="299"/>
      <c r="FN73" s="299"/>
      <c r="FO73" s="293"/>
      <c r="FP73" s="293"/>
      <c r="FQ73" s="293"/>
      <c r="FR73" s="293"/>
      <c r="FS73" s="299"/>
      <c r="FT73" s="299"/>
    </row>
    <row r="74" spans="1:185">
      <c r="A74" s="308"/>
      <c r="B74" s="306"/>
      <c r="C74" s="293"/>
      <c r="D74" s="293"/>
      <c r="E74" s="293"/>
      <c r="F74" s="293"/>
      <c r="G74" s="293"/>
      <c r="H74" s="293"/>
      <c r="I74" s="293"/>
      <c r="J74" s="293"/>
      <c r="K74" s="293"/>
      <c r="L74" s="306"/>
      <c r="M74" s="306"/>
      <c r="N74" s="306"/>
      <c r="O74" s="304"/>
      <c r="P74" s="306"/>
      <c r="Q74" s="306"/>
      <c r="R74" s="293"/>
      <c r="S74" s="293"/>
      <c r="T74" s="293"/>
      <c r="U74" s="293"/>
      <c r="V74" s="299"/>
      <c r="W74" s="299"/>
      <c r="X74" s="299"/>
      <c r="Y74" s="301"/>
      <c r="Z74" s="302"/>
      <c r="AA74" s="299"/>
      <c r="AB74" s="299"/>
      <c r="AC74" s="299"/>
      <c r="AD74" s="299"/>
      <c r="AE74" s="301"/>
      <c r="AF74" s="302"/>
      <c r="AG74" s="302"/>
      <c r="AH74" s="299"/>
      <c r="AI74" s="299"/>
      <c r="AJ74" s="299"/>
      <c r="AK74" s="301"/>
      <c r="AL74" s="302"/>
      <c r="AM74" s="299"/>
      <c r="AN74" s="299"/>
      <c r="AO74" s="299"/>
      <c r="AP74" s="299"/>
      <c r="AQ74" s="301"/>
      <c r="AR74" s="302"/>
      <c r="AS74" s="299"/>
      <c r="AT74" s="299"/>
      <c r="AU74" s="299"/>
      <c r="AV74" s="299"/>
      <c r="AW74" s="301"/>
      <c r="AX74" s="302"/>
      <c r="AY74" s="299"/>
      <c r="AZ74" s="299"/>
      <c r="BA74" s="299"/>
      <c r="BB74" s="299"/>
      <c r="BC74" s="301"/>
      <c r="BD74" s="302"/>
      <c r="BE74" s="299"/>
      <c r="BF74" s="299"/>
      <c r="BG74" s="299"/>
      <c r="BH74" s="299"/>
      <c r="BI74" s="301"/>
      <c r="BJ74" s="302"/>
      <c r="BK74" s="299"/>
      <c r="BL74" s="299"/>
      <c r="BM74" s="299"/>
      <c r="BN74" s="299"/>
      <c r="BO74" s="303"/>
      <c r="BP74" s="304"/>
      <c r="BQ74" s="311"/>
      <c r="BR74" s="299"/>
      <c r="BS74" s="299"/>
      <c r="BT74" s="299"/>
      <c r="BU74" s="299"/>
      <c r="BV74" s="299"/>
      <c r="BW74" s="299"/>
      <c r="BX74" s="293"/>
      <c r="BY74" s="293"/>
      <c r="BZ74" s="293"/>
      <c r="CA74" s="293"/>
      <c r="CB74" s="293"/>
      <c r="CC74" s="293"/>
      <c r="CD74" s="293"/>
      <c r="CE74" s="293"/>
      <c r="CF74" s="293"/>
      <c r="CG74" s="293"/>
      <c r="CH74" s="293"/>
      <c r="CI74" s="293"/>
      <c r="CJ74" s="293"/>
      <c r="CK74" s="293"/>
      <c r="CL74" s="293"/>
      <c r="CM74" s="293"/>
      <c r="CN74" s="293"/>
      <c r="CO74" s="293"/>
      <c r="CP74" s="293"/>
      <c r="CQ74" s="293"/>
      <c r="CR74" s="293"/>
      <c r="CS74" s="293"/>
      <c r="CT74" s="293"/>
      <c r="CU74" s="293"/>
      <c r="CV74" s="293"/>
      <c r="CW74" s="293"/>
      <c r="CX74" s="293"/>
      <c r="CY74" s="293"/>
      <c r="CZ74" s="293"/>
      <c r="DA74" s="293"/>
      <c r="DB74" s="307"/>
      <c r="DC74" s="293"/>
      <c r="DD74" s="293"/>
      <c r="DE74" s="293"/>
      <c r="DF74" s="293"/>
      <c r="DG74" s="293"/>
      <c r="DH74" s="293"/>
      <c r="DI74" s="307"/>
      <c r="DJ74" s="293"/>
      <c r="DK74" s="293"/>
      <c r="DL74" s="293"/>
      <c r="DM74" s="293"/>
      <c r="DN74" s="293"/>
      <c r="DO74" s="293"/>
      <c r="DP74" s="293"/>
      <c r="DQ74" s="293"/>
      <c r="DR74" s="307"/>
      <c r="DS74" s="293"/>
      <c r="DT74" s="293"/>
      <c r="DU74" s="293"/>
      <c r="DV74" s="293"/>
      <c r="DW74" s="293"/>
      <c r="DX74" s="293"/>
      <c r="DY74" s="293"/>
      <c r="DZ74" s="293"/>
      <c r="EA74" s="293"/>
      <c r="EB74" s="293"/>
      <c r="EC74" s="307"/>
      <c r="ED74" s="293"/>
      <c r="EE74" s="293"/>
      <c r="EF74" s="293"/>
      <c r="EG74" s="293"/>
      <c r="EH74" s="293"/>
      <c r="EI74" s="293"/>
      <c r="EJ74" s="293"/>
      <c r="EK74" s="293"/>
      <c r="EL74" s="293"/>
      <c r="EM74" s="293"/>
      <c r="EN74" s="307"/>
      <c r="EO74" s="293"/>
      <c r="EP74" s="293"/>
      <c r="EQ74" s="293"/>
      <c r="ER74" s="293"/>
      <c r="ES74" s="293"/>
      <c r="ET74" s="293"/>
      <c r="EU74" s="293"/>
      <c r="EV74" s="307"/>
      <c r="EW74" s="293"/>
      <c r="EX74" s="293"/>
      <c r="EY74" s="293"/>
      <c r="EZ74" s="293"/>
      <c r="FA74" s="293"/>
      <c r="FB74" s="293"/>
      <c r="FC74" s="293"/>
      <c r="FD74" s="307"/>
      <c r="FE74" s="293"/>
      <c r="FF74" s="293"/>
      <c r="FG74" s="293"/>
      <c r="FH74" s="293"/>
      <c r="FI74" s="293"/>
      <c r="FJ74" s="293"/>
      <c r="FK74" s="293"/>
      <c r="FL74" s="307"/>
      <c r="FM74" s="299"/>
      <c r="FN74" s="299"/>
      <c r="FO74" s="293"/>
      <c r="FP74" s="293"/>
      <c r="FQ74" s="293"/>
      <c r="FR74" s="293"/>
      <c r="FS74" s="299"/>
      <c r="FT74" s="299"/>
      <c r="FU74" s="299"/>
      <c r="FV74" s="299"/>
      <c r="FW74" s="299"/>
      <c r="FX74" s="307"/>
      <c r="FY74" s="307"/>
    </row>
    <row r="75" spans="1:185">
      <c r="A75" s="308"/>
      <c r="B75" s="306"/>
      <c r="C75" s="293"/>
      <c r="D75" s="293"/>
      <c r="E75" s="293"/>
      <c r="F75" s="293"/>
      <c r="G75" s="293"/>
      <c r="H75" s="293"/>
      <c r="I75" s="293"/>
      <c r="J75" s="293"/>
      <c r="K75" s="293"/>
      <c r="L75" s="306"/>
      <c r="M75" s="306"/>
      <c r="N75" s="306"/>
      <c r="O75" s="304"/>
      <c r="P75" s="306"/>
      <c r="Q75" s="306"/>
      <c r="R75" s="293"/>
      <c r="S75" s="293"/>
      <c r="T75" s="293"/>
      <c r="U75" s="293"/>
      <c r="V75" s="299"/>
      <c r="W75" s="299"/>
      <c r="X75" s="299"/>
      <c r="Y75" s="301"/>
      <c r="Z75" s="302"/>
      <c r="AA75" s="299"/>
      <c r="AB75" s="299"/>
      <c r="AC75" s="299"/>
      <c r="AD75" s="299"/>
      <c r="AE75" s="301"/>
      <c r="AF75" s="302"/>
      <c r="AG75" s="302"/>
      <c r="AH75" s="299"/>
      <c r="AI75" s="299"/>
      <c r="AJ75" s="299"/>
      <c r="AK75" s="301"/>
      <c r="AL75" s="302"/>
      <c r="AM75" s="299"/>
      <c r="AN75" s="299"/>
      <c r="AO75" s="299"/>
      <c r="AP75" s="299"/>
      <c r="AQ75" s="301"/>
      <c r="AR75" s="302"/>
      <c r="AS75" s="299"/>
      <c r="AT75" s="299"/>
      <c r="AU75" s="299"/>
      <c r="AV75" s="299"/>
      <c r="AW75" s="301"/>
      <c r="AX75" s="302"/>
      <c r="AY75" s="299"/>
      <c r="AZ75" s="299"/>
      <c r="BA75" s="299"/>
      <c r="BB75" s="299"/>
      <c r="BC75" s="301"/>
      <c r="BD75" s="302"/>
      <c r="BE75" s="299"/>
      <c r="BF75" s="299"/>
      <c r="BG75" s="299"/>
      <c r="BH75" s="299"/>
      <c r="BI75" s="301"/>
      <c r="BJ75" s="302"/>
      <c r="BK75" s="299"/>
      <c r="BL75" s="299"/>
      <c r="BM75" s="299"/>
      <c r="BN75" s="299"/>
      <c r="BO75" s="303"/>
      <c r="BP75" s="304"/>
      <c r="BQ75" s="302"/>
      <c r="BR75" s="299"/>
      <c r="BS75" s="299"/>
      <c r="BT75" s="299"/>
      <c r="BU75" s="299"/>
      <c r="BV75" s="299"/>
      <c r="BW75" s="299"/>
      <c r="BX75" s="293"/>
      <c r="BY75" s="293"/>
      <c r="BZ75" s="293"/>
      <c r="CZ75" s="293"/>
      <c r="DA75" s="293"/>
      <c r="DB75" s="307"/>
      <c r="DC75" s="293"/>
      <c r="DD75" s="293"/>
      <c r="DE75" s="293"/>
      <c r="DF75" s="293"/>
      <c r="DG75" s="293"/>
      <c r="DH75" s="293"/>
      <c r="DI75" s="307"/>
      <c r="DJ75" s="293"/>
      <c r="DK75" s="293"/>
      <c r="DL75" s="293"/>
      <c r="DM75" s="293"/>
      <c r="DN75" s="293"/>
      <c r="DO75" s="293"/>
      <c r="DP75" s="293"/>
      <c r="DQ75" s="293"/>
      <c r="DR75" s="307"/>
      <c r="DS75" s="293"/>
      <c r="DT75" s="293"/>
      <c r="DU75" s="293"/>
      <c r="DV75" s="293"/>
      <c r="EB75" s="293"/>
      <c r="EC75" s="307"/>
      <c r="ED75" s="293"/>
      <c r="EE75" s="293"/>
      <c r="EF75" s="293"/>
      <c r="EG75" s="293"/>
      <c r="EH75" s="293"/>
      <c r="EI75" s="293"/>
      <c r="EJ75" s="293"/>
      <c r="EK75" s="293"/>
      <c r="EL75" s="293"/>
      <c r="EM75" s="293"/>
      <c r="EN75" s="307"/>
      <c r="EO75" s="293"/>
      <c r="EP75" s="293"/>
      <c r="EQ75" s="293"/>
      <c r="ER75" s="293"/>
      <c r="ES75" s="293"/>
      <c r="ET75" s="293"/>
      <c r="EU75" s="293"/>
      <c r="EV75" s="307"/>
      <c r="EW75" s="293"/>
      <c r="EX75" s="293"/>
      <c r="EY75" s="293"/>
      <c r="EZ75" s="293"/>
      <c r="FA75" s="293"/>
      <c r="FB75" s="293"/>
      <c r="FC75" s="293"/>
      <c r="FD75" s="307"/>
      <c r="FE75" s="293"/>
      <c r="FF75" s="293"/>
      <c r="FG75" s="293"/>
      <c r="FH75" s="293"/>
      <c r="FI75" s="293"/>
      <c r="FJ75" s="293"/>
      <c r="FK75" s="293"/>
      <c r="FL75" s="307"/>
      <c r="FM75" s="299"/>
      <c r="FN75" s="299"/>
      <c r="FO75" s="293"/>
      <c r="FP75" s="293"/>
      <c r="FQ75" s="293"/>
      <c r="FU75" s="299"/>
      <c r="FV75" s="299"/>
      <c r="FW75" s="299"/>
      <c r="FX75" s="307"/>
      <c r="FY75" s="307"/>
      <c r="FZ75" s="307"/>
      <c r="GA75" s="307"/>
      <c r="GB75" s="307"/>
      <c r="GC75" s="307"/>
    </row>
    <row r="76" spans="1:185">
      <c r="A76" s="308"/>
      <c r="B76" s="306"/>
      <c r="C76" s="306"/>
      <c r="D76" s="306"/>
      <c r="E76" s="306"/>
      <c r="F76" s="306"/>
      <c r="G76" s="306"/>
      <c r="H76" s="306"/>
      <c r="I76" s="306"/>
      <c r="J76" s="306"/>
      <c r="K76" s="306"/>
      <c r="L76" s="306"/>
      <c r="M76" s="304"/>
      <c r="N76" s="304"/>
      <c r="O76" s="306"/>
      <c r="P76" s="304"/>
      <c r="Q76" s="304"/>
      <c r="R76" s="306"/>
      <c r="S76" s="306"/>
      <c r="T76" s="306"/>
      <c r="U76" s="306"/>
      <c r="V76" s="299"/>
      <c r="W76" s="299"/>
      <c r="X76" s="299"/>
      <c r="Y76" s="301"/>
      <c r="Z76" s="302"/>
      <c r="AA76" s="299"/>
      <c r="AB76" s="299"/>
      <c r="AC76" s="299"/>
      <c r="AD76" s="299"/>
      <c r="AE76" s="301"/>
      <c r="AF76" s="302"/>
      <c r="AG76" s="302"/>
      <c r="AH76" s="299"/>
      <c r="AI76" s="299"/>
      <c r="AJ76" s="299"/>
      <c r="AK76" s="301"/>
      <c r="AL76" s="302"/>
      <c r="AM76" s="299"/>
      <c r="AN76" s="299"/>
      <c r="AO76" s="299"/>
      <c r="AP76" s="299"/>
      <c r="AQ76" s="301"/>
      <c r="AR76" s="302"/>
      <c r="AS76" s="299"/>
      <c r="AT76" s="299"/>
      <c r="AU76" s="299"/>
      <c r="AV76" s="299"/>
      <c r="AW76" s="301"/>
      <c r="AX76" s="302"/>
      <c r="AY76" s="299"/>
      <c r="AZ76" s="299"/>
      <c r="BA76" s="299"/>
      <c r="BB76" s="299"/>
      <c r="BC76" s="301"/>
      <c r="BD76" s="302"/>
      <c r="BE76" s="299"/>
      <c r="BF76" s="299"/>
      <c r="BG76" s="299"/>
      <c r="BH76" s="299"/>
      <c r="BI76" s="301"/>
      <c r="BJ76" s="302"/>
      <c r="BK76" s="299"/>
      <c r="BL76" s="299"/>
      <c r="BM76" s="299"/>
      <c r="BN76" s="299"/>
      <c r="BO76" s="303"/>
      <c r="BP76" s="298"/>
      <c r="BQ76" s="297"/>
      <c r="BR76" s="319"/>
      <c r="BS76" s="319"/>
      <c r="BT76" s="319"/>
      <c r="BU76" s="319"/>
      <c r="BV76" s="319"/>
      <c r="BW76" s="319"/>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299"/>
      <c r="FW76" s="299"/>
      <c r="FX76" s="306"/>
      <c r="FY76" s="306"/>
      <c r="FZ76" s="306"/>
      <c r="GA76" s="307"/>
      <c r="GB76" s="299"/>
      <c r="GC76" s="307"/>
    </row>
    <row r="77" spans="1:185">
      <c r="A77" s="308"/>
      <c r="B77" s="306"/>
      <c r="C77" s="293"/>
      <c r="D77" s="293"/>
      <c r="E77" s="293"/>
      <c r="F77" s="293"/>
      <c r="G77" s="293"/>
      <c r="H77" s="293"/>
      <c r="I77" s="293"/>
      <c r="J77" s="293"/>
      <c r="K77" s="293"/>
      <c r="L77" s="306"/>
      <c r="M77" s="306"/>
      <c r="N77" s="306"/>
      <c r="O77" s="306"/>
      <c r="P77" s="306"/>
      <c r="Q77" s="306"/>
      <c r="V77" s="299"/>
      <c r="W77" s="299"/>
      <c r="X77" s="299"/>
      <c r="Y77" s="301"/>
      <c r="Z77" s="302"/>
      <c r="AA77" s="299"/>
      <c r="AB77" s="299"/>
      <c r="AC77" s="299"/>
      <c r="AD77" s="299"/>
      <c r="AE77" s="301"/>
      <c r="AF77" s="302"/>
      <c r="AG77" s="302"/>
      <c r="AH77" s="299"/>
      <c r="AI77" s="299"/>
      <c r="AJ77" s="299"/>
      <c r="AK77" s="301"/>
      <c r="AL77" s="302"/>
      <c r="AM77" s="299"/>
      <c r="AN77" s="299"/>
      <c r="AO77" s="299"/>
      <c r="AP77" s="299"/>
      <c r="AQ77" s="301"/>
      <c r="AR77" s="302"/>
      <c r="AS77" s="299"/>
      <c r="AT77" s="299"/>
      <c r="AU77" s="299"/>
      <c r="AV77" s="299"/>
      <c r="AW77" s="301"/>
      <c r="AX77" s="302"/>
      <c r="AY77" s="299"/>
      <c r="AZ77" s="299"/>
      <c r="BA77" s="299"/>
      <c r="BB77" s="299"/>
      <c r="BC77" s="301"/>
      <c r="BD77" s="302"/>
      <c r="BE77" s="299"/>
      <c r="BF77" s="299"/>
      <c r="BG77" s="299"/>
      <c r="BH77" s="299"/>
      <c r="BI77" s="301"/>
      <c r="BJ77" s="302"/>
      <c r="BK77" s="299"/>
      <c r="BL77" s="299"/>
      <c r="BM77" s="299"/>
      <c r="BN77" s="299"/>
      <c r="BO77" s="303"/>
      <c r="BP77" s="304"/>
      <c r="BQ77" s="302"/>
      <c r="BR77" s="299"/>
      <c r="BS77" s="299"/>
      <c r="BT77" s="299"/>
      <c r="BU77" s="299"/>
      <c r="BV77" s="299"/>
      <c r="BW77" s="299"/>
      <c r="GC77" s="307"/>
    </row>
    <row r="78" spans="1:185">
      <c r="A78" s="308"/>
      <c r="B78" s="306"/>
      <c r="C78" s="293"/>
      <c r="D78" s="293"/>
      <c r="E78" s="293"/>
      <c r="F78" s="293"/>
      <c r="G78" s="293"/>
      <c r="H78" s="293"/>
      <c r="I78" s="293"/>
      <c r="J78" s="293"/>
      <c r="K78" s="293"/>
      <c r="L78" s="306"/>
      <c r="M78" s="306"/>
      <c r="N78" s="306"/>
      <c r="O78" s="306"/>
      <c r="P78" s="306"/>
      <c r="Q78" s="306"/>
      <c r="V78" s="299"/>
      <c r="W78" s="299"/>
      <c r="X78" s="299"/>
      <c r="Y78" s="301"/>
      <c r="Z78" s="302"/>
      <c r="AA78" s="299"/>
      <c r="AB78" s="299"/>
      <c r="AC78" s="299"/>
      <c r="AD78" s="299"/>
      <c r="AE78" s="301"/>
      <c r="AF78" s="302"/>
      <c r="AG78" s="302"/>
      <c r="AH78" s="299"/>
      <c r="AI78" s="299"/>
      <c r="AJ78" s="299"/>
      <c r="AK78" s="301"/>
      <c r="AL78" s="302"/>
      <c r="AM78" s="299"/>
      <c r="AN78" s="299"/>
      <c r="AO78" s="299"/>
      <c r="AP78" s="299"/>
      <c r="AQ78" s="301"/>
      <c r="AR78" s="302"/>
      <c r="AS78" s="299"/>
      <c r="AT78" s="299"/>
      <c r="AU78" s="299"/>
      <c r="AV78" s="299"/>
      <c r="AW78" s="301"/>
      <c r="AX78" s="302"/>
      <c r="AY78" s="299"/>
      <c r="AZ78" s="299"/>
      <c r="BA78" s="299"/>
      <c r="BB78" s="299"/>
      <c r="BC78" s="301"/>
      <c r="BD78" s="302"/>
      <c r="BE78" s="299"/>
      <c r="BF78" s="299"/>
      <c r="BG78" s="299"/>
      <c r="BH78" s="299"/>
      <c r="BI78" s="301"/>
      <c r="BJ78" s="302"/>
      <c r="BK78" s="299"/>
      <c r="BL78" s="299"/>
      <c r="BM78" s="299"/>
      <c r="BN78" s="299"/>
      <c r="BO78" s="303"/>
      <c r="BP78" s="306"/>
      <c r="BQ78" s="302"/>
      <c r="BR78" s="299"/>
      <c r="BS78" s="299"/>
      <c r="BT78" s="299"/>
      <c r="BU78" s="299"/>
      <c r="BV78" s="299"/>
      <c r="BW78" s="299"/>
      <c r="BY78" s="297"/>
    </row>
    <row r="79" spans="1:185">
      <c r="A79" s="308"/>
      <c r="B79" s="306"/>
      <c r="C79" s="293"/>
      <c r="D79" s="293"/>
      <c r="E79" s="293"/>
      <c r="F79" s="293"/>
      <c r="H79" s="293"/>
      <c r="I79" s="293"/>
      <c r="J79" s="293"/>
      <c r="L79" s="306"/>
      <c r="M79" s="306"/>
      <c r="Q79" s="306"/>
      <c r="V79" s="299"/>
      <c r="W79" s="299"/>
      <c r="X79" s="299"/>
      <c r="Y79" s="301"/>
      <c r="Z79" s="302"/>
      <c r="AA79" s="299"/>
      <c r="AB79" s="299"/>
      <c r="AC79" s="299"/>
      <c r="AD79" s="299"/>
      <c r="AE79" s="301"/>
      <c r="AF79" s="302"/>
      <c r="AG79" s="302"/>
      <c r="AH79" s="299"/>
      <c r="AI79" s="299"/>
      <c r="AJ79" s="299"/>
      <c r="AK79" s="301"/>
      <c r="AL79" s="302"/>
      <c r="AM79" s="299"/>
      <c r="AN79" s="299"/>
      <c r="AO79" s="299"/>
      <c r="AP79" s="299"/>
      <c r="AQ79" s="301"/>
      <c r="AR79" s="302"/>
      <c r="AS79" s="299"/>
      <c r="AT79" s="299"/>
      <c r="AU79" s="299"/>
      <c r="AV79" s="299"/>
      <c r="AW79" s="301"/>
      <c r="AX79" s="302"/>
      <c r="AY79" s="299"/>
      <c r="AZ79" s="299"/>
      <c r="BA79" s="299"/>
      <c r="BB79" s="299"/>
      <c r="BC79" s="301"/>
      <c r="BD79" s="302"/>
      <c r="BE79" s="299"/>
      <c r="BF79" s="299"/>
      <c r="BG79" s="299"/>
      <c r="BH79" s="299"/>
      <c r="BI79" s="301"/>
      <c r="BJ79" s="302"/>
      <c r="BK79" s="299"/>
      <c r="BL79" s="299"/>
      <c r="BM79" s="299"/>
      <c r="BN79" s="299"/>
      <c r="BO79" s="303"/>
      <c r="BP79" s="304"/>
      <c r="BT79" s="299"/>
      <c r="BU79" s="299"/>
      <c r="BV79" s="299"/>
      <c r="BW79" s="299"/>
      <c r="FU79" s="299"/>
      <c r="FV79" s="299"/>
      <c r="FW79" s="299"/>
    </row>
    <row r="80" spans="1:185">
      <c r="A80" s="308"/>
      <c r="L80" s="306"/>
      <c r="V80" s="299"/>
      <c r="W80" s="299"/>
      <c r="X80" s="299"/>
      <c r="Y80" s="301"/>
      <c r="Z80" s="302"/>
      <c r="AA80" s="299"/>
      <c r="AB80" s="299"/>
      <c r="AC80" s="299"/>
      <c r="AD80" s="299"/>
      <c r="AE80" s="301"/>
      <c r="AF80" s="302"/>
      <c r="AG80" s="302"/>
      <c r="AH80" s="299"/>
      <c r="AI80" s="299"/>
      <c r="AJ80" s="299"/>
      <c r="AK80" s="301"/>
      <c r="AL80" s="302"/>
      <c r="AM80" s="299"/>
      <c r="AN80" s="299"/>
      <c r="AO80" s="299"/>
      <c r="AP80" s="299"/>
      <c r="AQ80" s="301"/>
      <c r="AR80" s="302"/>
      <c r="AS80" s="299"/>
      <c r="AT80" s="299"/>
      <c r="AU80" s="299"/>
      <c r="AV80" s="299"/>
      <c r="AW80" s="301"/>
      <c r="AX80" s="302"/>
      <c r="AY80" s="299"/>
      <c r="AZ80" s="299"/>
      <c r="BA80" s="299"/>
      <c r="BB80" s="299"/>
      <c r="BC80" s="301"/>
      <c r="BD80" s="302"/>
      <c r="BE80" s="299"/>
      <c r="BF80" s="299"/>
      <c r="BG80" s="299"/>
      <c r="BH80" s="299"/>
      <c r="BI80" s="301"/>
      <c r="BJ80" s="302"/>
      <c r="BK80" s="299"/>
      <c r="BL80" s="299"/>
      <c r="BM80" s="299"/>
      <c r="BN80" s="299"/>
      <c r="BO80" s="303"/>
      <c r="BP80" s="304"/>
      <c r="BT80" s="299"/>
      <c r="BU80" s="299"/>
      <c r="BV80" s="299"/>
      <c r="BW80" s="299"/>
      <c r="DN80" s="293"/>
      <c r="FU80" s="299"/>
      <c r="FV80" s="299"/>
      <c r="FW80" s="299"/>
    </row>
    <row r="81" spans="1:185">
      <c r="A81" s="308"/>
      <c r="V81" s="299"/>
      <c r="W81" s="299"/>
      <c r="X81" s="299"/>
      <c r="Y81" s="301"/>
      <c r="Z81" s="302"/>
      <c r="AA81" s="299"/>
      <c r="AB81" s="299"/>
      <c r="AC81" s="299"/>
      <c r="AD81" s="299"/>
      <c r="AE81" s="301"/>
      <c r="AF81" s="302"/>
      <c r="AG81" s="302"/>
      <c r="AH81" s="299"/>
      <c r="AI81" s="299"/>
      <c r="AJ81" s="299"/>
      <c r="AK81" s="301"/>
      <c r="AL81" s="302"/>
      <c r="AM81" s="299"/>
      <c r="AN81" s="299"/>
      <c r="AO81" s="299"/>
      <c r="AP81" s="299"/>
      <c r="AQ81" s="301"/>
      <c r="AR81" s="302"/>
      <c r="AS81" s="299"/>
      <c r="AT81" s="299"/>
      <c r="AU81" s="299"/>
      <c r="AV81" s="299"/>
      <c r="AW81" s="301"/>
      <c r="AX81" s="302"/>
      <c r="AY81" s="299"/>
      <c r="AZ81" s="299"/>
      <c r="BA81" s="299"/>
      <c r="BB81" s="299"/>
      <c r="BC81" s="301"/>
      <c r="BD81" s="302"/>
      <c r="BE81" s="299"/>
      <c r="BF81" s="299"/>
      <c r="BG81" s="299"/>
      <c r="BH81" s="299"/>
      <c r="BI81" s="301"/>
      <c r="BJ81" s="302"/>
      <c r="BK81" s="299"/>
      <c r="BL81" s="299"/>
      <c r="BM81" s="299"/>
      <c r="BN81" s="299"/>
      <c r="BO81" s="303"/>
      <c r="BP81" s="304"/>
      <c r="BT81" s="299"/>
      <c r="BU81" s="299"/>
      <c r="BV81" s="299"/>
      <c r="BW81" s="299"/>
      <c r="FU81" s="299"/>
      <c r="FV81" s="299"/>
      <c r="FW81" s="299"/>
      <c r="GC81" s="307"/>
    </row>
    <row r="82" spans="1:185">
      <c r="A82" s="308"/>
      <c r="L82" s="306"/>
      <c r="V82" s="299"/>
      <c r="W82" s="299"/>
      <c r="X82" s="299"/>
      <c r="Y82" s="301"/>
      <c r="Z82" s="302"/>
      <c r="AA82" s="299"/>
      <c r="AB82" s="299"/>
      <c r="AC82" s="299"/>
      <c r="AD82" s="299"/>
      <c r="AE82" s="301"/>
      <c r="AF82" s="302"/>
      <c r="AG82" s="302"/>
      <c r="AH82" s="299"/>
      <c r="AI82" s="299"/>
      <c r="AJ82" s="299"/>
      <c r="AK82" s="301"/>
      <c r="AL82" s="302"/>
      <c r="AM82" s="299"/>
      <c r="AN82" s="299"/>
      <c r="AO82" s="299"/>
      <c r="AP82" s="299"/>
      <c r="AQ82" s="301"/>
      <c r="AR82" s="302"/>
      <c r="AS82" s="299"/>
      <c r="AT82" s="299"/>
      <c r="AU82" s="299"/>
      <c r="AV82" s="299"/>
      <c r="AW82" s="301"/>
      <c r="AX82" s="302"/>
      <c r="AY82" s="299"/>
      <c r="AZ82" s="299"/>
      <c r="BA82" s="299"/>
      <c r="BB82" s="299"/>
      <c r="BC82" s="301"/>
      <c r="BD82" s="302"/>
      <c r="BE82" s="299"/>
      <c r="BF82" s="299"/>
      <c r="BG82" s="299"/>
      <c r="BH82" s="299"/>
      <c r="BI82" s="301"/>
      <c r="BJ82" s="302"/>
      <c r="BK82" s="299"/>
      <c r="BL82" s="299"/>
      <c r="BM82" s="299"/>
      <c r="BN82" s="299"/>
      <c r="BO82" s="303"/>
      <c r="BP82" s="304"/>
      <c r="BT82" s="299"/>
      <c r="BU82" s="299"/>
      <c r="BV82" s="299"/>
      <c r="BW82" s="299"/>
      <c r="FU82" s="299"/>
      <c r="FV82" s="299"/>
      <c r="FW82" s="299"/>
    </row>
    <row r="83" spans="1:185">
      <c r="A83" s="308"/>
      <c r="V83" s="299"/>
      <c r="W83" s="299"/>
      <c r="X83" s="299"/>
      <c r="Y83" s="301"/>
      <c r="Z83" s="302"/>
      <c r="AA83" s="299"/>
      <c r="AB83" s="299"/>
      <c r="AC83" s="299"/>
      <c r="AD83" s="299"/>
      <c r="AE83" s="301"/>
      <c r="AF83" s="302"/>
      <c r="AG83" s="302"/>
      <c r="AH83" s="299"/>
      <c r="AI83" s="299"/>
      <c r="AJ83" s="299"/>
      <c r="AK83" s="301"/>
      <c r="AL83" s="302"/>
      <c r="AM83" s="299"/>
      <c r="AN83" s="299"/>
      <c r="AO83" s="299"/>
      <c r="AP83" s="299"/>
      <c r="AQ83" s="301"/>
      <c r="AR83" s="302"/>
      <c r="AS83" s="299"/>
      <c r="AT83" s="299"/>
      <c r="AU83" s="299"/>
      <c r="AV83" s="299"/>
      <c r="AW83" s="301"/>
      <c r="AX83" s="302"/>
      <c r="AY83" s="299"/>
      <c r="AZ83" s="299"/>
      <c r="BA83" s="299"/>
      <c r="BB83" s="299"/>
      <c r="BC83" s="301"/>
      <c r="BD83" s="302"/>
      <c r="BE83" s="299"/>
      <c r="BF83" s="299"/>
      <c r="BG83" s="299"/>
      <c r="BH83" s="299"/>
      <c r="BI83" s="301"/>
      <c r="BJ83" s="302"/>
      <c r="BK83" s="299"/>
      <c r="BL83" s="299"/>
      <c r="BM83" s="299"/>
      <c r="BN83" s="299"/>
      <c r="BO83" s="303"/>
      <c r="BP83" s="304"/>
      <c r="BT83" s="299"/>
      <c r="BU83" s="299"/>
      <c r="BV83" s="299"/>
      <c r="BW83" s="299"/>
      <c r="FU83" s="299"/>
      <c r="FV83" s="299"/>
      <c r="FW83" s="299"/>
    </row>
    <row r="84" spans="1:185">
      <c r="A84" s="308"/>
      <c r="V84" s="299"/>
      <c r="W84" s="299"/>
      <c r="X84" s="299"/>
      <c r="Y84" s="301"/>
      <c r="Z84" s="302"/>
      <c r="AA84" s="299"/>
      <c r="AB84" s="299"/>
      <c r="AC84" s="299"/>
      <c r="AD84" s="299"/>
      <c r="AE84" s="301"/>
      <c r="AF84" s="302"/>
      <c r="AG84" s="302"/>
      <c r="AH84" s="299"/>
      <c r="AI84" s="299"/>
      <c r="AJ84" s="299"/>
      <c r="AK84" s="301"/>
      <c r="AL84" s="302"/>
      <c r="AM84" s="299"/>
      <c r="AN84" s="299"/>
      <c r="AO84" s="299"/>
      <c r="AP84" s="299"/>
      <c r="AQ84" s="301"/>
      <c r="AR84" s="302"/>
      <c r="AS84" s="299"/>
      <c r="AT84" s="299"/>
      <c r="AU84" s="299"/>
      <c r="AV84" s="299"/>
      <c r="AW84" s="301"/>
      <c r="AX84" s="302"/>
      <c r="AY84" s="299"/>
      <c r="AZ84" s="299"/>
      <c r="BA84" s="299"/>
      <c r="BB84" s="299"/>
      <c r="BC84" s="301"/>
      <c r="BD84" s="302"/>
      <c r="BE84" s="299"/>
      <c r="BF84" s="299"/>
      <c r="BG84" s="299"/>
      <c r="BH84" s="299"/>
      <c r="BI84" s="301"/>
      <c r="BJ84" s="302"/>
      <c r="BK84" s="299"/>
      <c r="BL84" s="299"/>
      <c r="BM84" s="299"/>
      <c r="BN84" s="299"/>
      <c r="BO84" s="303"/>
      <c r="BP84" s="304"/>
      <c r="BT84" s="299"/>
      <c r="BU84" s="299"/>
      <c r="BV84" s="299"/>
      <c r="BW84" s="299"/>
      <c r="FU84" s="299"/>
      <c r="FV84" s="299"/>
      <c r="FW84" s="299"/>
    </row>
    <row r="85" spans="1:185">
      <c r="A85" s="308"/>
      <c r="V85" s="299"/>
      <c r="W85" s="299"/>
      <c r="X85" s="299"/>
      <c r="Y85" s="301"/>
      <c r="Z85" s="302"/>
      <c r="AA85" s="299"/>
      <c r="AB85" s="299"/>
      <c r="AC85" s="299"/>
      <c r="AD85" s="299"/>
      <c r="AE85" s="301"/>
      <c r="AF85" s="302"/>
      <c r="AG85" s="302"/>
      <c r="AH85" s="299"/>
      <c r="AI85" s="299"/>
      <c r="AJ85" s="299"/>
      <c r="AK85" s="301"/>
      <c r="AL85" s="302"/>
      <c r="AM85" s="299"/>
      <c r="AN85" s="299"/>
      <c r="AO85" s="299"/>
      <c r="AP85" s="299"/>
      <c r="AQ85" s="301"/>
      <c r="AR85" s="302"/>
      <c r="AS85" s="299"/>
      <c r="AT85" s="299"/>
      <c r="AU85" s="299"/>
      <c r="AV85" s="299"/>
      <c r="AW85" s="301"/>
      <c r="AX85" s="302"/>
      <c r="AY85" s="299"/>
      <c r="AZ85" s="299"/>
      <c r="BA85" s="299"/>
      <c r="BB85" s="299"/>
      <c r="BC85" s="301"/>
      <c r="BD85" s="302"/>
      <c r="BE85" s="299"/>
      <c r="BF85" s="299"/>
      <c r="BG85" s="299"/>
      <c r="BH85" s="299"/>
      <c r="BI85" s="301"/>
      <c r="BJ85" s="302"/>
      <c r="BK85" s="299"/>
      <c r="BL85" s="299"/>
      <c r="BM85" s="299"/>
      <c r="BN85" s="299"/>
      <c r="BO85" s="303"/>
      <c r="BP85" s="304"/>
      <c r="BT85" s="299"/>
      <c r="BU85" s="299"/>
      <c r="BV85" s="299"/>
      <c r="BW85" s="299"/>
      <c r="FU85" s="299"/>
      <c r="FV85" s="299"/>
      <c r="FW85" s="299"/>
      <c r="GC85" s="307"/>
    </row>
    <row r="86" spans="1:185">
      <c r="A86" s="308"/>
      <c r="V86" s="299"/>
      <c r="W86" s="299"/>
      <c r="X86" s="299"/>
      <c r="Y86" s="301"/>
      <c r="Z86" s="302"/>
      <c r="AA86" s="299"/>
      <c r="AB86" s="299"/>
      <c r="AC86" s="299"/>
      <c r="AD86" s="299"/>
      <c r="AE86" s="301"/>
      <c r="AF86" s="302"/>
      <c r="AG86" s="302"/>
      <c r="AH86" s="299"/>
      <c r="AI86" s="299"/>
      <c r="AJ86" s="299"/>
      <c r="AK86" s="301"/>
      <c r="AL86" s="302"/>
      <c r="AM86" s="299"/>
      <c r="AN86" s="299"/>
      <c r="AO86" s="299"/>
      <c r="AP86" s="299"/>
      <c r="AQ86" s="301"/>
      <c r="AR86" s="302"/>
      <c r="AS86" s="299"/>
      <c r="AT86" s="299"/>
      <c r="AU86" s="299"/>
      <c r="AV86" s="299"/>
      <c r="AW86" s="301"/>
      <c r="AX86" s="302"/>
      <c r="AY86" s="299"/>
      <c r="AZ86" s="299"/>
      <c r="BA86" s="299"/>
      <c r="BB86" s="299"/>
      <c r="BC86" s="301"/>
      <c r="BD86" s="302"/>
      <c r="BE86" s="299"/>
      <c r="BF86" s="299"/>
      <c r="BG86" s="299"/>
      <c r="BH86" s="299"/>
      <c r="BI86" s="301"/>
      <c r="BJ86" s="302"/>
      <c r="BK86" s="299"/>
      <c r="BL86" s="299"/>
      <c r="BM86" s="299"/>
      <c r="BN86" s="299"/>
      <c r="BO86" s="303"/>
      <c r="BP86" s="304"/>
      <c r="BT86" s="299"/>
      <c r="BU86" s="299"/>
      <c r="BV86" s="299"/>
      <c r="BW86" s="299"/>
      <c r="DL86" s="293"/>
      <c r="DM86" s="293"/>
      <c r="DN86" s="293"/>
      <c r="DO86" s="293"/>
      <c r="DP86" s="293"/>
      <c r="DQ86" s="293"/>
      <c r="DW86" s="293"/>
      <c r="DX86" s="293"/>
      <c r="DY86" s="293"/>
      <c r="DZ86" s="293"/>
      <c r="EA86" s="293"/>
      <c r="EB86" s="293"/>
      <c r="EH86" s="293"/>
      <c r="EI86" s="293"/>
      <c r="EJ86" s="293"/>
      <c r="EK86" s="293"/>
      <c r="EL86" s="293"/>
      <c r="EM86" s="293"/>
      <c r="EP86" s="293"/>
      <c r="EQ86" s="293"/>
      <c r="ER86" s="293"/>
      <c r="ES86" s="293"/>
      <c r="ET86" s="293"/>
      <c r="EU86" s="293"/>
      <c r="EX86" s="293"/>
      <c r="FA86" s="293"/>
      <c r="FC86" s="293"/>
      <c r="FF86" s="293"/>
      <c r="FG86" s="293"/>
      <c r="FH86" s="293"/>
      <c r="FI86" s="293"/>
      <c r="FJ86" s="293"/>
      <c r="FK86" s="293"/>
      <c r="FU86" s="299"/>
      <c r="FV86" s="299"/>
      <c r="FW86" s="299"/>
    </row>
    <row r="87" spans="1:185">
      <c r="A87" s="308"/>
      <c r="B87" s="306"/>
      <c r="C87" s="293"/>
      <c r="D87" s="293"/>
      <c r="E87" s="293"/>
      <c r="F87" s="293"/>
      <c r="G87" s="293"/>
      <c r="H87" s="293"/>
      <c r="I87" s="293"/>
      <c r="J87" s="293"/>
      <c r="K87" s="293"/>
      <c r="L87" s="306"/>
      <c r="M87" s="306"/>
      <c r="N87" s="306"/>
      <c r="O87" s="306"/>
      <c r="P87" s="306"/>
      <c r="Q87" s="306"/>
      <c r="V87" s="299"/>
      <c r="W87" s="299"/>
      <c r="X87" s="299"/>
      <c r="Y87" s="301"/>
      <c r="Z87" s="302"/>
      <c r="AA87" s="299"/>
      <c r="AB87" s="299"/>
      <c r="AC87" s="299"/>
      <c r="AD87" s="299"/>
      <c r="AE87" s="301"/>
      <c r="AF87" s="302"/>
      <c r="AG87" s="302"/>
      <c r="AH87" s="299"/>
      <c r="AI87" s="299"/>
      <c r="AJ87" s="299"/>
      <c r="AK87" s="301"/>
      <c r="AL87" s="302"/>
      <c r="AM87" s="299"/>
      <c r="AN87" s="299"/>
      <c r="AO87" s="299"/>
      <c r="AP87" s="299"/>
      <c r="AQ87" s="301"/>
      <c r="AR87" s="302"/>
      <c r="AS87" s="299"/>
      <c r="AT87" s="299"/>
      <c r="AU87" s="299"/>
      <c r="AV87" s="299"/>
      <c r="AW87" s="301"/>
      <c r="AX87" s="302"/>
      <c r="AY87" s="299"/>
      <c r="AZ87" s="299"/>
      <c r="BA87" s="299"/>
      <c r="BB87" s="299"/>
      <c r="BC87" s="301"/>
      <c r="BD87" s="302"/>
      <c r="BE87" s="299"/>
      <c r="BF87" s="299"/>
      <c r="BG87" s="299"/>
      <c r="BH87" s="299"/>
      <c r="BI87" s="301"/>
      <c r="BJ87" s="302"/>
      <c r="BK87" s="299"/>
      <c r="BL87" s="299"/>
      <c r="BM87" s="299"/>
      <c r="BN87" s="299"/>
      <c r="BO87" s="303"/>
      <c r="BP87" s="306"/>
      <c r="BQ87" s="302"/>
      <c r="BR87" s="299"/>
      <c r="BS87" s="299"/>
      <c r="BT87" s="299"/>
      <c r="BU87" s="299"/>
      <c r="BV87" s="299"/>
      <c r="BW87" s="299"/>
      <c r="GC87" s="307"/>
    </row>
    <row r="88" spans="1:185">
      <c r="A88" s="308"/>
      <c r="V88" s="299"/>
      <c r="W88" s="299"/>
      <c r="X88" s="299"/>
      <c r="Y88" s="301"/>
      <c r="Z88" s="302"/>
      <c r="AA88" s="299"/>
      <c r="AB88" s="299"/>
      <c r="AC88" s="299"/>
      <c r="AD88" s="299"/>
      <c r="AE88" s="301"/>
      <c r="AF88" s="302"/>
      <c r="AG88" s="302"/>
      <c r="AH88" s="299"/>
      <c r="AI88" s="299"/>
      <c r="AJ88" s="299"/>
      <c r="AK88" s="301"/>
      <c r="AL88" s="302"/>
      <c r="AM88" s="299"/>
      <c r="AN88" s="299"/>
      <c r="AO88" s="299"/>
      <c r="AP88" s="299"/>
      <c r="AQ88" s="301"/>
      <c r="AR88" s="302"/>
      <c r="AS88" s="299"/>
      <c r="AT88" s="299"/>
      <c r="AU88" s="299"/>
      <c r="AV88" s="299"/>
      <c r="AW88" s="301"/>
      <c r="AX88" s="302"/>
      <c r="AY88" s="299"/>
      <c r="AZ88" s="299"/>
      <c r="BA88" s="299"/>
      <c r="BB88" s="299"/>
      <c r="BC88" s="301"/>
      <c r="BD88" s="302"/>
      <c r="BE88" s="299"/>
      <c r="BF88" s="299"/>
      <c r="BG88" s="299"/>
      <c r="BH88" s="299"/>
      <c r="BI88" s="301"/>
      <c r="BJ88" s="302"/>
      <c r="BK88" s="299"/>
      <c r="BL88" s="299"/>
      <c r="BM88" s="299"/>
      <c r="BN88" s="299"/>
      <c r="BO88" s="303"/>
      <c r="BP88" s="304"/>
      <c r="BT88" s="299"/>
      <c r="BU88" s="299"/>
      <c r="BV88" s="299"/>
      <c r="BW88" s="299"/>
      <c r="FU88" s="299"/>
      <c r="FV88" s="299"/>
      <c r="FW88" s="299"/>
    </row>
    <row r="89" spans="1:185">
      <c r="A89" s="308"/>
      <c r="L89" s="306"/>
      <c r="O89" s="309"/>
      <c r="V89" s="299"/>
      <c r="W89" s="299"/>
      <c r="X89" s="299"/>
      <c r="Y89" s="301"/>
      <c r="Z89" s="302"/>
      <c r="AA89" s="299"/>
      <c r="AB89" s="299"/>
      <c r="AC89" s="299"/>
      <c r="AD89" s="299"/>
      <c r="AE89" s="301"/>
      <c r="AF89" s="302"/>
      <c r="AG89" s="302"/>
      <c r="AH89" s="299"/>
      <c r="AI89" s="299"/>
      <c r="AJ89" s="299"/>
      <c r="AK89" s="301"/>
      <c r="AL89" s="302"/>
      <c r="AM89" s="299"/>
      <c r="AN89" s="299"/>
      <c r="AO89" s="299"/>
      <c r="AP89" s="299"/>
      <c r="AQ89" s="301"/>
      <c r="AR89" s="302"/>
      <c r="AS89" s="299"/>
      <c r="AT89" s="299"/>
      <c r="AU89" s="299"/>
      <c r="AV89" s="299"/>
      <c r="AW89" s="301"/>
      <c r="AX89" s="302"/>
      <c r="AY89" s="299"/>
      <c r="AZ89" s="299"/>
      <c r="BA89" s="299"/>
      <c r="BB89" s="299"/>
      <c r="BC89" s="301"/>
      <c r="BD89" s="302"/>
      <c r="BE89" s="299"/>
      <c r="BF89" s="299"/>
      <c r="BG89" s="299"/>
      <c r="BH89" s="299"/>
      <c r="BI89" s="301"/>
      <c r="BJ89" s="302"/>
      <c r="BK89" s="299"/>
      <c r="BL89" s="299"/>
      <c r="BM89" s="299"/>
      <c r="BN89" s="299"/>
      <c r="BO89" s="303"/>
      <c r="BP89" s="304"/>
      <c r="BT89" s="299"/>
      <c r="BW89" s="299"/>
      <c r="GC89" s="307"/>
    </row>
    <row r="90" spans="1:185">
      <c r="A90" s="308"/>
      <c r="L90" s="306"/>
      <c r="V90" s="299"/>
      <c r="W90" s="299"/>
      <c r="X90" s="299"/>
      <c r="Y90" s="301"/>
      <c r="Z90" s="302"/>
      <c r="AA90" s="299"/>
      <c r="AB90" s="299"/>
      <c r="AC90" s="299"/>
      <c r="AD90" s="299"/>
      <c r="AE90" s="301"/>
      <c r="AF90" s="302"/>
      <c r="AG90" s="302"/>
      <c r="AH90" s="299"/>
      <c r="AI90" s="299"/>
      <c r="AJ90" s="299"/>
      <c r="AK90" s="301"/>
      <c r="AL90" s="302"/>
      <c r="AM90" s="299"/>
      <c r="AN90" s="299"/>
      <c r="AO90" s="299"/>
      <c r="AP90" s="299"/>
      <c r="AQ90" s="301"/>
      <c r="AR90" s="302"/>
      <c r="AS90" s="299"/>
      <c r="AT90" s="299"/>
      <c r="AU90" s="299"/>
      <c r="AV90" s="299"/>
      <c r="AW90" s="301"/>
      <c r="AX90" s="302"/>
      <c r="AY90" s="299"/>
      <c r="AZ90" s="299"/>
      <c r="BA90" s="299"/>
      <c r="BB90" s="299"/>
      <c r="BC90" s="301"/>
      <c r="BD90" s="302"/>
      <c r="BE90" s="299"/>
      <c r="BF90" s="299"/>
      <c r="BG90" s="299"/>
      <c r="BH90" s="299"/>
      <c r="BI90" s="301"/>
      <c r="BJ90" s="302"/>
      <c r="BK90" s="299"/>
      <c r="BL90" s="299"/>
      <c r="BM90" s="299"/>
      <c r="BN90" s="299"/>
      <c r="BO90" s="303"/>
      <c r="BP90" s="304"/>
      <c r="BT90" s="299"/>
      <c r="BU90" s="299"/>
      <c r="BV90" s="299"/>
      <c r="BW90" s="299"/>
    </row>
    <row r="91" spans="1:185">
      <c r="A91" s="308"/>
      <c r="V91" s="299"/>
      <c r="W91" s="299"/>
      <c r="X91" s="299"/>
      <c r="Y91" s="301"/>
      <c r="Z91" s="302"/>
      <c r="AA91" s="299"/>
      <c r="AB91" s="299"/>
      <c r="AC91" s="299"/>
      <c r="AD91" s="299"/>
      <c r="AE91" s="301"/>
      <c r="AF91" s="302"/>
      <c r="AG91" s="302"/>
      <c r="AH91" s="299"/>
      <c r="AI91" s="299"/>
      <c r="AJ91" s="299"/>
      <c r="AK91" s="301"/>
      <c r="AL91" s="302"/>
      <c r="AM91" s="299"/>
      <c r="AN91" s="299"/>
      <c r="AO91" s="299"/>
      <c r="AP91" s="299"/>
      <c r="AQ91" s="301"/>
      <c r="AR91" s="302"/>
      <c r="AS91" s="299"/>
      <c r="AT91" s="299"/>
      <c r="AU91" s="299"/>
      <c r="AV91" s="299"/>
      <c r="AW91" s="301"/>
      <c r="AX91" s="302"/>
      <c r="AY91" s="299"/>
      <c r="AZ91" s="299"/>
      <c r="BA91" s="299"/>
      <c r="BB91" s="299"/>
      <c r="BC91" s="301"/>
      <c r="BD91" s="302"/>
      <c r="BE91" s="299"/>
      <c r="BF91" s="299"/>
      <c r="BG91" s="299"/>
      <c r="BH91" s="299"/>
      <c r="BI91" s="301"/>
      <c r="BJ91" s="302"/>
      <c r="BK91" s="299"/>
      <c r="BL91" s="299"/>
      <c r="BM91" s="299"/>
      <c r="BN91" s="299"/>
      <c r="BO91" s="303"/>
      <c r="BP91" s="304"/>
      <c r="BT91" s="299"/>
      <c r="BU91" s="299"/>
      <c r="BV91" s="299"/>
      <c r="BW91" s="299"/>
      <c r="FU91" s="299"/>
      <c r="FV91" s="299"/>
      <c r="FW91" s="299"/>
      <c r="GC91" s="307"/>
    </row>
    <row r="92" spans="1:185">
      <c r="A92" s="308"/>
      <c r="L92" s="306"/>
      <c r="V92" s="299"/>
      <c r="W92" s="299"/>
      <c r="X92" s="299"/>
      <c r="Y92" s="301"/>
      <c r="Z92" s="302"/>
      <c r="AA92" s="299"/>
      <c r="AB92" s="299"/>
      <c r="AC92" s="299"/>
      <c r="AD92" s="299"/>
      <c r="AE92" s="301"/>
      <c r="AF92" s="302"/>
      <c r="AG92" s="302"/>
      <c r="AH92" s="299"/>
      <c r="AI92" s="299"/>
      <c r="AJ92" s="299"/>
      <c r="AK92" s="301"/>
      <c r="AL92" s="302"/>
      <c r="AM92" s="299"/>
      <c r="AN92" s="299"/>
      <c r="AO92" s="299"/>
      <c r="AP92" s="299"/>
      <c r="AQ92" s="301"/>
      <c r="AR92" s="302"/>
      <c r="AS92" s="299"/>
      <c r="AT92" s="299"/>
      <c r="AU92" s="299"/>
      <c r="AV92" s="299"/>
      <c r="AW92" s="301"/>
      <c r="AX92" s="302"/>
      <c r="AY92" s="299"/>
      <c r="AZ92" s="299"/>
      <c r="BA92" s="299"/>
      <c r="BB92" s="299"/>
      <c r="BC92" s="301"/>
      <c r="BD92" s="302"/>
      <c r="BE92" s="299"/>
      <c r="BF92" s="299"/>
      <c r="BG92" s="299"/>
      <c r="BH92" s="299"/>
      <c r="BI92" s="301"/>
      <c r="BJ92" s="302"/>
      <c r="BK92" s="299"/>
      <c r="BL92" s="299"/>
      <c r="BM92" s="299"/>
      <c r="BN92" s="299"/>
      <c r="BO92" s="303"/>
      <c r="BP92" s="306"/>
      <c r="BT92" s="299"/>
      <c r="BU92" s="299"/>
      <c r="BV92" s="299"/>
      <c r="BW92" s="299"/>
      <c r="DM92" s="293"/>
      <c r="DN92" s="293"/>
      <c r="FU92" s="299"/>
      <c r="FV92" s="299"/>
      <c r="FW92" s="299"/>
      <c r="GC92" s="307"/>
    </row>
    <row r="93" spans="1:185">
      <c r="A93" s="308"/>
      <c r="L93" s="306"/>
      <c r="V93" s="299"/>
      <c r="W93" s="299"/>
      <c r="X93" s="299"/>
      <c r="Y93" s="301"/>
      <c r="Z93" s="302"/>
      <c r="AA93" s="299"/>
      <c r="AB93" s="299"/>
      <c r="AC93" s="299"/>
      <c r="AD93" s="299"/>
      <c r="AE93" s="301"/>
      <c r="AF93" s="302"/>
      <c r="AG93" s="302"/>
      <c r="AH93" s="299"/>
      <c r="AI93" s="299"/>
      <c r="AJ93" s="299"/>
      <c r="AK93" s="301"/>
      <c r="AL93" s="302"/>
      <c r="AM93" s="299"/>
      <c r="AN93" s="299"/>
      <c r="AO93" s="299"/>
      <c r="AP93" s="299"/>
      <c r="AQ93" s="301"/>
      <c r="AR93" s="302"/>
      <c r="AS93" s="299"/>
      <c r="AT93" s="299"/>
      <c r="AU93" s="299"/>
      <c r="AV93" s="299"/>
      <c r="AW93" s="301"/>
      <c r="AX93" s="302"/>
      <c r="AY93" s="299"/>
      <c r="AZ93" s="299"/>
      <c r="BA93" s="299"/>
      <c r="BB93" s="299"/>
      <c r="BC93" s="301"/>
      <c r="BD93" s="302"/>
      <c r="BE93" s="299"/>
      <c r="BF93" s="299"/>
      <c r="BG93" s="299"/>
      <c r="BH93" s="299"/>
      <c r="BI93" s="301"/>
      <c r="BJ93" s="302"/>
      <c r="BK93" s="299"/>
      <c r="BL93" s="299"/>
      <c r="BM93" s="299"/>
      <c r="BN93" s="299"/>
      <c r="BO93" s="303"/>
      <c r="BP93" s="304"/>
      <c r="BT93" s="299"/>
      <c r="BU93" s="299"/>
      <c r="BV93" s="299"/>
      <c r="BW93" s="299"/>
      <c r="FU93" s="299"/>
      <c r="FV93" s="299"/>
      <c r="FW93" s="299"/>
      <c r="GC93" s="307"/>
    </row>
    <row r="94" spans="1:185">
      <c r="C94" s="293"/>
      <c r="D94" s="293"/>
      <c r="E94" s="293"/>
      <c r="F94" s="293"/>
      <c r="G94" s="293"/>
      <c r="H94" s="293"/>
      <c r="I94" s="293"/>
      <c r="J94" s="293"/>
      <c r="K94" s="293"/>
      <c r="L94" s="306"/>
      <c r="M94" s="306"/>
      <c r="N94" s="306"/>
      <c r="O94" s="306"/>
      <c r="P94" s="306"/>
      <c r="Q94" s="306"/>
      <c r="R94" s="293"/>
      <c r="S94" s="293"/>
      <c r="T94" s="293"/>
      <c r="U94" s="293"/>
      <c r="V94" s="299"/>
      <c r="W94" s="299"/>
      <c r="X94" s="299"/>
      <c r="Y94" s="301"/>
      <c r="Z94" s="302"/>
      <c r="AA94" s="299"/>
      <c r="AB94" s="299"/>
      <c r="AC94" s="299"/>
      <c r="AD94" s="299"/>
      <c r="AE94" s="301"/>
      <c r="AF94" s="302"/>
      <c r="AG94" s="302"/>
      <c r="AH94" s="299"/>
      <c r="AI94" s="299"/>
      <c r="AJ94" s="299"/>
      <c r="AK94" s="301"/>
      <c r="AL94" s="302"/>
      <c r="AM94" s="299"/>
      <c r="AN94" s="299"/>
      <c r="AO94" s="299"/>
      <c r="AP94" s="299"/>
      <c r="AQ94" s="301"/>
      <c r="AR94" s="302"/>
      <c r="AS94" s="299"/>
      <c r="AT94" s="299"/>
      <c r="AU94" s="299"/>
      <c r="AV94" s="299"/>
      <c r="AW94" s="301"/>
      <c r="AX94" s="302"/>
      <c r="AY94" s="299"/>
      <c r="AZ94" s="299"/>
      <c r="BA94" s="299"/>
      <c r="BB94" s="299"/>
      <c r="BC94" s="301"/>
      <c r="BD94" s="302"/>
      <c r="BE94" s="299"/>
      <c r="BF94" s="299"/>
      <c r="BG94" s="299"/>
      <c r="BH94" s="299"/>
      <c r="BI94" s="301"/>
      <c r="BJ94" s="302"/>
      <c r="BK94" s="299"/>
      <c r="BL94" s="299"/>
      <c r="BM94" s="299"/>
      <c r="BN94" s="299"/>
      <c r="BO94" s="303"/>
      <c r="BP94" s="304"/>
      <c r="BT94" s="299"/>
      <c r="BU94" s="299"/>
      <c r="BV94" s="299"/>
      <c r="BW94" s="299"/>
      <c r="DL94" s="293"/>
      <c r="DM94" s="293"/>
      <c r="DN94" s="293"/>
      <c r="DO94" s="293"/>
      <c r="DP94" s="293"/>
      <c r="DQ94" s="293"/>
      <c r="DW94" s="293"/>
      <c r="DX94" s="293"/>
      <c r="DY94" s="293"/>
      <c r="DZ94" s="293"/>
      <c r="EA94" s="293"/>
      <c r="EB94" s="293"/>
      <c r="EH94" s="293"/>
      <c r="EI94" s="293"/>
      <c r="EJ94" s="293"/>
      <c r="EK94" s="293"/>
      <c r="EL94" s="293"/>
      <c r="EM94" s="293"/>
      <c r="EN94" s="307"/>
      <c r="EO94" s="293"/>
      <c r="EQ94" s="293"/>
      <c r="ER94" s="293"/>
      <c r="FU94" s="299"/>
      <c r="FV94" s="299"/>
      <c r="FW94" s="299"/>
    </row>
    <row r="95" spans="1:185">
      <c r="V95" s="299"/>
      <c r="W95" s="299"/>
      <c r="X95" s="299"/>
      <c r="Y95" s="301"/>
      <c r="Z95" s="302"/>
      <c r="AA95" s="299"/>
      <c r="AB95" s="299"/>
      <c r="AC95" s="299"/>
      <c r="AD95" s="299"/>
      <c r="AE95" s="301"/>
      <c r="AF95" s="302"/>
      <c r="AG95" s="302"/>
      <c r="AH95" s="299"/>
      <c r="AI95" s="299"/>
      <c r="AJ95" s="299"/>
      <c r="AK95" s="301"/>
      <c r="AL95" s="302"/>
      <c r="AM95" s="299"/>
      <c r="AN95" s="299"/>
      <c r="AO95" s="299"/>
      <c r="AP95" s="299"/>
      <c r="AQ95" s="301"/>
      <c r="AR95" s="302"/>
      <c r="AS95" s="299"/>
      <c r="AT95" s="299"/>
      <c r="AU95" s="299"/>
      <c r="AV95" s="299"/>
      <c r="AW95" s="301"/>
      <c r="AX95" s="302"/>
      <c r="AY95" s="299"/>
      <c r="AZ95" s="299"/>
      <c r="BA95" s="299"/>
      <c r="BB95" s="299"/>
      <c r="BC95" s="301"/>
      <c r="BD95" s="302"/>
      <c r="BE95" s="299"/>
      <c r="BF95" s="299"/>
      <c r="BG95" s="299"/>
      <c r="BH95" s="299"/>
      <c r="BI95" s="301"/>
      <c r="BJ95" s="302"/>
      <c r="BK95" s="299"/>
      <c r="BL95" s="299"/>
      <c r="BM95" s="299"/>
      <c r="BN95" s="299"/>
      <c r="BO95" s="303"/>
      <c r="BP95" s="304"/>
      <c r="BT95" s="299"/>
      <c r="BU95" s="299"/>
      <c r="BV95" s="299"/>
      <c r="BW95" s="299"/>
      <c r="FU95" s="299"/>
      <c r="FV95" s="299"/>
      <c r="FW95" s="299"/>
      <c r="GC95" s="307"/>
    </row>
    <row r="96" spans="1:185">
      <c r="V96" s="299"/>
      <c r="W96" s="299"/>
      <c r="X96" s="299"/>
      <c r="Y96" s="301"/>
      <c r="Z96" s="302"/>
      <c r="AA96" s="299"/>
      <c r="AB96" s="299"/>
      <c r="AC96" s="299"/>
      <c r="AD96" s="299"/>
      <c r="AE96" s="301"/>
      <c r="AF96" s="302"/>
      <c r="AG96" s="302"/>
      <c r="AH96" s="299"/>
      <c r="AI96" s="299"/>
      <c r="AJ96" s="299"/>
      <c r="AK96" s="301"/>
      <c r="AL96" s="302"/>
      <c r="AM96" s="299"/>
      <c r="AN96" s="299"/>
      <c r="AO96" s="299"/>
      <c r="AP96" s="299"/>
      <c r="AQ96" s="301"/>
      <c r="AR96" s="302"/>
      <c r="AS96" s="299"/>
      <c r="AT96" s="299"/>
      <c r="AU96" s="299"/>
      <c r="AV96" s="299"/>
      <c r="AW96" s="301"/>
      <c r="AX96" s="302"/>
      <c r="AY96" s="299"/>
      <c r="AZ96" s="299"/>
      <c r="BA96" s="299"/>
      <c r="BB96" s="299"/>
      <c r="BC96" s="301"/>
      <c r="BD96" s="302"/>
      <c r="BE96" s="299"/>
      <c r="BF96" s="299"/>
      <c r="BG96" s="299"/>
      <c r="BH96" s="299"/>
      <c r="BI96" s="301"/>
      <c r="BJ96" s="302"/>
      <c r="BK96" s="299"/>
      <c r="BL96" s="299"/>
      <c r="BM96" s="299"/>
      <c r="BN96" s="299"/>
      <c r="BO96" s="303"/>
      <c r="BP96" s="304"/>
      <c r="BT96" s="299"/>
      <c r="BU96" s="299"/>
      <c r="BV96" s="299"/>
      <c r="BW96" s="299"/>
      <c r="FU96" s="299"/>
      <c r="FV96" s="299"/>
      <c r="FW96" s="299"/>
    </row>
    <row r="97" spans="1:198">
      <c r="A97" s="308"/>
      <c r="B97" s="306"/>
      <c r="C97" s="293"/>
      <c r="D97" s="293"/>
      <c r="E97" s="293"/>
      <c r="F97" s="293"/>
      <c r="G97" s="293"/>
      <c r="H97" s="293"/>
      <c r="I97" s="293"/>
      <c r="J97" s="293"/>
      <c r="K97" s="293"/>
      <c r="L97" s="306"/>
      <c r="M97" s="306"/>
      <c r="N97" s="306"/>
      <c r="O97" s="306"/>
      <c r="P97" s="306"/>
      <c r="Q97" s="306"/>
      <c r="V97" s="303"/>
      <c r="W97" s="303"/>
      <c r="X97" s="303"/>
      <c r="Y97" s="310"/>
      <c r="Z97" s="302"/>
      <c r="AA97" s="303"/>
      <c r="AB97" s="303"/>
      <c r="AC97" s="303"/>
      <c r="AD97" s="303"/>
      <c r="AE97" s="310"/>
      <c r="AF97" s="302"/>
      <c r="AG97" s="311"/>
      <c r="AH97" s="303"/>
      <c r="AI97" s="303"/>
      <c r="AJ97" s="303"/>
      <c r="AK97" s="310"/>
      <c r="AL97" s="302"/>
      <c r="AM97" s="303"/>
      <c r="AN97" s="299"/>
      <c r="AO97" s="303"/>
      <c r="AP97" s="303"/>
      <c r="AQ97" s="301"/>
      <c r="AR97" s="302"/>
      <c r="AS97" s="299"/>
      <c r="AT97" s="299"/>
      <c r="AU97" s="299"/>
      <c r="AV97" s="299"/>
      <c r="AW97" s="301"/>
      <c r="AX97" s="302"/>
      <c r="AY97" s="299"/>
      <c r="AZ97" s="299"/>
      <c r="BA97" s="299"/>
      <c r="BB97" s="299"/>
      <c r="BC97" s="301"/>
      <c r="BD97" s="302"/>
      <c r="BE97" s="299"/>
      <c r="BF97" s="299"/>
      <c r="BG97" s="299"/>
      <c r="BH97" s="299"/>
      <c r="BI97" s="301"/>
      <c r="BJ97" s="302"/>
      <c r="BK97" s="299"/>
      <c r="BL97" s="299"/>
      <c r="BM97" s="299"/>
      <c r="BN97" s="299"/>
      <c r="BO97" s="303"/>
      <c r="BP97" s="306"/>
      <c r="BQ97" s="302"/>
      <c r="BR97" s="299"/>
      <c r="BS97" s="299"/>
      <c r="BT97" s="299"/>
      <c r="BU97" s="299"/>
      <c r="BV97" s="299"/>
      <c r="BW97" s="299"/>
      <c r="BX97" s="314"/>
      <c r="BY97" s="314"/>
      <c r="BZ97" s="314"/>
      <c r="FU97" s="299"/>
      <c r="FV97" s="299"/>
      <c r="FW97" s="299"/>
    </row>
    <row r="98" spans="1:198">
      <c r="A98" s="308"/>
      <c r="B98" s="306"/>
      <c r="C98" s="293"/>
      <c r="D98" s="293"/>
      <c r="E98" s="293"/>
      <c r="F98" s="293"/>
      <c r="G98" s="293"/>
      <c r="H98" s="293"/>
      <c r="I98" s="293"/>
      <c r="J98" s="293"/>
      <c r="K98" s="293"/>
      <c r="L98" s="306"/>
      <c r="M98" s="306"/>
      <c r="N98" s="306"/>
      <c r="O98" s="306"/>
      <c r="P98" s="306"/>
      <c r="Q98" s="306"/>
      <c r="V98" s="299"/>
      <c r="W98" s="299"/>
      <c r="X98" s="299"/>
      <c r="Y98" s="301"/>
      <c r="Z98" s="302"/>
      <c r="AA98" s="299"/>
      <c r="AB98" s="299"/>
      <c r="AC98" s="299"/>
      <c r="AD98" s="299"/>
      <c r="AE98" s="301"/>
      <c r="AF98" s="302"/>
      <c r="AG98" s="302"/>
      <c r="AH98" s="299"/>
      <c r="AI98" s="299"/>
      <c r="AJ98" s="299"/>
      <c r="AK98" s="301"/>
      <c r="AL98" s="302"/>
      <c r="AM98" s="299"/>
      <c r="AN98" s="299"/>
      <c r="AO98" s="299"/>
      <c r="AP98" s="299"/>
      <c r="AQ98" s="301"/>
      <c r="AR98" s="302"/>
      <c r="AS98" s="299"/>
      <c r="AT98" s="299"/>
      <c r="AU98" s="299"/>
      <c r="AV98" s="299"/>
      <c r="AW98" s="301"/>
      <c r="AX98" s="302"/>
      <c r="AY98" s="299"/>
      <c r="AZ98" s="299"/>
      <c r="BA98" s="299"/>
      <c r="BB98" s="299"/>
      <c r="BC98" s="301"/>
      <c r="BD98" s="302"/>
      <c r="BE98" s="299"/>
      <c r="BF98" s="299"/>
      <c r="BG98" s="299"/>
      <c r="BH98" s="299"/>
      <c r="BI98" s="301"/>
      <c r="BJ98" s="302"/>
      <c r="BK98" s="299"/>
      <c r="BL98" s="299"/>
      <c r="BM98" s="299"/>
      <c r="BN98" s="299"/>
      <c r="BO98" s="303"/>
      <c r="BP98" s="306"/>
      <c r="BQ98" s="302"/>
      <c r="BR98" s="299"/>
      <c r="BS98" s="299"/>
      <c r="BT98" s="299"/>
      <c r="BU98" s="299"/>
      <c r="BV98" s="299"/>
      <c r="BW98" s="299"/>
      <c r="FU98" s="299"/>
      <c r="FV98" s="299"/>
      <c r="FW98" s="299"/>
      <c r="GC98" s="307"/>
    </row>
    <row r="99" spans="1:198">
      <c r="A99" s="308"/>
      <c r="B99" s="306"/>
      <c r="C99" s="293"/>
      <c r="D99" s="293"/>
      <c r="E99" s="293"/>
      <c r="F99" s="293"/>
      <c r="G99" s="293"/>
      <c r="H99" s="293"/>
      <c r="I99" s="293"/>
      <c r="J99" s="293"/>
      <c r="K99" s="293"/>
      <c r="L99" s="306"/>
      <c r="M99" s="306"/>
      <c r="N99" s="306"/>
      <c r="O99" s="306"/>
      <c r="P99" s="306"/>
      <c r="Q99" s="306"/>
      <c r="V99" s="299"/>
      <c r="W99" s="299"/>
      <c r="X99" s="299"/>
      <c r="Y99" s="301"/>
      <c r="Z99" s="302"/>
      <c r="AA99" s="299"/>
      <c r="AB99" s="299"/>
      <c r="AC99" s="299"/>
      <c r="AD99" s="299"/>
      <c r="AE99" s="301"/>
      <c r="AF99" s="302"/>
      <c r="AG99" s="302"/>
      <c r="AH99" s="299"/>
      <c r="AI99" s="299"/>
      <c r="AJ99" s="299"/>
      <c r="AK99" s="301"/>
      <c r="AL99" s="302"/>
      <c r="AM99" s="299"/>
      <c r="AN99" s="299"/>
      <c r="AO99" s="299"/>
      <c r="AP99" s="299"/>
      <c r="AQ99" s="301"/>
      <c r="AR99" s="302"/>
      <c r="AS99" s="299"/>
      <c r="AT99" s="299"/>
      <c r="AU99" s="299"/>
      <c r="AV99" s="299"/>
      <c r="AW99" s="301"/>
      <c r="AX99" s="302"/>
      <c r="AY99" s="299"/>
      <c r="AZ99" s="299"/>
      <c r="BA99" s="299"/>
      <c r="BB99" s="299"/>
      <c r="BC99" s="301"/>
      <c r="BD99" s="302"/>
      <c r="BE99" s="299"/>
      <c r="BF99" s="299"/>
      <c r="BG99" s="299"/>
      <c r="BH99" s="299"/>
      <c r="BI99" s="301"/>
      <c r="BJ99" s="302"/>
      <c r="BK99" s="299"/>
      <c r="BL99" s="299"/>
      <c r="BM99" s="299"/>
      <c r="BN99" s="299"/>
      <c r="BO99" s="303"/>
      <c r="BP99" s="304"/>
      <c r="BQ99" s="302"/>
      <c r="BR99" s="299"/>
      <c r="BS99" s="299"/>
      <c r="BT99" s="299"/>
      <c r="BU99" s="299"/>
      <c r="BV99" s="299"/>
      <c r="BW99" s="299"/>
      <c r="FU99" s="299"/>
      <c r="FV99" s="299"/>
      <c r="FW99" s="299"/>
    </row>
    <row r="100" spans="1:198">
      <c r="A100" s="308"/>
      <c r="B100" s="306"/>
      <c r="C100" s="293"/>
      <c r="D100" s="293"/>
      <c r="E100" s="293"/>
      <c r="F100" s="293"/>
      <c r="G100" s="293"/>
      <c r="H100" s="293"/>
      <c r="I100" s="293"/>
      <c r="J100" s="293"/>
      <c r="K100" s="293"/>
      <c r="L100" s="306"/>
      <c r="M100" s="306"/>
      <c r="N100" s="306"/>
      <c r="O100" s="306"/>
      <c r="P100" s="306"/>
      <c r="Q100" s="306"/>
      <c r="V100" s="299"/>
      <c r="W100" s="299"/>
      <c r="X100" s="299"/>
      <c r="Y100" s="301"/>
      <c r="Z100" s="302"/>
      <c r="AA100" s="299"/>
      <c r="AB100" s="299"/>
      <c r="AC100" s="299"/>
      <c r="AD100" s="299"/>
      <c r="AE100" s="301"/>
      <c r="AF100" s="302"/>
      <c r="AG100" s="302"/>
      <c r="AH100" s="299"/>
      <c r="AI100" s="299"/>
      <c r="AJ100" s="299"/>
      <c r="AK100" s="301"/>
      <c r="AL100" s="302"/>
      <c r="AM100" s="299"/>
      <c r="AN100" s="299"/>
      <c r="AO100" s="299"/>
      <c r="AP100" s="299"/>
      <c r="AQ100" s="301"/>
      <c r="AR100" s="302"/>
      <c r="AS100" s="299"/>
      <c r="AT100" s="299"/>
      <c r="AU100" s="299"/>
      <c r="AV100" s="299"/>
      <c r="AW100" s="301"/>
      <c r="AX100" s="302"/>
      <c r="AY100" s="299"/>
      <c r="AZ100" s="299"/>
      <c r="BA100" s="299"/>
      <c r="BB100" s="299"/>
      <c r="BC100" s="301"/>
      <c r="BD100" s="302"/>
      <c r="BE100" s="299"/>
      <c r="BF100" s="299"/>
      <c r="BG100" s="299"/>
      <c r="BH100" s="299"/>
      <c r="BI100" s="301"/>
      <c r="BJ100" s="302"/>
      <c r="BK100" s="299"/>
      <c r="BL100" s="299"/>
      <c r="BM100" s="299"/>
      <c r="BN100" s="299"/>
      <c r="BO100" s="303"/>
      <c r="BP100" s="304"/>
      <c r="BQ100" s="302"/>
      <c r="BR100" s="299"/>
      <c r="BS100" s="299"/>
      <c r="BT100" s="299"/>
      <c r="BU100" s="299"/>
      <c r="BV100" s="299"/>
      <c r="BW100" s="299"/>
      <c r="FU100" s="299"/>
      <c r="FV100" s="299"/>
      <c r="FW100" s="299"/>
    </row>
    <row r="101" spans="1:198">
      <c r="A101" s="308"/>
      <c r="B101" s="306"/>
      <c r="C101" s="293"/>
      <c r="D101" s="293"/>
      <c r="E101" s="293"/>
      <c r="F101" s="293"/>
      <c r="G101" s="293"/>
      <c r="H101" s="293"/>
      <c r="I101" s="293"/>
      <c r="J101" s="293"/>
      <c r="K101" s="293"/>
      <c r="L101" s="306"/>
      <c r="M101" s="306"/>
      <c r="N101" s="306"/>
      <c r="O101" s="306"/>
      <c r="P101" s="306"/>
      <c r="Q101" s="306"/>
      <c r="V101" s="299"/>
      <c r="W101" s="299"/>
      <c r="X101" s="299"/>
      <c r="Y101" s="301"/>
      <c r="Z101" s="302"/>
      <c r="AA101" s="299"/>
      <c r="AB101" s="299"/>
      <c r="AC101" s="299"/>
      <c r="AD101" s="299"/>
      <c r="AE101" s="301"/>
      <c r="AF101" s="302"/>
      <c r="AG101" s="302"/>
      <c r="AH101" s="299"/>
      <c r="AI101" s="299"/>
      <c r="AJ101" s="299"/>
      <c r="AK101" s="301"/>
      <c r="AL101" s="302"/>
      <c r="AM101" s="299"/>
      <c r="AN101" s="299"/>
      <c r="AO101" s="299"/>
      <c r="AP101" s="299"/>
      <c r="AQ101" s="301"/>
      <c r="AR101" s="302"/>
      <c r="AS101" s="299"/>
      <c r="AT101" s="299"/>
      <c r="AU101" s="299"/>
      <c r="AV101" s="299"/>
      <c r="AW101" s="301"/>
      <c r="AX101" s="302"/>
      <c r="AY101" s="299"/>
      <c r="AZ101" s="299"/>
      <c r="BA101" s="299"/>
      <c r="BB101" s="299"/>
      <c r="BC101" s="301"/>
      <c r="BD101" s="302"/>
      <c r="BE101" s="299"/>
      <c r="BF101" s="299"/>
      <c r="BG101" s="299"/>
      <c r="BH101" s="299"/>
      <c r="BI101" s="301"/>
      <c r="BJ101" s="302"/>
      <c r="BK101" s="299"/>
      <c r="BL101" s="299"/>
      <c r="BM101" s="299"/>
      <c r="BN101" s="299"/>
      <c r="BO101" s="303"/>
      <c r="BP101" s="304"/>
      <c r="BQ101" s="302"/>
      <c r="BR101" s="299"/>
      <c r="BS101" s="299"/>
      <c r="BT101" s="299"/>
      <c r="BU101" s="299"/>
      <c r="BV101" s="299"/>
      <c r="BW101" s="299"/>
      <c r="DM101" s="306"/>
      <c r="FU101" s="299"/>
      <c r="FV101" s="299"/>
      <c r="FW101" s="299"/>
      <c r="GC101" s="307"/>
    </row>
    <row r="102" spans="1:198">
      <c r="A102" s="308"/>
      <c r="B102" s="306"/>
      <c r="C102" s="293"/>
      <c r="D102" s="293"/>
      <c r="E102" s="293"/>
      <c r="F102" s="293"/>
      <c r="G102" s="293"/>
      <c r="H102" s="293"/>
      <c r="I102" s="293"/>
      <c r="J102" s="293"/>
      <c r="K102" s="293"/>
      <c r="L102" s="306"/>
      <c r="M102" s="306"/>
      <c r="N102" s="306"/>
      <c r="O102" s="306"/>
      <c r="P102" s="306"/>
      <c r="Q102" s="306"/>
      <c r="V102" s="299"/>
      <c r="W102" s="299"/>
      <c r="X102" s="299"/>
      <c r="Y102" s="301"/>
      <c r="Z102" s="302"/>
      <c r="AA102" s="299"/>
      <c r="AB102" s="299"/>
      <c r="AC102" s="299"/>
      <c r="AD102" s="299"/>
      <c r="AE102" s="301"/>
      <c r="AF102" s="302"/>
      <c r="AG102" s="302"/>
      <c r="AH102" s="299"/>
      <c r="AI102" s="299"/>
      <c r="AJ102" s="299"/>
      <c r="AK102" s="301"/>
      <c r="AL102" s="302"/>
      <c r="AM102" s="299"/>
      <c r="AN102" s="299"/>
      <c r="AO102" s="299"/>
      <c r="AP102" s="299"/>
      <c r="AQ102" s="301"/>
      <c r="AR102" s="302"/>
      <c r="AS102" s="299"/>
      <c r="AT102" s="299"/>
      <c r="AU102" s="299"/>
      <c r="AV102" s="299"/>
      <c r="AW102" s="301"/>
      <c r="AX102" s="302"/>
      <c r="AY102" s="299"/>
      <c r="AZ102" s="299"/>
      <c r="BA102" s="299"/>
      <c r="BB102" s="299"/>
      <c r="BC102" s="301"/>
      <c r="BD102" s="302"/>
      <c r="BE102" s="299"/>
      <c r="BF102" s="299"/>
      <c r="BG102" s="299"/>
      <c r="BH102" s="299"/>
      <c r="BI102" s="301"/>
      <c r="BJ102" s="302"/>
      <c r="BK102" s="299"/>
      <c r="BL102" s="299"/>
      <c r="BM102" s="299"/>
      <c r="BN102" s="299"/>
      <c r="BO102" s="303"/>
      <c r="BP102" s="304"/>
      <c r="BQ102" s="302"/>
      <c r="BR102" s="299"/>
      <c r="BS102" s="299"/>
      <c r="BT102" s="299"/>
      <c r="BU102" s="299"/>
      <c r="BV102" s="299"/>
      <c r="BW102" s="299"/>
      <c r="FU102" s="299"/>
      <c r="FV102" s="299"/>
      <c r="FW102" s="299"/>
    </row>
    <row r="103" spans="1:198">
      <c r="A103" s="308"/>
      <c r="B103" s="306"/>
      <c r="C103" s="293"/>
      <c r="D103" s="293"/>
      <c r="E103" s="293"/>
      <c r="F103" s="293"/>
      <c r="G103" s="293"/>
      <c r="H103" s="293"/>
      <c r="I103" s="293"/>
      <c r="J103" s="293"/>
      <c r="K103" s="293"/>
      <c r="L103" s="306"/>
      <c r="M103" s="306"/>
      <c r="N103" s="306"/>
      <c r="O103" s="306"/>
      <c r="P103" s="306"/>
      <c r="Q103" s="306"/>
      <c r="V103" s="299"/>
      <c r="W103" s="299"/>
      <c r="X103" s="299"/>
      <c r="Y103" s="301"/>
      <c r="Z103" s="302"/>
      <c r="AA103" s="299"/>
      <c r="AB103" s="299"/>
      <c r="AC103" s="299"/>
      <c r="AD103" s="299"/>
      <c r="AE103" s="301"/>
      <c r="AF103" s="302"/>
      <c r="AG103" s="302"/>
      <c r="AH103" s="299"/>
      <c r="AI103" s="299"/>
      <c r="AJ103" s="299"/>
      <c r="AK103" s="301"/>
      <c r="AL103" s="302"/>
      <c r="AM103" s="299"/>
      <c r="AN103" s="299"/>
      <c r="AO103" s="299"/>
      <c r="AP103" s="299"/>
      <c r="AQ103" s="301"/>
      <c r="AR103" s="302"/>
      <c r="AS103" s="299"/>
      <c r="AT103" s="299"/>
      <c r="AU103" s="299"/>
      <c r="AV103" s="299"/>
      <c r="AW103" s="301"/>
      <c r="AX103" s="302"/>
      <c r="AY103" s="299"/>
      <c r="AZ103" s="299"/>
      <c r="BA103" s="299"/>
      <c r="BB103" s="299"/>
      <c r="BC103" s="301"/>
      <c r="BD103" s="302"/>
      <c r="BE103" s="299"/>
      <c r="BF103" s="299"/>
      <c r="BG103" s="299"/>
      <c r="BH103" s="299"/>
      <c r="BI103" s="301"/>
      <c r="BJ103" s="302"/>
      <c r="BK103" s="299"/>
      <c r="BL103" s="299"/>
      <c r="BM103" s="299"/>
      <c r="BN103" s="299"/>
      <c r="BO103" s="303"/>
      <c r="BP103" s="304"/>
      <c r="BQ103" s="302"/>
      <c r="BR103" s="299"/>
      <c r="BS103" s="299"/>
      <c r="BT103" s="299"/>
      <c r="BU103" s="299"/>
      <c r="BV103" s="299"/>
      <c r="BW103" s="299"/>
      <c r="FU103" s="299"/>
      <c r="FV103" s="299"/>
      <c r="FW103" s="299"/>
      <c r="GC103" s="307"/>
    </row>
    <row r="104" spans="1:198" ht="15" customHeight="1">
      <c r="A104" s="308"/>
      <c r="B104" s="306"/>
      <c r="C104" s="293"/>
      <c r="D104" s="293"/>
      <c r="E104" s="293"/>
      <c r="F104" s="293"/>
      <c r="G104" s="293"/>
      <c r="H104" s="293"/>
      <c r="I104" s="293"/>
      <c r="J104" s="293"/>
      <c r="K104" s="293"/>
      <c r="L104" s="306"/>
      <c r="M104" s="306"/>
      <c r="O104" s="306"/>
      <c r="P104" s="306"/>
      <c r="V104" s="299"/>
      <c r="W104" s="299"/>
      <c r="X104" s="299"/>
      <c r="Y104" s="301"/>
      <c r="Z104" s="302"/>
      <c r="AA104" s="299"/>
      <c r="AB104" s="299"/>
      <c r="AC104" s="299"/>
      <c r="AD104" s="299"/>
      <c r="AE104" s="301"/>
      <c r="AF104" s="302"/>
      <c r="AG104" s="302"/>
      <c r="AH104" s="299"/>
      <c r="AI104" s="299"/>
      <c r="AJ104" s="299"/>
      <c r="AK104" s="301"/>
      <c r="AL104" s="302"/>
      <c r="AM104" s="299"/>
      <c r="AN104" s="299"/>
      <c r="AO104" s="299"/>
      <c r="AP104" s="299"/>
      <c r="AQ104" s="301"/>
      <c r="AR104" s="302"/>
      <c r="AS104" s="299"/>
      <c r="AT104" s="299"/>
      <c r="AU104" s="299"/>
      <c r="AV104" s="299"/>
      <c r="AW104" s="301"/>
      <c r="AX104" s="302"/>
      <c r="AY104" s="299"/>
      <c r="AZ104" s="299"/>
      <c r="BA104" s="299"/>
      <c r="BB104" s="299"/>
      <c r="BC104" s="301"/>
      <c r="BD104" s="302"/>
      <c r="BE104" s="299"/>
      <c r="BF104" s="299"/>
      <c r="BG104" s="299"/>
      <c r="BH104" s="299"/>
      <c r="BI104" s="301"/>
      <c r="BJ104" s="302"/>
      <c r="BK104" s="299"/>
      <c r="BL104" s="299"/>
      <c r="BM104" s="299"/>
      <c r="BN104" s="299"/>
      <c r="BO104" s="303"/>
      <c r="BP104" s="304"/>
      <c r="BQ104" s="302"/>
      <c r="BR104" s="299"/>
      <c r="BS104" s="299"/>
      <c r="BT104" s="299"/>
      <c r="BU104" s="299"/>
      <c r="BV104" s="299"/>
      <c r="BW104" s="299"/>
      <c r="FU104" s="299"/>
      <c r="FV104" s="299"/>
      <c r="FW104" s="299"/>
      <c r="GM104" s="306"/>
      <c r="GN104" s="306"/>
      <c r="GO104" s="306"/>
      <c r="GP104" s="306"/>
    </row>
    <row r="105" spans="1:198" ht="15" customHeight="1">
      <c r="A105" s="308"/>
      <c r="B105" s="306"/>
      <c r="C105" s="293"/>
      <c r="D105" s="293"/>
      <c r="E105" s="293"/>
      <c r="F105" s="293"/>
      <c r="G105" s="293"/>
      <c r="H105" s="293"/>
      <c r="I105" s="293"/>
      <c r="J105" s="293"/>
      <c r="K105" s="293"/>
      <c r="L105" s="306"/>
      <c r="M105" s="306"/>
      <c r="P105" s="306"/>
      <c r="V105" s="299"/>
      <c r="W105" s="299"/>
      <c r="X105" s="299"/>
      <c r="Y105" s="301"/>
      <c r="Z105" s="302"/>
      <c r="AA105" s="299"/>
      <c r="AB105" s="299"/>
      <c r="AC105" s="299"/>
      <c r="AD105" s="299"/>
      <c r="AE105" s="301"/>
      <c r="AF105" s="302"/>
      <c r="AG105" s="302"/>
      <c r="AH105" s="299"/>
      <c r="AI105" s="299"/>
      <c r="AJ105" s="299"/>
      <c r="AK105" s="301"/>
      <c r="AL105" s="302"/>
      <c r="AM105" s="299"/>
      <c r="AN105" s="299"/>
      <c r="AO105" s="299"/>
      <c r="AP105" s="299"/>
      <c r="AQ105" s="301"/>
      <c r="AR105" s="302"/>
      <c r="AS105" s="299"/>
      <c r="AT105" s="299"/>
      <c r="AU105" s="299"/>
      <c r="AV105" s="299"/>
      <c r="AW105" s="301"/>
      <c r="AX105" s="302"/>
      <c r="AY105" s="299"/>
      <c r="AZ105" s="299"/>
      <c r="BA105" s="299"/>
      <c r="BB105" s="299"/>
      <c r="BC105" s="301"/>
      <c r="BD105" s="302"/>
      <c r="BE105" s="299"/>
      <c r="BF105" s="299"/>
      <c r="BG105" s="299"/>
      <c r="BH105" s="299"/>
      <c r="BI105" s="301"/>
      <c r="BJ105" s="302"/>
      <c r="BK105" s="299"/>
      <c r="BL105" s="299"/>
      <c r="BM105" s="299"/>
      <c r="BN105" s="299"/>
      <c r="BO105" s="303"/>
      <c r="BP105" s="304"/>
      <c r="BQ105" s="302"/>
      <c r="BR105" s="299"/>
      <c r="BS105" s="299"/>
      <c r="BU105" s="299"/>
      <c r="BV105" s="299"/>
      <c r="FU105" s="299"/>
      <c r="FV105" s="299"/>
      <c r="FW105" s="299"/>
      <c r="GC105" s="307"/>
    </row>
    <row r="106" spans="1:198" ht="15" customHeight="1">
      <c r="A106" s="308"/>
      <c r="B106" s="306"/>
      <c r="C106" s="293"/>
      <c r="D106" s="293"/>
      <c r="E106" s="293"/>
      <c r="F106" s="293"/>
      <c r="G106" s="293"/>
      <c r="H106" s="293"/>
      <c r="I106" s="293"/>
      <c r="J106" s="293"/>
      <c r="K106" s="293"/>
      <c r="L106" s="306"/>
      <c r="O106" s="306"/>
      <c r="P106" s="306"/>
      <c r="V106" s="299"/>
      <c r="W106" s="299"/>
      <c r="X106" s="299"/>
      <c r="Y106" s="301"/>
      <c r="Z106" s="302"/>
      <c r="AA106" s="299"/>
      <c r="AB106" s="299"/>
      <c r="AC106" s="299"/>
      <c r="AD106" s="299"/>
      <c r="AE106" s="301"/>
      <c r="AF106" s="302"/>
      <c r="AG106" s="302"/>
      <c r="AH106" s="299"/>
      <c r="AI106" s="299"/>
      <c r="AJ106" s="299"/>
      <c r="AK106" s="301"/>
      <c r="AL106" s="302"/>
      <c r="AM106" s="299"/>
      <c r="AN106" s="299"/>
      <c r="AO106" s="299"/>
      <c r="AP106" s="299"/>
      <c r="AQ106" s="301"/>
      <c r="AR106" s="302"/>
      <c r="AS106" s="299"/>
      <c r="AT106" s="299"/>
      <c r="AU106" s="299"/>
      <c r="AV106" s="299"/>
      <c r="AW106" s="301"/>
      <c r="AX106" s="302"/>
      <c r="AY106" s="299"/>
      <c r="AZ106" s="299"/>
      <c r="BA106" s="299"/>
      <c r="BB106" s="299"/>
      <c r="BC106" s="301"/>
      <c r="BD106" s="302"/>
      <c r="BE106" s="299"/>
      <c r="BF106" s="299"/>
      <c r="BG106" s="299"/>
      <c r="BH106" s="299"/>
      <c r="BI106" s="301"/>
      <c r="BJ106" s="302"/>
      <c r="BK106" s="299"/>
      <c r="BL106" s="299"/>
      <c r="BM106" s="299"/>
      <c r="BN106" s="299"/>
      <c r="BO106" s="303"/>
      <c r="BP106" s="304"/>
      <c r="BQ106" s="302"/>
      <c r="BR106" s="299"/>
      <c r="BS106" s="299"/>
      <c r="BT106" s="299"/>
      <c r="BU106" s="299"/>
      <c r="BV106" s="299"/>
      <c r="BW106" s="299"/>
      <c r="FU106" s="299"/>
      <c r="FV106" s="299"/>
      <c r="FW106" s="299"/>
    </row>
    <row r="107" spans="1:198" ht="15" customHeight="1">
      <c r="A107" s="308"/>
      <c r="B107" s="306"/>
      <c r="C107" s="293"/>
      <c r="D107" s="293"/>
      <c r="E107" s="293"/>
      <c r="F107" s="293"/>
      <c r="G107" s="293"/>
      <c r="H107" s="293"/>
      <c r="I107" s="293"/>
      <c r="J107" s="293"/>
      <c r="K107" s="293"/>
      <c r="L107" s="306"/>
      <c r="O107" s="306"/>
      <c r="P107" s="306"/>
      <c r="V107" s="299"/>
      <c r="W107" s="299"/>
      <c r="X107" s="299"/>
      <c r="Y107" s="301"/>
      <c r="Z107" s="302"/>
      <c r="AA107" s="299"/>
      <c r="AB107" s="299"/>
      <c r="AC107" s="299"/>
      <c r="AD107" s="299"/>
      <c r="AE107" s="301"/>
      <c r="AF107" s="302"/>
      <c r="AG107" s="302"/>
      <c r="AH107" s="299"/>
      <c r="AI107" s="299"/>
      <c r="AJ107" s="299"/>
      <c r="AK107" s="301"/>
      <c r="AL107" s="302"/>
      <c r="AM107" s="299"/>
      <c r="AN107" s="299"/>
      <c r="AO107" s="299"/>
      <c r="AP107" s="299"/>
      <c r="AQ107" s="301"/>
      <c r="AR107" s="302"/>
      <c r="AS107" s="299"/>
      <c r="AT107" s="299"/>
      <c r="AU107" s="299"/>
      <c r="AV107" s="299"/>
      <c r="AW107" s="301"/>
      <c r="AX107" s="302"/>
      <c r="AY107" s="299"/>
      <c r="AZ107" s="299"/>
      <c r="BA107" s="299"/>
      <c r="BB107" s="299"/>
      <c r="BC107" s="301"/>
      <c r="BD107" s="302"/>
      <c r="BE107" s="299"/>
      <c r="BF107" s="299"/>
      <c r="BG107" s="299"/>
      <c r="BH107" s="299"/>
      <c r="BI107" s="301"/>
      <c r="BJ107" s="302"/>
      <c r="BK107" s="299"/>
      <c r="BL107" s="299"/>
      <c r="BM107" s="299"/>
      <c r="BN107" s="299"/>
      <c r="BO107" s="303"/>
      <c r="BP107" s="304"/>
      <c r="BQ107" s="302"/>
      <c r="BR107" s="299"/>
      <c r="BS107" s="299"/>
      <c r="BT107" s="299"/>
      <c r="BU107" s="303"/>
      <c r="BV107" s="303"/>
      <c r="BW107" s="303"/>
      <c r="FU107" s="299"/>
      <c r="FV107" s="299"/>
      <c r="FW107" s="299"/>
      <c r="GC107" s="307"/>
    </row>
    <row r="108" spans="1:198" s="306" customFormat="1" ht="15" customHeight="1">
      <c r="A108" s="296"/>
      <c r="B108" s="297"/>
      <c r="C108" s="295"/>
      <c r="D108" s="295"/>
      <c r="E108" s="295"/>
      <c r="F108" s="295"/>
      <c r="G108" s="295"/>
      <c r="H108" s="295"/>
      <c r="I108" s="295"/>
      <c r="J108" s="295"/>
      <c r="K108" s="295"/>
      <c r="L108" s="297"/>
      <c r="M108" s="297"/>
      <c r="N108" s="297"/>
      <c r="O108" s="297"/>
      <c r="P108" s="297"/>
      <c r="Q108" s="297"/>
      <c r="R108" s="295"/>
      <c r="S108" s="295"/>
      <c r="T108" s="295"/>
      <c r="U108" s="295"/>
      <c r="V108" s="299"/>
      <c r="W108" s="299"/>
      <c r="X108" s="299"/>
      <c r="Y108" s="301"/>
      <c r="Z108" s="302"/>
      <c r="AA108" s="299"/>
      <c r="AB108" s="299"/>
      <c r="AC108" s="299"/>
      <c r="AD108" s="299"/>
      <c r="AE108" s="301"/>
      <c r="AF108" s="302"/>
      <c r="AG108" s="302"/>
      <c r="AH108" s="299"/>
      <c r="AI108" s="299"/>
      <c r="AJ108" s="299"/>
      <c r="AK108" s="301"/>
      <c r="AL108" s="302"/>
      <c r="AM108" s="299"/>
      <c r="AN108" s="299"/>
      <c r="AO108" s="299"/>
      <c r="AP108" s="299"/>
      <c r="AQ108" s="301"/>
      <c r="AR108" s="302"/>
      <c r="AS108" s="299"/>
      <c r="AT108" s="299"/>
      <c r="AU108" s="299"/>
      <c r="AV108" s="299"/>
      <c r="AW108" s="301"/>
      <c r="AX108" s="302"/>
      <c r="AY108" s="299"/>
      <c r="AZ108" s="299"/>
      <c r="BA108" s="299"/>
      <c r="BB108" s="299"/>
      <c r="BC108" s="301"/>
      <c r="BD108" s="302"/>
      <c r="BE108" s="299"/>
      <c r="BF108" s="299"/>
      <c r="BG108" s="299"/>
      <c r="BH108" s="299"/>
      <c r="BI108" s="301"/>
      <c r="BJ108" s="302"/>
      <c r="BK108" s="299"/>
      <c r="BL108" s="299"/>
      <c r="BM108" s="299"/>
      <c r="BN108" s="299"/>
      <c r="BO108" s="303"/>
      <c r="BP108" s="304"/>
      <c r="BQ108" s="302"/>
      <c r="BR108" s="299"/>
      <c r="BS108" s="299"/>
      <c r="BT108" s="299"/>
      <c r="BU108" s="303"/>
      <c r="BV108" s="303"/>
      <c r="BW108" s="303"/>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c r="CT108" s="295"/>
      <c r="CU108" s="295"/>
      <c r="CV108" s="295"/>
      <c r="CW108" s="295"/>
      <c r="CX108" s="295"/>
      <c r="CY108" s="295"/>
      <c r="CZ108" s="295"/>
      <c r="DA108" s="295"/>
      <c r="DB108" s="305"/>
      <c r="DC108" s="295"/>
      <c r="DD108" s="295"/>
      <c r="DE108" s="295"/>
      <c r="DF108" s="295"/>
      <c r="DG108" s="295"/>
      <c r="DH108" s="295"/>
      <c r="DI108" s="305"/>
      <c r="DJ108" s="295"/>
      <c r="DK108" s="295"/>
      <c r="DL108" s="295"/>
      <c r="DM108" s="295"/>
      <c r="DN108" s="295"/>
      <c r="DO108" s="295"/>
      <c r="DP108" s="295"/>
      <c r="DQ108" s="295"/>
      <c r="DR108" s="305"/>
      <c r="DS108" s="295"/>
      <c r="DT108" s="295"/>
      <c r="DU108" s="295"/>
      <c r="DV108" s="295"/>
      <c r="DW108" s="295"/>
      <c r="DX108" s="295"/>
      <c r="DY108" s="295"/>
      <c r="DZ108" s="295"/>
      <c r="EA108" s="295"/>
      <c r="EB108" s="295"/>
      <c r="EC108" s="305"/>
      <c r="ED108" s="295"/>
      <c r="EE108" s="295"/>
      <c r="EF108" s="295"/>
      <c r="EG108" s="295"/>
      <c r="EH108" s="295"/>
      <c r="EI108" s="295"/>
      <c r="EJ108" s="295"/>
      <c r="EK108" s="295"/>
      <c r="EL108" s="295"/>
      <c r="EM108" s="295"/>
      <c r="EN108" s="305"/>
      <c r="EO108" s="295"/>
      <c r="EP108" s="295"/>
      <c r="EQ108" s="295"/>
      <c r="ER108" s="295"/>
      <c r="ES108" s="295"/>
      <c r="ET108" s="295"/>
      <c r="EU108" s="295"/>
      <c r="EV108" s="305"/>
      <c r="EW108" s="295"/>
      <c r="EX108" s="295"/>
      <c r="EY108" s="295"/>
      <c r="EZ108" s="295"/>
      <c r="FA108" s="295"/>
      <c r="FB108" s="295"/>
      <c r="FC108" s="295"/>
      <c r="FD108" s="305"/>
      <c r="FE108" s="295"/>
      <c r="FF108" s="295"/>
      <c r="FG108" s="295"/>
      <c r="FH108" s="295"/>
      <c r="FI108" s="295"/>
      <c r="FJ108" s="295"/>
      <c r="FK108" s="295"/>
      <c r="FL108" s="305"/>
      <c r="FM108" s="298"/>
      <c r="FN108" s="298"/>
      <c r="FO108" s="295"/>
      <c r="FP108" s="295"/>
      <c r="FQ108" s="295"/>
      <c r="FR108" s="295"/>
      <c r="FS108" s="298"/>
      <c r="FT108" s="298"/>
      <c r="FU108" s="298"/>
      <c r="FV108" s="298"/>
      <c r="FW108" s="298"/>
      <c r="FX108" s="305"/>
      <c r="FY108" s="305"/>
      <c r="FZ108" s="305"/>
      <c r="GA108" s="305"/>
      <c r="GB108" s="305"/>
      <c r="GC108" s="297"/>
      <c r="GD108" s="305"/>
      <c r="GE108" s="297"/>
      <c r="GF108" s="297"/>
      <c r="GG108" s="297"/>
      <c r="GH108" s="297"/>
      <c r="GI108" s="297"/>
      <c r="GJ108" s="297"/>
      <c r="GK108" s="297"/>
      <c r="GL108" s="297"/>
      <c r="GM108" s="297"/>
      <c r="GN108" s="297"/>
      <c r="GO108" s="297"/>
      <c r="GP108" s="297"/>
    </row>
    <row r="109" spans="1:198" ht="15" customHeight="1">
      <c r="C109" s="293"/>
      <c r="D109" s="293"/>
      <c r="E109" s="293"/>
      <c r="F109" s="293"/>
      <c r="V109" s="299"/>
      <c r="W109" s="299"/>
      <c r="X109" s="299"/>
      <c r="Y109" s="301"/>
      <c r="Z109" s="302"/>
      <c r="AA109" s="299"/>
      <c r="AB109" s="299"/>
      <c r="AC109" s="299"/>
      <c r="AD109" s="299"/>
      <c r="AE109" s="301"/>
      <c r="AF109" s="302"/>
      <c r="AG109" s="302"/>
      <c r="AH109" s="299"/>
      <c r="AI109" s="299"/>
      <c r="AJ109" s="299"/>
      <c r="AK109" s="301"/>
      <c r="AL109" s="302"/>
      <c r="AM109" s="299"/>
      <c r="AN109" s="299"/>
      <c r="AO109" s="299"/>
      <c r="AP109" s="299"/>
      <c r="AQ109" s="301"/>
      <c r="AR109" s="302"/>
      <c r="AS109" s="299"/>
      <c r="AT109" s="299"/>
      <c r="AU109" s="299"/>
      <c r="AV109" s="299"/>
      <c r="AW109" s="301"/>
      <c r="AX109" s="302"/>
      <c r="AY109" s="299"/>
      <c r="AZ109" s="299"/>
      <c r="BA109" s="299"/>
      <c r="BB109" s="299"/>
      <c r="BC109" s="301"/>
      <c r="BD109" s="302"/>
      <c r="BE109" s="299"/>
      <c r="BF109" s="299"/>
      <c r="BG109" s="299"/>
      <c r="BH109" s="299"/>
      <c r="BI109" s="301"/>
      <c r="BJ109" s="302"/>
      <c r="BK109" s="299"/>
      <c r="BL109" s="299"/>
      <c r="BM109" s="299"/>
      <c r="BN109" s="299"/>
      <c r="BO109" s="303"/>
      <c r="BP109" s="304"/>
      <c r="BQ109" s="302"/>
      <c r="BR109" s="299"/>
      <c r="BS109" s="299"/>
      <c r="BT109" s="299"/>
      <c r="BU109" s="303"/>
      <c r="BV109" s="303"/>
      <c r="BW109" s="303"/>
      <c r="GC109" s="307"/>
      <c r="GD109" s="305"/>
      <c r="GE109" s="305"/>
      <c r="GF109" s="305"/>
      <c r="GG109" s="305"/>
      <c r="GH109" s="305"/>
      <c r="GI109" s="307"/>
    </row>
    <row r="110" spans="1:198">
      <c r="C110" s="293"/>
      <c r="D110" s="293"/>
      <c r="E110" s="293"/>
      <c r="F110" s="293"/>
      <c r="L110" s="306"/>
      <c r="M110" s="306"/>
      <c r="V110" s="299"/>
      <c r="W110" s="299"/>
      <c r="X110" s="299"/>
      <c r="Y110" s="301"/>
      <c r="Z110" s="302"/>
      <c r="AA110" s="299"/>
      <c r="AB110" s="299"/>
      <c r="AC110" s="299"/>
      <c r="AD110" s="299"/>
      <c r="AE110" s="301"/>
      <c r="AF110" s="302"/>
      <c r="AG110" s="302"/>
      <c r="AH110" s="299"/>
      <c r="AI110" s="299"/>
      <c r="AJ110" s="299"/>
      <c r="AK110" s="301"/>
      <c r="AL110" s="302"/>
      <c r="AM110" s="299"/>
      <c r="AN110" s="299"/>
      <c r="AO110" s="299"/>
      <c r="AP110" s="299"/>
      <c r="AQ110" s="301"/>
      <c r="AR110" s="302"/>
      <c r="AS110" s="299"/>
      <c r="AT110" s="299"/>
      <c r="AU110" s="299"/>
      <c r="AV110" s="299"/>
      <c r="AW110" s="301"/>
      <c r="AX110" s="302"/>
      <c r="AY110" s="299"/>
      <c r="AZ110" s="299"/>
      <c r="BA110" s="299"/>
      <c r="BB110" s="299"/>
      <c r="BC110" s="301"/>
      <c r="BD110" s="302"/>
      <c r="BE110" s="299"/>
      <c r="BF110" s="299"/>
      <c r="BG110" s="299"/>
      <c r="BH110" s="299"/>
      <c r="BI110" s="301"/>
      <c r="BJ110" s="302"/>
      <c r="BK110" s="299"/>
      <c r="BL110" s="299"/>
      <c r="BM110" s="299"/>
      <c r="BN110" s="299"/>
      <c r="BO110" s="303"/>
      <c r="BP110" s="304"/>
      <c r="BQ110" s="302"/>
      <c r="BR110" s="299"/>
      <c r="BS110" s="299"/>
      <c r="BT110" s="299"/>
      <c r="BU110" s="303"/>
      <c r="BV110" s="303"/>
      <c r="BW110" s="303"/>
    </row>
    <row r="111" spans="1:198">
      <c r="C111" s="293"/>
      <c r="D111" s="293"/>
      <c r="E111" s="293"/>
      <c r="F111" s="293"/>
      <c r="V111" s="299"/>
      <c r="W111" s="299"/>
      <c r="X111" s="299"/>
      <c r="Y111" s="301"/>
      <c r="Z111" s="302"/>
      <c r="AA111" s="299"/>
      <c r="AB111" s="299"/>
      <c r="AC111" s="299"/>
      <c r="AD111" s="299"/>
      <c r="AE111" s="301"/>
      <c r="AF111" s="302"/>
      <c r="AG111" s="302"/>
      <c r="AH111" s="299"/>
      <c r="AI111" s="299"/>
      <c r="AJ111" s="299"/>
      <c r="AK111" s="301"/>
      <c r="AL111" s="302"/>
      <c r="AM111" s="299"/>
      <c r="AN111" s="299"/>
      <c r="AO111" s="299"/>
      <c r="AP111" s="299"/>
      <c r="AQ111" s="301"/>
      <c r="AR111" s="302"/>
      <c r="AS111" s="299"/>
      <c r="AT111" s="299"/>
      <c r="AU111" s="299"/>
      <c r="AV111" s="299"/>
      <c r="AW111" s="301"/>
      <c r="AX111" s="302"/>
      <c r="AY111" s="299"/>
      <c r="AZ111" s="299"/>
      <c r="BA111" s="299"/>
      <c r="BB111" s="299"/>
      <c r="BC111" s="301"/>
      <c r="BD111" s="302"/>
      <c r="BE111" s="299"/>
      <c r="BF111" s="299"/>
      <c r="BG111" s="299"/>
      <c r="BH111" s="299"/>
      <c r="BI111" s="301"/>
      <c r="BJ111" s="302"/>
      <c r="BK111" s="299"/>
      <c r="BL111" s="299"/>
      <c r="BM111" s="299"/>
      <c r="BN111" s="299"/>
      <c r="BO111" s="303"/>
      <c r="BP111" s="304"/>
      <c r="BQ111" s="302"/>
      <c r="BR111" s="299"/>
      <c r="BS111" s="299"/>
      <c r="BT111" s="299"/>
      <c r="BU111" s="299"/>
      <c r="BV111" s="299"/>
      <c r="BW111" s="299"/>
      <c r="GC111" s="307"/>
      <c r="GD111" s="307"/>
      <c r="GE111" s="307"/>
      <c r="GF111" s="307"/>
      <c r="GG111" s="307"/>
      <c r="GH111" s="307"/>
      <c r="GJ111" s="306"/>
      <c r="GK111" s="306"/>
      <c r="GL111" s="306"/>
      <c r="GM111" s="306"/>
      <c r="GN111" s="306"/>
      <c r="GO111" s="306"/>
      <c r="GP111" s="306"/>
    </row>
    <row r="112" spans="1:198">
      <c r="V112" s="299"/>
      <c r="W112" s="299"/>
      <c r="X112" s="299"/>
      <c r="Y112" s="301"/>
      <c r="Z112" s="302"/>
      <c r="AA112" s="299"/>
      <c r="AB112" s="299"/>
      <c r="AC112" s="299"/>
      <c r="AD112" s="299"/>
      <c r="AE112" s="301"/>
      <c r="AF112" s="302"/>
      <c r="AG112" s="302"/>
      <c r="AH112" s="299"/>
      <c r="AI112" s="299"/>
      <c r="AJ112" s="299"/>
      <c r="AK112" s="301"/>
      <c r="AL112" s="302"/>
      <c r="AM112" s="299"/>
      <c r="AN112" s="299"/>
      <c r="AO112" s="299"/>
      <c r="AP112" s="299"/>
      <c r="AQ112" s="301"/>
      <c r="AR112" s="302"/>
      <c r="AS112" s="299"/>
      <c r="AT112" s="299"/>
      <c r="AU112" s="299"/>
      <c r="AV112" s="299"/>
      <c r="AW112" s="301"/>
      <c r="AX112" s="302"/>
      <c r="AY112" s="299"/>
      <c r="AZ112" s="299"/>
      <c r="BA112" s="299"/>
      <c r="BB112" s="299"/>
      <c r="BC112" s="301"/>
      <c r="BD112" s="302"/>
      <c r="BE112" s="299"/>
      <c r="BF112" s="299"/>
      <c r="BG112" s="299"/>
      <c r="BH112" s="299"/>
      <c r="BI112" s="301"/>
      <c r="BJ112" s="302"/>
      <c r="BK112" s="299"/>
      <c r="BL112" s="299"/>
      <c r="BM112" s="299"/>
      <c r="BN112" s="299"/>
      <c r="BO112" s="303"/>
      <c r="BP112" s="304"/>
      <c r="BQ112" s="302"/>
      <c r="BR112" s="299"/>
      <c r="BS112" s="299"/>
      <c r="BT112" s="299"/>
      <c r="BU112" s="299"/>
      <c r="BV112" s="299"/>
      <c r="BW112" s="299"/>
    </row>
    <row r="113" spans="2:192" ht="15" customHeight="1">
      <c r="V113" s="299"/>
      <c r="W113" s="299"/>
      <c r="X113" s="299"/>
      <c r="Y113" s="301"/>
      <c r="Z113" s="302"/>
      <c r="AA113" s="299"/>
      <c r="AB113" s="299"/>
      <c r="AC113" s="299"/>
      <c r="AD113" s="299"/>
      <c r="AE113" s="301"/>
      <c r="AF113" s="302"/>
      <c r="AG113" s="302"/>
      <c r="AH113" s="299"/>
      <c r="AI113" s="299"/>
      <c r="AJ113" s="299"/>
      <c r="AK113" s="301"/>
      <c r="AL113" s="302"/>
      <c r="AM113" s="299"/>
      <c r="AN113" s="299"/>
      <c r="AO113" s="299"/>
      <c r="AP113" s="299"/>
      <c r="AQ113" s="301"/>
      <c r="AR113" s="302"/>
      <c r="AS113" s="299"/>
      <c r="AT113" s="299"/>
      <c r="AU113" s="299"/>
      <c r="AV113" s="299"/>
      <c r="AW113" s="301"/>
      <c r="AX113" s="302"/>
      <c r="AY113" s="299"/>
      <c r="AZ113" s="299"/>
      <c r="BA113" s="299"/>
      <c r="BB113" s="299"/>
      <c r="BC113" s="301"/>
      <c r="BD113" s="302"/>
      <c r="BE113" s="299"/>
      <c r="BF113" s="299"/>
      <c r="BG113" s="299"/>
      <c r="BH113" s="299"/>
      <c r="BI113" s="301"/>
      <c r="BJ113" s="302"/>
      <c r="BK113" s="299"/>
      <c r="BL113" s="299"/>
      <c r="BM113" s="299"/>
      <c r="BN113" s="299"/>
      <c r="BO113" s="303"/>
      <c r="BP113" s="304"/>
      <c r="BQ113" s="302"/>
      <c r="BR113" s="299"/>
      <c r="BS113" s="299"/>
      <c r="BT113" s="299"/>
      <c r="BU113" s="299"/>
      <c r="BV113" s="299"/>
      <c r="BW113" s="299"/>
      <c r="DY113" s="293"/>
      <c r="EJ113" s="293"/>
    </row>
    <row r="114" spans="2:192">
      <c r="V114" s="299"/>
      <c r="W114" s="299"/>
      <c r="X114" s="299"/>
      <c r="Y114" s="301"/>
      <c r="Z114" s="302"/>
      <c r="AA114" s="299"/>
      <c r="AB114" s="299"/>
      <c r="AC114" s="299"/>
      <c r="AD114" s="299"/>
      <c r="AE114" s="301"/>
      <c r="AF114" s="302"/>
      <c r="AG114" s="302"/>
      <c r="AH114" s="299"/>
      <c r="AI114" s="299"/>
      <c r="AJ114" s="299"/>
      <c r="AK114" s="301"/>
      <c r="AL114" s="302"/>
      <c r="AM114" s="299"/>
      <c r="AN114" s="299"/>
      <c r="AO114" s="299"/>
      <c r="AP114" s="299"/>
      <c r="AQ114" s="301"/>
      <c r="AR114" s="302"/>
      <c r="AS114" s="299"/>
      <c r="AT114" s="299"/>
      <c r="AU114" s="299"/>
      <c r="AV114" s="299"/>
      <c r="AW114" s="301"/>
      <c r="AX114" s="302"/>
      <c r="AY114" s="299"/>
      <c r="AZ114" s="299"/>
      <c r="BA114" s="299"/>
      <c r="BB114" s="299"/>
      <c r="BC114" s="301"/>
      <c r="BD114" s="302"/>
      <c r="BE114" s="299"/>
      <c r="BF114" s="299"/>
      <c r="BG114" s="299"/>
      <c r="BH114" s="299"/>
      <c r="BI114" s="301"/>
      <c r="BJ114" s="302"/>
      <c r="BK114" s="299"/>
      <c r="BL114" s="299"/>
      <c r="BM114" s="299"/>
      <c r="BN114" s="299"/>
      <c r="BO114" s="303"/>
      <c r="BP114" s="304"/>
      <c r="BQ114" s="302"/>
      <c r="BR114" s="299"/>
      <c r="BS114" s="299"/>
      <c r="BT114" s="299"/>
      <c r="BU114" s="299"/>
      <c r="BV114" s="299"/>
      <c r="BW114" s="299"/>
      <c r="DE114" s="293"/>
      <c r="DF114" s="293"/>
      <c r="DG114" s="293"/>
      <c r="DH114" s="293"/>
      <c r="ER114" s="293"/>
      <c r="GC114" s="307"/>
    </row>
    <row r="115" spans="2:192">
      <c r="V115" s="299"/>
      <c r="W115" s="299"/>
      <c r="X115" s="299"/>
      <c r="Y115" s="301"/>
      <c r="Z115" s="302"/>
      <c r="AA115" s="299"/>
      <c r="AB115" s="299"/>
      <c r="AC115" s="299"/>
      <c r="AD115" s="299"/>
      <c r="AE115" s="301"/>
      <c r="AF115" s="302"/>
      <c r="AG115" s="302"/>
      <c r="AH115" s="299"/>
      <c r="AI115" s="299"/>
      <c r="AJ115" s="299"/>
      <c r="AK115" s="301"/>
      <c r="AL115" s="302"/>
      <c r="AM115" s="299"/>
      <c r="AN115" s="299"/>
      <c r="AO115" s="299"/>
      <c r="AP115" s="299"/>
      <c r="AQ115" s="301"/>
      <c r="AR115" s="302"/>
      <c r="AS115" s="299"/>
      <c r="AT115" s="299"/>
      <c r="AU115" s="299"/>
      <c r="AV115" s="299"/>
      <c r="AW115" s="301"/>
      <c r="AX115" s="302"/>
      <c r="AY115" s="299"/>
      <c r="AZ115" s="299"/>
      <c r="BA115" s="299"/>
      <c r="BB115" s="299"/>
      <c r="BC115" s="301"/>
      <c r="BD115" s="302"/>
      <c r="BE115" s="299"/>
      <c r="BF115" s="299"/>
      <c r="BG115" s="299"/>
      <c r="BH115" s="299"/>
      <c r="BI115" s="301"/>
      <c r="BJ115" s="302"/>
      <c r="BK115" s="299"/>
      <c r="BL115" s="299"/>
      <c r="BM115" s="299"/>
      <c r="BN115" s="299"/>
      <c r="BO115" s="303"/>
      <c r="BP115" s="304"/>
      <c r="BQ115" s="302"/>
      <c r="BR115" s="299"/>
      <c r="BS115" s="299"/>
      <c r="BT115" s="299"/>
      <c r="BU115" s="299"/>
      <c r="BV115" s="299"/>
      <c r="BW115" s="299"/>
      <c r="GD115" s="298"/>
      <c r="GE115" s="298"/>
      <c r="GF115" s="305"/>
      <c r="GG115" s="305"/>
      <c r="GH115" s="305"/>
      <c r="GI115" s="305"/>
      <c r="GJ115" s="305"/>
    </row>
    <row r="116" spans="2:192">
      <c r="V116" s="299"/>
      <c r="W116" s="299"/>
      <c r="X116" s="299"/>
      <c r="Y116" s="301"/>
      <c r="Z116" s="302"/>
      <c r="AA116" s="299"/>
      <c r="AB116" s="299"/>
      <c r="AC116" s="299"/>
      <c r="AD116" s="299"/>
      <c r="AE116" s="301"/>
      <c r="AF116" s="302"/>
      <c r="AG116" s="302"/>
      <c r="AH116" s="299"/>
      <c r="AI116" s="299"/>
      <c r="AJ116" s="299"/>
      <c r="AK116" s="301"/>
      <c r="AL116" s="302"/>
      <c r="AM116" s="299"/>
      <c r="AN116" s="299"/>
      <c r="AO116" s="299"/>
      <c r="AP116" s="299"/>
      <c r="AQ116" s="301"/>
      <c r="AR116" s="302"/>
      <c r="AS116" s="299"/>
      <c r="AT116" s="299"/>
      <c r="AU116" s="299"/>
      <c r="AV116" s="299"/>
      <c r="AW116" s="301"/>
      <c r="AX116" s="302"/>
      <c r="AY116" s="299"/>
      <c r="AZ116" s="299"/>
      <c r="BA116" s="299"/>
      <c r="BB116" s="299"/>
      <c r="BC116" s="301"/>
      <c r="BD116" s="302"/>
      <c r="BE116" s="299"/>
      <c r="BF116" s="299"/>
      <c r="BG116" s="299"/>
      <c r="BH116" s="299"/>
      <c r="BI116" s="301"/>
      <c r="BJ116" s="302"/>
      <c r="BK116" s="299"/>
      <c r="BL116" s="299"/>
      <c r="BM116" s="299"/>
      <c r="BN116" s="299"/>
      <c r="BO116" s="303"/>
      <c r="BP116" s="304"/>
      <c r="BQ116" s="302"/>
      <c r="BR116" s="299"/>
      <c r="BS116" s="299"/>
      <c r="BT116" s="299"/>
      <c r="BU116" s="299"/>
      <c r="BV116" s="299"/>
      <c r="BW116" s="299"/>
      <c r="GC116" s="307"/>
    </row>
    <row r="117" spans="2:192">
      <c r="V117" s="299"/>
      <c r="W117" s="299"/>
      <c r="X117" s="299"/>
      <c r="Y117" s="301"/>
      <c r="Z117" s="302"/>
      <c r="AA117" s="299"/>
      <c r="AB117" s="299"/>
      <c r="AC117" s="299"/>
      <c r="AD117" s="299"/>
      <c r="AE117" s="301"/>
      <c r="AF117" s="302"/>
      <c r="AG117" s="302"/>
      <c r="AH117" s="299"/>
      <c r="AI117" s="299"/>
      <c r="AJ117" s="299"/>
      <c r="AK117" s="301"/>
      <c r="AL117" s="302"/>
      <c r="AM117" s="299"/>
      <c r="AN117" s="299"/>
      <c r="AO117" s="299"/>
      <c r="AP117" s="299"/>
      <c r="AQ117" s="301"/>
      <c r="AR117" s="302"/>
      <c r="AS117" s="299"/>
      <c r="AT117" s="299"/>
      <c r="AU117" s="299"/>
      <c r="AV117" s="299"/>
      <c r="AW117" s="301"/>
      <c r="AX117" s="302"/>
      <c r="AY117" s="299"/>
      <c r="AZ117" s="299"/>
      <c r="BA117" s="299"/>
      <c r="BB117" s="299"/>
      <c r="BC117" s="301"/>
      <c r="BD117" s="302"/>
      <c r="BE117" s="299"/>
      <c r="BF117" s="299"/>
      <c r="BG117" s="299"/>
      <c r="BH117" s="299"/>
      <c r="BI117" s="301"/>
      <c r="BJ117" s="302"/>
      <c r="BK117" s="299"/>
      <c r="BL117" s="299"/>
      <c r="BM117" s="299"/>
      <c r="BN117" s="299"/>
      <c r="BO117" s="303"/>
      <c r="BP117" s="304"/>
      <c r="BQ117" s="302"/>
      <c r="BR117" s="299"/>
      <c r="BS117" s="299"/>
      <c r="BU117" s="299"/>
      <c r="BV117" s="299"/>
      <c r="BX117" s="320"/>
      <c r="BY117" s="320"/>
      <c r="BZ117" s="320"/>
      <c r="CA117" s="320"/>
    </row>
    <row r="118" spans="2:192">
      <c r="V118" s="299"/>
      <c r="W118" s="299"/>
      <c r="X118" s="299"/>
      <c r="Y118" s="301"/>
      <c r="Z118" s="302"/>
      <c r="AA118" s="299"/>
      <c r="AB118" s="299"/>
      <c r="AC118" s="299"/>
      <c r="AD118" s="299"/>
      <c r="AE118" s="301"/>
      <c r="AF118" s="302"/>
      <c r="AG118" s="302"/>
      <c r="AH118" s="299"/>
      <c r="AI118" s="299"/>
      <c r="AJ118" s="299"/>
      <c r="AK118" s="301"/>
      <c r="AL118" s="302"/>
      <c r="AM118" s="299"/>
      <c r="AN118" s="299"/>
      <c r="AO118" s="299"/>
      <c r="AP118" s="299"/>
      <c r="AQ118" s="301"/>
      <c r="AR118" s="302"/>
      <c r="AS118" s="299"/>
      <c r="AT118" s="299"/>
      <c r="AU118" s="299"/>
      <c r="AV118" s="299"/>
      <c r="AW118" s="301"/>
      <c r="AX118" s="302"/>
      <c r="AY118" s="299"/>
      <c r="AZ118" s="299"/>
      <c r="BA118" s="299"/>
      <c r="BB118" s="299"/>
      <c r="BC118" s="301"/>
      <c r="BD118" s="302"/>
      <c r="BE118" s="299"/>
      <c r="BF118" s="299"/>
      <c r="BG118" s="299"/>
      <c r="BH118" s="299"/>
      <c r="BI118" s="301"/>
      <c r="BJ118" s="302"/>
      <c r="BK118" s="299"/>
      <c r="BL118" s="299"/>
      <c r="BM118" s="299"/>
      <c r="BN118" s="299"/>
      <c r="BO118" s="303"/>
      <c r="BP118" s="304"/>
      <c r="BQ118" s="302"/>
      <c r="BR118" s="299"/>
      <c r="BS118" s="299"/>
      <c r="BT118" s="299"/>
      <c r="BU118" s="299"/>
      <c r="BV118" s="299"/>
      <c r="BW118" s="299"/>
    </row>
    <row r="119" spans="2:192">
      <c r="V119" s="299"/>
      <c r="W119" s="299"/>
      <c r="X119" s="299"/>
      <c r="Y119" s="301"/>
      <c r="Z119" s="302"/>
      <c r="AA119" s="299"/>
      <c r="AB119" s="299"/>
      <c r="AC119" s="299"/>
      <c r="AD119" s="299"/>
      <c r="AE119" s="301"/>
      <c r="AF119" s="302"/>
      <c r="AG119" s="302"/>
      <c r="AH119" s="299"/>
      <c r="AI119" s="299"/>
      <c r="AJ119" s="299"/>
      <c r="AK119" s="301"/>
      <c r="AL119" s="302"/>
      <c r="AM119" s="299"/>
      <c r="AN119" s="299"/>
      <c r="AO119" s="299"/>
      <c r="AP119" s="299"/>
      <c r="AQ119" s="301"/>
      <c r="AR119" s="302"/>
      <c r="AS119" s="299"/>
      <c r="AT119" s="299"/>
      <c r="AU119" s="299"/>
      <c r="AV119" s="299"/>
      <c r="AW119" s="301"/>
      <c r="AX119" s="302"/>
      <c r="AY119" s="299"/>
      <c r="AZ119" s="299"/>
      <c r="BA119" s="299"/>
      <c r="BB119" s="299"/>
      <c r="BC119" s="301"/>
      <c r="BD119" s="302"/>
      <c r="BE119" s="299"/>
      <c r="BF119" s="299"/>
      <c r="BG119" s="299"/>
      <c r="BH119" s="299"/>
      <c r="BI119" s="301"/>
      <c r="BJ119" s="302"/>
      <c r="BK119" s="299"/>
      <c r="BL119" s="299"/>
      <c r="BM119" s="299"/>
      <c r="BN119" s="299"/>
      <c r="BO119" s="303"/>
      <c r="BP119" s="304"/>
      <c r="BQ119" s="302"/>
      <c r="BR119" s="299"/>
      <c r="BS119" s="299"/>
      <c r="BT119" s="299"/>
      <c r="BU119" s="299"/>
      <c r="BV119" s="299"/>
      <c r="BW119" s="299"/>
      <c r="GC119" s="307"/>
    </row>
    <row r="120" spans="2:192" ht="15" customHeight="1">
      <c r="V120" s="299"/>
      <c r="W120" s="299"/>
      <c r="X120" s="299"/>
      <c r="Y120" s="301"/>
      <c r="Z120" s="302"/>
      <c r="AA120" s="299"/>
      <c r="AB120" s="299"/>
      <c r="AC120" s="299"/>
      <c r="AD120" s="299"/>
      <c r="AE120" s="301"/>
      <c r="AF120" s="302"/>
      <c r="AG120" s="302"/>
      <c r="AH120" s="299"/>
      <c r="AI120" s="299"/>
      <c r="AJ120" s="299"/>
      <c r="AK120" s="301"/>
      <c r="AL120" s="302"/>
      <c r="AM120" s="299"/>
      <c r="AN120" s="299"/>
      <c r="AO120" s="299"/>
      <c r="AP120" s="299"/>
      <c r="AQ120" s="301"/>
      <c r="AR120" s="302"/>
      <c r="AS120" s="299"/>
      <c r="AT120" s="299"/>
      <c r="AU120" s="299"/>
      <c r="AV120" s="299"/>
      <c r="AW120" s="301"/>
      <c r="AX120" s="302"/>
      <c r="AY120" s="299"/>
      <c r="AZ120" s="299"/>
      <c r="BA120" s="299"/>
      <c r="BB120" s="299"/>
      <c r="BC120" s="301"/>
      <c r="BD120" s="302"/>
      <c r="BE120" s="299"/>
      <c r="BF120" s="299"/>
      <c r="BG120" s="299"/>
      <c r="BH120" s="299"/>
      <c r="BI120" s="301"/>
      <c r="BJ120" s="302"/>
      <c r="BK120" s="299"/>
      <c r="BL120" s="299"/>
      <c r="BM120" s="299"/>
      <c r="BN120" s="299"/>
      <c r="BO120" s="303"/>
      <c r="BP120" s="304"/>
      <c r="BQ120" s="302"/>
      <c r="BR120" s="299"/>
      <c r="BS120" s="299"/>
      <c r="BU120" s="299"/>
      <c r="BV120" s="299"/>
      <c r="GD120" s="306"/>
      <c r="GE120" s="306"/>
      <c r="GF120" s="306"/>
      <c r="GG120" s="306"/>
    </row>
    <row r="121" spans="2:192">
      <c r="B121" s="306"/>
      <c r="C121" s="293"/>
      <c r="D121" s="293"/>
      <c r="E121" s="293"/>
      <c r="L121" s="306"/>
      <c r="M121" s="306"/>
      <c r="O121" s="306"/>
      <c r="P121" s="306"/>
      <c r="Q121" s="306"/>
      <c r="V121" s="299"/>
      <c r="W121" s="299"/>
      <c r="X121" s="299"/>
      <c r="Y121" s="301"/>
      <c r="Z121" s="302"/>
      <c r="AA121" s="299"/>
      <c r="AB121" s="299"/>
      <c r="AC121" s="299"/>
      <c r="AD121" s="299"/>
      <c r="AE121" s="301"/>
      <c r="AF121" s="302"/>
      <c r="AG121" s="302"/>
      <c r="AH121" s="299"/>
      <c r="AI121" s="299"/>
      <c r="AJ121" s="299"/>
      <c r="AK121" s="301"/>
      <c r="AL121" s="302"/>
      <c r="AM121" s="299"/>
      <c r="AN121" s="299"/>
      <c r="AO121" s="299"/>
      <c r="AP121" s="299"/>
      <c r="AQ121" s="301"/>
      <c r="AR121" s="302"/>
      <c r="AS121" s="299"/>
      <c r="AT121" s="299"/>
      <c r="AU121" s="299"/>
      <c r="AV121" s="299"/>
      <c r="AW121" s="301"/>
      <c r="AX121" s="302"/>
      <c r="AY121" s="299"/>
      <c r="AZ121" s="299"/>
      <c r="BA121" s="299"/>
      <c r="BB121" s="299"/>
      <c r="BC121" s="301"/>
      <c r="BD121" s="302"/>
      <c r="BE121" s="299"/>
      <c r="BF121" s="299"/>
      <c r="BG121" s="299"/>
      <c r="BH121" s="299"/>
      <c r="BI121" s="301"/>
      <c r="BJ121" s="302"/>
      <c r="BK121" s="299"/>
      <c r="BL121" s="299"/>
      <c r="BM121" s="299"/>
      <c r="BN121" s="299"/>
      <c r="BO121" s="303"/>
      <c r="BP121" s="304"/>
      <c r="BQ121" s="302"/>
      <c r="BR121" s="299"/>
      <c r="BS121" s="299"/>
      <c r="BT121" s="299"/>
      <c r="BU121" s="299"/>
      <c r="BV121" s="299"/>
      <c r="BW121" s="299"/>
      <c r="BY121" s="293"/>
      <c r="CZ121" s="293"/>
      <c r="DA121" s="293"/>
      <c r="DB121" s="307"/>
      <c r="DC121" s="293"/>
      <c r="DD121" s="293"/>
      <c r="GC121" s="307"/>
    </row>
    <row r="122" spans="2:192">
      <c r="V122" s="299"/>
      <c r="W122" s="299"/>
      <c r="X122" s="299"/>
      <c r="Y122" s="301"/>
      <c r="Z122" s="302"/>
      <c r="AA122" s="299"/>
      <c r="AB122" s="299"/>
      <c r="AC122" s="299"/>
      <c r="AD122" s="299"/>
      <c r="AE122" s="301"/>
      <c r="AF122" s="302"/>
      <c r="AG122" s="302"/>
      <c r="AH122" s="299"/>
      <c r="AI122" s="299"/>
      <c r="AJ122" s="299"/>
      <c r="AK122" s="301"/>
      <c r="AL122" s="302"/>
      <c r="AM122" s="299"/>
      <c r="AN122" s="299"/>
      <c r="AO122" s="299"/>
      <c r="AP122" s="299"/>
      <c r="AQ122" s="301"/>
      <c r="AR122" s="302"/>
      <c r="AS122" s="299"/>
      <c r="AT122" s="299"/>
      <c r="AU122" s="299"/>
      <c r="AV122" s="299"/>
      <c r="AW122" s="301"/>
      <c r="AX122" s="302"/>
      <c r="AY122" s="299"/>
      <c r="AZ122" s="299"/>
      <c r="BA122" s="299"/>
      <c r="BB122" s="299"/>
      <c r="BC122" s="301"/>
      <c r="BD122" s="302"/>
      <c r="BE122" s="299"/>
      <c r="BF122" s="299"/>
      <c r="BG122" s="299"/>
      <c r="BH122" s="299"/>
      <c r="BI122" s="301"/>
      <c r="BJ122" s="302"/>
      <c r="BK122" s="299"/>
      <c r="BL122" s="299"/>
      <c r="BM122" s="299"/>
      <c r="BN122" s="299"/>
      <c r="BO122" s="303"/>
      <c r="BP122" s="304"/>
      <c r="BQ122" s="302"/>
      <c r="BR122" s="299"/>
      <c r="BS122" s="299"/>
      <c r="BU122" s="299"/>
      <c r="BV122" s="299"/>
      <c r="BY122" s="297"/>
      <c r="BZ122" s="297"/>
      <c r="CA122" s="297"/>
      <c r="FU122" s="299"/>
      <c r="GC122" s="307"/>
    </row>
    <row r="123" spans="2:192">
      <c r="D123" s="293"/>
      <c r="E123" s="293"/>
      <c r="L123" s="306"/>
      <c r="M123" s="306"/>
      <c r="V123" s="299"/>
      <c r="W123" s="299"/>
      <c r="X123" s="299"/>
      <c r="Y123" s="301"/>
      <c r="Z123" s="302"/>
      <c r="AA123" s="299"/>
      <c r="AB123" s="299"/>
      <c r="AC123" s="299"/>
      <c r="AD123" s="299"/>
      <c r="AE123" s="301"/>
      <c r="AF123" s="302"/>
      <c r="AG123" s="302"/>
      <c r="AH123" s="299"/>
      <c r="AI123" s="299"/>
      <c r="AJ123" s="299"/>
      <c r="AK123" s="301"/>
      <c r="AL123" s="302"/>
      <c r="AM123" s="299"/>
      <c r="AN123" s="299"/>
      <c r="AO123" s="299"/>
      <c r="AP123" s="299"/>
      <c r="AQ123" s="301"/>
      <c r="AR123" s="302"/>
      <c r="AS123" s="299"/>
      <c r="AT123" s="299"/>
      <c r="AU123" s="299"/>
      <c r="AV123" s="299"/>
      <c r="AW123" s="301"/>
      <c r="AX123" s="302"/>
      <c r="AY123" s="299"/>
      <c r="AZ123" s="299"/>
      <c r="BA123" s="299"/>
      <c r="BB123" s="299"/>
      <c r="BC123" s="301"/>
      <c r="BD123" s="302"/>
      <c r="BE123" s="299"/>
      <c r="BF123" s="299"/>
      <c r="BG123" s="299"/>
      <c r="BH123" s="299"/>
      <c r="BI123" s="301"/>
      <c r="BJ123" s="302"/>
      <c r="BK123" s="299"/>
      <c r="BL123" s="299"/>
      <c r="BM123" s="299"/>
      <c r="BN123" s="299"/>
      <c r="BO123" s="303"/>
      <c r="BP123" s="304"/>
      <c r="BQ123" s="302"/>
      <c r="BR123" s="299"/>
      <c r="BS123" s="299"/>
      <c r="BT123" s="299"/>
      <c r="BU123" s="299"/>
      <c r="BV123" s="299"/>
      <c r="BW123" s="299"/>
      <c r="CD123" s="297"/>
      <c r="GC123" s="307"/>
    </row>
    <row r="124" spans="2:192">
      <c r="D124" s="293"/>
      <c r="E124" s="293"/>
      <c r="L124" s="306"/>
      <c r="M124" s="306"/>
      <c r="V124" s="299"/>
      <c r="W124" s="299"/>
      <c r="X124" s="299"/>
      <c r="Y124" s="301"/>
      <c r="Z124" s="302"/>
      <c r="AA124" s="299"/>
      <c r="AB124" s="299"/>
      <c r="AC124" s="299"/>
      <c r="AD124" s="299"/>
      <c r="AE124" s="301"/>
      <c r="AF124" s="302"/>
      <c r="AG124" s="302"/>
      <c r="AH124" s="299"/>
      <c r="AI124" s="299"/>
      <c r="AJ124" s="299"/>
      <c r="AK124" s="301"/>
      <c r="AL124" s="302"/>
      <c r="AM124" s="299"/>
      <c r="AN124" s="299"/>
      <c r="AO124" s="299"/>
      <c r="AP124" s="299"/>
      <c r="AQ124" s="301"/>
      <c r="AR124" s="302"/>
      <c r="AS124" s="299"/>
      <c r="AT124" s="299"/>
      <c r="AU124" s="299"/>
      <c r="AV124" s="299"/>
      <c r="AW124" s="301"/>
      <c r="AX124" s="302"/>
      <c r="AY124" s="299"/>
      <c r="AZ124" s="299"/>
      <c r="BA124" s="299"/>
      <c r="BB124" s="299"/>
      <c r="BC124" s="301"/>
      <c r="BD124" s="302"/>
      <c r="BE124" s="299"/>
      <c r="BF124" s="299"/>
      <c r="BG124" s="299"/>
      <c r="BH124" s="299"/>
      <c r="BI124" s="301"/>
      <c r="BJ124" s="302"/>
      <c r="BK124" s="299"/>
      <c r="BL124" s="299"/>
      <c r="BM124" s="299"/>
      <c r="BN124" s="299"/>
      <c r="BO124" s="303"/>
      <c r="BP124" s="304"/>
      <c r="BQ124" s="302"/>
      <c r="BR124" s="299"/>
      <c r="BS124" s="299"/>
      <c r="BT124" s="299"/>
      <c r="BU124" s="299"/>
      <c r="BV124" s="299"/>
      <c r="BW124" s="299"/>
    </row>
    <row r="125" spans="2:192">
      <c r="D125" s="293"/>
      <c r="E125" s="293"/>
      <c r="L125" s="306"/>
      <c r="M125" s="306"/>
      <c r="V125" s="299"/>
      <c r="W125" s="299"/>
      <c r="X125" s="299"/>
      <c r="Y125" s="301"/>
      <c r="Z125" s="302"/>
      <c r="AA125" s="299"/>
      <c r="AB125" s="299"/>
      <c r="AC125" s="299"/>
      <c r="AD125" s="299"/>
      <c r="AE125" s="301"/>
      <c r="AF125" s="302"/>
      <c r="AG125" s="302"/>
      <c r="AH125" s="299"/>
      <c r="AI125" s="299"/>
      <c r="AJ125" s="299"/>
      <c r="AK125" s="301"/>
      <c r="AL125" s="302"/>
      <c r="AM125" s="299"/>
      <c r="AN125" s="299"/>
      <c r="AO125" s="299"/>
      <c r="AP125" s="299"/>
      <c r="AQ125" s="301"/>
      <c r="AR125" s="302"/>
      <c r="AS125" s="299"/>
      <c r="AT125" s="299"/>
      <c r="AU125" s="299"/>
      <c r="AV125" s="299"/>
      <c r="AW125" s="301"/>
      <c r="AX125" s="302"/>
      <c r="AY125" s="299"/>
      <c r="AZ125" s="299"/>
      <c r="BA125" s="299"/>
      <c r="BB125" s="299"/>
      <c r="BC125" s="301"/>
      <c r="BD125" s="302"/>
      <c r="BE125" s="299"/>
      <c r="BF125" s="299"/>
      <c r="BG125" s="299"/>
      <c r="BH125" s="299"/>
      <c r="BI125" s="301"/>
      <c r="BJ125" s="302"/>
      <c r="BK125" s="299"/>
      <c r="BL125" s="299"/>
      <c r="BM125" s="299"/>
      <c r="BN125" s="299"/>
      <c r="BO125" s="303"/>
      <c r="BP125" s="304"/>
      <c r="BQ125" s="302"/>
      <c r="BR125" s="299"/>
      <c r="BS125" s="299"/>
      <c r="BT125" s="299"/>
      <c r="BU125" s="299"/>
      <c r="BV125" s="299"/>
      <c r="BW125" s="299"/>
    </row>
    <row r="126" spans="2:192">
      <c r="C126" s="297"/>
      <c r="D126" s="306"/>
      <c r="E126" s="306"/>
      <c r="F126" s="297"/>
      <c r="G126" s="297"/>
      <c r="H126" s="297"/>
      <c r="I126" s="297"/>
      <c r="J126" s="297"/>
      <c r="K126" s="297"/>
      <c r="P126" s="306"/>
      <c r="R126" s="297"/>
      <c r="S126" s="297"/>
      <c r="T126" s="297"/>
      <c r="U126" s="297"/>
      <c r="V126" s="299"/>
      <c r="W126" s="299"/>
      <c r="X126" s="299"/>
      <c r="Y126" s="301"/>
      <c r="Z126" s="302"/>
      <c r="AA126" s="299"/>
      <c r="AB126" s="299"/>
      <c r="AC126" s="299"/>
      <c r="AD126" s="299"/>
      <c r="AE126" s="301"/>
      <c r="AF126" s="302"/>
      <c r="AG126" s="302"/>
      <c r="AH126" s="299"/>
      <c r="AI126" s="299"/>
      <c r="AJ126" s="299"/>
      <c r="AK126" s="301"/>
      <c r="AL126" s="302"/>
      <c r="AM126" s="299"/>
      <c r="AN126" s="299"/>
      <c r="AO126" s="299"/>
      <c r="AP126" s="299"/>
      <c r="AQ126" s="301"/>
      <c r="AR126" s="302"/>
      <c r="AS126" s="299"/>
      <c r="AT126" s="299"/>
      <c r="AU126" s="299"/>
      <c r="AV126" s="299"/>
      <c r="AW126" s="301"/>
      <c r="AX126" s="302"/>
      <c r="AY126" s="299"/>
      <c r="AZ126" s="299"/>
      <c r="BA126" s="299"/>
      <c r="BB126" s="299"/>
      <c r="BC126" s="301"/>
      <c r="BD126" s="302"/>
      <c r="BE126" s="299"/>
      <c r="BF126" s="299"/>
      <c r="BG126" s="299"/>
      <c r="BH126" s="299"/>
      <c r="BI126" s="301"/>
      <c r="BJ126" s="302"/>
      <c r="BK126" s="299"/>
      <c r="BL126" s="299"/>
      <c r="BM126" s="299"/>
      <c r="BN126" s="299"/>
      <c r="BO126" s="303"/>
      <c r="BP126" s="306"/>
      <c r="BQ126" s="302"/>
      <c r="BR126" s="299"/>
      <c r="BS126" s="299"/>
      <c r="BT126" s="299"/>
      <c r="BU126" s="299"/>
      <c r="BV126" s="299"/>
      <c r="BW126" s="299"/>
      <c r="CF126" s="297"/>
      <c r="CG126" s="297"/>
      <c r="CH126" s="297"/>
      <c r="CI126" s="297"/>
      <c r="CJ126" s="297"/>
      <c r="CK126" s="297"/>
      <c r="CL126" s="297"/>
      <c r="CM126" s="297"/>
      <c r="CN126" s="297"/>
      <c r="CO126" s="297"/>
      <c r="CP126" s="297"/>
      <c r="CQ126" s="297"/>
      <c r="CR126" s="297"/>
      <c r="CS126" s="297"/>
      <c r="CT126" s="297"/>
      <c r="CU126" s="297"/>
      <c r="CV126" s="297"/>
      <c r="CW126" s="297"/>
      <c r="CX126" s="297"/>
      <c r="CY126" s="297"/>
      <c r="CZ126" s="297"/>
      <c r="DA126" s="297"/>
      <c r="DB126" s="297"/>
      <c r="DC126" s="297"/>
      <c r="DD126" s="297"/>
      <c r="DE126" s="297"/>
      <c r="DF126" s="297"/>
      <c r="DG126" s="297"/>
      <c r="DH126" s="297"/>
      <c r="DI126" s="297"/>
      <c r="DJ126" s="297"/>
      <c r="DK126" s="298"/>
      <c r="DL126" s="297"/>
      <c r="DM126" s="297"/>
      <c r="DN126" s="297"/>
      <c r="DO126" s="297"/>
      <c r="DP126" s="297"/>
      <c r="DQ126" s="297"/>
      <c r="DR126" s="297"/>
      <c r="DS126" s="297"/>
      <c r="DT126" s="297"/>
      <c r="DU126" s="297"/>
      <c r="DV126" s="297"/>
      <c r="DW126" s="297"/>
      <c r="DX126" s="297"/>
      <c r="DY126" s="297"/>
      <c r="DZ126" s="297"/>
      <c r="EA126" s="297"/>
      <c r="EB126" s="297"/>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G126" s="297"/>
      <c r="FH126" s="297"/>
      <c r="FI126" s="297"/>
      <c r="FJ126" s="297"/>
      <c r="FK126" s="297"/>
      <c r="FM126" s="297"/>
      <c r="FN126" s="297"/>
      <c r="FO126" s="297"/>
      <c r="FP126" s="297"/>
      <c r="FQ126" s="297"/>
      <c r="FR126" s="297"/>
      <c r="FS126" s="297"/>
      <c r="FT126" s="297"/>
      <c r="FU126" s="297"/>
      <c r="FV126" s="297"/>
      <c r="FX126" s="298"/>
      <c r="FY126" s="298"/>
      <c r="GC126" s="305"/>
    </row>
    <row r="127" spans="2:192">
      <c r="P127" s="306"/>
      <c r="V127" s="299"/>
      <c r="W127" s="299"/>
      <c r="X127" s="299"/>
      <c r="Y127" s="301"/>
      <c r="Z127" s="302"/>
      <c r="AA127" s="299"/>
      <c r="AB127" s="299"/>
      <c r="AC127" s="299"/>
      <c r="AD127" s="299"/>
      <c r="AE127" s="301"/>
      <c r="AF127" s="302"/>
      <c r="AG127" s="302"/>
      <c r="AH127" s="299"/>
      <c r="AI127" s="299"/>
      <c r="AJ127" s="299"/>
      <c r="AK127" s="301"/>
      <c r="AL127" s="302"/>
      <c r="AM127" s="299"/>
      <c r="AN127" s="299"/>
      <c r="AO127" s="299"/>
      <c r="AP127" s="299"/>
      <c r="AQ127" s="301"/>
      <c r="AR127" s="302"/>
      <c r="AS127" s="299"/>
      <c r="AT127" s="299"/>
      <c r="AU127" s="299"/>
      <c r="AV127" s="299"/>
      <c r="AW127" s="301"/>
      <c r="AX127" s="302"/>
      <c r="AY127" s="299"/>
      <c r="AZ127" s="299"/>
      <c r="BA127" s="299"/>
      <c r="BB127" s="299"/>
      <c r="BC127" s="301"/>
      <c r="BD127" s="302"/>
      <c r="BE127" s="299"/>
      <c r="BF127" s="299"/>
      <c r="BG127" s="299"/>
      <c r="BH127" s="299"/>
      <c r="BI127" s="301"/>
      <c r="BJ127" s="302"/>
      <c r="BK127" s="299"/>
      <c r="BL127" s="299"/>
      <c r="BM127" s="299"/>
      <c r="BN127" s="299"/>
      <c r="BO127" s="303"/>
      <c r="BP127" s="304"/>
      <c r="BQ127" s="302"/>
      <c r="BR127" s="299"/>
      <c r="BS127" s="299"/>
      <c r="BT127" s="299"/>
      <c r="BU127" s="299"/>
      <c r="BV127" s="299"/>
      <c r="BW127" s="299"/>
      <c r="DL127" s="297"/>
    </row>
    <row r="128" spans="2:192">
      <c r="P128" s="306"/>
      <c r="V128" s="299"/>
      <c r="W128" s="299"/>
      <c r="X128" s="299"/>
      <c r="Y128" s="301"/>
      <c r="Z128" s="302"/>
      <c r="AA128" s="299"/>
      <c r="AB128" s="299"/>
      <c r="AC128" s="299"/>
      <c r="AD128" s="299"/>
      <c r="AE128" s="301"/>
      <c r="AF128" s="302"/>
      <c r="AG128" s="302"/>
      <c r="AH128" s="299"/>
      <c r="AI128" s="299"/>
      <c r="AJ128" s="299"/>
      <c r="AK128" s="301"/>
      <c r="AL128" s="302"/>
      <c r="AM128" s="299"/>
      <c r="AN128" s="299"/>
      <c r="AO128" s="299"/>
      <c r="AP128" s="299"/>
      <c r="AQ128" s="301"/>
      <c r="AR128" s="302"/>
      <c r="AS128" s="299"/>
      <c r="AT128" s="299"/>
      <c r="AU128" s="299"/>
      <c r="AV128" s="299"/>
      <c r="AW128" s="301"/>
      <c r="AX128" s="302"/>
      <c r="AY128" s="299"/>
      <c r="AZ128" s="299"/>
      <c r="BA128" s="299"/>
      <c r="BB128" s="299"/>
      <c r="BC128" s="301"/>
      <c r="BD128" s="302"/>
      <c r="BE128" s="299"/>
      <c r="BF128" s="299"/>
      <c r="BG128" s="299"/>
      <c r="BH128" s="299"/>
      <c r="BI128" s="301"/>
      <c r="BJ128" s="302"/>
      <c r="BK128" s="299"/>
      <c r="BL128" s="299"/>
      <c r="BM128" s="299"/>
      <c r="BN128" s="299"/>
      <c r="BO128" s="303"/>
      <c r="BP128" s="304"/>
      <c r="BQ128" s="302"/>
      <c r="BR128" s="299"/>
      <c r="BS128" s="299"/>
      <c r="BT128" s="299"/>
      <c r="BU128" s="299"/>
      <c r="BV128" s="299"/>
      <c r="BW128" s="299"/>
    </row>
    <row r="129" spans="12:185">
      <c r="P129" s="306"/>
      <c r="V129" s="299"/>
      <c r="W129" s="299"/>
      <c r="X129" s="299"/>
      <c r="Y129" s="301"/>
      <c r="Z129" s="302"/>
      <c r="AA129" s="299"/>
      <c r="AB129" s="299"/>
      <c r="AC129" s="299"/>
      <c r="AD129" s="299"/>
      <c r="AE129" s="301"/>
      <c r="AF129" s="302"/>
      <c r="AG129" s="302"/>
      <c r="AH129" s="299"/>
      <c r="AI129" s="299"/>
      <c r="AJ129" s="299"/>
      <c r="AK129" s="301"/>
      <c r="AL129" s="302"/>
      <c r="AM129" s="299"/>
      <c r="AN129" s="299"/>
      <c r="AO129" s="299"/>
      <c r="AP129" s="299"/>
      <c r="AQ129" s="301"/>
      <c r="AR129" s="302"/>
      <c r="AS129" s="299"/>
      <c r="AT129" s="299"/>
      <c r="AU129" s="299"/>
      <c r="AV129" s="299"/>
      <c r="AW129" s="301"/>
      <c r="AX129" s="302"/>
      <c r="AY129" s="299"/>
      <c r="AZ129" s="299"/>
      <c r="BA129" s="299"/>
      <c r="BB129" s="299"/>
      <c r="BC129" s="301"/>
      <c r="BD129" s="302"/>
      <c r="BE129" s="299"/>
      <c r="BF129" s="299"/>
      <c r="BG129" s="299"/>
      <c r="BH129" s="299"/>
      <c r="BI129" s="301"/>
      <c r="BJ129" s="302"/>
      <c r="BK129" s="299"/>
      <c r="BL129" s="299"/>
      <c r="BM129" s="299"/>
      <c r="BN129" s="299"/>
      <c r="BO129" s="303"/>
      <c r="BP129" s="304"/>
      <c r="BQ129" s="302"/>
      <c r="BR129" s="299"/>
      <c r="BS129" s="299"/>
      <c r="BT129" s="299"/>
      <c r="BU129" s="299"/>
      <c r="BV129" s="299"/>
      <c r="BW129" s="299"/>
      <c r="BY129" s="314"/>
      <c r="GC129" s="307"/>
    </row>
    <row r="130" spans="12:185">
      <c r="M130" s="306"/>
      <c r="P130" s="306"/>
      <c r="V130" s="299"/>
      <c r="W130" s="299"/>
      <c r="X130" s="299"/>
      <c r="Y130" s="301"/>
      <c r="Z130" s="302"/>
      <c r="AA130" s="299"/>
      <c r="AB130" s="299"/>
      <c r="AC130" s="299"/>
      <c r="AD130" s="299"/>
      <c r="AE130" s="301"/>
      <c r="AF130" s="302"/>
      <c r="AG130" s="302"/>
      <c r="AH130" s="299"/>
      <c r="AI130" s="299"/>
      <c r="AJ130" s="299"/>
      <c r="AK130" s="301"/>
      <c r="AL130" s="302"/>
      <c r="AM130" s="299"/>
      <c r="AN130" s="299"/>
      <c r="AO130" s="299"/>
      <c r="AP130" s="299"/>
      <c r="AQ130" s="301"/>
      <c r="AR130" s="302"/>
      <c r="AS130" s="299"/>
      <c r="AT130" s="299"/>
      <c r="AU130" s="299"/>
      <c r="AV130" s="299"/>
      <c r="AW130" s="301"/>
      <c r="AX130" s="302"/>
      <c r="AY130" s="299"/>
      <c r="AZ130" s="299"/>
      <c r="BA130" s="299"/>
      <c r="BB130" s="299"/>
      <c r="BC130" s="301"/>
      <c r="BD130" s="302"/>
      <c r="BE130" s="299"/>
      <c r="BF130" s="299"/>
      <c r="BG130" s="299"/>
      <c r="BH130" s="299"/>
      <c r="BI130" s="301"/>
      <c r="BJ130" s="302"/>
      <c r="BK130" s="299"/>
      <c r="BL130" s="299"/>
      <c r="BM130" s="299"/>
      <c r="BN130" s="299"/>
      <c r="BO130" s="303"/>
      <c r="BP130" s="304"/>
      <c r="BQ130" s="302"/>
      <c r="BR130" s="299"/>
      <c r="BS130" s="299"/>
      <c r="BT130" s="299"/>
      <c r="BU130" s="299"/>
      <c r="BV130" s="299"/>
      <c r="BW130" s="299"/>
    </row>
    <row r="131" spans="12:185">
      <c r="L131" s="306"/>
      <c r="P131" s="306"/>
      <c r="V131" s="299"/>
      <c r="W131" s="299"/>
      <c r="X131" s="299"/>
      <c r="Y131" s="301"/>
      <c r="Z131" s="302"/>
      <c r="AA131" s="299"/>
      <c r="AB131" s="299"/>
      <c r="AC131" s="299"/>
      <c r="AD131" s="299"/>
      <c r="AE131" s="301"/>
      <c r="AF131" s="302"/>
      <c r="AG131" s="302"/>
      <c r="AH131" s="299"/>
      <c r="AI131" s="299"/>
      <c r="AJ131" s="299"/>
      <c r="AK131" s="301"/>
      <c r="AL131" s="302"/>
      <c r="AM131" s="299"/>
      <c r="AN131" s="299"/>
      <c r="AO131" s="299"/>
      <c r="AP131" s="299"/>
      <c r="AQ131" s="301"/>
      <c r="AR131" s="302"/>
      <c r="AS131" s="299"/>
      <c r="AT131" s="299"/>
      <c r="AU131" s="299"/>
      <c r="AV131" s="299"/>
      <c r="AW131" s="301"/>
      <c r="AX131" s="302"/>
      <c r="AY131" s="299"/>
      <c r="AZ131" s="299"/>
      <c r="BA131" s="299"/>
      <c r="BB131" s="299"/>
      <c r="BC131" s="301"/>
      <c r="BD131" s="302"/>
      <c r="BE131" s="299"/>
      <c r="BF131" s="299"/>
      <c r="BG131" s="299"/>
      <c r="BH131" s="299"/>
      <c r="BI131" s="301"/>
      <c r="BJ131" s="302"/>
      <c r="BK131" s="299"/>
      <c r="BL131" s="299"/>
      <c r="BM131" s="299"/>
      <c r="BN131" s="299"/>
      <c r="BO131" s="303"/>
      <c r="BP131" s="304"/>
      <c r="BQ131" s="302"/>
      <c r="BR131" s="299"/>
      <c r="BS131" s="299"/>
      <c r="BT131" s="299"/>
      <c r="BU131" s="299"/>
      <c r="BV131" s="299"/>
      <c r="BW131" s="299"/>
    </row>
    <row r="132" spans="12:185">
      <c r="P132" s="306"/>
      <c r="V132" s="299"/>
      <c r="W132" s="299"/>
      <c r="X132" s="299"/>
      <c r="Y132" s="301"/>
      <c r="Z132" s="302"/>
      <c r="AA132" s="299"/>
      <c r="AB132" s="299"/>
      <c r="AC132" s="299"/>
      <c r="AD132" s="299"/>
      <c r="AE132" s="301"/>
      <c r="AF132" s="302"/>
      <c r="AG132" s="302"/>
      <c r="AH132" s="299"/>
      <c r="AI132" s="299"/>
      <c r="AJ132" s="299"/>
      <c r="AK132" s="301"/>
      <c r="AL132" s="302"/>
      <c r="AM132" s="299"/>
      <c r="AN132" s="299"/>
      <c r="AO132" s="299"/>
      <c r="AP132" s="299"/>
      <c r="AQ132" s="301"/>
      <c r="AR132" s="302"/>
      <c r="AS132" s="299"/>
      <c r="AT132" s="299"/>
      <c r="AU132" s="299"/>
      <c r="AV132" s="299"/>
      <c r="AW132" s="301"/>
      <c r="AX132" s="302"/>
      <c r="AY132" s="299"/>
      <c r="AZ132" s="299"/>
      <c r="BA132" s="299"/>
      <c r="BB132" s="299"/>
      <c r="BC132" s="301"/>
      <c r="BD132" s="302"/>
      <c r="BE132" s="299"/>
      <c r="BF132" s="299"/>
      <c r="BG132" s="299"/>
      <c r="BH132" s="299"/>
      <c r="BI132" s="301"/>
      <c r="BJ132" s="302"/>
      <c r="BK132" s="299"/>
      <c r="BL132" s="299"/>
      <c r="BM132" s="299"/>
      <c r="BN132" s="299"/>
      <c r="BO132" s="303"/>
      <c r="BP132" s="304"/>
      <c r="BQ132" s="302"/>
      <c r="BR132" s="299"/>
      <c r="BS132" s="299"/>
      <c r="BT132" s="299"/>
      <c r="BU132" s="299"/>
      <c r="BV132" s="299"/>
      <c r="BW132" s="299"/>
    </row>
    <row r="133" spans="12:185">
      <c r="L133" s="306"/>
      <c r="P133" s="306"/>
      <c r="V133" s="299"/>
      <c r="W133" s="299"/>
      <c r="X133" s="299"/>
      <c r="Y133" s="301"/>
      <c r="Z133" s="302"/>
      <c r="AA133" s="299"/>
      <c r="AB133" s="299"/>
      <c r="AC133" s="299"/>
      <c r="AD133" s="299"/>
      <c r="AE133" s="301"/>
      <c r="AF133" s="302"/>
      <c r="AG133" s="302"/>
      <c r="AH133" s="299"/>
      <c r="AI133" s="299"/>
      <c r="AJ133" s="299"/>
      <c r="AK133" s="301"/>
      <c r="AL133" s="302"/>
      <c r="AM133" s="299"/>
      <c r="AN133" s="299"/>
      <c r="AO133" s="299"/>
      <c r="AP133" s="299"/>
      <c r="AQ133" s="301"/>
      <c r="AR133" s="302"/>
      <c r="AS133" s="299"/>
      <c r="AT133" s="299"/>
      <c r="AU133" s="299"/>
      <c r="AV133" s="299"/>
      <c r="AW133" s="301"/>
      <c r="AX133" s="302"/>
      <c r="AY133" s="299"/>
      <c r="AZ133" s="299"/>
      <c r="BA133" s="299"/>
      <c r="BB133" s="299"/>
      <c r="BC133" s="301"/>
      <c r="BD133" s="302"/>
      <c r="BE133" s="299"/>
      <c r="BF133" s="299"/>
      <c r="BG133" s="299"/>
      <c r="BH133" s="299"/>
      <c r="BI133" s="301"/>
      <c r="BJ133" s="302"/>
      <c r="BK133" s="299"/>
      <c r="BL133" s="299"/>
      <c r="BM133" s="299"/>
      <c r="BN133" s="299"/>
      <c r="BO133" s="303"/>
      <c r="BP133" s="304"/>
      <c r="BQ133" s="302"/>
      <c r="BR133" s="299"/>
      <c r="BS133" s="299"/>
      <c r="BT133" s="299"/>
      <c r="BU133" s="299"/>
      <c r="BV133" s="299"/>
      <c r="BW133" s="299"/>
      <c r="GC133" s="307"/>
    </row>
    <row r="134" spans="12:185">
      <c r="P134" s="306"/>
      <c r="V134" s="299"/>
      <c r="W134" s="299"/>
      <c r="X134" s="299"/>
      <c r="Y134" s="301"/>
      <c r="Z134" s="302"/>
      <c r="AA134" s="299"/>
      <c r="AB134" s="299"/>
      <c r="AC134" s="299"/>
      <c r="AD134" s="299"/>
      <c r="AE134" s="301"/>
      <c r="AF134" s="302"/>
      <c r="AG134" s="302"/>
      <c r="AH134" s="299"/>
      <c r="AI134" s="299"/>
      <c r="AJ134" s="299"/>
      <c r="AK134" s="301"/>
      <c r="AL134" s="302"/>
      <c r="AM134" s="299"/>
      <c r="AN134" s="299"/>
      <c r="AO134" s="299"/>
      <c r="AP134" s="299"/>
      <c r="AQ134" s="301"/>
      <c r="AR134" s="302"/>
      <c r="AS134" s="299"/>
      <c r="AT134" s="299"/>
      <c r="AU134" s="299"/>
      <c r="AV134" s="299"/>
      <c r="AW134" s="301"/>
      <c r="AX134" s="302"/>
      <c r="AY134" s="299"/>
      <c r="AZ134" s="299"/>
      <c r="BA134" s="299"/>
      <c r="BB134" s="299"/>
      <c r="BC134" s="301"/>
      <c r="BD134" s="302"/>
      <c r="BE134" s="299"/>
      <c r="BF134" s="299"/>
      <c r="BG134" s="299"/>
      <c r="BH134" s="299"/>
      <c r="BI134" s="301"/>
      <c r="BJ134" s="302"/>
      <c r="BK134" s="299"/>
      <c r="BL134" s="299"/>
      <c r="BM134" s="299"/>
      <c r="BN134" s="299"/>
      <c r="BO134" s="303"/>
      <c r="BP134" s="304"/>
      <c r="BQ134" s="302"/>
      <c r="BR134" s="299"/>
      <c r="BS134" s="299"/>
      <c r="BT134" s="299"/>
      <c r="BU134" s="299"/>
      <c r="BV134" s="299"/>
      <c r="BW134" s="299"/>
      <c r="GC134" s="307"/>
    </row>
    <row r="135" spans="12:185">
      <c r="L135" s="306"/>
      <c r="P135" s="306"/>
      <c r="V135" s="299"/>
      <c r="W135" s="299"/>
      <c r="X135" s="299"/>
      <c r="Y135" s="301"/>
      <c r="Z135" s="302"/>
      <c r="AA135" s="299"/>
      <c r="AB135" s="299"/>
      <c r="AC135" s="299"/>
      <c r="AD135" s="299"/>
      <c r="AE135" s="301"/>
      <c r="AF135" s="302"/>
      <c r="AG135" s="302"/>
      <c r="AH135" s="299"/>
      <c r="AI135" s="299"/>
      <c r="AJ135" s="299"/>
      <c r="AK135" s="301"/>
      <c r="AL135" s="302"/>
      <c r="AM135" s="299"/>
      <c r="AN135" s="299"/>
      <c r="AO135" s="299"/>
      <c r="AP135" s="299"/>
      <c r="AQ135" s="301"/>
      <c r="AR135" s="302"/>
      <c r="AS135" s="299"/>
      <c r="AT135" s="299"/>
      <c r="AU135" s="299"/>
      <c r="AV135" s="299"/>
      <c r="AW135" s="301"/>
      <c r="AX135" s="302"/>
      <c r="AY135" s="299"/>
      <c r="AZ135" s="299"/>
      <c r="BA135" s="299"/>
      <c r="BB135" s="299"/>
      <c r="BC135" s="301"/>
      <c r="BD135" s="302"/>
      <c r="BE135" s="299"/>
      <c r="BF135" s="299"/>
      <c r="BG135" s="299"/>
      <c r="BH135" s="299"/>
      <c r="BI135" s="301"/>
      <c r="BJ135" s="302"/>
      <c r="BK135" s="299"/>
      <c r="BL135" s="299"/>
      <c r="BM135" s="299"/>
      <c r="BN135" s="299"/>
      <c r="BO135" s="303"/>
      <c r="BP135" s="304"/>
      <c r="BQ135" s="302"/>
      <c r="BR135" s="299"/>
      <c r="BS135" s="299"/>
      <c r="BT135" s="299"/>
      <c r="BU135" s="299"/>
      <c r="BV135" s="299"/>
      <c r="BW135" s="299"/>
      <c r="CJ135" s="293"/>
    </row>
    <row r="136" spans="12:185">
      <c r="P136" s="306"/>
      <c r="V136" s="299"/>
      <c r="W136" s="299"/>
      <c r="X136" s="299"/>
      <c r="Y136" s="301"/>
      <c r="Z136" s="302"/>
      <c r="AA136" s="299"/>
      <c r="AB136" s="299"/>
      <c r="AC136" s="299"/>
      <c r="AD136" s="299"/>
      <c r="AE136" s="301"/>
      <c r="AF136" s="302"/>
      <c r="AG136" s="302"/>
      <c r="AH136" s="299"/>
      <c r="AI136" s="299"/>
      <c r="AJ136" s="299"/>
      <c r="AK136" s="301"/>
      <c r="AL136" s="302"/>
      <c r="AM136" s="299"/>
      <c r="AN136" s="299"/>
      <c r="AO136" s="299"/>
      <c r="AP136" s="299"/>
      <c r="AQ136" s="301"/>
      <c r="AR136" s="302"/>
      <c r="AS136" s="299"/>
      <c r="AT136" s="299"/>
      <c r="AU136" s="299"/>
      <c r="AV136" s="299"/>
      <c r="AW136" s="301"/>
      <c r="AX136" s="302"/>
      <c r="AY136" s="299"/>
      <c r="AZ136" s="299"/>
      <c r="BA136" s="299"/>
      <c r="BB136" s="299"/>
      <c r="BC136" s="301"/>
      <c r="BD136" s="302"/>
      <c r="BE136" s="299"/>
      <c r="BF136" s="299"/>
      <c r="BG136" s="299"/>
      <c r="BH136" s="299"/>
      <c r="BI136" s="301"/>
      <c r="BJ136" s="302"/>
      <c r="BK136" s="299"/>
      <c r="BL136" s="299"/>
      <c r="BM136" s="299"/>
      <c r="BN136" s="299"/>
      <c r="BO136" s="303"/>
      <c r="BP136" s="304"/>
      <c r="BQ136" s="302"/>
      <c r="BR136" s="299"/>
      <c r="BS136" s="299"/>
      <c r="BU136" s="299"/>
      <c r="BV136" s="299"/>
      <c r="GC136" s="307"/>
    </row>
    <row r="137" spans="12:185">
      <c r="L137" s="306"/>
      <c r="P137" s="306"/>
      <c r="V137" s="299"/>
      <c r="W137" s="299"/>
      <c r="X137" s="299"/>
      <c r="Y137" s="301"/>
      <c r="Z137" s="302"/>
      <c r="AA137" s="299"/>
      <c r="AB137" s="299"/>
      <c r="AC137" s="299"/>
      <c r="AD137" s="299"/>
      <c r="AE137" s="301"/>
      <c r="AF137" s="302"/>
      <c r="AG137" s="302"/>
      <c r="AH137" s="299"/>
      <c r="AI137" s="299"/>
      <c r="AJ137" s="299"/>
      <c r="AK137" s="301"/>
      <c r="AL137" s="302"/>
      <c r="AM137" s="299"/>
      <c r="AN137" s="299"/>
      <c r="AO137" s="299"/>
      <c r="AP137" s="299"/>
      <c r="AQ137" s="301"/>
      <c r="AR137" s="302"/>
      <c r="AS137" s="299"/>
      <c r="AT137" s="299"/>
      <c r="AU137" s="299"/>
      <c r="AV137" s="299"/>
      <c r="AW137" s="301"/>
      <c r="AX137" s="302"/>
      <c r="AY137" s="299"/>
      <c r="AZ137" s="299"/>
      <c r="BA137" s="299"/>
      <c r="BB137" s="299"/>
      <c r="BC137" s="301"/>
      <c r="BD137" s="302"/>
      <c r="BE137" s="299"/>
      <c r="BF137" s="299"/>
      <c r="BG137" s="299"/>
      <c r="BH137" s="299"/>
      <c r="BI137" s="301"/>
      <c r="BJ137" s="302"/>
      <c r="BK137" s="299"/>
      <c r="BL137" s="299"/>
      <c r="BM137" s="299"/>
      <c r="BN137" s="299"/>
      <c r="BO137" s="303"/>
      <c r="BP137" s="304"/>
      <c r="BQ137" s="302"/>
      <c r="BR137" s="299"/>
      <c r="BS137" s="299"/>
      <c r="BT137" s="299"/>
      <c r="BU137" s="299"/>
      <c r="BV137" s="299"/>
      <c r="BW137" s="299"/>
    </row>
    <row r="138" spans="12:185">
      <c r="P138" s="306"/>
      <c r="V138" s="299"/>
      <c r="W138" s="299"/>
      <c r="X138" s="299"/>
      <c r="Y138" s="301"/>
      <c r="Z138" s="302"/>
      <c r="AA138" s="299"/>
      <c r="AB138" s="299"/>
      <c r="AC138" s="299"/>
      <c r="AD138" s="299"/>
      <c r="AE138" s="301"/>
      <c r="AF138" s="302"/>
      <c r="AG138" s="302"/>
      <c r="AH138" s="299"/>
      <c r="AI138" s="299"/>
      <c r="AJ138" s="299"/>
      <c r="AK138" s="301"/>
      <c r="AL138" s="302"/>
      <c r="AM138" s="299"/>
      <c r="AN138" s="299"/>
      <c r="AO138" s="299"/>
      <c r="AP138" s="299"/>
      <c r="AQ138" s="301"/>
      <c r="AR138" s="302"/>
      <c r="AS138" s="299"/>
      <c r="AT138" s="299"/>
      <c r="AU138" s="299"/>
      <c r="AV138" s="299"/>
      <c r="AW138" s="301"/>
      <c r="AX138" s="302"/>
      <c r="AY138" s="299"/>
      <c r="AZ138" s="299"/>
      <c r="BA138" s="299"/>
      <c r="BB138" s="299"/>
      <c r="BC138" s="301"/>
      <c r="BD138" s="302"/>
      <c r="BE138" s="299"/>
      <c r="BF138" s="299"/>
      <c r="BG138" s="299"/>
      <c r="BH138" s="299"/>
      <c r="BI138" s="301"/>
      <c r="BJ138" s="302"/>
      <c r="BK138" s="299"/>
      <c r="BL138" s="299"/>
      <c r="BM138" s="299"/>
      <c r="BN138" s="299"/>
      <c r="BO138" s="303"/>
      <c r="BP138" s="304"/>
      <c r="BQ138" s="302"/>
      <c r="BR138" s="299"/>
      <c r="BS138" s="299"/>
      <c r="BU138" s="299"/>
      <c r="BV138" s="299"/>
      <c r="GC138" s="307"/>
    </row>
    <row r="139" spans="12:185">
      <c r="P139" s="306"/>
      <c r="V139" s="299"/>
      <c r="W139" s="299"/>
      <c r="X139" s="299"/>
      <c r="Y139" s="301"/>
      <c r="Z139" s="302"/>
      <c r="AA139" s="299"/>
      <c r="AB139" s="299"/>
      <c r="AC139" s="299"/>
      <c r="AD139" s="299"/>
      <c r="AE139" s="301"/>
      <c r="AF139" s="302"/>
      <c r="AG139" s="302"/>
      <c r="AH139" s="299"/>
      <c r="AI139" s="299"/>
      <c r="AJ139" s="299"/>
      <c r="AK139" s="301"/>
      <c r="AL139" s="302"/>
      <c r="AM139" s="299"/>
      <c r="AN139" s="299"/>
      <c r="AO139" s="299"/>
      <c r="AP139" s="299"/>
      <c r="AQ139" s="301"/>
      <c r="AR139" s="302"/>
      <c r="AS139" s="299"/>
      <c r="AT139" s="299"/>
      <c r="AU139" s="299"/>
      <c r="AV139" s="299"/>
      <c r="AW139" s="301"/>
      <c r="AX139" s="302"/>
      <c r="AY139" s="299"/>
      <c r="AZ139" s="299"/>
      <c r="BA139" s="299"/>
      <c r="BB139" s="299"/>
      <c r="BC139" s="301"/>
      <c r="BD139" s="302"/>
      <c r="BE139" s="299"/>
      <c r="BF139" s="299"/>
      <c r="BG139" s="299"/>
      <c r="BH139" s="299"/>
      <c r="BI139" s="301"/>
      <c r="BJ139" s="302"/>
      <c r="BK139" s="299"/>
      <c r="BL139" s="299"/>
      <c r="BM139" s="299"/>
      <c r="BN139" s="299"/>
      <c r="BO139" s="303"/>
      <c r="BP139" s="304"/>
      <c r="BQ139" s="302"/>
      <c r="BR139" s="299"/>
      <c r="BS139" s="299"/>
      <c r="BT139" s="299"/>
      <c r="BU139" s="299"/>
      <c r="BV139" s="299"/>
      <c r="BW139" s="299"/>
    </row>
    <row r="140" spans="12:185">
      <c r="P140" s="306"/>
      <c r="V140" s="299"/>
      <c r="W140" s="299"/>
      <c r="X140" s="299"/>
      <c r="Y140" s="301"/>
      <c r="Z140" s="302"/>
      <c r="AA140" s="299"/>
      <c r="AB140" s="299"/>
      <c r="AC140" s="299"/>
      <c r="AD140" s="299"/>
      <c r="AE140" s="301"/>
      <c r="AF140" s="302"/>
      <c r="AG140" s="302"/>
      <c r="AH140" s="299"/>
      <c r="AI140" s="299"/>
      <c r="AJ140" s="299"/>
      <c r="AK140" s="301"/>
      <c r="AL140" s="302"/>
      <c r="AM140" s="299"/>
      <c r="AN140" s="299"/>
      <c r="AO140" s="299"/>
      <c r="AP140" s="299"/>
      <c r="AQ140" s="301"/>
      <c r="AR140" s="302"/>
      <c r="AS140" s="299"/>
      <c r="AT140" s="299"/>
      <c r="AU140" s="299"/>
      <c r="AV140" s="299"/>
      <c r="AW140" s="301"/>
      <c r="AX140" s="302"/>
      <c r="AY140" s="299"/>
      <c r="AZ140" s="299"/>
      <c r="BA140" s="299"/>
      <c r="BB140" s="299"/>
      <c r="BC140" s="301"/>
      <c r="BD140" s="302"/>
      <c r="BE140" s="299"/>
      <c r="BF140" s="299"/>
      <c r="BG140" s="299"/>
      <c r="BH140" s="299"/>
      <c r="BI140" s="301"/>
      <c r="BJ140" s="302"/>
      <c r="BK140" s="299"/>
      <c r="BL140" s="299"/>
      <c r="BM140" s="299"/>
      <c r="BN140" s="299"/>
      <c r="BO140" s="303"/>
      <c r="BP140" s="304"/>
      <c r="BQ140" s="302"/>
      <c r="BR140" s="299"/>
      <c r="BS140" s="299"/>
      <c r="BT140" s="299"/>
      <c r="BU140" s="299"/>
      <c r="BV140" s="299"/>
      <c r="BW140" s="299"/>
      <c r="CI140" s="297"/>
      <c r="CJ140" s="293"/>
      <c r="DX140" s="293"/>
      <c r="DY140" s="293"/>
      <c r="DZ140" s="293"/>
      <c r="EA140" s="293"/>
      <c r="EB140" s="293"/>
    </row>
    <row r="141" spans="12:185">
      <c r="V141" s="299"/>
      <c r="W141" s="299"/>
      <c r="X141" s="299"/>
      <c r="Y141" s="301"/>
      <c r="Z141" s="302"/>
      <c r="AA141" s="299"/>
      <c r="AB141" s="299"/>
      <c r="AC141" s="299"/>
      <c r="AD141" s="299"/>
      <c r="AE141" s="301"/>
      <c r="AF141" s="302"/>
      <c r="AG141" s="302"/>
      <c r="AH141" s="299"/>
      <c r="AI141" s="299"/>
      <c r="AJ141" s="299"/>
      <c r="AK141" s="301"/>
      <c r="AL141" s="302"/>
      <c r="AM141" s="299"/>
      <c r="AN141" s="299"/>
      <c r="AO141" s="299"/>
      <c r="AP141" s="299"/>
      <c r="AQ141" s="301"/>
      <c r="AR141" s="302"/>
      <c r="AS141" s="299"/>
      <c r="AT141" s="299"/>
      <c r="AU141" s="299"/>
      <c r="AV141" s="299"/>
      <c r="AW141" s="301"/>
      <c r="AX141" s="302"/>
      <c r="AY141" s="299"/>
      <c r="AZ141" s="299"/>
      <c r="BA141" s="299"/>
      <c r="BB141" s="299"/>
      <c r="BC141" s="301"/>
      <c r="BD141" s="302"/>
      <c r="BE141" s="299"/>
      <c r="BF141" s="299"/>
      <c r="BG141" s="299"/>
      <c r="BH141" s="299"/>
      <c r="BI141" s="301"/>
      <c r="BJ141" s="302"/>
      <c r="BK141" s="299"/>
      <c r="BL141" s="299"/>
      <c r="BM141" s="299"/>
      <c r="BN141" s="299"/>
      <c r="BO141" s="303"/>
      <c r="BP141" s="304"/>
      <c r="BQ141" s="302"/>
      <c r="BR141" s="299"/>
      <c r="BS141" s="299"/>
      <c r="BU141" s="299"/>
      <c r="BV141" s="299"/>
      <c r="GC141" s="307"/>
    </row>
    <row r="142" spans="12:185">
      <c r="L142" s="306"/>
      <c r="P142" s="306"/>
      <c r="V142" s="299"/>
      <c r="W142" s="299"/>
      <c r="X142" s="299"/>
      <c r="Y142" s="301"/>
      <c r="Z142" s="302"/>
      <c r="AA142" s="299"/>
      <c r="AB142" s="299"/>
      <c r="AC142" s="299"/>
      <c r="AD142" s="299"/>
      <c r="AE142" s="301"/>
      <c r="AF142" s="302"/>
      <c r="AG142" s="302"/>
      <c r="AH142" s="299"/>
      <c r="AI142" s="299"/>
      <c r="AJ142" s="299"/>
      <c r="AK142" s="301"/>
      <c r="AL142" s="302"/>
      <c r="AM142" s="299"/>
      <c r="AN142" s="299"/>
      <c r="AO142" s="299"/>
      <c r="AP142" s="299"/>
      <c r="AQ142" s="301"/>
      <c r="AR142" s="302"/>
      <c r="AS142" s="299"/>
      <c r="AT142" s="299"/>
      <c r="AU142" s="299"/>
      <c r="AV142" s="299"/>
      <c r="AW142" s="301"/>
      <c r="AX142" s="302"/>
      <c r="AY142" s="299"/>
      <c r="AZ142" s="299"/>
      <c r="BA142" s="299"/>
      <c r="BB142" s="299"/>
      <c r="BC142" s="301"/>
      <c r="BD142" s="302"/>
      <c r="BE142" s="299"/>
      <c r="BF142" s="299"/>
      <c r="BG142" s="299"/>
      <c r="BH142" s="299"/>
      <c r="BI142" s="301"/>
      <c r="BJ142" s="302"/>
      <c r="BK142" s="299"/>
      <c r="BL142" s="299"/>
      <c r="BM142" s="299"/>
      <c r="BN142" s="299"/>
      <c r="BO142" s="303"/>
      <c r="BP142" s="304"/>
      <c r="BQ142" s="302"/>
      <c r="BR142" s="299"/>
      <c r="BS142" s="299"/>
      <c r="BT142" s="299"/>
      <c r="BU142" s="299"/>
      <c r="BV142" s="299"/>
      <c r="BW142" s="299"/>
    </row>
    <row r="143" spans="12:185">
      <c r="P143" s="306"/>
      <c r="V143" s="299"/>
      <c r="W143" s="299"/>
      <c r="X143" s="299"/>
      <c r="Y143" s="301"/>
      <c r="Z143" s="302"/>
      <c r="AA143" s="299"/>
      <c r="AB143" s="299"/>
      <c r="AC143" s="299"/>
      <c r="AD143" s="299"/>
      <c r="AE143" s="301"/>
      <c r="AF143" s="302"/>
      <c r="AG143" s="302"/>
      <c r="AH143" s="299"/>
      <c r="AI143" s="299"/>
      <c r="AJ143" s="299"/>
      <c r="AK143" s="301"/>
      <c r="AL143" s="302"/>
      <c r="AM143" s="299"/>
      <c r="AN143" s="299"/>
      <c r="AO143" s="299"/>
      <c r="AP143" s="299"/>
      <c r="AQ143" s="301"/>
      <c r="AR143" s="302"/>
      <c r="AS143" s="299"/>
      <c r="AT143" s="299"/>
      <c r="AU143" s="299"/>
      <c r="AV143" s="299"/>
      <c r="AW143" s="301"/>
      <c r="AX143" s="302"/>
      <c r="AY143" s="299"/>
      <c r="AZ143" s="299"/>
      <c r="BA143" s="299"/>
      <c r="BB143" s="299"/>
      <c r="BC143" s="301"/>
      <c r="BD143" s="302"/>
      <c r="BE143" s="299"/>
      <c r="BF143" s="299"/>
      <c r="BG143" s="299"/>
      <c r="BH143" s="299"/>
      <c r="BI143" s="301"/>
      <c r="BJ143" s="302"/>
      <c r="BK143" s="299"/>
      <c r="BL143" s="299"/>
      <c r="BM143" s="299"/>
      <c r="BN143" s="299"/>
      <c r="BO143" s="303"/>
      <c r="BP143" s="304"/>
      <c r="BQ143" s="302"/>
      <c r="BR143" s="299"/>
      <c r="BS143" s="299"/>
      <c r="BT143" s="299"/>
      <c r="BU143" s="299"/>
      <c r="BV143" s="299"/>
      <c r="BW143" s="299"/>
    </row>
    <row r="144" spans="12:185">
      <c r="L144" s="306"/>
      <c r="V144" s="299"/>
      <c r="W144" s="299"/>
      <c r="X144" s="299"/>
      <c r="Y144" s="301"/>
      <c r="Z144" s="302"/>
      <c r="AA144" s="299"/>
      <c r="AB144" s="299"/>
      <c r="AC144" s="299"/>
      <c r="AD144" s="299"/>
      <c r="AE144" s="301"/>
      <c r="AF144" s="302"/>
      <c r="AG144" s="302"/>
      <c r="AH144" s="299"/>
      <c r="AI144" s="299"/>
      <c r="AJ144" s="299"/>
      <c r="AK144" s="301"/>
      <c r="AL144" s="302"/>
      <c r="AM144" s="299"/>
      <c r="AN144" s="299"/>
      <c r="AO144" s="299"/>
      <c r="AP144" s="299"/>
      <c r="AQ144" s="301"/>
      <c r="AR144" s="302"/>
      <c r="AS144" s="299"/>
      <c r="AT144" s="299"/>
      <c r="AU144" s="299"/>
      <c r="AV144" s="299"/>
      <c r="AW144" s="301"/>
      <c r="AX144" s="302"/>
      <c r="AY144" s="299"/>
      <c r="AZ144" s="299"/>
      <c r="BA144" s="299"/>
      <c r="BB144" s="299"/>
      <c r="BC144" s="301"/>
      <c r="BD144" s="302"/>
      <c r="BE144" s="299"/>
      <c r="BF144" s="299"/>
      <c r="BG144" s="299"/>
      <c r="BH144" s="299"/>
      <c r="BI144" s="301"/>
      <c r="BJ144" s="302"/>
      <c r="BK144" s="299"/>
      <c r="BL144" s="299"/>
      <c r="BM144" s="299"/>
      <c r="BN144" s="299"/>
      <c r="BO144" s="303"/>
      <c r="BP144" s="304"/>
      <c r="BQ144" s="302"/>
      <c r="BR144" s="299"/>
      <c r="BS144" s="299"/>
      <c r="BT144" s="299"/>
      <c r="BU144" s="299"/>
      <c r="BV144" s="299"/>
      <c r="BW144" s="299"/>
      <c r="GC144" s="307"/>
    </row>
    <row r="145" spans="12:185">
      <c r="L145" s="306"/>
      <c r="V145" s="299"/>
      <c r="W145" s="299"/>
      <c r="X145" s="299"/>
      <c r="Y145" s="301"/>
      <c r="Z145" s="302"/>
      <c r="AA145" s="299"/>
      <c r="AB145" s="299"/>
      <c r="AC145" s="299"/>
      <c r="AD145" s="299"/>
      <c r="AE145" s="301"/>
      <c r="AF145" s="302"/>
      <c r="AG145" s="302"/>
      <c r="AH145" s="299"/>
      <c r="AI145" s="299"/>
      <c r="AJ145" s="299"/>
      <c r="AK145" s="301"/>
      <c r="AL145" s="302"/>
      <c r="AM145" s="299"/>
      <c r="AN145" s="299"/>
      <c r="AO145" s="299"/>
      <c r="AP145" s="299"/>
      <c r="AQ145" s="301"/>
      <c r="AR145" s="302"/>
      <c r="AS145" s="299"/>
      <c r="AT145" s="299"/>
      <c r="AU145" s="299"/>
      <c r="AV145" s="299"/>
      <c r="AW145" s="301"/>
      <c r="AX145" s="302"/>
      <c r="AY145" s="299"/>
      <c r="AZ145" s="299"/>
      <c r="BA145" s="299"/>
      <c r="BB145" s="299"/>
      <c r="BC145" s="301"/>
      <c r="BD145" s="302"/>
      <c r="BE145" s="299"/>
      <c r="BF145" s="299"/>
      <c r="BG145" s="299"/>
      <c r="BH145" s="299"/>
      <c r="BI145" s="301"/>
      <c r="BJ145" s="302"/>
      <c r="BK145" s="299"/>
      <c r="BL145" s="299"/>
      <c r="BM145" s="299"/>
      <c r="BN145" s="299"/>
      <c r="BO145" s="303"/>
      <c r="BP145" s="304"/>
      <c r="BQ145" s="302"/>
      <c r="BR145" s="299"/>
      <c r="BS145" s="299"/>
      <c r="BT145" s="299"/>
      <c r="BU145" s="299"/>
      <c r="BV145" s="299"/>
      <c r="BW145" s="299"/>
    </row>
    <row r="146" spans="12:185">
      <c r="L146" s="306"/>
      <c r="M146" s="306"/>
      <c r="P146" s="306"/>
      <c r="V146" s="299"/>
      <c r="W146" s="299"/>
      <c r="X146" s="299"/>
      <c r="Y146" s="301"/>
      <c r="Z146" s="302"/>
      <c r="AA146" s="299"/>
      <c r="AB146" s="299"/>
      <c r="AC146" s="299"/>
      <c r="AD146" s="299"/>
      <c r="AE146" s="301"/>
      <c r="AF146" s="302"/>
      <c r="AG146" s="302"/>
      <c r="AH146" s="299"/>
      <c r="AI146" s="299"/>
      <c r="AJ146" s="299"/>
      <c r="AK146" s="301"/>
      <c r="AL146" s="302"/>
      <c r="AM146" s="299"/>
      <c r="AN146" s="299"/>
      <c r="AO146" s="299"/>
      <c r="AP146" s="299"/>
      <c r="AQ146" s="301"/>
      <c r="AR146" s="302"/>
      <c r="AS146" s="299"/>
      <c r="AT146" s="299"/>
      <c r="AU146" s="299"/>
      <c r="AV146" s="299"/>
      <c r="AW146" s="301"/>
      <c r="AX146" s="302"/>
      <c r="AY146" s="299"/>
      <c r="AZ146" s="299"/>
      <c r="BA146" s="299"/>
      <c r="BB146" s="299"/>
      <c r="BC146" s="301"/>
      <c r="BD146" s="302"/>
      <c r="BE146" s="299"/>
      <c r="BF146" s="299"/>
      <c r="BG146" s="299"/>
      <c r="BH146" s="299"/>
      <c r="BI146" s="301"/>
      <c r="BJ146" s="302"/>
      <c r="BK146" s="299"/>
      <c r="BL146" s="299"/>
      <c r="BM146" s="299"/>
      <c r="BN146" s="299"/>
      <c r="BO146" s="303"/>
      <c r="BP146" s="304"/>
      <c r="BQ146" s="302"/>
      <c r="BR146" s="299"/>
      <c r="BS146" s="299"/>
      <c r="BT146" s="299"/>
      <c r="BU146" s="299"/>
      <c r="BV146" s="299"/>
      <c r="BW146" s="299"/>
      <c r="GC146" s="307"/>
    </row>
    <row r="147" spans="12:185">
      <c r="L147" s="306"/>
      <c r="M147" s="306"/>
      <c r="P147" s="306"/>
      <c r="V147" s="299"/>
      <c r="W147" s="299"/>
      <c r="X147" s="299"/>
      <c r="Y147" s="301"/>
      <c r="Z147" s="302"/>
      <c r="AA147" s="299"/>
      <c r="AB147" s="299"/>
      <c r="AC147" s="299"/>
      <c r="AD147" s="299"/>
      <c r="AE147" s="301"/>
      <c r="AF147" s="302"/>
      <c r="AG147" s="302"/>
      <c r="AH147" s="299"/>
      <c r="AI147" s="299"/>
      <c r="AJ147" s="299"/>
      <c r="AK147" s="301"/>
      <c r="AL147" s="302"/>
      <c r="AM147" s="299"/>
      <c r="AN147" s="299"/>
      <c r="AO147" s="299"/>
      <c r="AP147" s="299"/>
      <c r="AQ147" s="301"/>
      <c r="AR147" s="302"/>
      <c r="AS147" s="299"/>
      <c r="AT147" s="299"/>
      <c r="AU147" s="299"/>
      <c r="AV147" s="299"/>
      <c r="AW147" s="301"/>
      <c r="AX147" s="302"/>
      <c r="AY147" s="299"/>
      <c r="AZ147" s="299"/>
      <c r="BA147" s="299"/>
      <c r="BB147" s="299"/>
      <c r="BC147" s="301"/>
      <c r="BD147" s="302"/>
      <c r="BE147" s="299"/>
      <c r="BF147" s="299"/>
      <c r="BG147" s="299"/>
      <c r="BH147" s="299"/>
      <c r="BI147" s="301"/>
      <c r="BJ147" s="302"/>
      <c r="BK147" s="299"/>
      <c r="BL147" s="299"/>
      <c r="BM147" s="299"/>
      <c r="BN147" s="299"/>
      <c r="BO147" s="303"/>
      <c r="BP147" s="304"/>
      <c r="BQ147" s="302"/>
      <c r="BR147" s="299"/>
      <c r="BS147" s="299"/>
      <c r="BT147" s="299"/>
      <c r="BU147" s="299"/>
      <c r="BV147" s="299"/>
      <c r="BW147" s="299"/>
      <c r="GC147" s="307"/>
    </row>
    <row r="148" spans="12:185">
      <c r="L148" s="306"/>
      <c r="V148" s="299"/>
      <c r="W148" s="299"/>
      <c r="X148" s="299"/>
      <c r="Y148" s="301"/>
      <c r="Z148" s="302"/>
      <c r="AA148" s="299"/>
      <c r="AB148" s="299"/>
      <c r="AC148" s="299"/>
      <c r="AD148" s="299"/>
      <c r="AE148" s="301"/>
      <c r="AF148" s="302"/>
      <c r="AG148" s="302"/>
      <c r="AH148" s="299"/>
      <c r="AI148" s="299"/>
      <c r="AJ148" s="299"/>
      <c r="AK148" s="301"/>
      <c r="AL148" s="302"/>
      <c r="AM148" s="299"/>
      <c r="AN148" s="299"/>
      <c r="AO148" s="299"/>
      <c r="AP148" s="299"/>
      <c r="AQ148" s="301"/>
      <c r="AR148" s="302"/>
      <c r="AS148" s="299"/>
      <c r="AT148" s="299"/>
      <c r="AU148" s="299"/>
      <c r="AV148" s="299"/>
      <c r="AW148" s="301"/>
      <c r="AX148" s="302"/>
      <c r="AY148" s="299"/>
      <c r="AZ148" s="299"/>
      <c r="BA148" s="299"/>
      <c r="BB148" s="299"/>
      <c r="BC148" s="301"/>
      <c r="BD148" s="302"/>
      <c r="BE148" s="299"/>
      <c r="BF148" s="299"/>
      <c r="BG148" s="299"/>
      <c r="BH148" s="299"/>
      <c r="BI148" s="301"/>
      <c r="BJ148" s="302"/>
      <c r="BK148" s="299"/>
      <c r="BL148" s="299"/>
      <c r="BM148" s="299"/>
      <c r="BN148" s="299"/>
      <c r="BO148" s="303"/>
      <c r="BP148" s="304"/>
      <c r="BQ148" s="302"/>
      <c r="BR148" s="299"/>
      <c r="BS148" s="299"/>
      <c r="BT148" s="299"/>
      <c r="BU148" s="299"/>
      <c r="BV148" s="299"/>
      <c r="BW148" s="299"/>
    </row>
    <row r="149" spans="12:185">
      <c r="V149" s="299"/>
      <c r="W149" s="299"/>
      <c r="X149" s="299"/>
      <c r="Y149" s="301"/>
      <c r="Z149" s="302"/>
      <c r="AA149" s="299"/>
      <c r="AB149" s="299"/>
      <c r="AC149" s="299"/>
      <c r="AD149" s="299"/>
      <c r="AE149" s="301"/>
      <c r="AF149" s="302"/>
      <c r="AG149" s="302"/>
      <c r="AH149" s="299"/>
      <c r="AI149" s="299"/>
      <c r="AJ149" s="299"/>
      <c r="AK149" s="301"/>
      <c r="AL149" s="302"/>
      <c r="AM149" s="299"/>
      <c r="AN149" s="299"/>
      <c r="AO149" s="299"/>
      <c r="AP149" s="299"/>
      <c r="AQ149" s="301"/>
      <c r="AR149" s="302"/>
      <c r="AS149" s="299"/>
      <c r="AT149" s="299"/>
      <c r="AU149" s="299"/>
      <c r="AV149" s="299"/>
      <c r="AW149" s="301"/>
      <c r="AX149" s="302"/>
      <c r="AY149" s="299"/>
      <c r="AZ149" s="299"/>
      <c r="BA149" s="299"/>
      <c r="BB149" s="299"/>
      <c r="BC149" s="301"/>
      <c r="BD149" s="302"/>
      <c r="BE149" s="299"/>
      <c r="BF149" s="299"/>
      <c r="BG149" s="299"/>
      <c r="BH149" s="299"/>
      <c r="BI149" s="301"/>
      <c r="BJ149" s="302"/>
      <c r="BK149" s="299"/>
      <c r="BL149" s="299"/>
      <c r="BM149" s="299"/>
      <c r="BN149" s="299"/>
      <c r="BO149" s="303"/>
      <c r="BP149" s="304"/>
      <c r="BQ149" s="302"/>
      <c r="BR149" s="299"/>
      <c r="BS149" s="299"/>
      <c r="BT149" s="299"/>
      <c r="BU149" s="299"/>
      <c r="BV149" s="299"/>
      <c r="BW149" s="299"/>
      <c r="GC149" s="307"/>
    </row>
    <row r="150" spans="12:185">
      <c r="V150" s="299"/>
      <c r="W150" s="299"/>
      <c r="X150" s="299"/>
      <c r="Y150" s="301"/>
      <c r="Z150" s="302"/>
      <c r="AA150" s="299"/>
      <c r="AB150" s="299"/>
      <c r="AC150" s="299"/>
      <c r="AD150" s="299"/>
      <c r="AE150" s="301"/>
      <c r="AF150" s="302"/>
      <c r="AG150" s="302"/>
      <c r="AH150" s="299"/>
      <c r="AI150" s="299"/>
      <c r="AJ150" s="299"/>
      <c r="AK150" s="301"/>
      <c r="AL150" s="302"/>
      <c r="AM150" s="299"/>
      <c r="AN150" s="299"/>
      <c r="AO150" s="299"/>
      <c r="AP150" s="299"/>
      <c r="AQ150" s="301"/>
      <c r="AR150" s="302"/>
      <c r="AS150" s="299"/>
      <c r="AT150" s="299"/>
      <c r="AU150" s="299"/>
      <c r="AV150" s="299"/>
      <c r="AW150" s="301"/>
      <c r="AX150" s="302"/>
      <c r="AY150" s="299"/>
      <c r="AZ150" s="299"/>
      <c r="BA150" s="299"/>
      <c r="BB150" s="299"/>
      <c r="BC150" s="301"/>
      <c r="BD150" s="302"/>
      <c r="BE150" s="299"/>
      <c r="BF150" s="299"/>
      <c r="BG150" s="299"/>
      <c r="BH150" s="299"/>
      <c r="BI150" s="301"/>
      <c r="BJ150" s="302"/>
      <c r="BK150" s="299"/>
      <c r="BL150" s="299"/>
      <c r="BM150" s="299"/>
      <c r="BN150" s="299"/>
      <c r="BO150" s="303"/>
      <c r="BP150" s="304"/>
      <c r="BQ150" s="302"/>
      <c r="BR150" s="299"/>
      <c r="BS150" s="299"/>
      <c r="BU150" s="299"/>
      <c r="BV150" s="299"/>
      <c r="GC150" s="307"/>
    </row>
    <row r="151" spans="12:185">
      <c r="V151" s="303"/>
      <c r="W151" s="303"/>
      <c r="X151" s="303"/>
      <c r="Y151" s="310"/>
      <c r="Z151" s="302"/>
      <c r="AA151" s="303"/>
      <c r="AB151" s="299"/>
      <c r="AC151" s="303"/>
      <c r="AD151" s="303"/>
      <c r="AE151" s="310"/>
      <c r="AF151" s="302"/>
      <c r="AG151" s="311"/>
      <c r="AH151" s="299"/>
      <c r="AI151" s="303"/>
      <c r="AJ151" s="303"/>
      <c r="AK151" s="310"/>
      <c r="AL151" s="302"/>
      <c r="AM151" s="303"/>
      <c r="AN151" s="299"/>
      <c r="AO151" s="303"/>
      <c r="AP151" s="303"/>
      <c r="AQ151" s="301"/>
      <c r="AR151" s="302"/>
      <c r="AS151" s="299"/>
      <c r="AT151" s="299"/>
      <c r="AU151" s="299"/>
      <c r="AV151" s="299"/>
      <c r="AW151" s="301"/>
      <c r="AX151" s="302"/>
      <c r="AY151" s="299"/>
      <c r="AZ151" s="299"/>
      <c r="BA151" s="299"/>
      <c r="BB151" s="299"/>
      <c r="BC151" s="301"/>
      <c r="BD151" s="302"/>
      <c r="BE151" s="299"/>
      <c r="BF151" s="299"/>
      <c r="BG151" s="299"/>
      <c r="BH151" s="299"/>
      <c r="BI151" s="301"/>
      <c r="BJ151" s="302"/>
      <c r="BK151" s="299"/>
      <c r="BL151" s="299"/>
      <c r="BM151" s="299"/>
      <c r="BN151" s="299"/>
      <c r="BO151" s="303"/>
      <c r="BP151" s="304"/>
      <c r="BQ151" s="302"/>
      <c r="BR151" s="299"/>
      <c r="BS151" s="299"/>
      <c r="BT151" s="299"/>
      <c r="BU151" s="299"/>
      <c r="BV151" s="299"/>
      <c r="BW151" s="299"/>
    </row>
    <row r="152" spans="12:185">
      <c r="V152" s="299"/>
      <c r="W152" s="299"/>
      <c r="X152" s="299"/>
      <c r="Y152" s="301"/>
      <c r="Z152" s="302"/>
      <c r="AA152" s="299"/>
      <c r="AB152" s="299"/>
      <c r="AC152" s="299"/>
      <c r="AD152" s="299"/>
      <c r="AE152" s="301"/>
      <c r="AF152" s="302"/>
      <c r="AG152" s="302"/>
      <c r="AH152" s="299"/>
      <c r="AI152" s="299"/>
      <c r="AJ152" s="299"/>
      <c r="AK152" s="301"/>
      <c r="AL152" s="302"/>
      <c r="AM152" s="299"/>
      <c r="AN152" s="299"/>
      <c r="AO152" s="299"/>
      <c r="AP152" s="299"/>
      <c r="AQ152" s="301"/>
      <c r="AR152" s="302"/>
      <c r="AS152" s="299"/>
      <c r="AT152" s="299"/>
      <c r="AU152" s="299"/>
      <c r="AV152" s="299"/>
      <c r="AW152" s="301"/>
      <c r="AX152" s="302"/>
      <c r="AY152" s="299"/>
      <c r="AZ152" s="299"/>
      <c r="BA152" s="299"/>
      <c r="BB152" s="299"/>
      <c r="BC152" s="301"/>
      <c r="BD152" s="302"/>
      <c r="BE152" s="299"/>
      <c r="BF152" s="299"/>
      <c r="BG152" s="299"/>
      <c r="BH152" s="299"/>
      <c r="BI152" s="301"/>
      <c r="BJ152" s="302"/>
      <c r="BK152" s="299"/>
      <c r="BL152" s="299"/>
      <c r="BM152" s="299"/>
      <c r="BN152" s="299"/>
      <c r="BO152" s="303"/>
      <c r="BP152" s="304"/>
      <c r="BQ152" s="302"/>
      <c r="BR152" s="299"/>
      <c r="BS152" s="299"/>
      <c r="BT152" s="299"/>
      <c r="BU152" s="299"/>
      <c r="BV152" s="299"/>
      <c r="BW152" s="299"/>
    </row>
    <row r="153" spans="12:185">
      <c r="V153" s="299"/>
      <c r="W153" s="299"/>
      <c r="X153" s="299"/>
      <c r="Y153" s="301"/>
      <c r="Z153" s="302"/>
      <c r="AA153" s="299"/>
      <c r="AB153" s="299"/>
      <c r="AC153" s="299"/>
      <c r="AD153" s="299"/>
      <c r="AE153" s="301"/>
      <c r="AF153" s="302"/>
      <c r="AG153" s="302"/>
      <c r="AH153" s="299"/>
      <c r="AI153" s="299"/>
      <c r="AJ153" s="299"/>
      <c r="AK153" s="301"/>
      <c r="AL153" s="302"/>
      <c r="AM153" s="299"/>
      <c r="AN153" s="299"/>
      <c r="AO153" s="299"/>
      <c r="AP153" s="299"/>
      <c r="AQ153" s="301"/>
      <c r="AR153" s="302"/>
      <c r="AS153" s="299"/>
      <c r="AT153" s="299"/>
      <c r="AU153" s="299"/>
      <c r="AV153" s="299"/>
      <c r="AW153" s="301"/>
      <c r="AX153" s="302"/>
      <c r="AY153" s="299"/>
      <c r="AZ153" s="299"/>
      <c r="BA153" s="299"/>
      <c r="BB153" s="299"/>
      <c r="BC153" s="301"/>
      <c r="BD153" s="302"/>
      <c r="BE153" s="299"/>
      <c r="BF153" s="299"/>
      <c r="BG153" s="299"/>
      <c r="BH153" s="299"/>
      <c r="BI153" s="301"/>
      <c r="BJ153" s="302"/>
      <c r="BK153" s="299"/>
      <c r="BL153" s="299"/>
      <c r="BM153" s="299"/>
      <c r="BN153" s="299"/>
      <c r="BO153" s="303"/>
      <c r="BP153" s="304"/>
      <c r="BQ153" s="302"/>
      <c r="BR153" s="299"/>
      <c r="BS153" s="299"/>
      <c r="BT153" s="299"/>
      <c r="BU153" s="299"/>
      <c r="BV153" s="299"/>
      <c r="BW153" s="299"/>
    </row>
    <row r="154" spans="12:185">
      <c r="V154" s="299"/>
      <c r="W154" s="299"/>
      <c r="X154" s="299"/>
      <c r="Y154" s="301"/>
      <c r="Z154" s="302"/>
      <c r="AA154" s="299"/>
      <c r="AB154" s="299"/>
      <c r="AC154" s="299"/>
      <c r="AD154" s="299"/>
      <c r="AE154" s="301"/>
      <c r="AF154" s="302"/>
      <c r="AG154" s="302"/>
      <c r="AH154" s="299"/>
      <c r="AI154" s="299"/>
      <c r="AJ154" s="299"/>
      <c r="AK154" s="301"/>
      <c r="AL154" s="302"/>
      <c r="AM154" s="299"/>
      <c r="AN154" s="299"/>
      <c r="AO154" s="299"/>
      <c r="AP154" s="299"/>
      <c r="AQ154" s="301"/>
      <c r="AR154" s="302"/>
      <c r="AS154" s="299"/>
      <c r="AT154" s="299"/>
      <c r="AU154" s="299"/>
      <c r="AV154" s="299"/>
      <c r="AW154" s="301"/>
      <c r="AX154" s="302"/>
      <c r="AY154" s="299"/>
      <c r="AZ154" s="299"/>
      <c r="BA154" s="299"/>
      <c r="BB154" s="299"/>
      <c r="BC154" s="301"/>
      <c r="BD154" s="302"/>
      <c r="BE154" s="299"/>
      <c r="BF154" s="299"/>
      <c r="BG154" s="299"/>
      <c r="BH154" s="299"/>
      <c r="BI154" s="301"/>
      <c r="BJ154" s="302"/>
      <c r="BK154" s="299"/>
      <c r="BL154" s="299"/>
      <c r="BM154" s="299"/>
      <c r="BN154" s="299"/>
      <c r="BO154" s="303"/>
      <c r="BP154" s="304"/>
      <c r="BQ154" s="302"/>
      <c r="BR154" s="299"/>
      <c r="BS154" s="299"/>
      <c r="BT154" s="299"/>
      <c r="BU154" s="299"/>
      <c r="BV154" s="299"/>
      <c r="BW154" s="299"/>
    </row>
    <row r="155" spans="12:185">
      <c r="V155" s="299"/>
      <c r="W155" s="299"/>
      <c r="X155" s="299"/>
      <c r="Y155" s="301"/>
      <c r="Z155" s="302"/>
      <c r="AA155" s="299"/>
      <c r="AB155" s="299"/>
      <c r="AC155" s="299"/>
      <c r="AD155" s="299"/>
      <c r="AE155" s="301"/>
      <c r="AF155" s="302"/>
      <c r="AG155" s="302"/>
      <c r="AH155" s="299"/>
      <c r="AI155" s="299"/>
      <c r="AJ155" s="299"/>
      <c r="AK155" s="301"/>
      <c r="AL155" s="302"/>
      <c r="AM155" s="299"/>
      <c r="AN155" s="299"/>
      <c r="AO155" s="299"/>
      <c r="AP155" s="299"/>
      <c r="AQ155" s="301"/>
      <c r="AR155" s="302"/>
      <c r="AS155" s="299"/>
      <c r="AT155" s="299"/>
      <c r="AU155" s="299"/>
      <c r="AV155" s="299"/>
      <c r="AW155" s="301"/>
      <c r="AX155" s="302"/>
      <c r="AY155" s="299"/>
      <c r="AZ155" s="299"/>
      <c r="BA155" s="299"/>
      <c r="BB155" s="299"/>
      <c r="BC155" s="301"/>
      <c r="BD155" s="302"/>
      <c r="BE155" s="299"/>
      <c r="BF155" s="299"/>
      <c r="BG155" s="299"/>
      <c r="BH155" s="299"/>
      <c r="BI155" s="301"/>
      <c r="BJ155" s="302"/>
      <c r="BK155" s="299"/>
      <c r="BL155" s="299"/>
      <c r="BM155" s="299"/>
      <c r="BN155" s="299"/>
      <c r="BO155" s="303"/>
      <c r="BP155" s="304"/>
      <c r="BQ155" s="302"/>
      <c r="BR155" s="299"/>
      <c r="BS155" s="299"/>
      <c r="BT155" s="299"/>
      <c r="BU155" s="299"/>
      <c r="BV155" s="299"/>
      <c r="BW155" s="299"/>
    </row>
    <row r="156" spans="12:185">
      <c r="V156" s="299"/>
      <c r="W156" s="299"/>
      <c r="X156" s="299"/>
      <c r="Y156" s="301"/>
      <c r="Z156" s="302"/>
      <c r="AA156" s="299"/>
      <c r="AB156" s="299"/>
      <c r="AC156" s="299"/>
      <c r="AD156" s="299"/>
      <c r="AE156" s="301"/>
      <c r="AF156" s="302"/>
      <c r="AG156" s="302"/>
      <c r="AH156" s="299"/>
      <c r="AI156" s="299"/>
      <c r="AJ156" s="299"/>
      <c r="AK156" s="301"/>
      <c r="AL156" s="302"/>
      <c r="AM156" s="299"/>
      <c r="AN156" s="299"/>
      <c r="AO156" s="299"/>
      <c r="AP156" s="299"/>
      <c r="AQ156" s="301"/>
      <c r="AR156" s="302"/>
      <c r="AS156" s="299"/>
      <c r="AT156" s="299"/>
      <c r="AU156" s="299"/>
      <c r="AV156" s="299"/>
      <c r="AW156" s="301"/>
      <c r="AX156" s="302"/>
      <c r="AY156" s="299"/>
      <c r="AZ156" s="299"/>
      <c r="BA156" s="299"/>
      <c r="BB156" s="299"/>
      <c r="BC156" s="301"/>
      <c r="BD156" s="302"/>
      <c r="BE156" s="299"/>
      <c r="BF156" s="299"/>
      <c r="BG156" s="299"/>
      <c r="BH156" s="299"/>
      <c r="BI156" s="301"/>
      <c r="BJ156" s="302"/>
      <c r="BK156" s="299"/>
      <c r="BL156" s="299"/>
      <c r="BM156" s="299"/>
      <c r="BN156" s="299"/>
      <c r="BO156" s="303"/>
      <c r="BP156" s="304"/>
      <c r="BQ156" s="302"/>
      <c r="BR156" s="299"/>
      <c r="BS156" s="299"/>
      <c r="BT156" s="299"/>
      <c r="BU156" s="299"/>
      <c r="BV156" s="299"/>
      <c r="BW156" s="299"/>
    </row>
    <row r="157" spans="12:185">
      <c r="V157" s="299"/>
      <c r="W157" s="299"/>
      <c r="X157" s="299"/>
      <c r="Y157" s="301"/>
      <c r="Z157" s="302"/>
      <c r="AA157" s="299"/>
      <c r="AB157" s="299"/>
      <c r="AC157" s="299"/>
      <c r="AD157" s="299"/>
      <c r="AE157" s="301"/>
      <c r="AF157" s="302"/>
      <c r="AG157" s="302"/>
      <c r="AH157" s="299"/>
      <c r="AI157" s="299"/>
      <c r="AJ157" s="299"/>
      <c r="AK157" s="301"/>
      <c r="AL157" s="302"/>
      <c r="AM157" s="299"/>
      <c r="AN157" s="299"/>
      <c r="AO157" s="299"/>
      <c r="AP157" s="299"/>
      <c r="AQ157" s="301"/>
      <c r="AR157" s="302"/>
      <c r="AS157" s="299"/>
      <c r="AT157" s="299"/>
      <c r="AU157" s="299"/>
      <c r="AV157" s="299"/>
      <c r="AW157" s="301"/>
      <c r="AX157" s="302"/>
      <c r="AY157" s="299"/>
      <c r="AZ157" s="299"/>
      <c r="BA157" s="299"/>
      <c r="BB157" s="299"/>
      <c r="BC157" s="301"/>
      <c r="BD157" s="302"/>
      <c r="BE157" s="299"/>
      <c r="BF157" s="299"/>
      <c r="BG157" s="299"/>
      <c r="BH157" s="299"/>
      <c r="BI157" s="301"/>
      <c r="BJ157" s="302"/>
      <c r="BK157" s="299"/>
      <c r="BL157" s="299"/>
      <c r="BM157" s="299"/>
      <c r="BN157" s="299"/>
      <c r="BO157" s="303"/>
      <c r="BP157" s="304"/>
      <c r="BQ157" s="302"/>
      <c r="BR157" s="299"/>
      <c r="BS157" s="299"/>
      <c r="BT157" s="299"/>
      <c r="BU157" s="299"/>
      <c r="BV157" s="299"/>
      <c r="BW157" s="299"/>
    </row>
    <row r="158" spans="12:185">
      <c r="V158" s="299"/>
      <c r="W158" s="299"/>
      <c r="X158" s="299"/>
      <c r="Y158" s="301"/>
      <c r="Z158" s="302"/>
      <c r="AA158" s="299"/>
      <c r="AB158" s="299"/>
      <c r="AC158" s="299"/>
      <c r="AD158" s="299"/>
      <c r="AE158" s="301"/>
      <c r="AF158" s="302"/>
      <c r="AG158" s="302"/>
      <c r="AH158" s="299"/>
      <c r="AI158" s="299"/>
      <c r="AJ158" s="299"/>
      <c r="AK158" s="301"/>
      <c r="AL158" s="302"/>
      <c r="AM158" s="299"/>
      <c r="AN158" s="299"/>
      <c r="AO158" s="299"/>
      <c r="AP158" s="299"/>
      <c r="AQ158" s="301"/>
      <c r="AR158" s="302"/>
      <c r="AS158" s="299"/>
      <c r="AT158" s="299"/>
      <c r="AU158" s="299"/>
      <c r="AV158" s="299"/>
      <c r="AW158" s="301"/>
      <c r="AX158" s="302"/>
      <c r="AY158" s="299"/>
      <c r="AZ158" s="299"/>
      <c r="BA158" s="299"/>
      <c r="BB158" s="299"/>
      <c r="BC158" s="301"/>
      <c r="BD158" s="302"/>
      <c r="BE158" s="299"/>
      <c r="BF158" s="299"/>
      <c r="BG158" s="299"/>
      <c r="BH158" s="299"/>
      <c r="BI158" s="301"/>
      <c r="BJ158" s="302"/>
      <c r="BK158" s="299"/>
      <c r="BL158" s="299"/>
      <c r="BM158" s="299"/>
      <c r="BN158" s="299"/>
      <c r="BO158" s="303"/>
      <c r="BP158" s="304"/>
      <c r="BQ158" s="302"/>
      <c r="BR158" s="299"/>
      <c r="BS158" s="299"/>
      <c r="BT158" s="299"/>
      <c r="BU158" s="299"/>
      <c r="BV158" s="299"/>
      <c r="BW158" s="299"/>
    </row>
    <row r="159" spans="12:185">
      <c r="V159" s="299"/>
      <c r="W159" s="299"/>
      <c r="X159" s="299"/>
      <c r="Y159" s="301"/>
      <c r="Z159" s="302"/>
      <c r="AA159" s="299"/>
      <c r="AB159" s="299"/>
      <c r="AC159" s="299"/>
      <c r="AD159" s="299"/>
      <c r="AE159" s="301"/>
      <c r="AF159" s="302"/>
      <c r="AG159" s="302"/>
      <c r="AH159" s="299"/>
      <c r="AI159" s="299"/>
      <c r="AJ159" s="299"/>
      <c r="AK159" s="301"/>
      <c r="AL159" s="302"/>
      <c r="AM159" s="299"/>
      <c r="AN159" s="299"/>
      <c r="AO159" s="299"/>
      <c r="AP159" s="299"/>
      <c r="AQ159" s="301"/>
      <c r="AR159" s="302"/>
      <c r="AS159" s="299"/>
      <c r="AT159" s="299"/>
      <c r="AU159" s="299"/>
      <c r="AV159" s="299"/>
      <c r="AW159" s="301"/>
      <c r="AX159" s="302"/>
      <c r="AY159" s="299"/>
      <c r="AZ159" s="299"/>
      <c r="BA159" s="299"/>
      <c r="BB159" s="299"/>
      <c r="BC159" s="301"/>
      <c r="BD159" s="302"/>
      <c r="BE159" s="299"/>
      <c r="BF159" s="299"/>
      <c r="BG159" s="299"/>
      <c r="BH159" s="299"/>
      <c r="BI159" s="301"/>
      <c r="BJ159" s="302"/>
      <c r="BK159" s="299"/>
      <c r="BL159" s="299"/>
      <c r="BM159" s="299"/>
      <c r="BN159" s="299"/>
      <c r="BO159" s="303"/>
      <c r="BP159" s="304"/>
      <c r="BQ159" s="302"/>
      <c r="BR159" s="299"/>
      <c r="BS159" s="299"/>
      <c r="BT159" s="299"/>
      <c r="BU159" s="299"/>
      <c r="BV159" s="299"/>
      <c r="BW159" s="299"/>
    </row>
    <row r="160" spans="12:185">
      <c r="V160" s="299">
        <v>0</v>
      </c>
      <c r="W160" s="299">
        <f t="shared" ref="W160:W163" si="92">SUM(V160*0.1)</f>
        <v>0</v>
      </c>
      <c r="X160" s="299">
        <f t="shared" ref="X160" ca="1" si="93">SUM(Y160*Z160)</f>
        <v>0</v>
      </c>
      <c r="Y160" s="301">
        <f t="shared" ref="Y160" si="94">SUM((V160+W160)*0.00833333333333333)</f>
        <v>0</v>
      </c>
      <c r="Z160" s="302">
        <f t="shared" ref="Z160" ca="1" si="95">MONTH(TODAY())+37</f>
        <v>41</v>
      </c>
      <c r="AA160" s="299">
        <f t="shared" ref="AA160:AA164" ca="1" si="96">SUM(V160,W160,X160)</f>
        <v>0</v>
      </c>
      <c r="AB160" s="299">
        <f t="shared" ref="AB160:AB180" si="97">SUM(BT160*0.0052)/2</f>
        <v>0</v>
      </c>
      <c r="AC160" s="299">
        <f t="shared" ref="AC160" si="98">SUM(AB160*0.1)</f>
        <v>0</v>
      </c>
      <c r="AD160" s="299">
        <f t="shared" ref="AD160" ca="1" si="99">SUM(AE160*AF160)</f>
        <v>0</v>
      </c>
      <c r="AE160" s="301">
        <f t="shared" ref="AE160" si="100">SUM((AB160+AC160)*0.00833333333333333)</f>
        <v>0</v>
      </c>
      <c r="AF160" s="302">
        <f t="shared" ref="AF160" ca="1" si="101">MONTH(TODAY())+29</f>
        <v>33</v>
      </c>
      <c r="AG160" s="302">
        <f t="shared" ref="AG160:AG172" ca="1" si="102">SUM(AB160,AC160,AD160)</f>
        <v>0</v>
      </c>
      <c r="AH160" s="299">
        <f t="shared" ref="AH160:AH180" si="103">SUM(BT160*0.0052)/2</f>
        <v>0</v>
      </c>
      <c r="AI160" s="299">
        <f t="shared" ref="AI160" si="104">SUM(AH160*0.1)</f>
        <v>0</v>
      </c>
      <c r="AJ160" s="299">
        <f t="shared" ref="AJ160" ca="1" si="105">SUM(AK160*AL160)</f>
        <v>0</v>
      </c>
      <c r="AK160" s="301">
        <f t="shared" ref="AK160" si="106">SUM((AH160+AI160)*0.00833333333333333)</f>
        <v>0</v>
      </c>
      <c r="AL160" s="302">
        <f t="shared" ref="AL160" ca="1" si="107">MONTH(TODAY())+25</f>
        <v>29</v>
      </c>
      <c r="AM160" s="299">
        <f t="shared" ref="AM160" ca="1" si="108">SUM(AH160,AI160,AJ160)</f>
        <v>0</v>
      </c>
      <c r="AN160" s="299">
        <f t="shared" ref="AN160:AN164" si="109">SUM(BW160*0.0045)/2</f>
        <v>0</v>
      </c>
      <c r="AO160" s="299">
        <f t="shared" ref="AO160" si="110">SUM(AN160*0.1)</f>
        <v>0</v>
      </c>
      <c r="AP160" s="299">
        <f t="shared" ref="AP160" ca="1" si="111">SUM(AQ160*AR160)</f>
        <v>0</v>
      </c>
      <c r="AQ160" s="301">
        <f t="shared" ref="AQ160" si="112">SUM((AN160+AO160)*0.00833333333333333)</f>
        <v>0</v>
      </c>
      <c r="AR160" s="302">
        <f t="shared" ref="AR160" ca="1" si="113">MONTH(TODAY())+19</f>
        <v>23</v>
      </c>
      <c r="AS160" s="299">
        <f t="shared" ref="AS160" ca="1" si="114">SUM(AN160,AO160,AP160)</f>
        <v>0</v>
      </c>
      <c r="AT160" s="299">
        <f t="shared" ref="AT160:AT180" si="115">SUM(BW160*0.0045)/2</f>
        <v>0</v>
      </c>
      <c r="AU160" s="299">
        <f t="shared" ref="AU160" si="116">SUM(AT160*0.1)</f>
        <v>0</v>
      </c>
      <c r="AV160" s="299">
        <f t="shared" ref="AV160" ca="1" si="117">SUM(AW160*AX160)</f>
        <v>0</v>
      </c>
      <c r="AW160" s="301">
        <f t="shared" ref="AW160" si="118">SUM((AT160+AU160)*0.00833333333333333)</f>
        <v>0</v>
      </c>
      <c r="AX160" s="302">
        <f t="shared" ref="AX160" ca="1" si="119">MONTH(TODAY())+13</f>
        <v>17</v>
      </c>
      <c r="AY160" s="299">
        <f t="shared" ref="AY160" ca="1" si="120">SUM(AT160,AU160,AV160)</f>
        <v>0</v>
      </c>
      <c r="AZ160" s="299">
        <f t="shared" ref="AZ160:AZ180" si="121">SUM(BW160*0.0045)/2</f>
        <v>0</v>
      </c>
      <c r="BA160" s="299">
        <f t="shared" ref="BA160" si="122">SUM(AZ160*0.1)</f>
        <v>0</v>
      </c>
      <c r="BB160" s="299">
        <f t="shared" ref="BB160" ca="1" si="123">SUM(BC160*BD160)</f>
        <v>0</v>
      </c>
      <c r="BC160" s="301">
        <f t="shared" ref="BC160" si="124">SUM((AZ160+BA160)*0.00833333333333333)</f>
        <v>0</v>
      </c>
      <c r="BD160" s="302">
        <f t="shared" ref="BD160" ca="1" si="125">MONTH(TODAY())+5</f>
        <v>9</v>
      </c>
      <c r="BE160" s="299">
        <f t="shared" ref="BE160" ca="1" si="126">SUM(AZ160,BA160,BB160)</f>
        <v>0</v>
      </c>
      <c r="BF160" s="299">
        <f t="shared" ref="BF160:BF180" si="127">SUM(BW160*0.0045)/2</f>
        <v>0</v>
      </c>
      <c r="BG160" s="299">
        <f t="shared" ref="BG160" si="128">SUM(BF160*0.1)</f>
        <v>0</v>
      </c>
      <c r="BH160" s="299">
        <f t="shared" ref="BH160:BH180" ca="1" si="129">SUM(BI160*BJ160)</f>
        <v>0</v>
      </c>
      <c r="BI160" s="301">
        <f t="shared" ref="BI160" si="130">SUM((BF160+BG160)*0.00833333333333333)</f>
        <v>0</v>
      </c>
      <c r="BJ160" s="302">
        <f t="shared" ref="BJ160" ca="1" si="131">MONTH(TODAY())+1</f>
        <v>5</v>
      </c>
      <c r="BK160" s="299">
        <f t="shared" ref="BK160" ca="1" si="132">SUM(BF160,BG160,BH160)</f>
        <v>0</v>
      </c>
      <c r="BL160" s="299" t="e">
        <f>SUM(#REF!, V160, AB160,AH160,AN160,AT160,AZ160,BF160)</f>
        <v>#REF!</v>
      </c>
      <c r="BM160" s="299" t="e">
        <f>SUM(#REF!,W160, AC160,AI160,AO160,AU160,BA160,BG160)</f>
        <v>#REF!</v>
      </c>
      <c r="BN160" s="299" t="e">
        <f>SUM(#REF!,X160, AD160,AJ160,AP160,AV160,BB160,BH160)</f>
        <v>#REF!</v>
      </c>
      <c r="BO160" s="303" t="e">
        <f t="shared" ref="BO160:BO165" si="133">SUM(BL160:BN160)</f>
        <v>#REF!</v>
      </c>
      <c r="BP160" s="304" t="s">
        <v>5914</v>
      </c>
      <c r="BQ160" s="302"/>
      <c r="BR160" s="299">
        <v>0</v>
      </c>
      <c r="BS160" s="299">
        <v>0</v>
      </c>
      <c r="BT160" s="299">
        <f t="shared" ref="BT160:BT168" si="134">SUM(BR160+BS160)</f>
        <v>0</v>
      </c>
      <c r="BU160" s="299">
        <v>0</v>
      </c>
      <c r="BV160" s="299">
        <v>0</v>
      </c>
      <c r="BW160" s="299">
        <f t="shared" ref="BW160:BW172" si="135">SUM(BU160+BV160)</f>
        <v>0</v>
      </c>
    </row>
    <row r="161" spans="22:75">
      <c r="V161" s="299">
        <v>0</v>
      </c>
      <c r="W161" s="299">
        <f t="shared" si="92"/>
        <v>0</v>
      </c>
      <c r="X161" s="299">
        <f t="shared" ref="X161:X180" ca="1" si="136">SUM(Y161*Z161)</f>
        <v>0</v>
      </c>
      <c r="Y161" s="301">
        <f t="shared" ref="Y161:Y180" si="137">SUM((V161+W161)*0.00833333333333333)</f>
        <v>0</v>
      </c>
      <c r="Z161" s="302">
        <f t="shared" ref="Z161:Z180" ca="1" si="138">MONTH(TODAY())+37</f>
        <v>41</v>
      </c>
      <c r="AA161" s="299">
        <f t="shared" ca="1" si="96"/>
        <v>0</v>
      </c>
      <c r="AB161" s="299">
        <f t="shared" si="97"/>
        <v>0</v>
      </c>
      <c r="AC161" s="299">
        <f t="shared" ref="AC161:AC180" si="139">SUM(AB161*0.1)</f>
        <v>0</v>
      </c>
      <c r="AD161" s="299">
        <f t="shared" ref="AD161:AD180" ca="1" si="140">SUM(AE161*AF161)</f>
        <v>0</v>
      </c>
      <c r="AE161" s="301">
        <f t="shared" ref="AE161:AE180" si="141">SUM((AB161+AC161)*0.00833333333333333)</f>
        <v>0</v>
      </c>
      <c r="AF161" s="302">
        <f t="shared" ref="AF161:AF180" ca="1" si="142">MONTH(TODAY())+29</f>
        <v>33</v>
      </c>
      <c r="AG161" s="302">
        <f t="shared" ca="1" si="102"/>
        <v>0</v>
      </c>
      <c r="AH161" s="299">
        <f t="shared" si="103"/>
        <v>0</v>
      </c>
      <c r="AI161" s="299">
        <f t="shared" ref="AI161:AI180" si="143">SUM(AH161*0.1)</f>
        <v>0</v>
      </c>
      <c r="AJ161" s="299">
        <f t="shared" ref="AJ161:AJ180" ca="1" si="144">SUM(AK161*AL161)</f>
        <v>0</v>
      </c>
      <c r="AK161" s="301">
        <f t="shared" ref="AK161:AK180" si="145">SUM((AH161+AI161)*0.00833333333333333)</f>
        <v>0</v>
      </c>
      <c r="AL161" s="302">
        <f t="shared" ref="AL161:AL180" ca="1" si="146">MONTH(TODAY())+25</f>
        <v>29</v>
      </c>
      <c r="AM161" s="299">
        <f t="shared" ref="AM161:AM180" ca="1" si="147">SUM(AH161,AI161,AJ161)</f>
        <v>0</v>
      </c>
      <c r="AN161" s="299">
        <f t="shared" si="109"/>
        <v>0</v>
      </c>
      <c r="AO161" s="299">
        <f t="shared" ref="AO161:AO180" si="148">SUM(AN161*0.1)</f>
        <v>0</v>
      </c>
      <c r="AP161" s="299">
        <f t="shared" ref="AP161:AP180" ca="1" si="149">SUM(AQ161*AR161)</f>
        <v>0</v>
      </c>
      <c r="AQ161" s="301">
        <f t="shared" ref="AQ161:AQ180" si="150">SUM((AN161+AO161)*0.00833333333333333)</f>
        <v>0</v>
      </c>
      <c r="AR161" s="302">
        <f t="shared" ref="AR161:AR180" ca="1" si="151">MONTH(TODAY())+19</f>
        <v>23</v>
      </c>
      <c r="AS161" s="299">
        <f t="shared" ref="AS161:AS180" ca="1" si="152">SUM(AN161,AO161,AP161)</f>
        <v>0</v>
      </c>
      <c r="AT161" s="299">
        <f t="shared" si="115"/>
        <v>0</v>
      </c>
      <c r="AU161" s="299">
        <f t="shared" ref="AU161:AU180" si="153">SUM(AT161*0.1)</f>
        <v>0</v>
      </c>
      <c r="AV161" s="299">
        <f t="shared" ref="AV161:AV180" ca="1" si="154">SUM(AW161*AX161)</f>
        <v>0</v>
      </c>
      <c r="AW161" s="301">
        <f t="shared" ref="AW161:AW180" si="155">SUM((AT161+AU161)*0.00833333333333333)</f>
        <v>0</v>
      </c>
      <c r="AX161" s="302">
        <f t="shared" ref="AX161:AX180" ca="1" si="156">MONTH(TODAY())+13</f>
        <v>17</v>
      </c>
      <c r="AY161" s="299">
        <f t="shared" ref="AY161:AY180" ca="1" si="157">SUM(AT161,AU161,AV161)</f>
        <v>0</v>
      </c>
      <c r="AZ161" s="299">
        <f t="shared" si="121"/>
        <v>0</v>
      </c>
      <c r="BA161" s="299">
        <f t="shared" ref="BA161:BA180" si="158">SUM(AZ161*0.1)</f>
        <v>0</v>
      </c>
      <c r="BB161" s="299">
        <f t="shared" ref="BB161:BB180" ca="1" si="159">SUM(BC161*BD161)</f>
        <v>0</v>
      </c>
      <c r="BC161" s="301">
        <f t="shared" ref="BC161:BC180" si="160">SUM((AZ161+BA161)*0.00833333333333333)</f>
        <v>0</v>
      </c>
      <c r="BD161" s="302">
        <f t="shared" ref="BD161:BD180" ca="1" si="161">MONTH(TODAY())+5</f>
        <v>9</v>
      </c>
      <c r="BE161" s="299">
        <f t="shared" ref="BE161:BE180" ca="1" si="162">SUM(AZ161,BA161,BB161)</f>
        <v>0</v>
      </c>
      <c r="BF161" s="299">
        <f t="shared" si="127"/>
        <v>0</v>
      </c>
      <c r="BG161" s="299">
        <f t="shared" ref="BG161:BG180" si="163">SUM(BF161*0.1)</f>
        <v>0</v>
      </c>
      <c r="BH161" s="299">
        <f t="shared" ca="1" si="129"/>
        <v>0</v>
      </c>
      <c r="BI161" s="301">
        <f t="shared" ref="BI161:BI180" si="164">SUM((BF161+BG161)*0.00833333333333333)</f>
        <v>0</v>
      </c>
      <c r="BJ161" s="302">
        <f t="shared" ref="BJ161:BJ180" ca="1" si="165">MONTH(TODAY())+1</f>
        <v>5</v>
      </c>
      <c r="BK161" s="299">
        <f t="shared" ref="BK161:BK180" ca="1" si="166">SUM(BF161,BG161,BH161)</f>
        <v>0</v>
      </c>
      <c r="BL161" s="299" t="e">
        <f>SUM(#REF!, V161, AB161,AH161,AN161,AT161,AZ161,BF161)</f>
        <v>#REF!</v>
      </c>
      <c r="BM161" s="299" t="e">
        <f>SUM(#REF!,W161, AC161,AI161,AO161,AU161,BA161,BG161)</f>
        <v>#REF!</v>
      </c>
      <c r="BN161" s="299" t="e">
        <f>SUM(#REF!,X161, AD161,AJ161,AP161,AV161,BB161,BH161)</f>
        <v>#REF!</v>
      </c>
      <c r="BO161" s="303" t="e">
        <f t="shared" si="133"/>
        <v>#REF!</v>
      </c>
      <c r="BP161" s="304" t="s">
        <v>5914</v>
      </c>
      <c r="BQ161" s="302"/>
      <c r="BR161" s="299">
        <v>0</v>
      </c>
      <c r="BS161" s="299">
        <v>0</v>
      </c>
      <c r="BT161" s="299">
        <f t="shared" si="134"/>
        <v>0</v>
      </c>
      <c r="BU161" s="299">
        <v>0</v>
      </c>
      <c r="BV161" s="299">
        <v>0</v>
      </c>
      <c r="BW161" s="299">
        <f t="shared" si="135"/>
        <v>0</v>
      </c>
    </row>
    <row r="162" spans="22:75">
      <c r="V162" s="303">
        <v>0</v>
      </c>
      <c r="W162" s="303">
        <f t="shared" si="92"/>
        <v>0</v>
      </c>
      <c r="X162" s="303">
        <f t="shared" ca="1" si="136"/>
        <v>0</v>
      </c>
      <c r="Y162" s="310">
        <f t="shared" si="137"/>
        <v>0</v>
      </c>
      <c r="Z162" s="302">
        <f t="shared" ca="1" si="138"/>
        <v>41</v>
      </c>
      <c r="AA162" s="303">
        <f t="shared" ca="1" si="96"/>
        <v>0</v>
      </c>
      <c r="AB162" s="299">
        <f t="shared" si="97"/>
        <v>0</v>
      </c>
      <c r="AC162" s="303">
        <f t="shared" si="139"/>
        <v>0</v>
      </c>
      <c r="AD162" s="303">
        <f t="shared" ca="1" si="140"/>
        <v>0</v>
      </c>
      <c r="AE162" s="310">
        <f t="shared" si="141"/>
        <v>0</v>
      </c>
      <c r="AF162" s="302">
        <f t="shared" ca="1" si="142"/>
        <v>33</v>
      </c>
      <c r="AG162" s="311">
        <f t="shared" ca="1" si="102"/>
        <v>0</v>
      </c>
      <c r="AH162" s="299">
        <f t="shared" si="103"/>
        <v>0</v>
      </c>
      <c r="AI162" s="303">
        <f t="shared" si="143"/>
        <v>0</v>
      </c>
      <c r="AJ162" s="303">
        <f t="shared" ca="1" si="144"/>
        <v>0</v>
      </c>
      <c r="AK162" s="310">
        <f t="shared" si="145"/>
        <v>0</v>
      </c>
      <c r="AL162" s="302">
        <f t="shared" ca="1" si="146"/>
        <v>29</v>
      </c>
      <c r="AM162" s="303">
        <f t="shared" ca="1" si="147"/>
        <v>0</v>
      </c>
      <c r="AN162" s="299">
        <f t="shared" si="109"/>
        <v>0</v>
      </c>
      <c r="AO162" s="303">
        <f t="shared" si="148"/>
        <v>0</v>
      </c>
      <c r="AP162" s="303">
        <f t="shared" ca="1" si="149"/>
        <v>0</v>
      </c>
      <c r="AQ162" s="301">
        <f t="shared" si="150"/>
        <v>0</v>
      </c>
      <c r="AR162" s="302">
        <f t="shared" ca="1" si="151"/>
        <v>23</v>
      </c>
      <c r="AS162" s="299">
        <f t="shared" ca="1" si="152"/>
        <v>0</v>
      </c>
      <c r="AT162" s="299">
        <f t="shared" si="115"/>
        <v>0</v>
      </c>
      <c r="AU162" s="299">
        <f t="shared" si="153"/>
        <v>0</v>
      </c>
      <c r="AV162" s="299">
        <f t="shared" ca="1" si="154"/>
        <v>0</v>
      </c>
      <c r="AW162" s="301">
        <f t="shared" si="155"/>
        <v>0</v>
      </c>
      <c r="AX162" s="302">
        <f t="shared" ca="1" si="156"/>
        <v>17</v>
      </c>
      <c r="AY162" s="299">
        <f t="shared" ca="1" si="157"/>
        <v>0</v>
      </c>
      <c r="AZ162" s="299">
        <f t="shared" si="121"/>
        <v>0</v>
      </c>
      <c r="BA162" s="299">
        <f t="shared" si="158"/>
        <v>0</v>
      </c>
      <c r="BB162" s="299">
        <f t="shared" ca="1" si="159"/>
        <v>0</v>
      </c>
      <c r="BC162" s="301">
        <f t="shared" si="160"/>
        <v>0</v>
      </c>
      <c r="BD162" s="302">
        <f t="shared" ca="1" si="161"/>
        <v>9</v>
      </c>
      <c r="BE162" s="299">
        <f t="shared" ca="1" si="162"/>
        <v>0</v>
      </c>
      <c r="BF162" s="299">
        <f t="shared" si="127"/>
        <v>0</v>
      </c>
      <c r="BG162" s="299">
        <f t="shared" si="163"/>
        <v>0</v>
      </c>
      <c r="BH162" s="299">
        <f t="shared" ca="1" si="129"/>
        <v>0</v>
      </c>
      <c r="BI162" s="301">
        <f t="shared" si="164"/>
        <v>0</v>
      </c>
      <c r="BJ162" s="302">
        <f t="shared" ca="1" si="165"/>
        <v>5</v>
      </c>
      <c r="BK162" s="299">
        <f t="shared" ca="1" si="166"/>
        <v>0</v>
      </c>
      <c r="BL162" s="299" t="e">
        <f>SUM(#REF!, V162, AB162,AH162,AN162,AT162,AZ162,BF162)</f>
        <v>#REF!</v>
      </c>
      <c r="BM162" s="299" t="e">
        <f>SUM(#REF!,W162, AC162,AI162,AO162,AU162,BA162,BG162)</f>
        <v>#REF!</v>
      </c>
      <c r="BN162" s="299" t="e">
        <f>SUM(#REF!,X162, AD162,AJ162,AP162,AV162,BB162,BH162)</f>
        <v>#REF!</v>
      </c>
      <c r="BO162" s="303" t="e">
        <f t="shared" si="133"/>
        <v>#REF!</v>
      </c>
      <c r="BP162" s="304" t="s">
        <v>5914</v>
      </c>
      <c r="BQ162" s="302"/>
      <c r="BR162" s="299">
        <v>0</v>
      </c>
      <c r="BS162" s="299">
        <v>0</v>
      </c>
      <c r="BT162" s="299">
        <f t="shared" si="134"/>
        <v>0</v>
      </c>
      <c r="BU162" s="299">
        <v>0</v>
      </c>
      <c r="BV162" s="299">
        <v>0</v>
      </c>
      <c r="BW162" s="299">
        <f t="shared" si="135"/>
        <v>0</v>
      </c>
    </row>
    <row r="163" spans="22:75">
      <c r="V163" s="299">
        <v>0</v>
      </c>
      <c r="W163" s="299">
        <f t="shared" si="92"/>
        <v>0</v>
      </c>
      <c r="X163" s="299">
        <f t="shared" ca="1" si="136"/>
        <v>0</v>
      </c>
      <c r="Y163" s="301">
        <f t="shared" si="137"/>
        <v>0</v>
      </c>
      <c r="Z163" s="302">
        <f t="shared" ca="1" si="138"/>
        <v>41</v>
      </c>
      <c r="AA163" s="299">
        <f t="shared" ca="1" si="96"/>
        <v>0</v>
      </c>
      <c r="AB163" s="299">
        <f t="shared" si="97"/>
        <v>0</v>
      </c>
      <c r="AC163" s="299">
        <f t="shared" si="139"/>
        <v>0</v>
      </c>
      <c r="AD163" s="299">
        <f t="shared" ca="1" si="140"/>
        <v>0</v>
      </c>
      <c r="AE163" s="301">
        <f t="shared" si="141"/>
        <v>0</v>
      </c>
      <c r="AF163" s="302">
        <f t="shared" ca="1" si="142"/>
        <v>33</v>
      </c>
      <c r="AG163" s="302">
        <f t="shared" ca="1" si="102"/>
        <v>0</v>
      </c>
      <c r="AH163" s="299">
        <f t="shared" si="103"/>
        <v>0</v>
      </c>
      <c r="AI163" s="299">
        <f t="shared" si="143"/>
        <v>0</v>
      </c>
      <c r="AJ163" s="299">
        <f t="shared" ca="1" si="144"/>
        <v>0</v>
      </c>
      <c r="AK163" s="301">
        <f t="shared" si="145"/>
        <v>0</v>
      </c>
      <c r="AL163" s="302">
        <f t="shared" ca="1" si="146"/>
        <v>29</v>
      </c>
      <c r="AM163" s="299">
        <f t="shared" ca="1" si="147"/>
        <v>0</v>
      </c>
      <c r="AN163" s="299">
        <f t="shared" si="109"/>
        <v>0</v>
      </c>
      <c r="AO163" s="299">
        <f t="shared" si="148"/>
        <v>0</v>
      </c>
      <c r="AP163" s="299">
        <f t="shared" ca="1" si="149"/>
        <v>0</v>
      </c>
      <c r="AQ163" s="301">
        <f t="shared" si="150"/>
        <v>0</v>
      </c>
      <c r="AR163" s="302">
        <f t="shared" ca="1" si="151"/>
        <v>23</v>
      </c>
      <c r="AS163" s="299">
        <f t="shared" ca="1" si="152"/>
        <v>0</v>
      </c>
      <c r="AT163" s="299">
        <f t="shared" si="115"/>
        <v>0</v>
      </c>
      <c r="AU163" s="299">
        <f t="shared" si="153"/>
        <v>0</v>
      </c>
      <c r="AV163" s="299">
        <f t="shared" ca="1" si="154"/>
        <v>0</v>
      </c>
      <c r="AW163" s="301">
        <f t="shared" si="155"/>
        <v>0</v>
      </c>
      <c r="AX163" s="302">
        <f t="shared" ca="1" si="156"/>
        <v>17</v>
      </c>
      <c r="AY163" s="299">
        <f t="shared" ca="1" si="157"/>
        <v>0</v>
      </c>
      <c r="AZ163" s="299">
        <f t="shared" si="121"/>
        <v>0</v>
      </c>
      <c r="BA163" s="299">
        <f t="shared" si="158"/>
        <v>0</v>
      </c>
      <c r="BB163" s="299">
        <f t="shared" ca="1" si="159"/>
        <v>0</v>
      </c>
      <c r="BC163" s="301">
        <f t="shared" si="160"/>
        <v>0</v>
      </c>
      <c r="BD163" s="302">
        <f t="shared" ca="1" si="161"/>
        <v>9</v>
      </c>
      <c r="BE163" s="299">
        <f t="shared" ca="1" si="162"/>
        <v>0</v>
      </c>
      <c r="BF163" s="299">
        <f t="shared" si="127"/>
        <v>0</v>
      </c>
      <c r="BG163" s="299">
        <f t="shared" si="163"/>
        <v>0</v>
      </c>
      <c r="BH163" s="299">
        <f t="shared" ca="1" si="129"/>
        <v>0</v>
      </c>
      <c r="BI163" s="301">
        <f t="shared" si="164"/>
        <v>0</v>
      </c>
      <c r="BJ163" s="302">
        <f t="shared" ca="1" si="165"/>
        <v>5</v>
      </c>
      <c r="BK163" s="299">
        <f t="shared" ca="1" si="166"/>
        <v>0</v>
      </c>
      <c r="BL163" s="299" t="e">
        <f>SUM(#REF!, V163, AB163,AH163,AN163,AT163,AZ163,BF163)</f>
        <v>#REF!</v>
      </c>
      <c r="BM163" s="299" t="e">
        <f>SUM(#REF!,W163, AC163,AI163,AO163,AU163,BA163,BG163)</f>
        <v>#REF!</v>
      </c>
      <c r="BN163" s="299" t="e">
        <f>SUM(#REF!,X163, AD163,AJ163,AP163,AV163,BB163,BH163)</f>
        <v>#REF!</v>
      </c>
      <c r="BO163" s="303" t="e">
        <f t="shared" si="133"/>
        <v>#REF!</v>
      </c>
      <c r="BP163" s="304" t="s">
        <v>5914</v>
      </c>
      <c r="BQ163" s="302"/>
      <c r="BR163" s="299">
        <v>0</v>
      </c>
      <c r="BS163" s="299">
        <v>0</v>
      </c>
      <c r="BT163" s="299">
        <f t="shared" si="134"/>
        <v>0</v>
      </c>
      <c r="BU163" s="299">
        <v>0</v>
      </c>
      <c r="BV163" s="299">
        <v>0</v>
      </c>
      <c r="BW163" s="299">
        <f t="shared" si="135"/>
        <v>0</v>
      </c>
    </row>
    <row r="164" spans="22:75">
      <c r="V164" s="299">
        <v>0</v>
      </c>
      <c r="W164" s="299">
        <f t="shared" ref="W164:W180" si="167">SUM(V164*0.1)</f>
        <v>0</v>
      </c>
      <c r="X164" s="299">
        <f t="shared" ca="1" si="136"/>
        <v>0</v>
      </c>
      <c r="Y164" s="301">
        <f t="shared" si="137"/>
        <v>0</v>
      </c>
      <c r="Z164" s="302">
        <f t="shared" ca="1" si="138"/>
        <v>41</v>
      </c>
      <c r="AA164" s="299">
        <f t="shared" ca="1" si="96"/>
        <v>0</v>
      </c>
      <c r="AB164" s="299">
        <f t="shared" si="97"/>
        <v>0</v>
      </c>
      <c r="AC164" s="299">
        <f t="shared" si="139"/>
        <v>0</v>
      </c>
      <c r="AD164" s="299">
        <f t="shared" ca="1" si="140"/>
        <v>0</v>
      </c>
      <c r="AE164" s="301">
        <f t="shared" si="141"/>
        <v>0</v>
      </c>
      <c r="AF164" s="302">
        <f t="shared" ca="1" si="142"/>
        <v>33</v>
      </c>
      <c r="AG164" s="302">
        <f t="shared" ca="1" si="102"/>
        <v>0</v>
      </c>
      <c r="AH164" s="299">
        <f t="shared" si="103"/>
        <v>0</v>
      </c>
      <c r="AI164" s="299">
        <f t="shared" si="143"/>
        <v>0</v>
      </c>
      <c r="AJ164" s="299">
        <f t="shared" ca="1" si="144"/>
        <v>0</v>
      </c>
      <c r="AK164" s="301">
        <f t="shared" si="145"/>
        <v>0</v>
      </c>
      <c r="AL164" s="302">
        <f t="shared" ca="1" si="146"/>
        <v>29</v>
      </c>
      <c r="AM164" s="299">
        <f t="shared" ca="1" si="147"/>
        <v>0</v>
      </c>
      <c r="AN164" s="299">
        <f t="shared" si="109"/>
        <v>0</v>
      </c>
      <c r="AO164" s="299">
        <f t="shared" si="148"/>
        <v>0</v>
      </c>
      <c r="AP164" s="299">
        <f t="shared" ca="1" si="149"/>
        <v>0</v>
      </c>
      <c r="AQ164" s="301">
        <f t="shared" si="150"/>
        <v>0</v>
      </c>
      <c r="AR164" s="302">
        <f t="shared" ca="1" si="151"/>
        <v>23</v>
      </c>
      <c r="AS164" s="299">
        <f t="shared" ca="1" si="152"/>
        <v>0</v>
      </c>
      <c r="AT164" s="299">
        <f t="shared" si="115"/>
        <v>0</v>
      </c>
      <c r="AU164" s="299">
        <f t="shared" si="153"/>
        <v>0</v>
      </c>
      <c r="AV164" s="299">
        <f t="shared" ca="1" si="154"/>
        <v>0</v>
      </c>
      <c r="AW164" s="301">
        <f t="shared" si="155"/>
        <v>0</v>
      </c>
      <c r="AX164" s="302">
        <f t="shared" ca="1" si="156"/>
        <v>17</v>
      </c>
      <c r="AY164" s="299">
        <f t="shared" ca="1" si="157"/>
        <v>0</v>
      </c>
      <c r="AZ164" s="299">
        <f t="shared" si="121"/>
        <v>0</v>
      </c>
      <c r="BA164" s="299">
        <f t="shared" si="158"/>
        <v>0</v>
      </c>
      <c r="BB164" s="299">
        <f t="shared" ca="1" si="159"/>
        <v>0</v>
      </c>
      <c r="BC164" s="301">
        <f t="shared" si="160"/>
        <v>0</v>
      </c>
      <c r="BD164" s="302">
        <f t="shared" ca="1" si="161"/>
        <v>9</v>
      </c>
      <c r="BE164" s="299">
        <f t="shared" ca="1" si="162"/>
        <v>0</v>
      </c>
      <c r="BF164" s="299">
        <f t="shared" si="127"/>
        <v>0</v>
      </c>
      <c r="BG164" s="299">
        <f t="shared" si="163"/>
        <v>0</v>
      </c>
      <c r="BH164" s="299">
        <f t="shared" ca="1" si="129"/>
        <v>0</v>
      </c>
      <c r="BI164" s="301">
        <f t="shared" si="164"/>
        <v>0</v>
      </c>
      <c r="BJ164" s="302">
        <f t="shared" ca="1" si="165"/>
        <v>5</v>
      </c>
      <c r="BK164" s="299">
        <f t="shared" ca="1" si="166"/>
        <v>0</v>
      </c>
      <c r="BL164" s="299" t="e">
        <f>SUM(#REF!, V164, AB164,AH164,AN164,AT164,AZ164,BF164)</f>
        <v>#REF!</v>
      </c>
      <c r="BM164" s="299" t="e">
        <f>SUM(#REF!,W164, AC164,AI164,AO164,AU164,BA164,BG164)</f>
        <v>#REF!</v>
      </c>
      <c r="BN164" s="299" t="e">
        <f>SUM(#REF!,X164, AD164,AJ164,AP164,AV164,BB164,BH164)</f>
        <v>#REF!</v>
      </c>
      <c r="BO164" s="303" t="e">
        <f t="shared" si="133"/>
        <v>#REF!</v>
      </c>
      <c r="BP164" s="304" t="s">
        <v>5914</v>
      </c>
      <c r="BQ164" s="302"/>
      <c r="BR164" s="299">
        <v>0</v>
      </c>
      <c r="BS164" s="299">
        <v>0</v>
      </c>
      <c r="BT164" s="299">
        <f t="shared" si="134"/>
        <v>0</v>
      </c>
      <c r="BU164" s="299">
        <v>0</v>
      </c>
      <c r="BV164" s="299">
        <v>0</v>
      </c>
      <c r="BW164" s="299">
        <f t="shared" si="135"/>
        <v>0</v>
      </c>
    </row>
    <row r="165" spans="22:75">
      <c r="V165" s="299">
        <v>0</v>
      </c>
      <c r="W165" s="299">
        <f t="shared" si="167"/>
        <v>0</v>
      </c>
      <c r="X165" s="299">
        <f t="shared" ca="1" si="136"/>
        <v>0</v>
      </c>
      <c r="Y165" s="301">
        <f t="shared" si="137"/>
        <v>0</v>
      </c>
      <c r="Z165" s="302">
        <f t="shared" ca="1" si="138"/>
        <v>41</v>
      </c>
      <c r="AA165" s="299">
        <v>0</v>
      </c>
      <c r="AB165" s="299">
        <f t="shared" si="97"/>
        <v>0</v>
      </c>
      <c r="AC165" s="299">
        <f t="shared" si="139"/>
        <v>0</v>
      </c>
      <c r="AD165" s="299">
        <f t="shared" ca="1" si="140"/>
        <v>0</v>
      </c>
      <c r="AE165" s="301">
        <f t="shared" si="141"/>
        <v>0</v>
      </c>
      <c r="AF165" s="302">
        <f t="shared" ca="1" si="142"/>
        <v>33</v>
      </c>
      <c r="AG165" s="302">
        <f t="shared" ca="1" si="102"/>
        <v>0</v>
      </c>
      <c r="AH165" s="299">
        <f t="shared" si="103"/>
        <v>0</v>
      </c>
      <c r="AI165" s="299">
        <f t="shared" si="143"/>
        <v>0</v>
      </c>
      <c r="AJ165" s="299">
        <f t="shared" ca="1" si="144"/>
        <v>0</v>
      </c>
      <c r="AK165" s="301">
        <f t="shared" si="145"/>
        <v>0</v>
      </c>
      <c r="AL165" s="302">
        <f t="shared" ca="1" si="146"/>
        <v>29</v>
      </c>
      <c r="AM165" s="299">
        <f t="shared" ca="1" si="147"/>
        <v>0</v>
      </c>
      <c r="AN165" s="299">
        <v>0</v>
      </c>
      <c r="AO165" s="299">
        <f t="shared" si="148"/>
        <v>0</v>
      </c>
      <c r="AP165" s="299">
        <f t="shared" ca="1" si="149"/>
        <v>0</v>
      </c>
      <c r="AQ165" s="301">
        <f t="shared" si="150"/>
        <v>0</v>
      </c>
      <c r="AR165" s="302">
        <f t="shared" ca="1" si="151"/>
        <v>23</v>
      </c>
      <c r="AS165" s="299">
        <f t="shared" ca="1" si="152"/>
        <v>0</v>
      </c>
      <c r="AT165" s="299">
        <f t="shared" si="115"/>
        <v>0</v>
      </c>
      <c r="AU165" s="299">
        <f t="shared" si="153"/>
        <v>0</v>
      </c>
      <c r="AV165" s="299">
        <f t="shared" ca="1" si="154"/>
        <v>0</v>
      </c>
      <c r="AW165" s="301">
        <f t="shared" si="155"/>
        <v>0</v>
      </c>
      <c r="AX165" s="302">
        <f t="shared" ca="1" si="156"/>
        <v>17</v>
      </c>
      <c r="AY165" s="299">
        <f t="shared" ca="1" si="157"/>
        <v>0</v>
      </c>
      <c r="AZ165" s="299">
        <f t="shared" si="121"/>
        <v>0</v>
      </c>
      <c r="BA165" s="299">
        <f t="shared" si="158"/>
        <v>0</v>
      </c>
      <c r="BB165" s="299">
        <f t="shared" ca="1" si="159"/>
        <v>0</v>
      </c>
      <c r="BC165" s="301">
        <f t="shared" si="160"/>
        <v>0</v>
      </c>
      <c r="BD165" s="302">
        <f t="shared" ca="1" si="161"/>
        <v>9</v>
      </c>
      <c r="BE165" s="299">
        <f t="shared" ca="1" si="162"/>
        <v>0</v>
      </c>
      <c r="BF165" s="299">
        <f t="shared" si="127"/>
        <v>0</v>
      </c>
      <c r="BG165" s="299">
        <f t="shared" si="163"/>
        <v>0</v>
      </c>
      <c r="BH165" s="299">
        <f t="shared" ca="1" si="129"/>
        <v>0</v>
      </c>
      <c r="BI165" s="301">
        <f t="shared" si="164"/>
        <v>0</v>
      </c>
      <c r="BJ165" s="302">
        <f t="shared" ca="1" si="165"/>
        <v>5</v>
      </c>
      <c r="BK165" s="299">
        <f t="shared" ca="1" si="166"/>
        <v>0</v>
      </c>
      <c r="BL165" s="299" t="e">
        <f>SUM(#REF!, V165, AB165,AH165,AN165,AT165,AZ165,BF165)</f>
        <v>#REF!</v>
      </c>
      <c r="BM165" s="299" t="e">
        <f>SUM(#REF!,W165, AC165,AI165,AO165,AU165,BA165,BG165)</f>
        <v>#REF!</v>
      </c>
      <c r="BN165" s="299" t="e">
        <f>SUM(#REF!,X165, AD165,AJ165,AP165,AV165,BB165,BH165)</f>
        <v>#REF!</v>
      </c>
      <c r="BO165" s="303" t="e">
        <f t="shared" si="133"/>
        <v>#REF!</v>
      </c>
      <c r="BP165" s="304" t="s">
        <v>5914</v>
      </c>
      <c r="BQ165" s="302"/>
      <c r="BR165" s="299">
        <v>0</v>
      </c>
      <c r="BS165" s="299">
        <v>0</v>
      </c>
      <c r="BT165" s="299">
        <f t="shared" si="134"/>
        <v>0</v>
      </c>
      <c r="BU165" s="299">
        <v>0</v>
      </c>
      <c r="BV165" s="299">
        <v>0</v>
      </c>
      <c r="BW165" s="299">
        <f t="shared" si="135"/>
        <v>0</v>
      </c>
    </row>
    <row r="166" spans="22:75">
      <c r="V166" s="299">
        <v>0</v>
      </c>
      <c r="W166" s="299">
        <f t="shared" si="167"/>
        <v>0</v>
      </c>
      <c r="X166" s="299">
        <f t="shared" ca="1" si="136"/>
        <v>0</v>
      </c>
      <c r="Y166" s="301">
        <f t="shared" si="137"/>
        <v>0</v>
      </c>
      <c r="Z166" s="302">
        <f t="shared" ca="1" si="138"/>
        <v>41</v>
      </c>
      <c r="AA166" s="299">
        <f t="shared" ref="AA166:AA180" ca="1" si="168">SUM(V166,W166,X166)</f>
        <v>0</v>
      </c>
      <c r="AB166" s="299">
        <f t="shared" si="97"/>
        <v>0</v>
      </c>
      <c r="AC166" s="299">
        <f t="shared" si="139"/>
        <v>0</v>
      </c>
      <c r="AD166" s="299">
        <f t="shared" ca="1" si="140"/>
        <v>0</v>
      </c>
      <c r="AE166" s="301">
        <f t="shared" si="141"/>
        <v>0</v>
      </c>
      <c r="AF166" s="302">
        <f t="shared" ca="1" si="142"/>
        <v>33</v>
      </c>
      <c r="AG166" s="302">
        <f t="shared" ca="1" si="102"/>
        <v>0</v>
      </c>
      <c r="AH166" s="299">
        <f t="shared" si="103"/>
        <v>0</v>
      </c>
      <c r="AI166" s="299">
        <f t="shared" si="143"/>
        <v>0</v>
      </c>
      <c r="AJ166" s="299">
        <f t="shared" ca="1" si="144"/>
        <v>0</v>
      </c>
      <c r="AK166" s="301">
        <f t="shared" si="145"/>
        <v>0</v>
      </c>
      <c r="AL166" s="302">
        <f t="shared" ca="1" si="146"/>
        <v>29</v>
      </c>
      <c r="AM166" s="299">
        <f t="shared" ca="1" si="147"/>
        <v>0</v>
      </c>
      <c r="AN166" s="299">
        <f t="shared" ref="AN166:AN180" si="169">SUM(BW166*0.0045)/2</f>
        <v>0</v>
      </c>
      <c r="AO166" s="299">
        <f t="shared" si="148"/>
        <v>0</v>
      </c>
      <c r="AP166" s="299">
        <f t="shared" ca="1" si="149"/>
        <v>0</v>
      </c>
      <c r="AQ166" s="301">
        <f t="shared" si="150"/>
        <v>0</v>
      </c>
      <c r="AR166" s="302">
        <f t="shared" ca="1" si="151"/>
        <v>23</v>
      </c>
      <c r="AS166" s="299">
        <f t="shared" ca="1" si="152"/>
        <v>0</v>
      </c>
      <c r="AT166" s="299">
        <f t="shared" si="115"/>
        <v>0</v>
      </c>
      <c r="AU166" s="299">
        <f t="shared" si="153"/>
        <v>0</v>
      </c>
      <c r="AV166" s="299">
        <f t="shared" ca="1" si="154"/>
        <v>0</v>
      </c>
      <c r="AW166" s="301">
        <f t="shared" si="155"/>
        <v>0</v>
      </c>
      <c r="AX166" s="302">
        <f t="shared" ca="1" si="156"/>
        <v>17</v>
      </c>
      <c r="AY166" s="299">
        <f t="shared" ca="1" si="157"/>
        <v>0</v>
      </c>
      <c r="AZ166" s="299">
        <f t="shared" si="121"/>
        <v>0</v>
      </c>
      <c r="BA166" s="299">
        <f t="shared" si="158"/>
        <v>0</v>
      </c>
      <c r="BB166" s="299">
        <f t="shared" ca="1" si="159"/>
        <v>0</v>
      </c>
      <c r="BC166" s="301">
        <f t="shared" si="160"/>
        <v>0</v>
      </c>
      <c r="BD166" s="302">
        <f t="shared" ca="1" si="161"/>
        <v>9</v>
      </c>
      <c r="BE166" s="299">
        <f t="shared" ca="1" si="162"/>
        <v>0</v>
      </c>
      <c r="BF166" s="299">
        <f t="shared" si="127"/>
        <v>0</v>
      </c>
      <c r="BG166" s="299">
        <f t="shared" si="163"/>
        <v>0</v>
      </c>
      <c r="BH166" s="299">
        <f t="shared" ca="1" si="129"/>
        <v>0</v>
      </c>
      <c r="BI166" s="301">
        <f t="shared" si="164"/>
        <v>0</v>
      </c>
      <c r="BJ166" s="302">
        <f t="shared" ca="1" si="165"/>
        <v>5</v>
      </c>
      <c r="BK166" s="299">
        <f t="shared" ca="1" si="166"/>
        <v>0</v>
      </c>
      <c r="BL166" s="299" t="e">
        <f>SUM(#REF!, V166, AB166,AH166,AN166,AT166,AZ166,BF166)</f>
        <v>#REF!</v>
      </c>
      <c r="BM166" s="299" t="e">
        <f>SUM(#REF!,W166, AC166,AI166,AO166,AU166,BA166,BG166)</f>
        <v>#REF!</v>
      </c>
      <c r="BN166" s="299" t="e">
        <f>SUM(#REF!,X166, AD166,AJ166,AP166,AV166,BB166,BH166)</f>
        <v>#REF!</v>
      </c>
      <c r="BO166" s="303" t="e">
        <f t="shared" ref="BO166:BO180" si="170">SUM(BL166:BN166)</f>
        <v>#REF!</v>
      </c>
      <c r="BP166" s="304" t="s">
        <v>5914</v>
      </c>
      <c r="BQ166" s="302"/>
      <c r="BR166" s="299">
        <v>0</v>
      </c>
      <c r="BS166" s="299">
        <v>0</v>
      </c>
      <c r="BT166" s="299">
        <f t="shared" si="134"/>
        <v>0</v>
      </c>
      <c r="BU166" s="299">
        <v>0</v>
      </c>
      <c r="BV166" s="299">
        <v>0</v>
      </c>
      <c r="BW166" s="299">
        <f t="shared" si="135"/>
        <v>0</v>
      </c>
    </row>
    <row r="167" spans="22:75">
      <c r="V167" s="299">
        <v>0</v>
      </c>
      <c r="W167" s="299">
        <f t="shared" si="167"/>
        <v>0</v>
      </c>
      <c r="X167" s="299">
        <f t="shared" ca="1" si="136"/>
        <v>0</v>
      </c>
      <c r="Y167" s="301">
        <f t="shared" si="137"/>
        <v>0</v>
      </c>
      <c r="Z167" s="302">
        <f t="shared" ca="1" si="138"/>
        <v>41</v>
      </c>
      <c r="AA167" s="299">
        <f t="shared" ca="1" si="168"/>
        <v>0</v>
      </c>
      <c r="AB167" s="299">
        <f t="shared" si="97"/>
        <v>0</v>
      </c>
      <c r="AC167" s="299">
        <f t="shared" si="139"/>
        <v>0</v>
      </c>
      <c r="AD167" s="299">
        <f t="shared" ca="1" si="140"/>
        <v>0</v>
      </c>
      <c r="AE167" s="301">
        <f t="shared" si="141"/>
        <v>0</v>
      </c>
      <c r="AF167" s="302">
        <f t="shared" ca="1" si="142"/>
        <v>33</v>
      </c>
      <c r="AG167" s="302">
        <f t="shared" ca="1" si="102"/>
        <v>0</v>
      </c>
      <c r="AH167" s="299">
        <f t="shared" si="103"/>
        <v>0</v>
      </c>
      <c r="AI167" s="299">
        <f t="shared" si="143"/>
        <v>0</v>
      </c>
      <c r="AJ167" s="299">
        <f t="shared" ca="1" si="144"/>
        <v>0</v>
      </c>
      <c r="AK167" s="301">
        <f t="shared" si="145"/>
        <v>0</v>
      </c>
      <c r="AL167" s="302">
        <f t="shared" ca="1" si="146"/>
        <v>29</v>
      </c>
      <c r="AM167" s="299">
        <f t="shared" ca="1" si="147"/>
        <v>0</v>
      </c>
      <c r="AN167" s="299">
        <f t="shared" si="169"/>
        <v>0</v>
      </c>
      <c r="AO167" s="299">
        <f t="shared" si="148"/>
        <v>0</v>
      </c>
      <c r="AP167" s="299">
        <f t="shared" ca="1" si="149"/>
        <v>0</v>
      </c>
      <c r="AQ167" s="301">
        <f t="shared" si="150"/>
        <v>0</v>
      </c>
      <c r="AR167" s="302">
        <f t="shared" ca="1" si="151"/>
        <v>23</v>
      </c>
      <c r="AS167" s="299">
        <f t="shared" ca="1" si="152"/>
        <v>0</v>
      </c>
      <c r="AT167" s="299">
        <f t="shared" si="115"/>
        <v>0</v>
      </c>
      <c r="AU167" s="299">
        <f t="shared" si="153"/>
        <v>0</v>
      </c>
      <c r="AV167" s="299">
        <f t="shared" ca="1" si="154"/>
        <v>0</v>
      </c>
      <c r="AW167" s="301">
        <f t="shared" si="155"/>
        <v>0</v>
      </c>
      <c r="AX167" s="302">
        <f t="shared" ca="1" si="156"/>
        <v>17</v>
      </c>
      <c r="AY167" s="299">
        <f t="shared" ca="1" si="157"/>
        <v>0</v>
      </c>
      <c r="AZ167" s="299">
        <f t="shared" si="121"/>
        <v>0</v>
      </c>
      <c r="BA167" s="299">
        <f t="shared" si="158"/>
        <v>0</v>
      </c>
      <c r="BB167" s="299">
        <f t="shared" ca="1" si="159"/>
        <v>0</v>
      </c>
      <c r="BC167" s="301">
        <f t="shared" si="160"/>
        <v>0</v>
      </c>
      <c r="BD167" s="302">
        <f t="shared" ca="1" si="161"/>
        <v>9</v>
      </c>
      <c r="BE167" s="299">
        <f t="shared" ca="1" si="162"/>
        <v>0</v>
      </c>
      <c r="BF167" s="299">
        <f t="shared" si="127"/>
        <v>0</v>
      </c>
      <c r="BG167" s="299">
        <f t="shared" si="163"/>
        <v>0</v>
      </c>
      <c r="BH167" s="299">
        <f t="shared" ca="1" si="129"/>
        <v>0</v>
      </c>
      <c r="BI167" s="301">
        <f t="shared" si="164"/>
        <v>0</v>
      </c>
      <c r="BJ167" s="302">
        <f t="shared" ca="1" si="165"/>
        <v>5</v>
      </c>
      <c r="BK167" s="299">
        <f t="shared" ca="1" si="166"/>
        <v>0</v>
      </c>
      <c r="BL167" s="299" t="e">
        <f>SUM(#REF!, V167, AB167,AH167,AN167,AT167,AZ167,BF167)</f>
        <v>#REF!</v>
      </c>
      <c r="BM167" s="299" t="e">
        <f>SUM(#REF!,W167, AC167,AI167,AO167,AU167,BA167,BG167)</f>
        <v>#REF!</v>
      </c>
      <c r="BN167" s="299" t="e">
        <f>SUM(#REF!,X167, AD167,AJ167,AP167,AV167,BB167,BH167)</f>
        <v>#REF!</v>
      </c>
      <c r="BO167" s="303" t="e">
        <f t="shared" si="170"/>
        <v>#REF!</v>
      </c>
      <c r="BP167" s="304" t="s">
        <v>5914</v>
      </c>
      <c r="BQ167" s="302"/>
      <c r="BR167" s="299">
        <v>0</v>
      </c>
      <c r="BS167" s="299">
        <v>0</v>
      </c>
      <c r="BT167" s="299">
        <f t="shared" si="134"/>
        <v>0</v>
      </c>
      <c r="BU167" s="299">
        <v>0</v>
      </c>
      <c r="BV167" s="299">
        <v>0</v>
      </c>
      <c r="BW167" s="299">
        <f t="shared" si="135"/>
        <v>0</v>
      </c>
    </row>
    <row r="168" spans="22:75">
      <c r="V168" s="299">
        <v>0</v>
      </c>
      <c r="W168" s="299">
        <f t="shared" si="167"/>
        <v>0</v>
      </c>
      <c r="X168" s="299">
        <f t="shared" ca="1" si="136"/>
        <v>0</v>
      </c>
      <c r="Y168" s="301">
        <f t="shared" si="137"/>
        <v>0</v>
      </c>
      <c r="Z168" s="302">
        <f t="shared" ca="1" si="138"/>
        <v>41</v>
      </c>
      <c r="AA168" s="299">
        <f t="shared" ca="1" si="168"/>
        <v>0</v>
      </c>
      <c r="AB168" s="299">
        <f t="shared" si="97"/>
        <v>0</v>
      </c>
      <c r="AC168" s="299">
        <f t="shared" si="139"/>
        <v>0</v>
      </c>
      <c r="AD168" s="299">
        <f t="shared" ca="1" si="140"/>
        <v>0</v>
      </c>
      <c r="AE168" s="301">
        <f t="shared" si="141"/>
        <v>0</v>
      </c>
      <c r="AF168" s="302">
        <f t="shared" ca="1" si="142"/>
        <v>33</v>
      </c>
      <c r="AG168" s="302">
        <f t="shared" ca="1" si="102"/>
        <v>0</v>
      </c>
      <c r="AH168" s="299">
        <f t="shared" si="103"/>
        <v>0</v>
      </c>
      <c r="AI168" s="299">
        <f t="shared" si="143"/>
        <v>0</v>
      </c>
      <c r="AJ168" s="299">
        <f t="shared" ca="1" si="144"/>
        <v>0</v>
      </c>
      <c r="AK168" s="301">
        <f t="shared" si="145"/>
        <v>0</v>
      </c>
      <c r="AL168" s="302">
        <f t="shared" ca="1" si="146"/>
        <v>29</v>
      </c>
      <c r="AM168" s="299">
        <f t="shared" ca="1" si="147"/>
        <v>0</v>
      </c>
      <c r="AN168" s="299">
        <f t="shared" si="169"/>
        <v>0</v>
      </c>
      <c r="AO168" s="299">
        <f t="shared" si="148"/>
        <v>0</v>
      </c>
      <c r="AP168" s="299">
        <f t="shared" ca="1" si="149"/>
        <v>0</v>
      </c>
      <c r="AQ168" s="301">
        <f t="shared" si="150"/>
        <v>0</v>
      </c>
      <c r="AR168" s="302">
        <f t="shared" ca="1" si="151"/>
        <v>23</v>
      </c>
      <c r="AS168" s="299">
        <f t="shared" ca="1" si="152"/>
        <v>0</v>
      </c>
      <c r="AT168" s="299">
        <f t="shared" si="115"/>
        <v>0</v>
      </c>
      <c r="AU168" s="299">
        <f t="shared" si="153"/>
        <v>0</v>
      </c>
      <c r="AV168" s="299">
        <f t="shared" ca="1" si="154"/>
        <v>0</v>
      </c>
      <c r="AW168" s="301">
        <f t="shared" si="155"/>
        <v>0</v>
      </c>
      <c r="AX168" s="302">
        <f t="shared" ca="1" si="156"/>
        <v>17</v>
      </c>
      <c r="AY168" s="299">
        <f t="shared" ca="1" si="157"/>
        <v>0</v>
      </c>
      <c r="AZ168" s="299">
        <f t="shared" si="121"/>
        <v>0</v>
      </c>
      <c r="BA168" s="299">
        <f t="shared" si="158"/>
        <v>0</v>
      </c>
      <c r="BB168" s="299">
        <f t="shared" ca="1" si="159"/>
        <v>0</v>
      </c>
      <c r="BC168" s="301">
        <f t="shared" si="160"/>
        <v>0</v>
      </c>
      <c r="BD168" s="302">
        <f t="shared" ca="1" si="161"/>
        <v>9</v>
      </c>
      <c r="BE168" s="299">
        <f t="shared" ca="1" si="162"/>
        <v>0</v>
      </c>
      <c r="BF168" s="299">
        <f t="shared" si="127"/>
        <v>0</v>
      </c>
      <c r="BG168" s="299">
        <f t="shared" si="163"/>
        <v>0</v>
      </c>
      <c r="BH168" s="299">
        <f t="shared" ca="1" si="129"/>
        <v>0</v>
      </c>
      <c r="BI168" s="301">
        <f t="shared" si="164"/>
        <v>0</v>
      </c>
      <c r="BJ168" s="302">
        <f t="shared" ca="1" si="165"/>
        <v>5</v>
      </c>
      <c r="BK168" s="299">
        <f t="shared" ca="1" si="166"/>
        <v>0</v>
      </c>
      <c r="BL168" s="299" t="e">
        <f>SUM(#REF!, V168, AB168,AH168,AN168,AT168,AZ168,BF168)</f>
        <v>#REF!</v>
      </c>
      <c r="BM168" s="299" t="e">
        <f>SUM(#REF!,W168, AC168,AI168,AO168,AU168,BA168,BG168)</f>
        <v>#REF!</v>
      </c>
      <c r="BN168" s="299" t="e">
        <f>SUM(#REF!,X168, AD168,AJ168,AP168,AV168,BB168,BH168)</f>
        <v>#REF!</v>
      </c>
      <c r="BO168" s="303" t="e">
        <f t="shared" si="170"/>
        <v>#REF!</v>
      </c>
      <c r="BP168" s="304" t="s">
        <v>5914</v>
      </c>
      <c r="BQ168" s="302"/>
      <c r="BR168" s="299">
        <v>0</v>
      </c>
      <c r="BS168" s="299">
        <v>0</v>
      </c>
      <c r="BT168" s="299">
        <f t="shared" si="134"/>
        <v>0</v>
      </c>
      <c r="BU168" s="299">
        <v>0</v>
      </c>
      <c r="BV168" s="299">
        <v>0</v>
      </c>
      <c r="BW168" s="299">
        <f t="shared" si="135"/>
        <v>0</v>
      </c>
    </row>
    <row r="169" spans="22:75">
      <c r="V169" s="299">
        <v>0</v>
      </c>
      <c r="W169" s="299">
        <f t="shared" si="167"/>
        <v>0</v>
      </c>
      <c r="X169" s="299">
        <f t="shared" ca="1" si="136"/>
        <v>0</v>
      </c>
      <c r="Y169" s="301">
        <f t="shared" si="137"/>
        <v>0</v>
      </c>
      <c r="Z169" s="302">
        <f t="shared" ca="1" si="138"/>
        <v>41</v>
      </c>
      <c r="AA169" s="299">
        <f t="shared" ca="1" si="168"/>
        <v>0</v>
      </c>
      <c r="AB169" s="299">
        <f t="shared" si="97"/>
        <v>0</v>
      </c>
      <c r="AC169" s="299">
        <f t="shared" si="139"/>
        <v>0</v>
      </c>
      <c r="AD169" s="299">
        <f t="shared" ca="1" si="140"/>
        <v>0</v>
      </c>
      <c r="AE169" s="301">
        <f t="shared" si="141"/>
        <v>0</v>
      </c>
      <c r="AF169" s="302">
        <f t="shared" ca="1" si="142"/>
        <v>33</v>
      </c>
      <c r="AG169" s="302">
        <f t="shared" ca="1" si="102"/>
        <v>0</v>
      </c>
      <c r="AH169" s="299">
        <f t="shared" si="103"/>
        <v>0</v>
      </c>
      <c r="AI169" s="299">
        <f t="shared" si="143"/>
        <v>0</v>
      </c>
      <c r="AJ169" s="299">
        <f t="shared" ca="1" si="144"/>
        <v>0</v>
      </c>
      <c r="AK169" s="301">
        <f t="shared" si="145"/>
        <v>0</v>
      </c>
      <c r="AL169" s="302">
        <f t="shared" ca="1" si="146"/>
        <v>29</v>
      </c>
      <c r="AM169" s="299">
        <f t="shared" ca="1" si="147"/>
        <v>0</v>
      </c>
      <c r="AN169" s="299">
        <f t="shared" si="169"/>
        <v>0</v>
      </c>
      <c r="AO169" s="299">
        <f t="shared" si="148"/>
        <v>0</v>
      </c>
      <c r="AP169" s="299">
        <f t="shared" ca="1" si="149"/>
        <v>0</v>
      </c>
      <c r="AQ169" s="301">
        <f t="shared" si="150"/>
        <v>0</v>
      </c>
      <c r="AR169" s="302">
        <f t="shared" ca="1" si="151"/>
        <v>23</v>
      </c>
      <c r="AS169" s="299">
        <f t="shared" ca="1" si="152"/>
        <v>0</v>
      </c>
      <c r="AT169" s="299">
        <f t="shared" si="115"/>
        <v>0</v>
      </c>
      <c r="AU169" s="299">
        <f t="shared" si="153"/>
        <v>0</v>
      </c>
      <c r="AV169" s="299">
        <f t="shared" ca="1" si="154"/>
        <v>0</v>
      </c>
      <c r="AW169" s="301">
        <f t="shared" si="155"/>
        <v>0</v>
      </c>
      <c r="AX169" s="302">
        <f t="shared" ca="1" si="156"/>
        <v>17</v>
      </c>
      <c r="AY169" s="299">
        <f t="shared" ca="1" si="157"/>
        <v>0</v>
      </c>
      <c r="AZ169" s="299">
        <f t="shared" si="121"/>
        <v>0</v>
      </c>
      <c r="BA169" s="299">
        <f t="shared" si="158"/>
        <v>0</v>
      </c>
      <c r="BB169" s="299">
        <f t="shared" ca="1" si="159"/>
        <v>0</v>
      </c>
      <c r="BC169" s="301">
        <f t="shared" si="160"/>
        <v>0</v>
      </c>
      <c r="BD169" s="302">
        <f t="shared" ca="1" si="161"/>
        <v>9</v>
      </c>
      <c r="BE169" s="299">
        <f t="shared" ca="1" si="162"/>
        <v>0</v>
      </c>
      <c r="BF169" s="299">
        <f t="shared" si="127"/>
        <v>0</v>
      </c>
      <c r="BG169" s="299">
        <f t="shared" si="163"/>
        <v>0</v>
      </c>
      <c r="BH169" s="299">
        <f t="shared" ca="1" si="129"/>
        <v>0</v>
      </c>
      <c r="BI169" s="301">
        <f t="shared" si="164"/>
        <v>0</v>
      </c>
      <c r="BJ169" s="302">
        <f t="shared" ca="1" si="165"/>
        <v>5</v>
      </c>
      <c r="BK169" s="299">
        <f t="shared" ca="1" si="166"/>
        <v>0</v>
      </c>
      <c r="BL169" s="299" t="e">
        <f>SUM(#REF!, V169, AB169,AH169,AN169,AT169,AZ169,BF169)</f>
        <v>#REF!</v>
      </c>
      <c r="BM169" s="299" t="e">
        <f>SUM(#REF!,W169, AC169,AI169,AO169,AU169,BA169,BG169)</f>
        <v>#REF!</v>
      </c>
      <c r="BN169" s="299" t="e">
        <f>SUM(#REF!,X169, AD169,AJ169,AP169,AV169,BB169,BH169)</f>
        <v>#REF!</v>
      </c>
      <c r="BO169" s="303" t="e">
        <f t="shared" si="170"/>
        <v>#REF!</v>
      </c>
      <c r="BP169" s="304" t="s">
        <v>5914</v>
      </c>
      <c r="BQ169" s="302"/>
      <c r="BR169" s="299">
        <v>0</v>
      </c>
      <c r="BS169" s="299">
        <v>0</v>
      </c>
      <c r="BT169" s="299">
        <f t="shared" ref="BT169:BT180" si="171">SUM(BR169+BS169)</f>
        <v>0</v>
      </c>
      <c r="BU169" s="299">
        <v>0</v>
      </c>
      <c r="BV169" s="299">
        <v>0</v>
      </c>
      <c r="BW169" s="299">
        <f t="shared" si="135"/>
        <v>0</v>
      </c>
    </row>
    <row r="170" spans="22:75">
      <c r="V170" s="299">
        <v>0</v>
      </c>
      <c r="W170" s="299">
        <f t="shared" si="167"/>
        <v>0</v>
      </c>
      <c r="X170" s="299">
        <f t="shared" ca="1" si="136"/>
        <v>0</v>
      </c>
      <c r="Y170" s="301">
        <f t="shared" si="137"/>
        <v>0</v>
      </c>
      <c r="Z170" s="302">
        <f t="shared" ca="1" si="138"/>
        <v>41</v>
      </c>
      <c r="AA170" s="299">
        <f t="shared" ca="1" si="168"/>
        <v>0</v>
      </c>
      <c r="AB170" s="299">
        <f t="shared" si="97"/>
        <v>0</v>
      </c>
      <c r="AC170" s="299">
        <f t="shared" si="139"/>
        <v>0</v>
      </c>
      <c r="AD170" s="299">
        <f t="shared" ca="1" si="140"/>
        <v>0</v>
      </c>
      <c r="AE170" s="301">
        <f t="shared" si="141"/>
        <v>0</v>
      </c>
      <c r="AF170" s="302">
        <f t="shared" ca="1" si="142"/>
        <v>33</v>
      </c>
      <c r="AG170" s="302">
        <f t="shared" ca="1" si="102"/>
        <v>0</v>
      </c>
      <c r="AH170" s="299">
        <f t="shared" si="103"/>
        <v>0</v>
      </c>
      <c r="AI170" s="299">
        <f t="shared" si="143"/>
        <v>0</v>
      </c>
      <c r="AJ170" s="299">
        <f t="shared" ca="1" si="144"/>
        <v>0</v>
      </c>
      <c r="AK170" s="301">
        <f t="shared" si="145"/>
        <v>0</v>
      </c>
      <c r="AL170" s="302">
        <f t="shared" ca="1" si="146"/>
        <v>29</v>
      </c>
      <c r="AM170" s="299">
        <f t="shared" ca="1" si="147"/>
        <v>0</v>
      </c>
      <c r="AN170" s="299">
        <f t="shared" si="169"/>
        <v>0</v>
      </c>
      <c r="AO170" s="299">
        <f t="shared" si="148"/>
        <v>0</v>
      </c>
      <c r="AP170" s="299">
        <f t="shared" ca="1" si="149"/>
        <v>0</v>
      </c>
      <c r="AQ170" s="301">
        <f t="shared" si="150"/>
        <v>0</v>
      </c>
      <c r="AR170" s="302">
        <f t="shared" ca="1" si="151"/>
        <v>23</v>
      </c>
      <c r="AS170" s="299">
        <f t="shared" ca="1" si="152"/>
        <v>0</v>
      </c>
      <c r="AT170" s="299">
        <f t="shared" si="115"/>
        <v>0</v>
      </c>
      <c r="AU170" s="299">
        <f t="shared" si="153"/>
        <v>0</v>
      </c>
      <c r="AV170" s="299">
        <f t="shared" ca="1" si="154"/>
        <v>0</v>
      </c>
      <c r="AW170" s="301">
        <f t="shared" si="155"/>
        <v>0</v>
      </c>
      <c r="AX170" s="302">
        <f t="shared" ca="1" si="156"/>
        <v>17</v>
      </c>
      <c r="AY170" s="299">
        <f t="shared" ca="1" si="157"/>
        <v>0</v>
      </c>
      <c r="AZ170" s="299">
        <f t="shared" si="121"/>
        <v>0</v>
      </c>
      <c r="BA170" s="299">
        <f t="shared" si="158"/>
        <v>0</v>
      </c>
      <c r="BB170" s="299">
        <f t="shared" ca="1" si="159"/>
        <v>0</v>
      </c>
      <c r="BC170" s="301">
        <f t="shared" si="160"/>
        <v>0</v>
      </c>
      <c r="BD170" s="302">
        <f t="shared" ca="1" si="161"/>
        <v>9</v>
      </c>
      <c r="BE170" s="299">
        <f t="shared" ca="1" si="162"/>
        <v>0</v>
      </c>
      <c r="BF170" s="299">
        <f t="shared" si="127"/>
        <v>0</v>
      </c>
      <c r="BG170" s="299">
        <f t="shared" si="163"/>
        <v>0</v>
      </c>
      <c r="BH170" s="299">
        <f t="shared" ca="1" si="129"/>
        <v>0</v>
      </c>
      <c r="BI170" s="301">
        <f t="shared" si="164"/>
        <v>0</v>
      </c>
      <c r="BJ170" s="302">
        <f t="shared" ca="1" si="165"/>
        <v>5</v>
      </c>
      <c r="BK170" s="299">
        <f t="shared" ca="1" si="166"/>
        <v>0</v>
      </c>
      <c r="BL170" s="299" t="e">
        <f>SUM(#REF!, V170, AB170,AH170,AN170,AT170,AZ170,BF170)</f>
        <v>#REF!</v>
      </c>
      <c r="BM170" s="299" t="e">
        <f>SUM(#REF!,W170, AC170,AI170,AO170,AU170,BA170,BG170)</f>
        <v>#REF!</v>
      </c>
      <c r="BN170" s="299" t="e">
        <f>SUM(#REF!,X170, AD170,AJ170,AP170,AV170,BB170,BH170)</f>
        <v>#REF!</v>
      </c>
      <c r="BO170" s="303" t="e">
        <f t="shared" si="170"/>
        <v>#REF!</v>
      </c>
      <c r="BP170" s="304" t="s">
        <v>5914</v>
      </c>
      <c r="BQ170" s="302"/>
      <c r="BR170" s="299">
        <v>0</v>
      </c>
      <c r="BS170" s="299">
        <v>0</v>
      </c>
      <c r="BT170" s="299">
        <f t="shared" si="171"/>
        <v>0</v>
      </c>
      <c r="BU170" s="299">
        <v>0</v>
      </c>
      <c r="BV170" s="299">
        <v>0</v>
      </c>
      <c r="BW170" s="299">
        <f t="shared" si="135"/>
        <v>0</v>
      </c>
    </row>
    <row r="171" spans="22:75">
      <c r="V171" s="299">
        <v>0</v>
      </c>
      <c r="W171" s="299">
        <f t="shared" si="167"/>
        <v>0</v>
      </c>
      <c r="X171" s="299">
        <f t="shared" ca="1" si="136"/>
        <v>0</v>
      </c>
      <c r="Y171" s="301">
        <f t="shared" si="137"/>
        <v>0</v>
      </c>
      <c r="Z171" s="302">
        <f t="shared" ca="1" si="138"/>
        <v>41</v>
      </c>
      <c r="AA171" s="299">
        <f t="shared" ca="1" si="168"/>
        <v>0</v>
      </c>
      <c r="AB171" s="299">
        <f t="shared" si="97"/>
        <v>0</v>
      </c>
      <c r="AC171" s="299">
        <f t="shared" si="139"/>
        <v>0</v>
      </c>
      <c r="AD171" s="299">
        <f t="shared" ca="1" si="140"/>
        <v>0</v>
      </c>
      <c r="AE171" s="301">
        <f t="shared" si="141"/>
        <v>0</v>
      </c>
      <c r="AF171" s="302">
        <f t="shared" ca="1" si="142"/>
        <v>33</v>
      </c>
      <c r="AG171" s="302">
        <f t="shared" ca="1" si="102"/>
        <v>0</v>
      </c>
      <c r="AH171" s="299">
        <f t="shared" si="103"/>
        <v>0</v>
      </c>
      <c r="AI171" s="299">
        <f t="shared" si="143"/>
        <v>0</v>
      </c>
      <c r="AJ171" s="299">
        <f t="shared" ca="1" si="144"/>
        <v>0</v>
      </c>
      <c r="AK171" s="301">
        <f t="shared" si="145"/>
        <v>0</v>
      </c>
      <c r="AL171" s="302">
        <f t="shared" ca="1" si="146"/>
        <v>29</v>
      </c>
      <c r="AM171" s="299">
        <f t="shared" ca="1" si="147"/>
        <v>0</v>
      </c>
      <c r="AN171" s="299">
        <f t="shared" si="169"/>
        <v>0</v>
      </c>
      <c r="AO171" s="299">
        <f t="shared" si="148"/>
        <v>0</v>
      </c>
      <c r="AP171" s="299">
        <f t="shared" ca="1" si="149"/>
        <v>0</v>
      </c>
      <c r="AQ171" s="301">
        <f t="shared" si="150"/>
        <v>0</v>
      </c>
      <c r="AR171" s="302">
        <f t="shared" ca="1" si="151"/>
        <v>23</v>
      </c>
      <c r="AS171" s="299">
        <f t="shared" ca="1" si="152"/>
        <v>0</v>
      </c>
      <c r="AT171" s="299">
        <f t="shared" si="115"/>
        <v>0</v>
      </c>
      <c r="AU171" s="299">
        <f t="shared" si="153"/>
        <v>0</v>
      </c>
      <c r="AV171" s="299">
        <f t="shared" ca="1" si="154"/>
        <v>0</v>
      </c>
      <c r="AW171" s="301">
        <f t="shared" si="155"/>
        <v>0</v>
      </c>
      <c r="AX171" s="302">
        <f t="shared" ca="1" si="156"/>
        <v>17</v>
      </c>
      <c r="AY171" s="299">
        <f t="shared" ca="1" si="157"/>
        <v>0</v>
      </c>
      <c r="AZ171" s="299">
        <f t="shared" si="121"/>
        <v>0</v>
      </c>
      <c r="BA171" s="299">
        <f t="shared" si="158"/>
        <v>0</v>
      </c>
      <c r="BB171" s="299">
        <f t="shared" ca="1" si="159"/>
        <v>0</v>
      </c>
      <c r="BC171" s="301">
        <f t="shared" si="160"/>
        <v>0</v>
      </c>
      <c r="BD171" s="302">
        <f t="shared" ca="1" si="161"/>
        <v>9</v>
      </c>
      <c r="BE171" s="299">
        <f t="shared" ca="1" si="162"/>
        <v>0</v>
      </c>
      <c r="BF171" s="299">
        <f t="shared" si="127"/>
        <v>0</v>
      </c>
      <c r="BG171" s="299">
        <f t="shared" si="163"/>
        <v>0</v>
      </c>
      <c r="BH171" s="299">
        <f t="shared" ca="1" si="129"/>
        <v>0</v>
      </c>
      <c r="BI171" s="301">
        <f t="shared" si="164"/>
        <v>0</v>
      </c>
      <c r="BJ171" s="302">
        <f t="shared" ca="1" si="165"/>
        <v>5</v>
      </c>
      <c r="BK171" s="299">
        <f t="shared" ca="1" si="166"/>
        <v>0</v>
      </c>
      <c r="BL171" s="299" t="e">
        <f>SUM(#REF!, V171, AB171,AH171,AN171,AT171,AZ171,BF171)</f>
        <v>#REF!</v>
      </c>
      <c r="BM171" s="299" t="e">
        <f>SUM(#REF!,W171, AC171,AI171,AO171,AU171,BA171,BG171)</f>
        <v>#REF!</v>
      </c>
      <c r="BN171" s="299" t="e">
        <f>SUM(#REF!,X171, AD171,AJ171,AP171,AV171,BB171,BH171)</f>
        <v>#REF!</v>
      </c>
      <c r="BO171" s="303" t="e">
        <f t="shared" si="170"/>
        <v>#REF!</v>
      </c>
      <c r="BP171" s="304" t="s">
        <v>5914</v>
      </c>
      <c r="BQ171" s="302"/>
      <c r="BR171" s="299">
        <v>0</v>
      </c>
      <c r="BS171" s="299">
        <v>0</v>
      </c>
      <c r="BT171" s="299">
        <f t="shared" si="171"/>
        <v>0</v>
      </c>
      <c r="BU171" s="299">
        <v>0</v>
      </c>
      <c r="BV171" s="299">
        <v>0</v>
      </c>
      <c r="BW171" s="299">
        <f t="shared" si="135"/>
        <v>0</v>
      </c>
    </row>
    <row r="172" spans="22:75">
      <c r="V172" s="299">
        <v>0</v>
      </c>
      <c r="W172" s="299">
        <f t="shared" si="167"/>
        <v>0</v>
      </c>
      <c r="X172" s="299">
        <f t="shared" ca="1" si="136"/>
        <v>0</v>
      </c>
      <c r="Y172" s="301">
        <f t="shared" si="137"/>
        <v>0</v>
      </c>
      <c r="Z172" s="302">
        <f t="shared" ca="1" si="138"/>
        <v>41</v>
      </c>
      <c r="AA172" s="299">
        <f t="shared" ca="1" si="168"/>
        <v>0</v>
      </c>
      <c r="AB172" s="299">
        <f t="shared" si="97"/>
        <v>0</v>
      </c>
      <c r="AC172" s="299">
        <f t="shared" si="139"/>
        <v>0</v>
      </c>
      <c r="AD172" s="299">
        <f t="shared" ca="1" si="140"/>
        <v>0</v>
      </c>
      <c r="AE172" s="301">
        <f t="shared" si="141"/>
        <v>0</v>
      </c>
      <c r="AF172" s="302">
        <f t="shared" ca="1" si="142"/>
        <v>33</v>
      </c>
      <c r="AG172" s="302">
        <f t="shared" ca="1" si="102"/>
        <v>0</v>
      </c>
      <c r="AH172" s="299">
        <f t="shared" si="103"/>
        <v>0</v>
      </c>
      <c r="AI172" s="299">
        <f t="shared" si="143"/>
        <v>0</v>
      </c>
      <c r="AJ172" s="299">
        <f t="shared" ca="1" si="144"/>
        <v>0</v>
      </c>
      <c r="AK172" s="301">
        <f t="shared" si="145"/>
        <v>0</v>
      </c>
      <c r="AL172" s="302">
        <f t="shared" ca="1" si="146"/>
        <v>29</v>
      </c>
      <c r="AM172" s="299">
        <f t="shared" ca="1" si="147"/>
        <v>0</v>
      </c>
      <c r="AN172" s="299">
        <f t="shared" si="169"/>
        <v>0</v>
      </c>
      <c r="AO172" s="299">
        <f t="shared" si="148"/>
        <v>0</v>
      </c>
      <c r="AP172" s="299">
        <f t="shared" ca="1" si="149"/>
        <v>0</v>
      </c>
      <c r="AQ172" s="301">
        <f t="shared" si="150"/>
        <v>0</v>
      </c>
      <c r="AR172" s="302">
        <f t="shared" ca="1" si="151"/>
        <v>23</v>
      </c>
      <c r="AS172" s="299">
        <f t="shared" ca="1" si="152"/>
        <v>0</v>
      </c>
      <c r="AT172" s="299">
        <f t="shared" si="115"/>
        <v>0</v>
      </c>
      <c r="AU172" s="299">
        <f t="shared" si="153"/>
        <v>0</v>
      </c>
      <c r="AV172" s="299">
        <f t="shared" ca="1" si="154"/>
        <v>0</v>
      </c>
      <c r="AW172" s="301">
        <f t="shared" si="155"/>
        <v>0</v>
      </c>
      <c r="AX172" s="302">
        <f t="shared" ca="1" si="156"/>
        <v>17</v>
      </c>
      <c r="AY172" s="299">
        <f t="shared" ca="1" si="157"/>
        <v>0</v>
      </c>
      <c r="AZ172" s="299">
        <f t="shared" si="121"/>
        <v>0</v>
      </c>
      <c r="BA172" s="299">
        <f t="shared" si="158"/>
        <v>0</v>
      </c>
      <c r="BB172" s="299">
        <f t="shared" ca="1" si="159"/>
        <v>0</v>
      </c>
      <c r="BC172" s="301">
        <f t="shared" si="160"/>
        <v>0</v>
      </c>
      <c r="BD172" s="302">
        <f t="shared" ca="1" si="161"/>
        <v>9</v>
      </c>
      <c r="BE172" s="299">
        <f t="shared" ca="1" si="162"/>
        <v>0</v>
      </c>
      <c r="BF172" s="299">
        <f t="shared" si="127"/>
        <v>0</v>
      </c>
      <c r="BG172" s="299">
        <f t="shared" si="163"/>
        <v>0</v>
      </c>
      <c r="BH172" s="299">
        <f t="shared" ca="1" si="129"/>
        <v>0</v>
      </c>
      <c r="BI172" s="301">
        <f t="shared" si="164"/>
        <v>0</v>
      </c>
      <c r="BJ172" s="302">
        <f t="shared" ca="1" si="165"/>
        <v>5</v>
      </c>
      <c r="BK172" s="299">
        <f t="shared" ca="1" si="166"/>
        <v>0</v>
      </c>
      <c r="BL172" s="299" t="e">
        <f>SUM(#REF!, V172, AB172,AH172,AN172,AT172,AZ172,BF172)</f>
        <v>#REF!</v>
      </c>
      <c r="BM172" s="299" t="e">
        <f>SUM(#REF!,W172, AC172,AI172,AO172,AU172,BA172,BG172)</f>
        <v>#REF!</v>
      </c>
      <c r="BN172" s="299" t="e">
        <f>SUM(#REF!,X172, AD172,AJ172,AP172,AV172,BB172,BH172)</f>
        <v>#REF!</v>
      </c>
      <c r="BO172" s="303" t="e">
        <f t="shared" si="170"/>
        <v>#REF!</v>
      </c>
      <c r="BP172" s="304" t="s">
        <v>5914</v>
      </c>
      <c r="BQ172" s="302"/>
      <c r="BR172" s="299">
        <v>0</v>
      </c>
      <c r="BS172" s="299">
        <v>0</v>
      </c>
      <c r="BT172" s="299">
        <f t="shared" si="171"/>
        <v>0</v>
      </c>
      <c r="BU172" s="299">
        <v>0</v>
      </c>
      <c r="BV172" s="299">
        <v>0</v>
      </c>
      <c r="BW172" s="299">
        <f t="shared" si="135"/>
        <v>0</v>
      </c>
    </row>
    <row r="173" spans="22:75">
      <c r="V173" s="299">
        <v>0</v>
      </c>
      <c r="W173" s="299">
        <f t="shared" si="167"/>
        <v>0</v>
      </c>
      <c r="X173" s="299">
        <f t="shared" ca="1" si="136"/>
        <v>0</v>
      </c>
      <c r="Y173" s="301">
        <f t="shared" si="137"/>
        <v>0</v>
      </c>
      <c r="Z173" s="302">
        <f t="shared" ca="1" si="138"/>
        <v>41</v>
      </c>
      <c r="AA173" s="299">
        <f t="shared" ca="1" si="168"/>
        <v>0</v>
      </c>
      <c r="AB173" s="299">
        <f t="shared" si="97"/>
        <v>0</v>
      </c>
      <c r="AC173" s="299">
        <f t="shared" si="139"/>
        <v>0</v>
      </c>
      <c r="AD173" s="299">
        <f t="shared" ca="1" si="140"/>
        <v>0</v>
      </c>
      <c r="AE173" s="301">
        <f t="shared" si="141"/>
        <v>0</v>
      </c>
      <c r="AF173" s="302">
        <f t="shared" ca="1" si="142"/>
        <v>33</v>
      </c>
      <c r="AG173" s="302">
        <f t="shared" ref="AG173:AG180" ca="1" si="172">SUM(AB173,AC173,AD173)</f>
        <v>0</v>
      </c>
      <c r="AH173" s="299">
        <f t="shared" si="103"/>
        <v>0</v>
      </c>
      <c r="AI173" s="299">
        <f t="shared" si="143"/>
        <v>0</v>
      </c>
      <c r="AJ173" s="299">
        <f t="shared" ca="1" si="144"/>
        <v>0</v>
      </c>
      <c r="AK173" s="301">
        <f t="shared" si="145"/>
        <v>0</v>
      </c>
      <c r="AL173" s="302">
        <f t="shared" ca="1" si="146"/>
        <v>29</v>
      </c>
      <c r="AM173" s="299">
        <f t="shared" ca="1" si="147"/>
        <v>0</v>
      </c>
      <c r="AN173" s="299">
        <f t="shared" si="169"/>
        <v>0</v>
      </c>
      <c r="AO173" s="299">
        <f t="shared" si="148"/>
        <v>0</v>
      </c>
      <c r="AP173" s="299">
        <f t="shared" ca="1" si="149"/>
        <v>0</v>
      </c>
      <c r="AQ173" s="301">
        <f t="shared" si="150"/>
        <v>0</v>
      </c>
      <c r="AR173" s="302">
        <f t="shared" ca="1" si="151"/>
        <v>23</v>
      </c>
      <c r="AS173" s="299">
        <f t="shared" ca="1" si="152"/>
        <v>0</v>
      </c>
      <c r="AT173" s="299">
        <f t="shared" si="115"/>
        <v>0</v>
      </c>
      <c r="AU173" s="299">
        <f t="shared" si="153"/>
        <v>0</v>
      </c>
      <c r="AV173" s="299">
        <f t="shared" ca="1" si="154"/>
        <v>0</v>
      </c>
      <c r="AW173" s="301">
        <f t="shared" si="155"/>
        <v>0</v>
      </c>
      <c r="AX173" s="302">
        <f t="shared" ca="1" si="156"/>
        <v>17</v>
      </c>
      <c r="AY173" s="299">
        <f t="shared" ca="1" si="157"/>
        <v>0</v>
      </c>
      <c r="AZ173" s="299">
        <f t="shared" si="121"/>
        <v>0</v>
      </c>
      <c r="BA173" s="299">
        <f t="shared" si="158"/>
        <v>0</v>
      </c>
      <c r="BB173" s="299">
        <f t="shared" ca="1" si="159"/>
        <v>0</v>
      </c>
      <c r="BC173" s="301">
        <f t="shared" si="160"/>
        <v>0</v>
      </c>
      <c r="BD173" s="302">
        <f t="shared" ca="1" si="161"/>
        <v>9</v>
      </c>
      <c r="BE173" s="299">
        <f t="shared" ca="1" si="162"/>
        <v>0</v>
      </c>
      <c r="BF173" s="299">
        <f t="shared" si="127"/>
        <v>0</v>
      </c>
      <c r="BG173" s="299">
        <f t="shared" si="163"/>
        <v>0</v>
      </c>
      <c r="BH173" s="299">
        <f t="shared" ca="1" si="129"/>
        <v>0</v>
      </c>
      <c r="BI173" s="301">
        <f t="shared" si="164"/>
        <v>0</v>
      </c>
      <c r="BJ173" s="302">
        <f t="shared" ca="1" si="165"/>
        <v>5</v>
      </c>
      <c r="BK173" s="299">
        <f t="shared" ca="1" si="166"/>
        <v>0</v>
      </c>
      <c r="BL173" s="299" t="e">
        <f>SUM(#REF!, V173, AB173,AH173,AN173,AT173,AZ173,BF173)</f>
        <v>#REF!</v>
      </c>
      <c r="BM173" s="299" t="e">
        <f>SUM(#REF!,W173, AC173,AI173,AO173,AU173,BA173,BG173)</f>
        <v>#REF!</v>
      </c>
      <c r="BN173" s="299" t="e">
        <f>SUM(#REF!,X173, AD173,AJ173,AP173,AV173,BB173,BH173)</f>
        <v>#REF!</v>
      </c>
      <c r="BO173" s="303" t="e">
        <f t="shared" si="170"/>
        <v>#REF!</v>
      </c>
      <c r="BP173" s="304" t="s">
        <v>5914</v>
      </c>
      <c r="BQ173" s="302"/>
      <c r="BR173" s="299">
        <v>0</v>
      </c>
      <c r="BS173" s="299">
        <v>0</v>
      </c>
      <c r="BT173" s="299">
        <f t="shared" si="171"/>
        <v>0</v>
      </c>
      <c r="BU173" s="299">
        <v>0</v>
      </c>
      <c r="BV173" s="299">
        <v>0</v>
      </c>
      <c r="BW173" s="299">
        <f t="shared" ref="BW173:BW180" si="173">SUM(BU173+BV173)</f>
        <v>0</v>
      </c>
    </row>
    <row r="174" spans="22:75">
      <c r="V174" s="299">
        <v>0</v>
      </c>
      <c r="W174" s="299">
        <f t="shared" si="167"/>
        <v>0</v>
      </c>
      <c r="X174" s="299">
        <f t="shared" ca="1" si="136"/>
        <v>0</v>
      </c>
      <c r="Y174" s="301">
        <f t="shared" si="137"/>
        <v>0</v>
      </c>
      <c r="Z174" s="302">
        <f t="shared" ca="1" si="138"/>
        <v>41</v>
      </c>
      <c r="AA174" s="299">
        <f t="shared" ca="1" si="168"/>
        <v>0</v>
      </c>
      <c r="AB174" s="299">
        <f t="shared" si="97"/>
        <v>0</v>
      </c>
      <c r="AC174" s="299">
        <f t="shared" si="139"/>
        <v>0</v>
      </c>
      <c r="AD174" s="299">
        <f t="shared" ca="1" si="140"/>
        <v>0</v>
      </c>
      <c r="AE174" s="301">
        <f t="shared" si="141"/>
        <v>0</v>
      </c>
      <c r="AF174" s="302">
        <f t="shared" ca="1" si="142"/>
        <v>33</v>
      </c>
      <c r="AG174" s="302">
        <f t="shared" ca="1" si="172"/>
        <v>0</v>
      </c>
      <c r="AH174" s="299">
        <f t="shared" si="103"/>
        <v>0</v>
      </c>
      <c r="AI174" s="299">
        <f t="shared" si="143"/>
        <v>0</v>
      </c>
      <c r="AJ174" s="299">
        <f t="shared" ca="1" si="144"/>
        <v>0</v>
      </c>
      <c r="AK174" s="301">
        <f t="shared" si="145"/>
        <v>0</v>
      </c>
      <c r="AL174" s="302">
        <f t="shared" ca="1" si="146"/>
        <v>29</v>
      </c>
      <c r="AM174" s="299">
        <f t="shared" ca="1" si="147"/>
        <v>0</v>
      </c>
      <c r="AN174" s="299">
        <f t="shared" si="169"/>
        <v>0</v>
      </c>
      <c r="AO174" s="299">
        <f t="shared" si="148"/>
        <v>0</v>
      </c>
      <c r="AP174" s="299">
        <f t="shared" ca="1" si="149"/>
        <v>0</v>
      </c>
      <c r="AQ174" s="301">
        <f t="shared" si="150"/>
        <v>0</v>
      </c>
      <c r="AR174" s="302">
        <f t="shared" ca="1" si="151"/>
        <v>23</v>
      </c>
      <c r="AS174" s="299">
        <f t="shared" ca="1" si="152"/>
        <v>0</v>
      </c>
      <c r="AT174" s="299">
        <f t="shared" si="115"/>
        <v>0</v>
      </c>
      <c r="AU174" s="299">
        <f t="shared" si="153"/>
        <v>0</v>
      </c>
      <c r="AV174" s="299">
        <f t="shared" ca="1" si="154"/>
        <v>0</v>
      </c>
      <c r="AW174" s="301">
        <f t="shared" si="155"/>
        <v>0</v>
      </c>
      <c r="AX174" s="302">
        <f t="shared" ca="1" si="156"/>
        <v>17</v>
      </c>
      <c r="AY174" s="299">
        <f t="shared" ca="1" si="157"/>
        <v>0</v>
      </c>
      <c r="AZ174" s="299">
        <f t="shared" si="121"/>
        <v>0</v>
      </c>
      <c r="BA174" s="299">
        <f t="shared" si="158"/>
        <v>0</v>
      </c>
      <c r="BB174" s="299">
        <f t="shared" ca="1" si="159"/>
        <v>0</v>
      </c>
      <c r="BC174" s="301">
        <f t="shared" si="160"/>
        <v>0</v>
      </c>
      <c r="BD174" s="302">
        <f t="shared" ca="1" si="161"/>
        <v>9</v>
      </c>
      <c r="BE174" s="299">
        <f t="shared" ca="1" si="162"/>
        <v>0</v>
      </c>
      <c r="BF174" s="299">
        <f t="shared" si="127"/>
        <v>0</v>
      </c>
      <c r="BG174" s="299">
        <f t="shared" si="163"/>
        <v>0</v>
      </c>
      <c r="BH174" s="299">
        <f t="shared" ca="1" si="129"/>
        <v>0</v>
      </c>
      <c r="BI174" s="301">
        <f t="shared" si="164"/>
        <v>0</v>
      </c>
      <c r="BJ174" s="302">
        <f t="shared" ca="1" si="165"/>
        <v>5</v>
      </c>
      <c r="BK174" s="299">
        <f t="shared" ca="1" si="166"/>
        <v>0</v>
      </c>
      <c r="BL174" s="299" t="e">
        <f>SUM(#REF!, V174, AB174,AH174,AN174,AT174,AZ174,BF174)</f>
        <v>#REF!</v>
      </c>
      <c r="BM174" s="299" t="e">
        <f>SUM(#REF!,W174, AC174,AI174,AO174,AU174,BA174,BG174)</f>
        <v>#REF!</v>
      </c>
      <c r="BN174" s="299" t="e">
        <f>SUM(#REF!,X174, AD174,AJ174,AP174,AV174,BB174,BH174)</f>
        <v>#REF!</v>
      </c>
      <c r="BO174" s="303" t="e">
        <f t="shared" si="170"/>
        <v>#REF!</v>
      </c>
      <c r="BP174" s="304" t="s">
        <v>5914</v>
      </c>
      <c r="BQ174" s="302"/>
      <c r="BR174" s="299">
        <v>0</v>
      </c>
      <c r="BS174" s="299">
        <v>0</v>
      </c>
      <c r="BT174" s="299">
        <f t="shared" si="171"/>
        <v>0</v>
      </c>
      <c r="BU174" s="299">
        <v>0</v>
      </c>
      <c r="BV174" s="299">
        <v>0</v>
      </c>
      <c r="BW174" s="299">
        <f t="shared" si="173"/>
        <v>0</v>
      </c>
    </row>
    <row r="175" spans="22:75">
      <c r="V175" s="299">
        <v>0</v>
      </c>
      <c r="W175" s="299">
        <f t="shared" si="167"/>
        <v>0</v>
      </c>
      <c r="X175" s="299">
        <f t="shared" ca="1" si="136"/>
        <v>0</v>
      </c>
      <c r="Y175" s="301">
        <f t="shared" si="137"/>
        <v>0</v>
      </c>
      <c r="Z175" s="302">
        <f t="shared" ca="1" si="138"/>
        <v>41</v>
      </c>
      <c r="AA175" s="299">
        <f t="shared" ca="1" si="168"/>
        <v>0</v>
      </c>
      <c r="AB175" s="299">
        <f t="shared" si="97"/>
        <v>0</v>
      </c>
      <c r="AC175" s="299">
        <f t="shared" si="139"/>
        <v>0</v>
      </c>
      <c r="AD175" s="299">
        <f t="shared" ca="1" si="140"/>
        <v>0</v>
      </c>
      <c r="AE175" s="301">
        <f t="shared" si="141"/>
        <v>0</v>
      </c>
      <c r="AF175" s="302">
        <f t="shared" ca="1" si="142"/>
        <v>33</v>
      </c>
      <c r="AG175" s="302">
        <f t="shared" ca="1" si="172"/>
        <v>0</v>
      </c>
      <c r="AH175" s="299">
        <f t="shared" si="103"/>
        <v>0</v>
      </c>
      <c r="AI175" s="299">
        <f t="shared" si="143"/>
        <v>0</v>
      </c>
      <c r="AJ175" s="299">
        <f t="shared" ca="1" si="144"/>
        <v>0</v>
      </c>
      <c r="AK175" s="301">
        <f t="shared" si="145"/>
        <v>0</v>
      </c>
      <c r="AL175" s="302">
        <f t="shared" ca="1" si="146"/>
        <v>29</v>
      </c>
      <c r="AM175" s="299">
        <f t="shared" ca="1" si="147"/>
        <v>0</v>
      </c>
      <c r="AN175" s="299">
        <f t="shared" si="169"/>
        <v>0</v>
      </c>
      <c r="AO175" s="299">
        <f t="shared" si="148"/>
        <v>0</v>
      </c>
      <c r="AP175" s="299">
        <f t="shared" ca="1" si="149"/>
        <v>0</v>
      </c>
      <c r="AQ175" s="301">
        <f t="shared" si="150"/>
        <v>0</v>
      </c>
      <c r="AR175" s="302">
        <f t="shared" ca="1" si="151"/>
        <v>23</v>
      </c>
      <c r="AS175" s="299">
        <f t="shared" ca="1" si="152"/>
        <v>0</v>
      </c>
      <c r="AT175" s="299">
        <f t="shared" si="115"/>
        <v>0</v>
      </c>
      <c r="AU175" s="299">
        <f t="shared" si="153"/>
        <v>0</v>
      </c>
      <c r="AV175" s="299">
        <f t="shared" ca="1" si="154"/>
        <v>0</v>
      </c>
      <c r="AW175" s="301">
        <f t="shared" si="155"/>
        <v>0</v>
      </c>
      <c r="AX175" s="302">
        <f t="shared" ca="1" si="156"/>
        <v>17</v>
      </c>
      <c r="AY175" s="299">
        <f t="shared" ca="1" si="157"/>
        <v>0</v>
      </c>
      <c r="AZ175" s="299">
        <f t="shared" si="121"/>
        <v>0</v>
      </c>
      <c r="BA175" s="299">
        <f t="shared" si="158"/>
        <v>0</v>
      </c>
      <c r="BB175" s="299">
        <f t="shared" ca="1" si="159"/>
        <v>0</v>
      </c>
      <c r="BC175" s="301">
        <f t="shared" si="160"/>
        <v>0</v>
      </c>
      <c r="BD175" s="302">
        <f t="shared" ca="1" si="161"/>
        <v>9</v>
      </c>
      <c r="BE175" s="299">
        <f t="shared" ca="1" si="162"/>
        <v>0</v>
      </c>
      <c r="BF175" s="299">
        <f t="shared" si="127"/>
        <v>0</v>
      </c>
      <c r="BG175" s="299">
        <f t="shared" si="163"/>
        <v>0</v>
      </c>
      <c r="BH175" s="299">
        <f t="shared" ca="1" si="129"/>
        <v>0</v>
      </c>
      <c r="BI175" s="301">
        <f t="shared" si="164"/>
        <v>0</v>
      </c>
      <c r="BJ175" s="302">
        <f t="shared" ca="1" si="165"/>
        <v>5</v>
      </c>
      <c r="BK175" s="299">
        <f t="shared" ca="1" si="166"/>
        <v>0</v>
      </c>
      <c r="BL175" s="299" t="e">
        <f>SUM(#REF!, V175, AB175,AH175,AN175,AT175,AZ175,BF175)</f>
        <v>#REF!</v>
      </c>
      <c r="BM175" s="299" t="e">
        <f>SUM(#REF!,W175, AC175,AI175,AO175,AU175,BA175,BG175)</f>
        <v>#REF!</v>
      </c>
      <c r="BN175" s="299" t="e">
        <f>SUM(#REF!,X175, AD175,AJ175,AP175,AV175,BB175,BH175)</f>
        <v>#REF!</v>
      </c>
      <c r="BO175" s="303" t="e">
        <f t="shared" si="170"/>
        <v>#REF!</v>
      </c>
      <c r="BP175" s="304" t="s">
        <v>5914</v>
      </c>
      <c r="BQ175" s="302"/>
      <c r="BR175" s="299">
        <v>0</v>
      </c>
      <c r="BS175" s="299">
        <v>0</v>
      </c>
      <c r="BT175" s="299">
        <f t="shared" si="171"/>
        <v>0</v>
      </c>
      <c r="BU175" s="299">
        <v>0</v>
      </c>
      <c r="BV175" s="299">
        <v>0</v>
      </c>
      <c r="BW175" s="299">
        <f t="shared" si="173"/>
        <v>0</v>
      </c>
    </row>
    <row r="176" spans="22:75">
      <c r="V176" s="299">
        <v>0</v>
      </c>
      <c r="W176" s="299">
        <f t="shared" si="167"/>
        <v>0</v>
      </c>
      <c r="X176" s="299">
        <f t="shared" ca="1" si="136"/>
        <v>0</v>
      </c>
      <c r="Y176" s="301">
        <f t="shared" si="137"/>
        <v>0</v>
      </c>
      <c r="Z176" s="302">
        <f t="shared" ca="1" si="138"/>
        <v>41</v>
      </c>
      <c r="AA176" s="299">
        <f t="shared" ca="1" si="168"/>
        <v>0</v>
      </c>
      <c r="AB176" s="299">
        <f t="shared" si="97"/>
        <v>0</v>
      </c>
      <c r="AC176" s="299">
        <f t="shared" si="139"/>
        <v>0</v>
      </c>
      <c r="AD176" s="299">
        <f t="shared" ca="1" si="140"/>
        <v>0</v>
      </c>
      <c r="AE176" s="301">
        <f t="shared" si="141"/>
        <v>0</v>
      </c>
      <c r="AF176" s="302">
        <f t="shared" ca="1" si="142"/>
        <v>33</v>
      </c>
      <c r="AG176" s="302">
        <f t="shared" ca="1" si="172"/>
        <v>0</v>
      </c>
      <c r="AH176" s="299">
        <f t="shared" si="103"/>
        <v>0</v>
      </c>
      <c r="AI176" s="299">
        <f t="shared" si="143"/>
        <v>0</v>
      </c>
      <c r="AJ176" s="299">
        <f t="shared" ca="1" si="144"/>
        <v>0</v>
      </c>
      <c r="AK176" s="301">
        <f t="shared" si="145"/>
        <v>0</v>
      </c>
      <c r="AL176" s="302">
        <f t="shared" ca="1" si="146"/>
        <v>29</v>
      </c>
      <c r="AM176" s="299">
        <f t="shared" ca="1" si="147"/>
        <v>0</v>
      </c>
      <c r="AN176" s="299">
        <f t="shared" si="169"/>
        <v>0</v>
      </c>
      <c r="AO176" s="299">
        <f t="shared" si="148"/>
        <v>0</v>
      </c>
      <c r="AP176" s="299">
        <f t="shared" ca="1" si="149"/>
        <v>0</v>
      </c>
      <c r="AQ176" s="301">
        <f t="shared" si="150"/>
        <v>0</v>
      </c>
      <c r="AR176" s="302">
        <f t="shared" ca="1" si="151"/>
        <v>23</v>
      </c>
      <c r="AS176" s="299">
        <f t="shared" ca="1" si="152"/>
        <v>0</v>
      </c>
      <c r="AT176" s="299">
        <f t="shared" si="115"/>
        <v>0</v>
      </c>
      <c r="AU176" s="299">
        <f t="shared" si="153"/>
        <v>0</v>
      </c>
      <c r="AV176" s="299">
        <f t="shared" ca="1" si="154"/>
        <v>0</v>
      </c>
      <c r="AW176" s="301">
        <f t="shared" si="155"/>
        <v>0</v>
      </c>
      <c r="AX176" s="302">
        <f t="shared" ca="1" si="156"/>
        <v>17</v>
      </c>
      <c r="AY176" s="299">
        <f t="shared" ca="1" si="157"/>
        <v>0</v>
      </c>
      <c r="AZ176" s="299">
        <f t="shared" si="121"/>
        <v>0</v>
      </c>
      <c r="BA176" s="299">
        <f t="shared" si="158"/>
        <v>0</v>
      </c>
      <c r="BB176" s="299">
        <f t="shared" ca="1" si="159"/>
        <v>0</v>
      </c>
      <c r="BC176" s="301">
        <f t="shared" si="160"/>
        <v>0</v>
      </c>
      <c r="BD176" s="302">
        <f t="shared" ca="1" si="161"/>
        <v>9</v>
      </c>
      <c r="BE176" s="299">
        <f t="shared" ca="1" si="162"/>
        <v>0</v>
      </c>
      <c r="BF176" s="299">
        <f t="shared" si="127"/>
        <v>0</v>
      </c>
      <c r="BG176" s="299">
        <f t="shared" si="163"/>
        <v>0</v>
      </c>
      <c r="BH176" s="299">
        <f t="shared" ca="1" si="129"/>
        <v>0</v>
      </c>
      <c r="BI176" s="301">
        <f t="shared" si="164"/>
        <v>0</v>
      </c>
      <c r="BJ176" s="302">
        <f t="shared" ca="1" si="165"/>
        <v>5</v>
      </c>
      <c r="BK176" s="299">
        <f t="shared" ca="1" si="166"/>
        <v>0</v>
      </c>
      <c r="BL176" s="299" t="e">
        <f>SUM(#REF!, V176, AB176,AH176,AN176,AT176,AZ176,BF176)</f>
        <v>#REF!</v>
      </c>
      <c r="BM176" s="299" t="e">
        <f>SUM(#REF!,W176, AC176,AI176,AO176,AU176,BA176,BG176)</f>
        <v>#REF!</v>
      </c>
      <c r="BN176" s="299" t="e">
        <f>SUM(#REF!,X176, AD176,AJ176,AP176,AV176,BB176,BH176)</f>
        <v>#REF!</v>
      </c>
      <c r="BO176" s="303" t="e">
        <f t="shared" si="170"/>
        <v>#REF!</v>
      </c>
      <c r="BP176" s="304" t="s">
        <v>5914</v>
      </c>
      <c r="BQ176" s="302"/>
      <c r="BR176" s="299">
        <v>0</v>
      </c>
      <c r="BS176" s="299">
        <v>0</v>
      </c>
      <c r="BT176" s="299">
        <f t="shared" si="171"/>
        <v>0</v>
      </c>
      <c r="BU176" s="299">
        <v>0</v>
      </c>
      <c r="BV176" s="299">
        <v>0</v>
      </c>
      <c r="BW176" s="299">
        <f t="shared" si="173"/>
        <v>0</v>
      </c>
    </row>
    <row r="177" spans="22:75">
      <c r="V177" s="299">
        <v>0</v>
      </c>
      <c r="W177" s="299">
        <f t="shared" si="167"/>
        <v>0</v>
      </c>
      <c r="X177" s="299">
        <f t="shared" ca="1" si="136"/>
        <v>0</v>
      </c>
      <c r="Y177" s="301">
        <f t="shared" si="137"/>
        <v>0</v>
      </c>
      <c r="Z177" s="302">
        <f t="shared" ca="1" si="138"/>
        <v>41</v>
      </c>
      <c r="AA177" s="299">
        <f t="shared" ca="1" si="168"/>
        <v>0</v>
      </c>
      <c r="AB177" s="299">
        <f t="shared" si="97"/>
        <v>0</v>
      </c>
      <c r="AC177" s="299">
        <f t="shared" si="139"/>
        <v>0</v>
      </c>
      <c r="AD177" s="299">
        <f t="shared" ca="1" si="140"/>
        <v>0</v>
      </c>
      <c r="AE177" s="301">
        <f t="shared" si="141"/>
        <v>0</v>
      </c>
      <c r="AF177" s="302">
        <f t="shared" ca="1" si="142"/>
        <v>33</v>
      </c>
      <c r="AG177" s="302">
        <f t="shared" ca="1" si="172"/>
        <v>0</v>
      </c>
      <c r="AH177" s="299">
        <f t="shared" si="103"/>
        <v>0</v>
      </c>
      <c r="AI177" s="299">
        <f t="shared" si="143"/>
        <v>0</v>
      </c>
      <c r="AJ177" s="299">
        <f t="shared" ca="1" si="144"/>
        <v>0</v>
      </c>
      <c r="AK177" s="301">
        <f t="shared" si="145"/>
        <v>0</v>
      </c>
      <c r="AL177" s="302">
        <f t="shared" ca="1" si="146"/>
        <v>29</v>
      </c>
      <c r="AM177" s="299">
        <f t="shared" ca="1" si="147"/>
        <v>0</v>
      </c>
      <c r="AN177" s="299">
        <f t="shared" si="169"/>
        <v>0</v>
      </c>
      <c r="AO177" s="299">
        <f t="shared" si="148"/>
        <v>0</v>
      </c>
      <c r="AP177" s="299">
        <f t="shared" ca="1" si="149"/>
        <v>0</v>
      </c>
      <c r="AQ177" s="301">
        <f t="shared" si="150"/>
        <v>0</v>
      </c>
      <c r="AR177" s="302">
        <f t="shared" ca="1" si="151"/>
        <v>23</v>
      </c>
      <c r="AS177" s="299">
        <f t="shared" ca="1" si="152"/>
        <v>0</v>
      </c>
      <c r="AT177" s="299">
        <f t="shared" si="115"/>
        <v>0</v>
      </c>
      <c r="AU177" s="299">
        <f t="shared" si="153"/>
        <v>0</v>
      </c>
      <c r="AV177" s="299">
        <f t="shared" ca="1" si="154"/>
        <v>0</v>
      </c>
      <c r="AW177" s="301">
        <f t="shared" si="155"/>
        <v>0</v>
      </c>
      <c r="AX177" s="302">
        <f t="shared" ca="1" si="156"/>
        <v>17</v>
      </c>
      <c r="AY177" s="299">
        <f t="shared" ca="1" si="157"/>
        <v>0</v>
      </c>
      <c r="AZ177" s="299">
        <f t="shared" si="121"/>
        <v>0</v>
      </c>
      <c r="BA177" s="299">
        <f t="shared" si="158"/>
        <v>0</v>
      </c>
      <c r="BB177" s="299">
        <f t="shared" ca="1" si="159"/>
        <v>0</v>
      </c>
      <c r="BC177" s="301">
        <f t="shared" si="160"/>
        <v>0</v>
      </c>
      <c r="BD177" s="302">
        <f t="shared" ca="1" si="161"/>
        <v>9</v>
      </c>
      <c r="BE177" s="299">
        <f t="shared" ca="1" si="162"/>
        <v>0</v>
      </c>
      <c r="BF177" s="299">
        <f t="shared" si="127"/>
        <v>0</v>
      </c>
      <c r="BG177" s="299">
        <f t="shared" si="163"/>
        <v>0</v>
      </c>
      <c r="BH177" s="299">
        <f t="shared" ca="1" si="129"/>
        <v>0</v>
      </c>
      <c r="BI177" s="301">
        <f t="shared" si="164"/>
        <v>0</v>
      </c>
      <c r="BJ177" s="302">
        <f t="shared" ca="1" si="165"/>
        <v>5</v>
      </c>
      <c r="BK177" s="299">
        <f t="shared" ca="1" si="166"/>
        <v>0</v>
      </c>
      <c r="BL177" s="299" t="e">
        <f>SUM(#REF!, V177, AB177,AH177,AN177,AT177,AZ177,BF177)</f>
        <v>#REF!</v>
      </c>
      <c r="BM177" s="299" t="e">
        <f>SUM(#REF!,W177, AC177,AI177,AO177,AU177,BA177,BG177)</f>
        <v>#REF!</v>
      </c>
      <c r="BN177" s="299" t="e">
        <f>SUM(#REF!,X177, AD177,AJ177,AP177,AV177,BB177,BH177)</f>
        <v>#REF!</v>
      </c>
      <c r="BO177" s="303" t="e">
        <f t="shared" si="170"/>
        <v>#REF!</v>
      </c>
      <c r="BP177" s="304" t="s">
        <v>5914</v>
      </c>
      <c r="BQ177" s="302"/>
      <c r="BR177" s="299">
        <v>0</v>
      </c>
      <c r="BS177" s="299">
        <v>0</v>
      </c>
      <c r="BT177" s="299">
        <f t="shared" si="171"/>
        <v>0</v>
      </c>
      <c r="BU177" s="299">
        <v>0</v>
      </c>
      <c r="BV177" s="299">
        <v>0</v>
      </c>
      <c r="BW177" s="299">
        <f t="shared" si="173"/>
        <v>0</v>
      </c>
    </row>
    <row r="178" spans="22:75">
      <c r="V178" s="299">
        <v>0</v>
      </c>
      <c r="W178" s="299">
        <f t="shared" si="167"/>
        <v>0</v>
      </c>
      <c r="X178" s="299">
        <f t="shared" ca="1" si="136"/>
        <v>0</v>
      </c>
      <c r="Y178" s="301">
        <f t="shared" si="137"/>
        <v>0</v>
      </c>
      <c r="Z178" s="302">
        <f t="shared" ca="1" si="138"/>
        <v>41</v>
      </c>
      <c r="AA178" s="299">
        <f t="shared" ca="1" si="168"/>
        <v>0</v>
      </c>
      <c r="AB178" s="299">
        <f t="shared" si="97"/>
        <v>0</v>
      </c>
      <c r="AC178" s="299">
        <f t="shared" si="139"/>
        <v>0</v>
      </c>
      <c r="AD178" s="299">
        <f t="shared" ca="1" si="140"/>
        <v>0</v>
      </c>
      <c r="AE178" s="301">
        <f t="shared" si="141"/>
        <v>0</v>
      </c>
      <c r="AF178" s="302">
        <f t="shared" ca="1" si="142"/>
        <v>33</v>
      </c>
      <c r="AG178" s="302">
        <f t="shared" ca="1" si="172"/>
        <v>0</v>
      </c>
      <c r="AH178" s="299">
        <f t="shared" si="103"/>
        <v>0</v>
      </c>
      <c r="AI178" s="299">
        <f t="shared" si="143"/>
        <v>0</v>
      </c>
      <c r="AJ178" s="299">
        <f t="shared" ca="1" si="144"/>
        <v>0</v>
      </c>
      <c r="AK178" s="301">
        <f t="shared" si="145"/>
        <v>0</v>
      </c>
      <c r="AL178" s="302">
        <f t="shared" ca="1" si="146"/>
        <v>29</v>
      </c>
      <c r="AM178" s="299">
        <f t="shared" ca="1" si="147"/>
        <v>0</v>
      </c>
      <c r="AN178" s="299">
        <f t="shared" si="169"/>
        <v>0</v>
      </c>
      <c r="AO178" s="299">
        <f t="shared" si="148"/>
        <v>0</v>
      </c>
      <c r="AP178" s="299">
        <f t="shared" ca="1" si="149"/>
        <v>0</v>
      </c>
      <c r="AQ178" s="301">
        <f t="shared" si="150"/>
        <v>0</v>
      </c>
      <c r="AR178" s="302">
        <f t="shared" ca="1" si="151"/>
        <v>23</v>
      </c>
      <c r="AS178" s="299">
        <f t="shared" ca="1" si="152"/>
        <v>0</v>
      </c>
      <c r="AT178" s="299">
        <f t="shared" si="115"/>
        <v>0</v>
      </c>
      <c r="AU178" s="299">
        <f t="shared" si="153"/>
        <v>0</v>
      </c>
      <c r="AV178" s="299">
        <f t="shared" ca="1" si="154"/>
        <v>0</v>
      </c>
      <c r="AW178" s="301">
        <f t="shared" si="155"/>
        <v>0</v>
      </c>
      <c r="AX178" s="302">
        <f t="shared" ca="1" si="156"/>
        <v>17</v>
      </c>
      <c r="AY178" s="299">
        <f t="shared" ca="1" si="157"/>
        <v>0</v>
      </c>
      <c r="AZ178" s="299">
        <f t="shared" si="121"/>
        <v>0</v>
      </c>
      <c r="BA178" s="299">
        <f t="shared" si="158"/>
        <v>0</v>
      </c>
      <c r="BB178" s="299">
        <f t="shared" ca="1" si="159"/>
        <v>0</v>
      </c>
      <c r="BC178" s="301">
        <f t="shared" si="160"/>
        <v>0</v>
      </c>
      <c r="BD178" s="302">
        <f t="shared" ca="1" si="161"/>
        <v>9</v>
      </c>
      <c r="BE178" s="299">
        <f t="shared" ca="1" si="162"/>
        <v>0</v>
      </c>
      <c r="BF178" s="299">
        <f t="shared" si="127"/>
        <v>0</v>
      </c>
      <c r="BG178" s="299">
        <f t="shared" si="163"/>
        <v>0</v>
      </c>
      <c r="BH178" s="299">
        <f t="shared" ca="1" si="129"/>
        <v>0</v>
      </c>
      <c r="BI178" s="301">
        <f t="shared" si="164"/>
        <v>0</v>
      </c>
      <c r="BJ178" s="302">
        <f t="shared" ca="1" si="165"/>
        <v>5</v>
      </c>
      <c r="BK178" s="299">
        <f t="shared" ca="1" si="166"/>
        <v>0</v>
      </c>
      <c r="BL178" s="299" t="e">
        <f>SUM(#REF!, V178, AB178,AH178,AN178,AT178,AZ178,BF178)</f>
        <v>#REF!</v>
      </c>
      <c r="BM178" s="299" t="e">
        <f>SUM(#REF!,W178, AC178,AI178,AO178,AU178,BA178,BG178)</f>
        <v>#REF!</v>
      </c>
      <c r="BN178" s="299" t="e">
        <f>SUM(#REF!,X178, AD178,AJ178,AP178,AV178,BB178,BH178)</f>
        <v>#REF!</v>
      </c>
      <c r="BO178" s="303" t="e">
        <f t="shared" si="170"/>
        <v>#REF!</v>
      </c>
      <c r="BP178" s="304" t="s">
        <v>5914</v>
      </c>
      <c r="BQ178" s="302"/>
      <c r="BR178" s="299">
        <v>0</v>
      </c>
      <c r="BS178" s="299">
        <v>0</v>
      </c>
      <c r="BT178" s="299">
        <f t="shared" si="171"/>
        <v>0</v>
      </c>
      <c r="BU178" s="299">
        <v>0</v>
      </c>
      <c r="BV178" s="299">
        <v>0</v>
      </c>
      <c r="BW178" s="299">
        <f t="shared" si="173"/>
        <v>0</v>
      </c>
    </row>
    <row r="179" spans="22:75">
      <c r="V179" s="299">
        <v>0</v>
      </c>
      <c r="W179" s="299">
        <f t="shared" si="167"/>
        <v>0</v>
      </c>
      <c r="X179" s="299">
        <f t="shared" ca="1" si="136"/>
        <v>0</v>
      </c>
      <c r="Y179" s="301">
        <f t="shared" si="137"/>
        <v>0</v>
      </c>
      <c r="Z179" s="302">
        <f t="shared" ca="1" si="138"/>
        <v>41</v>
      </c>
      <c r="AA179" s="299">
        <f t="shared" ca="1" si="168"/>
        <v>0</v>
      </c>
      <c r="AB179" s="299">
        <f t="shared" si="97"/>
        <v>0</v>
      </c>
      <c r="AC179" s="299">
        <f t="shared" si="139"/>
        <v>0</v>
      </c>
      <c r="AD179" s="299">
        <f t="shared" ca="1" si="140"/>
        <v>0</v>
      </c>
      <c r="AE179" s="301">
        <f t="shared" si="141"/>
        <v>0</v>
      </c>
      <c r="AF179" s="302">
        <f t="shared" ca="1" si="142"/>
        <v>33</v>
      </c>
      <c r="AG179" s="302">
        <f t="shared" ca="1" si="172"/>
        <v>0</v>
      </c>
      <c r="AH179" s="299">
        <f t="shared" si="103"/>
        <v>0</v>
      </c>
      <c r="AI179" s="299">
        <f t="shared" si="143"/>
        <v>0</v>
      </c>
      <c r="AJ179" s="299">
        <f t="shared" ca="1" si="144"/>
        <v>0</v>
      </c>
      <c r="AK179" s="301">
        <f t="shared" si="145"/>
        <v>0</v>
      </c>
      <c r="AL179" s="302">
        <f t="shared" ca="1" si="146"/>
        <v>29</v>
      </c>
      <c r="AM179" s="299">
        <f t="shared" ca="1" si="147"/>
        <v>0</v>
      </c>
      <c r="AN179" s="299">
        <f t="shared" si="169"/>
        <v>0</v>
      </c>
      <c r="AO179" s="299">
        <f t="shared" si="148"/>
        <v>0</v>
      </c>
      <c r="AP179" s="299">
        <f t="shared" ca="1" si="149"/>
        <v>0</v>
      </c>
      <c r="AQ179" s="301">
        <f t="shared" si="150"/>
        <v>0</v>
      </c>
      <c r="AR179" s="302">
        <f t="shared" ca="1" si="151"/>
        <v>23</v>
      </c>
      <c r="AS179" s="299">
        <f t="shared" ca="1" si="152"/>
        <v>0</v>
      </c>
      <c r="AT179" s="299">
        <f t="shared" si="115"/>
        <v>0</v>
      </c>
      <c r="AU179" s="299">
        <f t="shared" si="153"/>
        <v>0</v>
      </c>
      <c r="AV179" s="299">
        <f t="shared" ca="1" si="154"/>
        <v>0</v>
      </c>
      <c r="AW179" s="301">
        <f t="shared" si="155"/>
        <v>0</v>
      </c>
      <c r="AX179" s="302">
        <f t="shared" ca="1" si="156"/>
        <v>17</v>
      </c>
      <c r="AY179" s="299">
        <f t="shared" ca="1" si="157"/>
        <v>0</v>
      </c>
      <c r="AZ179" s="299">
        <f t="shared" si="121"/>
        <v>0</v>
      </c>
      <c r="BA179" s="299">
        <f t="shared" si="158"/>
        <v>0</v>
      </c>
      <c r="BB179" s="299">
        <f t="shared" ca="1" si="159"/>
        <v>0</v>
      </c>
      <c r="BC179" s="301">
        <f t="shared" si="160"/>
        <v>0</v>
      </c>
      <c r="BD179" s="302">
        <f t="shared" ca="1" si="161"/>
        <v>9</v>
      </c>
      <c r="BE179" s="299">
        <f t="shared" ca="1" si="162"/>
        <v>0</v>
      </c>
      <c r="BF179" s="299">
        <f t="shared" si="127"/>
        <v>0</v>
      </c>
      <c r="BG179" s="299">
        <f t="shared" si="163"/>
        <v>0</v>
      </c>
      <c r="BH179" s="299">
        <f t="shared" ca="1" si="129"/>
        <v>0</v>
      </c>
      <c r="BI179" s="301">
        <f t="shared" si="164"/>
        <v>0</v>
      </c>
      <c r="BJ179" s="302">
        <f t="shared" ca="1" si="165"/>
        <v>5</v>
      </c>
      <c r="BK179" s="299">
        <f t="shared" ca="1" si="166"/>
        <v>0</v>
      </c>
      <c r="BL179" s="299" t="e">
        <f>SUM(#REF!, V179, AB179,AH179,AN179,AT179,AZ179,BF179)</f>
        <v>#REF!</v>
      </c>
      <c r="BM179" s="299" t="e">
        <f>SUM(#REF!,W179, AC179,AI179,AO179,AU179,BA179,BG179)</f>
        <v>#REF!</v>
      </c>
      <c r="BN179" s="299" t="e">
        <f>SUM(#REF!,X179, AD179,AJ179,AP179,AV179,BB179,BH179)</f>
        <v>#REF!</v>
      </c>
      <c r="BO179" s="303" t="e">
        <f t="shared" si="170"/>
        <v>#REF!</v>
      </c>
      <c r="BP179" s="304" t="s">
        <v>5914</v>
      </c>
      <c r="BQ179" s="302"/>
      <c r="BR179" s="299">
        <v>0</v>
      </c>
      <c r="BS179" s="299">
        <v>0</v>
      </c>
      <c r="BT179" s="299">
        <f t="shared" si="171"/>
        <v>0</v>
      </c>
      <c r="BU179" s="299">
        <v>0</v>
      </c>
      <c r="BV179" s="299">
        <v>0</v>
      </c>
      <c r="BW179" s="299">
        <f t="shared" si="173"/>
        <v>0</v>
      </c>
    </row>
    <row r="180" spans="22:75">
      <c r="V180" s="299">
        <v>0</v>
      </c>
      <c r="W180" s="299">
        <f t="shared" si="167"/>
        <v>0</v>
      </c>
      <c r="X180" s="299">
        <f t="shared" ca="1" si="136"/>
        <v>0</v>
      </c>
      <c r="Y180" s="301">
        <f t="shared" si="137"/>
        <v>0</v>
      </c>
      <c r="Z180" s="302">
        <f t="shared" ca="1" si="138"/>
        <v>41</v>
      </c>
      <c r="AA180" s="299">
        <f t="shared" ca="1" si="168"/>
        <v>0</v>
      </c>
      <c r="AB180" s="299">
        <f t="shared" si="97"/>
        <v>0</v>
      </c>
      <c r="AC180" s="299">
        <f t="shared" si="139"/>
        <v>0</v>
      </c>
      <c r="AD180" s="299">
        <f t="shared" ca="1" si="140"/>
        <v>0</v>
      </c>
      <c r="AE180" s="301">
        <f t="shared" si="141"/>
        <v>0</v>
      </c>
      <c r="AF180" s="302">
        <f t="shared" ca="1" si="142"/>
        <v>33</v>
      </c>
      <c r="AG180" s="302">
        <f t="shared" ca="1" si="172"/>
        <v>0</v>
      </c>
      <c r="AH180" s="299">
        <f t="shared" si="103"/>
        <v>0</v>
      </c>
      <c r="AI180" s="299">
        <f t="shared" si="143"/>
        <v>0</v>
      </c>
      <c r="AJ180" s="299">
        <f t="shared" ca="1" si="144"/>
        <v>0</v>
      </c>
      <c r="AK180" s="301">
        <f t="shared" si="145"/>
        <v>0</v>
      </c>
      <c r="AL180" s="302">
        <f t="shared" ca="1" si="146"/>
        <v>29</v>
      </c>
      <c r="AM180" s="299">
        <f t="shared" ca="1" si="147"/>
        <v>0</v>
      </c>
      <c r="AN180" s="299">
        <f t="shared" si="169"/>
        <v>0</v>
      </c>
      <c r="AO180" s="299">
        <f t="shared" si="148"/>
        <v>0</v>
      </c>
      <c r="AP180" s="299">
        <f t="shared" ca="1" si="149"/>
        <v>0</v>
      </c>
      <c r="AQ180" s="301">
        <f t="shared" si="150"/>
        <v>0</v>
      </c>
      <c r="AR180" s="302">
        <f t="shared" ca="1" si="151"/>
        <v>23</v>
      </c>
      <c r="AS180" s="299">
        <f t="shared" ca="1" si="152"/>
        <v>0</v>
      </c>
      <c r="AT180" s="299">
        <f t="shared" si="115"/>
        <v>0</v>
      </c>
      <c r="AU180" s="299">
        <f t="shared" si="153"/>
        <v>0</v>
      </c>
      <c r="AV180" s="299">
        <f t="shared" ca="1" si="154"/>
        <v>0</v>
      </c>
      <c r="AW180" s="301">
        <f t="shared" si="155"/>
        <v>0</v>
      </c>
      <c r="AX180" s="302">
        <f t="shared" ca="1" si="156"/>
        <v>17</v>
      </c>
      <c r="AY180" s="299">
        <f t="shared" ca="1" si="157"/>
        <v>0</v>
      </c>
      <c r="AZ180" s="299">
        <f t="shared" si="121"/>
        <v>0</v>
      </c>
      <c r="BA180" s="299">
        <f t="shared" si="158"/>
        <v>0</v>
      </c>
      <c r="BB180" s="299">
        <f t="shared" ca="1" si="159"/>
        <v>0</v>
      </c>
      <c r="BC180" s="301">
        <f t="shared" si="160"/>
        <v>0</v>
      </c>
      <c r="BD180" s="302">
        <f t="shared" ca="1" si="161"/>
        <v>9</v>
      </c>
      <c r="BE180" s="299">
        <f t="shared" ca="1" si="162"/>
        <v>0</v>
      </c>
      <c r="BF180" s="299">
        <f t="shared" si="127"/>
        <v>0</v>
      </c>
      <c r="BG180" s="299">
        <f t="shared" si="163"/>
        <v>0</v>
      </c>
      <c r="BH180" s="299">
        <f t="shared" ca="1" si="129"/>
        <v>0</v>
      </c>
      <c r="BI180" s="301">
        <f t="shared" si="164"/>
        <v>0</v>
      </c>
      <c r="BJ180" s="302">
        <f t="shared" ca="1" si="165"/>
        <v>5</v>
      </c>
      <c r="BK180" s="299">
        <f t="shared" ca="1" si="166"/>
        <v>0</v>
      </c>
      <c r="BL180" s="299" t="e">
        <f>SUM(#REF!, V180, AB180,AH180,AN180,AT180,AZ180,BF180)</f>
        <v>#REF!</v>
      </c>
      <c r="BM180" s="299" t="e">
        <f>SUM(#REF!,W180, AC180,AI180,AO180,AU180,BA180,BG180)</f>
        <v>#REF!</v>
      </c>
      <c r="BN180" s="299" t="e">
        <f>SUM(#REF!,X180, AD180,AJ180,AP180,AV180,BB180,BH180)</f>
        <v>#REF!</v>
      </c>
      <c r="BO180" s="303" t="e">
        <f t="shared" si="170"/>
        <v>#REF!</v>
      </c>
      <c r="BP180" s="304" t="s">
        <v>5914</v>
      </c>
      <c r="BQ180" s="302"/>
      <c r="BR180" s="299">
        <v>0</v>
      </c>
      <c r="BS180" s="299">
        <v>0</v>
      </c>
      <c r="BT180" s="299">
        <f t="shared" si="171"/>
        <v>0</v>
      </c>
      <c r="BU180" s="299">
        <v>0</v>
      </c>
      <c r="BV180" s="299">
        <v>0</v>
      </c>
      <c r="BW180" s="299">
        <f t="shared" si="173"/>
        <v>0</v>
      </c>
    </row>
    <row r="181" spans="22:75">
      <c r="AB181" s="299"/>
      <c r="AH181" s="299"/>
      <c r="AT181" s="299"/>
      <c r="BF181" s="299"/>
      <c r="BP181" s="304"/>
      <c r="BQ181" s="302"/>
      <c r="BR181" s="299"/>
      <c r="BS181" s="299"/>
      <c r="BT181" s="299"/>
      <c r="BU181" s="299"/>
      <c r="BV181" s="299"/>
      <c r="BW181" s="299"/>
    </row>
    <row r="182" spans="22:75">
      <c r="AB182" s="299"/>
      <c r="AH182" s="299"/>
      <c r="AT182" s="299"/>
      <c r="BP182" s="304"/>
      <c r="BQ182" s="302"/>
      <c r="BR182" s="299"/>
      <c r="BS182" s="299"/>
      <c r="BT182" s="299"/>
      <c r="BU182" s="299"/>
      <c r="BV182" s="299"/>
      <c r="BW182" s="299"/>
    </row>
    <row r="183" spans="22:75">
      <c r="AB183" s="299"/>
      <c r="AH183" s="299"/>
      <c r="BP183" s="304"/>
      <c r="BQ183" s="302"/>
      <c r="BR183" s="299"/>
      <c r="BS183" s="299"/>
      <c r="BT183" s="299"/>
      <c r="BU183" s="299"/>
      <c r="BV183" s="299"/>
      <c r="BW183" s="299"/>
    </row>
    <row r="184" spans="22:75">
      <c r="AB184" s="299"/>
      <c r="AH184" s="299"/>
      <c r="BP184" s="304"/>
      <c r="BQ184" s="302"/>
      <c r="BR184" s="299"/>
      <c r="BS184" s="299"/>
      <c r="BT184" s="299"/>
      <c r="BU184" s="299"/>
      <c r="BV184" s="299"/>
      <c r="BW184" s="299"/>
    </row>
    <row r="185" spans="22:75">
      <c r="AH185" s="299"/>
      <c r="BP185" s="304"/>
      <c r="BQ185" s="302"/>
      <c r="BR185" s="299"/>
      <c r="BS185" s="299"/>
      <c r="BT185" s="299"/>
      <c r="BU185" s="299"/>
      <c r="BV185" s="299"/>
      <c r="BW185" s="299"/>
    </row>
    <row r="186" spans="22:75">
      <c r="AH186" s="299"/>
      <c r="BP186" s="304"/>
      <c r="BQ186" s="302"/>
      <c r="BR186" s="299"/>
      <c r="BS186" s="299"/>
      <c r="BT186" s="299"/>
      <c r="BU186" s="299"/>
      <c r="BV186" s="299"/>
      <c r="BW186" s="299"/>
    </row>
    <row r="187" spans="22:75">
      <c r="AH187" s="299"/>
      <c r="BP187" s="304"/>
      <c r="BQ187" s="302"/>
      <c r="BR187" s="299"/>
      <c r="BS187" s="299"/>
      <c r="BT187" s="299"/>
      <c r="BU187" s="299"/>
      <c r="BV187" s="299"/>
      <c r="BW187" s="299"/>
    </row>
    <row r="188" spans="22:75">
      <c r="BP188" s="304"/>
      <c r="BQ188" s="302"/>
      <c r="BR188" s="299"/>
      <c r="BS188" s="299"/>
      <c r="BT188" s="299"/>
      <c r="BU188" s="299"/>
      <c r="BV188" s="299"/>
      <c r="BW188" s="299"/>
    </row>
    <row r="189" spans="22:75">
      <c r="BP189" s="304"/>
      <c r="BQ189" s="302"/>
      <c r="BR189" s="299"/>
      <c r="BS189" s="299"/>
      <c r="BT189" s="299"/>
      <c r="BU189" s="299"/>
      <c r="BV189" s="299"/>
      <c r="BW189" s="299"/>
    </row>
    <row r="190" spans="22:75">
      <c r="BP190" s="304"/>
      <c r="BQ190" s="302"/>
      <c r="BR190" s="299"/>
      <c r="BS190" s="299"/>
      <c r="BT190" s="299"/>
      <c r="BU190" s="299"/>
      <c r="BV190" s="299"/>
      <c r="BW190" s="299"/>
    </row>
    <row r="191" spans="22:75">
      <c r="BP191" s="304"/>
      <c r="BQ191" s="302"/>
      <c r="BR191" s="299"/>
      <c r="BS191" s="299"/>
      <c r="BT191" s="299"/>
      <c r="BU191" s="299"/>
      <c r="BV191" s="299"/>
      <c r="BW191" s="299"/>
    </row>
    <row r="192" spans="22:75">
      <c r="BP192" s="304"/>
      <c r="BQ192" s="302"/>
      <c r="BR192" s="299"/>
      <c r="BS192" s="299"/>
      <c r="BT192" s="299"/>
      <c r="BU192" s="299"/>
      <c r="BV192" s="299"/>
      <c r="BW192" s="299"/>
    </row>
  </sheetData>
  <sortState xmlns:xlrd2="http://schemas.microsoft.com/office/spreadsheetml/2017/richdata2" ref="A2:GC194">
    <sortCondition sortBy="cellColor" ref="A2:A194" dxfId="1"/>
  </sortState>
  <pageMargins left="0.25" right="0.25" top="0.75" bottom="0.75" header="0.3" footer="0.3"/>
  <pageSetup paperSize="278"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E0E1A-CFF2-4039-8AA5-E3FEA93BDE2A}">
  <dimension ref="A1:JO1051"/>
  <sheetViews>
    <sheetView topLeftCell="IQ1" zoomScaleNormal="100" workbookViewId="0">
      <pane ySplit="1" topLeftCell="A2" activePane="bottomLeft" state="frozen"/>
      <selection activeCell="IQ1" sqref="IQ1"/>
      <selection pane="bottomLeft" activeCell="IQ1" sqref="A1:XFD1"/>
    </sheetView>
  </sheetViews>
  <sheetFormatPr defaultColWidth="8.85546875" defaultRowHeight="15" customHeight="1"/>
  <cols>
    <col min="1" max="1" width="10" style="2" bestFit="1" customWidth="1"/>
    <col min="2" max="2" width="54.140625" bestFit="1" customWidth="1"/>
    <col min="3" max="3" width="6.28515625" bestFit="1" customWidth="1"/>
    <col min="4" max="4" width="17.5703125" bestFit="1" customWidth="1"/>
    <col min="5" max="5" width="16.85546875" bestFit="1" customWidth="1"/>
    <col min="6" max="6" width="15.7109375" bestFit="1" customWidth="1"/>
    <col min="7" max="7" width="21.7109375" bestFit="1" customWidth="1"/>
    <col min="8" max="8" width="21.140625" bestFit="1" customWidth="1"/>
    <col min="9" max="9" width="14.42578125" customWidth="1"/>
    <col min="10" max="10" width="31.7109375" bestFit="1" customWidth="1"/>
    <col min="11" max="11" width="109.140625" bestFit="1" customWidth="1"/>
    <col min="12" max="12" width="17.85546875" bestFit="1" customWidth="1"/>
    <col min="13" max="13" width="10.140625" bestFit="1" customWidth="1"/>
    <col min="14" max="14" width="42.42578125" bestFit="1" customWidth="1"/>
    <col min="15" max="15" width="12" bestFit="1" customWidth="1"/>
    <col min="16" max="16" width="29.28515625" bestFit="1" customWidth="1"/>
    <col min="17" max="17" width="25.7109375" bestFit="1" customWidth="1"/>
    <col min="18" max="18" width="11.5703125" bestFit="1" customWidth="1"/>
    <col min="19" max="19" width="7.5703125" bestFit="1" customWidth="1"/>
    <col min="20" max="20" width="17.85546875" bestFit="1" customWidth="1"/>
    <col min="21" max="21" width="34.140625" bestFit="1" customWidth="1"/>
    <col min="22" max="22" width="18.5703125" bestFit="1" customWidth="1"/>
    <col min="23" max="23" width="11.5703125" bestFit="1" customWidth="1"/>
    <col min="24" max="24" width="16.140625" bestFit="1" customWidth="1"/>
    <col min="25" max="25" width="16.7109375" bestFit="1" customWidth="1"/>
    <col min="26" max="26" width="41.85546875" bestFit="1" customWidth="1"/>
    <col min="27" max="27" width="35.85546875" bestFit="1" customWidth="1"/>
    <col min="28" max="28" width="28.7109375" bestFit="1" customWidth="1"/>
    <col min="29" max="29" width="23.85546875" bestFit="1" customWidth="1"/>
    <col min="30" max="30" width="38.42578125" bestFit="1" customWidth="1"/>
    <col min="31" max="31" width="13.140625" bestFit="1" customWidth="1"/>
    <col min="32" max="32" width="20.85546875" bestFit="1" customWidth="1"/>
    <col min="33" max="33" width="17.28515625" style="3" bestFit="1" customWidth="1"/>
    <col min="34" max="34" width="64.5703125" bestFit="1" customWidth="1"/>
    <col min="35" max="35" width="28.7109375" bestFit="1" customWidth="1"/>
    <col min="36" max="36" width="24.28515625" bestFit="1" customWidth="1"/>
    <col min="37" max="37" width="20" bestFit="1" customWidth="1"/>
    <col min="38" max="38" width="22.5703125" bestFit="1" customWidth="1"/>
    <col min="39" max="39" width="18.7109375" style="3" bestFit="1" customWidth="1"/>
    <col min="40" max="40" width="28.5703125" style="3" bestFit="1" customWidth="1"/>
    <col min="41" max="41" width="31.5703125" bestFit="1" customWidth="1"/>
    <col min="42" max="42" width="20.7109375" style="1" bestFit="1" customWidth="1"/>
    <col min="43" max="43" width="28.5703125" style="3" bestFit="1" customWidth="1"/>
    <col min="44" max="44" width="20" style="3" bestFit="1" customWidth="1"/>
    <col min="45" max="45" width="25.85546875" bestFit="1" customWidth="1"/>
    <col min="46" max="46" width="19.140625" bestFit="1" customWidth="1"/>
    <col min="47" max="49" width="255.7109375" bestFit="1" customWidth="1"/>
    <col min="50" max="50" width="183.5703125" bestFit="1" customWidth="1"/>
    <col min="51" max="51" width="24.140625" bestFit="1" customWidth="1"/>
    <col min="52" max="52" width="10.85546875" bestFit="1" customWidth="1"/>
    <col min="53" max="53" width="19.5703125" bestFit="1" customWidth="1"/>
    <col min="54" max="54" width="19.85546875" bestFit="1" customWidth="1"/>
    <col min="55" max="56" width="15.7109375" bestFit="1" customWidth="1"/>
    <col min="57" max="57" width="22.7109375" bestFit="1" customWidth="1"/>
    <col min="58" max="58" width="23" bestFit="1" customWidth="1"/>
    <col min="59" max="59" width="28.5703125" bestFit="1" customWidth="1"/>
    <col min="60" max="60" width="10.7109375" bestFit="1" customWidth="1"/>
    <col min="61" max="61" width="16.5703125" bestFit="1" customWidth="1"/>
    <col min="62" max="62" width="15.85546875" bestFit="1" customWidth="1"/>
    <col min="63" max="63" width="13.42578125" bestFit="1" customWidth="1"/>
    <col min="64" max="64" width="10.140625" bestFit="1" customWidth="1"/>
    <col min="65" max="65" width="23" bestFit="1" customWidth="1"/>
    <col min="66" max="66" width="12.42578125" bestFit="1" customWidth="1"/>
    <col min="67" max="67" width="23" bestFit="1" customWidth="1"/>
    <col min="68" max="68" width="14" bestFit="1" customWidth="1"/>
    <col min="69" max="69" width="9.85546875" bestFit="1" customWidth="1"/>
    <col min="70" max="70" width="8.42578125" bestFit="1" customWidth="1"/>
    <col min="71" max="74" width="23" bestFit="1" customWidth="1"/>
    <col min="75" max="75" width="9.85546875" bestFit="1" customWidth="1"/>
    <col min="76" max="76" width="8.42578125" bestFit="1" customWidth="1"/>
    <col min="77" max="77" width="23" bestFit="1" customWidth="1"/>
    <col min="78" max="78" width="24" bestFit="1" customWidth="1"/>
    <col min="79" max="80" width="23" bestFit="1" customWidth="1"/>
    <col min="81" max="81" width="9.85546875" bestFit="1" customWidth="1"/>
    <col min="82" max="82" width="10.140625" bestFit="1" customWidth="1"/>
    <col min="83" max="83" width="23" bestFit="1" customWidth="1"/>
    <col min="84" max="84" width="24" bestFit="1" customWidth="1"/>
    <col min="85" max="85" width="25" bestFit="1" customWidth="1"/>
    <col min="86" max="86" width="23" bestFit="1" customWidth="1"/>
    <col min="87" max="87" width="10.140625" bestFit="1" customWidth="1"/>
    <col min="88" max="88" width="9.140625" bestFit="1" customWidth="1"/>
    <col min="89" max="89" width="23" bestFit="1" customWidth="1"/>
    <col min="90" max="91" width="24" bestFit="1" customWidth="1"/>
    <col min="92" max="92" width="23" bestFit="1" customWidth="1"/>
    <col min="93" max="93" width="9.85546875" bestFit="1" customWidth="1"/>
    <col min="94" max="94" width="9.28515625" bestFit="1" customWidth="1"/>
    <col min="95" max="95" width="23" bestFit="1" customWidth="1"/>
    <col min="96" max="96" width="24" bestFit="1" customWidth="1"/>
    <col min="97" max="97" width="23.7109375" bestFit="1" customWidth="1"/>
    <col min="98" max="98" width="23" bestFit="1" customWidth="1"/>
    <col min="99" max="99" width="9.140625" bestFit="1" customWidth="1"/>
    <col min="100" max="100" width="9.5703125" bestFit="1" customWidth="1"/>
    <col min="101" max="101" width="23" bestFit="1" customWidth="1"/>
    <col min="102" max="102" width="24" bestFit="1" customWidth="1"/>
    <col min="103" max="104" width="23" bestFit="1" customWidth="1"/>
    <col min="105" max="105" width="9.140625" bestFit="1" customWidth="1"/>
    <col min="106" max="106" width="15.5703125" bestFit="1" customWidth="1"/>
    <col min="107" max="107" width="14.28515625" bestFit="1" customWidth="1"/>
    <col min="108" max="108" width="24" bestFit="1" customWidth="1"/>
    <col min="109" max="109" width="18.7109375" bestFit="1" customWidth="1"/>
    <col min="110" max="110" width="9.7109375" bestFit="1" customWidth="1"/>
    <col min="111" max="111" width="13.85546875" bestFit="1" customWidth="1"/>
    <col min="112" max="112" width="16.5703125" bestFit="1" customWidth="1"/>
    <col min="113" max="113" width="13.140625" bestFit="1" customWidth="1"/>
    <col min="114" max="114" width="24" bestFit="1" customWidth="1"/>
    <col min="115" max="118" width="255.7109375" bestFit="1" customWidth="1"/>
    <col min="119" max="119" width="221.140625" bestFit="1" customWidth="1"/>
    <col min="120" max="133" width="255.7109375" bestFit="1" customWidth="1"/>
    <col min="134" max="134" width="238.5703125" bestFit="1" customWidth="1"/>
    <col min="135" max="135" width="237.42578125" bestFit="1" customWidth="1"/>
    <col min="136" max="136" width="24.85546875" bestFit="1" customWidth="1"/>
    <col min="137" max="137" width="31.28515625" bestFit="1" customWidth="1"/>
    <col min="138" max="138" width="21" bestFit="1" customWidth="1"/>
    <col min="139" max="139" width="255.7109375" bestFit="1" customWidth="1"/>
    <col min="140" max="140" width="232.42578125" bestFit="1" customWidth="1"/>
    <col min="141" max="150" width="255.7109375" bestFit="1" customWidth="1"/>
    <col min="151" max="151" width="47.42578125" bestFit="1" customWidth="1"/>
    <col min="152" max="152" width="37.42578125" bestFit="1" customWidth="1"/>
    <col min="153" max="155" width="255.7109375" bestFit="1" customWidth="1"/>
    <col min="156" max="156" width="204.42578125" bestFit="1" customWidth="1"/>
    <col min="157" max="157" width="32.42578125" bestFit="1" customWidth="1"/>
    <col min="158" max="158" width="44.7109375" bestFit="1" customWidth="1"/>
    <col min="159" max="159" width="34.28515625" bestFit="1" customWidth="1"/>
    <col min="160" max="160" width="20.28515625" bestFit="1" customWidth="1"/>
    <col min="161" max="161" width="31.28515625" bestFit="1" customWidth="1"/>
    <col min="162" max="162" width="36.85546875" bestFit="1" customWidth="1"/>
    <col min="163" max="163" width="155.7109375" bestFit="1" customWidth="1"/>
    <col min="164" max="164" width="32.140625" bestFit="1" customWidth="1"/>
    <col min="165" max="165" width="35.5703125" bestFit="1" customWidth="1"/>
    <col min="166" max="166" width="50.140625" bestFit="1" customWidth="1"/>
    <col min="167" max="167" width="32.42578125" bestFit="1" customWidth="1"/>
    <col min="168" max="168" width="42.85546875" bestFit="1" customWidth="1"/>
    <col min="169" max="169" width="26.28515625" bestFit="1" customWidth="1"/>
    <col min="170" max="170" width="48.42578125" bestFit="1" customWidth="1"/>
    <col min="171" max="171" width="228.28515625" bestFit="1" customWidth="1"/>
    <col min="172" max="172" width="47" bestFit="1" customWidth="1"/>
    <col min="173" max="173" width="35.7109375" bestFit="1" customWidth="1"/>
    <col min="174" max="174" width="40.5703125" bestFit="1" customWidth="1"/>
    <col min="175" max="175" width="41.28515625" bestFit="1" customWidth="1"/>
    <col min="176" max="176" width="151.42578125" bestFit="1" customWidth="1"/>
    <col min="177" max="177" width="42.28515625" bestFit="1" customWidth="1"/>
    <col min="178" max="178" width="51.7109375" bestFit="1" customWidth="1"/>
    <col min="179" max="179" width="29.7109375" bestFit="1" customWidth="1"/>
    <col min="180" max="180" width="255.7109375" bestFit="1" customWidth="1"/>
    <col min="181" max="181" width="32.140625" bestFit="1" customWidth="1"/>
    <col min="182" max="182" width="44.140625" bestFit="1" customWidth="1"/>
    <col min="183" max="183" width="124.28515625" bestFit="1" customWidth="1"/>
    <col min="184" max="184" width="144.5703125" bestFit="1" customWidth="1"/>
    <col min="185" max="185" width="40.140625" bestFit="1" customWidth="1"/>
    <col min="186" max="186" width="55.5703125" bestFit="1" customWidth="1"/>
    <col min="187" max="187" width="45.140625" bestFit="1" customWidth="1"/>
    <col min="188" max="188" width="255.7109375" bestFit="1" customWidth="1"/>
    <col min="189" max="189" width="42.28515625" bestFit="1" customWidth="1"/>
    <col min="190" max="190" width="30.5703125" bestFit="1" customWidth="1"/>
    <col min="191" max="191" width="33.140625" bestFit="1" customWidth="1"/>
    <col min="192" max="192" width="255.7109375" bestFit="1" customWidth="1"/>
    <col min="193" max="193" width="41.28515625" bestFit="1" customWidth="1"/>
    <col min="194" max="194" width="143.7109375" bestFit="1" customWidth="1"/>
    <col min="195" max="195" width="41.28515625" bestFit="1" customWidth="1"/>
    <col min="196" max="196" width="40.140625" bestFit="1" customWidth="1"/>
    <col min="197" max="197" width="48" bestFit="1" customWidth="1"/>
    <col min="198" max="198" width="40" bestFit="1" customWidth="1"/>
    <col min="199" max="199" width="255.28515625" bestFit="1" customWidth="1"/>
    <col min="200" max="200" width="32" bestFit="1" customWidth="1"/>
    <col min="201" max="201" width="27.140625" bestFit="1" customWidth="1"/>
    <col min="202" max="202" width="41.28515625" bestFit="1" customWidth="1"/>
    <col min="203" max="203" width="124.28515625" bestFit="1" customWidth="1"/>
    <col min="204" max="204" width="46.42578125" bestFit="1" customWidth="1"/>
    <col min="205" max="205" width="50.85546875" bestFit="1" customWidth="1"/>
    <col min="206" max="206" width="25.85546875" bestFit="1" customWidth="1"/>
    <col min="207" max="207" width="32.140625" bestFit="1" customWidth="1"/>
    <col min="208" max="208" width="39.28515625" bestFit="1" customWidth="1"/>
    <col min="209" max="209" width="26.5703125" bestFit="1" customWidth="1"/>
    <col min="210" max="210" width="49.28515625" bestFit="1" customWidth="1"/>
    <col min="211" max="211" width="40" bestFit="1" customWidth="1"/>
    <col min="212" max="212" width="35.5703125" bestFit="1" customWidth="1"/>
    <col min="213" max="213" width="26.140625" bestFit="1" customWidth="1"/>
    <col min="214" max="214" width="41.28515625" bestFit="1" customWidth="1"/>
    <col min="215" max="215" width="45" bestFit="1" customWidth="1"/>
    <col min="216" max="216" width="46.42578125" bestFit="1" customWidth="1"/>
    <col min="217" max="217" width="32.140625" bestFit="1" customWidth="1"/>
    <col min="218" max="218" width="31.7109375" bestFit="1" customWidth="1"/>
    <col min="219" max="219" width="21.42578125" bestFit="1" customWidth="1"/>
    <col min="220" max="220" width="24.28515625" bestFit="1" customWidth="1"/>
    <col min="221" max="221" width="26.140625" bestFit="1" customWidth="1"/>
    <col min="222" max="222" width="41.28515625" bestFit="1" customWidth="1"/>
    <col min="223" max="223" width="26.140625" bestFit="1" customWidth="1"/>
    <col min="224" max="224" width="41.28515625" bestFit="1" customWidth="1"/>
    <col min="225" max="225" width="23.7109375" bestFit="1" customWidth="1"/>
    <col min="226" max="226" width="19.5703125" bestFit="1" customWidth="1"/>
    <col min="227" max="227" width="18.5703125" bestFit="1" customWidth="1"/>
    <col min="228" max="229" width="24.28515625" bestFit="1" customWidth="1"/>
    <col min="230" max="230" width="24.42578125" bestFit="1" customWidth="1"/>
    <col min="231" max="231" width="40" bestFit="1" customWidth="1"/>
    <col min="232" max="232" width="46.7109375" bestFit="1" customWidth="1"/>
    <col min="233" max="233" width="31.5703125" bestFit="1" customWidth="1"/>
    <col min="234" max="234" width="16.140625" bestFit="1" customWidth="1"/>
    <col min="235" max="235" width="23.42578125" bestFit="1" customWidth="1"/>
    <col min="236" max="236" width="20" bestFit="1" customWidth="1"/>
    <col min="237" max="238" width="24.28515625" bestFit="1" customWidth="1"/>
    <col min="239" max="239" width="18.140625" bestFit="1" customWidth="1"/>
    <col min="240" max="240" width="97" bestFit="1" customWidth="1"/>
    <col min="241" max="241" width="26.85546875" bestFit="1" customWidth="1"/>
    <col min="242" max="242" width="36.140625" bestFit="1" customWidth="1"/>
    <col min="243" max="243" width="25" bestFit="1" customWidth="1"/>
    <col min="244" max="244" width="23.85546875" bestFit="1" customWidth="1"/>
    <col min="245" max="245" width="40.5703125" bestFit="1" customWidth="1"/>
    <col min="246" max="246" width="10.140625" bestFit="1" customWidth="1"/>
    <col min="247" max="247" width="18.28515625" bestFit="1" customWidth="1"/>
    <col min="248" max="248" width="25.85546875" bestFit="1" customWidth="1"/>
    <col min="249" max="249" width="21.7109375" bestFit="1" customWidth="1"/>
    <col min="250" max="250" width="19.7109375" bestFit="1" customWidth="1"/>
    <col min="251" max="251" width="34.28515625" bestFit="1" customWidth="1"/>
    <col min="252" max="253" width="10.7109375" bestFit="1" customWidth="1"/>
    <col min="254" max="254" width="10.85546875" bestFit="1" customWidth="1"/>
    <col min="255" max="256" width="10.7109375" bestFit="1" customWidth="1"/>
    <col min="257" max="257" width="9.7109375" bestFit="1" customWidth="1"/>
    <col min="258" max="258" width="9.85546875" bestFit="1" customWidth="1"/>
    <col min="259" max="259" width="9.7109375" bestFit="1" customWidth="1"/>
    <col min="260" max="260" width="10.7109375" bestFit="1" customWidth="1"/>
    <col min="261" max="262" width="9.7109375" bestFit="1" customWidth="1"/>
    <col min="263" max="263" width="8.7109375" bestFit="1" customWidth="1"/>
    <col min="265" max="267" width="9.7109375" bestFit="1" customWidth="1"/>
    <col min="268" max="268" width="8.7109375" bestFit="1" customWidth="1"/>
  </cols>
  <sheetData>
    <row r="1" spans="1:263" s="349" customFormat="1" ht="15" customHeight="1">
      <c r="A1" s="324" t="s">
        <v>0</v>
      </c>
      <c r="B1" s="322" t="s">
        <v>1</v>
      </c>
      <c r="C1" s="323" t="s">
        <v>2</v>
      </c>
      <c r="D1" s="324" t="s">
        <v>1519</v>
      </c>
      <c r="E1" s="322" t="s">
        <v>3</v>
      </c>
      <c r="F1" s="340" t="s">
        <v>4</v>
      </c>
      <c r="G1" s="322" t="s">
        <v>5</v>
      </c>
      <c r="H1" s="322" t="s">
        <v>6</v>
      </c>
      <c r="I1" s="322" t="s">
        <v>7</v>
      </c>
      <c r="J1" s="322" t="s">
        <v>8</v>
      </c>
      <c r="K1" s="322" t="s">
        <v>9</v>
      </c>
      <c r="L1" s="322" t="s">
        <v>10</v>
      </c>
      <c r="M1" s="322" t="s">
        <v>11</v>
      </c>
      <c r="N1" s="322" t="s">
        <v>12</v>
      </c>
      <c r="O1" s="324" t="s">
        <v>13</v>
      </c>
      <c r="P1" s="322" t="s">
        <v>14</v>
      </c>
      <c r="Q1" s="322" t="s">
        <v>15</v>
      </c>
      <c r="R1" s="322" t="s">
        <v>16</v>
      </c>
      <c r="S1" s="322" t="s">
        <v>17</v>
      </c>
      <c r="T1" s="324" t="s">
        <v>18</v>
      </c>
      <c r="U1" s="322" t="s">
        <v>19</v>
      </c>
      <c r="V1" s="322" t="s">
        <v>20</v>
      </c>
      <c r="W1" s="322" t="s">
        <v>21</v>
      </c>
      <c r="X1" s="322" t="s">
        <v>22</v>
      </c>
      <c r="Y1" s="324" t="s">
        <v>23</v>
      </c>
      <c r="Z1" s="322" t="s">
        <v>24</v>
      </c>
      <c r="AA1" s="322" t="s">
        <v>25</v>
      </c>
      <c r="AB1" s="322" t="s">
        <v>26</v>
      </c>
      <c r="AC1" s="322" t="s">
        <v>27</v>
      </c>
      <c r="AD1" s="322" t="s">
        <v>28</v>
      </c>
      <c r="AE1" s="322" t="s">
        <v>29</v>
      </c>
      <c r="AF1" s="322" t="s">
        <v>30</v>
      </c>
      <c r="AG1" s="348" t="s">
        <v>31</v>
      </c>
      <c r="AH1" s="322" t="s">
        <v>32</v>
      </c>
      <c r="AI1" s="322" t="s">
        <v>33</v>
      </c>
      <c r="AJ1" s="326" t="s">
        <v>34</v>
      </c>
      <c r="AK1" s="326" t="s">
        <v>35</v>
      </c>
      <c r="AL1" s="326" t="s">
        <v>36</v>
      </c>
      <c r="AM1" s="327" t="s">
        <v>37</v>
      </c>
      <c r="AN1" s="324" t="s">
        <v>38</v>
      </c>
      <c r="AO1" s="322" t="s">
        <v>39</v>
      </c>
      <c r="AP1" s="328" t="s">
        <v>40</v>
      </c>
      <c r="AQ1" s="324" t="s">
        <v>41</v>
      </c>
      <c r="AR1" s="324" t="s">
        <v>42</v>
      </c>
      <c r="AS1" s="328" t="s">
        <v>43</v>
      </c>
      <c r="AT1" s="328" t="s">
        <v>44</v>
      </c>
      <c r="AU1" s="323" t="s">
        <v>45</v>
      </c>
      <c r="AV1" s="323" t="s">
        <v>46</v>
      </c>
      <c r="AW1" s="323" t="s">
        <v>47</v>
      </c>
      <c r="AX1" s="324" t="s">
        <v>48</v>
      </c>
      <c r="AY1" s="329" t="s">
        <v>49</v>
      </c>
      <c r="AZ1" s="330" t="s">
        <v>50</v>
      </c>
      <c r="BA1" s="324" t="s">
        <v>51</v>
      </c>
      <c r="BB1" s="324" t="s">
        <v>52</v>
      </c>
      <c r="BC1" s="324" t="s">
        <v>53</v>
      </c>
      <c r="BD1" s="324" t="s">
        <v>54</v>
      </c>
      <c r="BE1" s="324" t="s">
        <v>55</v>
      </c>
      <c r="BF1" s="324" t="s">
        <v>56</v>
      </c>
      <c r="BG1" s="324" t="s">
        <v>57</v>
      </c>
      <c r="BH1" s="324" t="s">
        <v>58</v>
      </c>
      <c r="BI1" s="324" t="s">
        <v>59</v>
      </c>
      <c r="BJ1" s="324" t="s">
        <v>2418</v>
      </c>
      <c r="BK1" s="324" t="s">
        <v>2419</v>
      </c>
      <c r="BL1" s="326" t="s">
        <v>84</v>
      </c>
      <c r="BM1" s="326" t="s">
        <v>85</v>
      </c>
      <c r="BN1" s="326" t="s">
        <v>86</v>
      </c>
      <c r="BO1" s="331" t="s">
        <v>87</v>
      </c>
      <c r="BP1" s="332" t="s">
        <v>88</v>
      </c>
      <c r="BQ1" s="326" t="s">
        <v>89</v>
      </c>
      <c r="BR1" s="326" t="s">
        <v>90</v>
      </c>
      <c r="BS1" s="326" t="s">
        <v>91</v>
      </c>
      <c r="BT1" s="326" t="s">
        <v>92</v>
      </c>
      <c r="BU1" s="331" t="s">
        <v>93</v>
      </c>
      <c r="BV1" s="332" t="s">
        <v>94</v>
      </c>
      <c r="BW1" s="326" t="s">
        <v>95</v>
      </c>
      <c r="BX1" s="326" t="s">
        <v>96</v>
      </c>
      <c r="BY1" s="326" t="s">
        <v>97</v>
      </c>
      <c r="BZ1" s="326" t="s">
        <v>98</v>
      </c>
      <c r="CA1" s="331" t="s">
        <v>99</v>
      </c>
      <c r="CB1" s="332" t="s">
        <v>100</v>
      </c>
      <c r="CC1" s="326" t="s">
        <v>101</v>
      </c>
      <c r="CD1" s="326" t="s">
        <v>1908</v>
      </c>
      <c r="CE1" s="326" t="s">
        <v>1989</v>
      </c>
      <c r="CF1" s="326" t="s">
        <v>1990</v>
      </c>
      <c r="CG1" s="331" t="s">
        <v>1991</v>
      </c>
      <c r="CH1" s="332" t="s">
        <v>1992</v>
      </c>
      <c r="CI1" s="326" t="s">
        <v>1993</v>
      </c>
      <c r="CJ1" s="326" t="s">
        <v>2544</v>
      </c>
      <c r="CK1" s="326" t="s">
        <v>2551</v>
      </c>
      <c r="CL1" s="326" t="s">
        <v>2552</v>
      </c>
      <c r="CM1" s="331" t="s">
        <v>2553</v>
      </c>
      <c r="CN1" s="332" t="s">
        <v>2554</v>
      </c>
      <c r="CO1" s="326" t="s">
        <v>2555</v>
      </c>
      <c r="CP1" s="326" t="s">
        <v>102</v>
      </c>
      <c r="CQ1" s="326" t="s">
        <v>103</v>
      </c>
      <c r="CR1" s="326" t="s">
        <v>104</v>
      </c>
      <c r="CS1" s="326" t="s">
        <v>105</v>
      </c>
      <c r="CT1" s="326" t="s">
        <v>1909</v>
      </c>
      <c r="CU1" s="326" t="s">
        <v>107</v>
      </c>
      <c r="CV1" s="332" t="s">
        <v>108</v>
      </c>
      <c r="CW1" s="326" t="s">
        <v>109</v>
      </c>
      <c r="CX1" s="326" t="s">
        <v>110</v>
      </c>
      <c r="CY1" s="326" t="s">
        <v>111</v>
      </c>
      <c r="CZ1" s="326" t="s">
        <v>113</v>
      </c>
      <c r="DA1" s="326" t="s">
        <v>112</v>
      </c>
      <c r="DB1" s="326" t="s">
        <v>114</v>
      </c>
      <c r="DC1" s="326" t="s">
        <v>115</v>
      </c>
      <c r="DD1" s="333" t="s">
        <v>116</v>
      </c>
      <c r="DE1" s="326" t="s">
        <v>117</v>
      </c>
      <c r="DF1" s="324" t="s">
        <v>106</v>
      </c>
      <c r="DG1" s="333" t="s">
        <v>118</v>
      </c>
      <c r="DH1" s="333" t="s">
        <v>119</v>
      </c>
      <c r="DI1" s="333" t="s">
        <v>120</v>
      </c>
      <c r="DJ1" s="337" t="s">
        <v>121</v>
      </c>
      <c r="DK1" s="322" t="s">
        <v>122</v>
      </c>
      <c r="DL1" s="322" t="s">
        <v>123</v>
      </c>
      <c r="DM1" s="322" t="s">
        <v>124</v>
      </c>
      <c r="DN1" s="322" t="s">
        <v>125</v>
      </c>
      <c r="DO1" s="322" t="s">
        <v>126</v>
      </c>
      <c r="DP1" s="322" t="s">
        <v>127</v>
      </c>
      <c r="DQ1" s="322" t="s">
        <v>128</v>
      </c>
      <c r="DR1" s="322" t="s">
        <v>129</v>
      </c>
      <c r="DS1" s="322" t="s">
        <v>130</v>
      </c>
      <c r="DT1" s="322" t="s">
        <v>131</v>
      </c>
      <c r="DU1" s="322" t="s">
        <v>132</v>
      </c>
      <c r="DV1" s="322" t="s">
        <v>133</v>
      </c>
      <c r="DW1" s="322" t="s">
        <v>134</v>
      </c>
      <c r="DX1" s="322" t="s">
        <v>135</v>
      </c>
      <c r="DY1" s="322" t="s">
        <v>136</v>
      </c>
      <c r="DZ1" s="322" t="s">
        <v>137</v>
      </c>
      <c r="EA1" s="322" t="s">
        <v>138</v>
      </c>
      <c r="EB1" s="322" t="s">
        <v>139</v>
      </c>
      <c r="EC1" s="322" t="s">
        <v>140</v>
      </c>
      <c r="ED1" s="322" t="s">
        <v>141</v>
      </c>
      <c r="EE1" s="322" t="s">
        <v>142</v>
      </c>
      <c r="EF1" s="322" t="s">
        <v>143</v>
      </c>
      <c r="EG1" s="322" t="s">
        <v>144</v>
      </c>
      <c r="EH1" s="322" t="s">
        <v>145</v>
      </c>
      <c r="EI1" s="322" t="s">
        <v>146</v>
      </c>
      <c r="EJ1" s="322" t="s">
        <v>147</v>
      </c>
      <c r="EK1" s="322" t="s">
        <v>148</v>
      </c>
      <c r="EL1" s="322" t="s">
        <v>149</v>
      </c>
      <c r="EM1" s="322" t="s">
        <v>150</v>
      </c>
      <c r="EN1" s="322" t="s">
        <v>151</v>
      </c>
      <c r="EO1" s="322" t="s">
        <v>152</v>
      </c>
      <c r="EP1" s="322" t="s">
        <v>153</v>
      </c>
      <c r="EQ1" s="322" t="s">
        <v>154</v>
      </c>
      <c r="ER1" s="322" t="s">
        <v>155</v>
      </c>
      <c r="ES1" s="334" t="s">
        <v>156</v>
      </c>
      <c r="ET1" s="335" t="s">
        <v>157</v>
      </c>
      <c r="EU1" s="322" t="s">
        <v>158</v>
      </c>
      <c r="EV1" s="322" t="s">
        <v>159</v>
      </c>
      <c r="EW1" s="322" t="s">
        <v>160</v>
      </c>
      <c r="EX1" s="322" t="s">
        <v>161</v>
      </c>
      <c r="EY1" s="322" t="s">
        <v>162</v>
      </c>
      <c r="EZ1" s="322" t="s">
        <v>163</v>
      </c>
      <c r="FA1" s="335" t="s">
        <v>164</v>
      </c>
      <c r="FB1" s="322" t="s">
        <v>166</v>
      </c>
      <c r="FC1" s="322" t="s">
        <v>167</v>
      </c>
      <c r="FD1" s="322" t="s">
        <v>168</v>
      </c>
      <c r="FE1" s="322" t="s">
        <v>169</v>
      </c>
      <c r="FF1" s="322" t="s">
        <v>170</v>
      </c>
      <c r="FG1" s="326" t="s">
        <v>171</v>
      </c>
      <c r="FH1" s="322" t="s">
        <v>172</v>
      </c>
      <c r="FI1" s="322" t="s">
        <v>173</v>
      </c>
      <c r="FJ1" s="322" t="s">
        <v>174</v>
      </c>
      <c r="FK1" s="322" t="s">
        <v>175</v>
      </c>
      <c r="FL1" s="322" t="s">
        <v>176</v>
      </c>
      <c r="FM1" s="322" t="s">
        <v>177</v>
      </c>
      <c r="FN1" s="334" t="s">
        <v>178</v>
      </c>
      <c r="FO1" s="322" t="s">
        <v>179</v>
      </c>
      <c r="FP1" s="322" t="s">
        <v>180</v>
      </c>
      <c r="FQ1" s="322" t="s">
        <v>181</v>
      </c>
      <c r="FR1" s="322" t="s">
        <v>182</v>
      </c>
      <c r="FS1" s="322" t="s">
        <v>183</v>
      </c>
      <c r="FT1" s="322" t="s">
        <v>184</v>
      </c>
      <c r="FU1" s="322" t="s">
        <v>185</v>
      </c>
      <c r="FV1" s="322" t="s">
        <v>186</v>
      </c>
      <c r="FW1" s="322" t="s">
        <v>187</v>
      </c>
      <c r="FX1" s="322" t="s">
        <v>188</v>
      </c>
      <c r="FY1" s="322" t="s">
        <v>189</v>
      </c>
      <c r="FZ1" s="322" t="s">
        <v>190</v>
      </c>
      <c r="GA1" s="322" t="s">
        <v>191</v>
      </c>
      <c r="GB1" s="322" t="s">
        <v>192</v>
      </c>
      <c r="GC1" s="322" t="s">
        <v>193</v>
      </c>
      <c r="GD1" s="322" t="s">
        <v>194</v>
      </c>
      <c r="GE1" s="322" t="s">
        <v>195</v>
      </c>
      <c r="GF1" s="322" t="s">
        <v>196</v>
      </c>
      <c r="GG1" s="322" t="s">
        <v>197</v>
      </c>
      <c r="GH1" s="322" t="s">
        <v>198</v>
      </c>
      <c r="GI1" s="322" t="s">
        <v>199</v>
      </c>
      <c r="GJ1" s="322" t="s">
        <v>200</v>
      </c>
      <c r="GK1" s="322" t="s">
        <v>201</v>
      </c>
      <c r="GL1" s="322" t="s">
        <v>202</v>
      </c>
      <c r="GM1" s="322" t="s">
        <v>203</v>
      </c>
      <c r="GN1" s="322" t="s">
        <v>204</v>
      </c>
      <c r="GO1" s="322" t="s">
        <v>205</v>
      </c>
      <c r="GP1" s="322" t="s">
        <v>206</v>
      </c>
      <c r="GQ1" s="322" t="s">
        <v>207</v>
      </c>
      <c r="GR1" s="322" t="s">
        <v>208</v>
      </c>
      <c r="GS1" s="322" t="s">
        <v>209</v>
      </c>
      <c r="GT1" s="322" t="s">
        <v>210</v>
      </c>
      <c r="GU1" s="322" t="s">
        <v>211</v>
      </c>
      <c r="GV1" s="322" t="s">
        <v>212</v>
      </c>
      <c r="GW1" s="322" t="s">
        <v>213</v>
      </c>
      <c r="GX1" s="322" t="s">
        <v>214</v>
      </c>
      <c r="GY1" s="322" t="s">
        <v>215</v>
      </c>
      <c r="GZ1" s="322" t="s">
        <v>216</v>
      </c>
      <c r="HA1" s="322" t="s">
        <v>217</v>
      </c>
      <c r="HB1" s="322" t="s">
        <v>218</v>
      </c>
      <c r="HC1" s="322" t="s">
        <v>219</v>
      </c>
      <c r="HD1" s="322" t="s">
        <v>220</v>
      </c>
      <c r="HE1" s="322" t="s">
        <v>221</v>
      </c>
      <c r="HF1" s="322" t="s">
        <v>222</v>
      </c>
      <c r="HG1" s="322" t="s">
        <v>223</v>
      </c>
      <c r="HH1" s="322" t="s">
        <v>224</v>
      </c>
      <c r="HI1" s="322" t="s">
        <v>225</v>
      </c>
      <c r="HJ1" s="322" t="s">
        <v>226</v>
      </c>
      <c r="HK1" s="322" t="s">
        <v>227</v>
      </c>
      <c r="HL1" s="322" t="s">
        <v>228</v>
      </c>
      <c r="HM1" s="322" t="s">
        <v>229</v>
      </c>
      <c r="HN1" s="322" t="s">
        <v>230</v>
      </c>
      <c r="HO1" s="322" t="s">
        <v>231</v>
      </c>
      <c r="HP1" s="322" t="s">
        <v>232</v>
      </c>
      <c r="HQ1" s="322" t="s">
        <v>233</v>
      </c>
      <c r="HR1" s="338" t="s">
        <v>234</v>
      </c>
      <c r="HS1" s="326" t="s">
        <v>235</v>
      </c>
      <c r="HT1" s="326" t="s">
        <v>236</v>
      </c>
      <c r="HU1" s="334" t="s">
        <v>237</v>
      </c>
      <c r="HV1" s="322" t="s">
        <v>238</v>
      </c>
      <c r="HW1" s="326" t="s">
        <v>239</v>
      </c>
      <c r="HX1" s="326" t="s">
        <v>240</v>
      </c>
      <c r="HY1" s="326" t="s">
        <v>241</v>
      </c>
      <c r="HZ1" s="326" t="s">
        <v>242</v>
      </c>
      <c r="IA1" s="326" t="s">
        <v>243</v>
      </c>
      <c r="IB1" s="326" t="s">
        <v>244</v>
      </c>
      <c r="IC1" s="326" t="s">
        <v>245</v>
      </c>
      <c r="ID1" s="326" t="s">
        <v>246</v>
      </c>
      <c r="IE1" s="326" t="s">
        <v>247</v>
      </c>
      <c r="IF1" s="326" t="s">
        <v>248</v>
      </c>
      <c r="IG1" s="326" t="s">
        <v>249</v>
      </c>
      <c r="IH1" s="326" t="s">
        <v>250</v>
      </c>
      <c r="II1" s="336"/>
      <c r="IJ1" s="336"/>
      <c r="IK1" s="336"/>
      <c r="IL1" s="336"/>
      <c r="IM1" s="336"/>
      <c r="IN1" s="336"/>
      <c r="IO1" s="336"/>
      <c r="IP1" s="336"/>
      <c r="IQ1" s="336"/>
      <c r="IR1" s="336"/>
      <c r="IS1" s="336"/>
      <c r="IT1" s="336"/>
      <c r="IU1" s="336"/>
      <c r="IV1" s="336"/>
      <c r="IW1" s="336"/>
      <c r="IX1" s="336"/>
      <c r="IY1" s="336"/>
      <c r="IZ1" s="322"/>
      <c r="JA1" s="322"/>
      <c r="JB1" s="322"/>
      <c r="JC1" s="336"/>
    </row>
    <row r="2" spans="1:263" ht="15" customHeight="1">
      <c r="A2" s="2">
        <v>102017088</v>
      </c>
      <c r="B2" s="246">
        <v>857</v>
      </c>
      <c r="C2" s="246"/>
      <c r="D2" s="246"/>
      <c r="F2" s="2"/>
      <c r="G2">
        <v>180000890</v>
      </c>
      <c r="J2" t="s">
        <v>253</v>
      </c>
      <c r="K2" t="s">
        <v>1016</v>
      </c>
      <c r="L2" t="s">
        <v>1031</v>
      </c>
      <c r="M2" t="s">
        <v>403</v>
      </c>
      <c r="O2" s="1" t="s">
        <v>258</v>
      </c>
      <c r="T2" s="1"/>
      <c r="W2" s="18"/>
      <c r="AD2" s="1"/>
      <c r="AG2" s="34"/>
      <c r="AH2" s="4"/>
      <c r="AI2" s="4"/>
      <c r="AJ2" s="4"/>
      <c r="AK2" s="4"/>
      <c r="AO2" s="4"/>
      <c r="AP2" s="13"/>
      <c r="AQ2" s="34"/>
      <c r="AR2" s="34"/>
      <c r="AS2" s="5"/>
      <c r="AT2" s="13"/>
      <c r="AU2" s="1"/>
      <c r="AV2" s="1"/>
      <c r="AW2" s="1"/>
      <c r="AX2" s="15"/>
      <c r="AY2" s="15"/>
      <c r="AZ2" s="15"/>
      <c r="BA2" s="15"/>
      <c r="BB2" s="1"/>
      <c r="BC2" s="15"/>
      <c r="BD2" s="15"/>
      <c r="BE2" s="15"/>
      <c r="BF2" s="15"/>
      <c r="BG2" s="5"/>
      <c r="BH2" s="16"/>
      <c r="BI2" s="16"/>
      <c r="BK2" s="4"/>
      <c r="BL2" s="4"/>
      <c r="BM2" s="6"/>
      <c r="BN2" s="7"/>
      <c r="BO2" s="4"/>
      <c r="BQ2" s="4"/>
      <c r="BR2" s="4"/>
      <c r="BS2" s="6"/>
      <c r="BT2" s="7"/>
      <c r="BU2" s="4"/>
      <c r="BV2" s="4"/>
      <c r="BW2" s="4"/>
      <c r="BX2" s="4"/>
      <c r="BY2" s="6"/>
      <c r="BZ2" s="7"/>
      <c r="CA2" s="4"/>
      <c r="CC2" s="4"/>
      <c r="CD2" s="4"/>
      <c r="CE2" s="6"/>
      <c r="CF2" s="7"/>
      <c r="CG2" s="4"/>
      <c r="CH2" s="4"/>
      <c r="CI2" s="4"/>
      <c r="CJ2" s="4"/>
      <c r="CK2" s="6"/>
      <c r="CL2" s="7"/>
      <c r="CM2" s="4"/>
      <c r="CN2" s="4"/>
      <c r="CO2" s="4"/>
      <c r="CP2" s="4"/>
      <c r="CQ2" s="6"/>
      <c r="CR2" s="7"/>
      <c r="CS2" s="4"/>
      <c r="CT2" s="4"/>
      <c r="CU2" s="4"/>
      <c r="CV2" s="4"/>
      <c r="CW2" s="6"/>
      <c r="CX2" s="7"/>
      <c r="CY2" s="4"/>
      <c r="CZ2" s="4"/>
      <c r="DA2" s="4"/>
      <c r="DB2" s="4"/>
      <c r="DC2" s="6"/>
      <c r="DD2" s="7"/>
      <c r="DE2" s="4"/>
      <c r="DF2" s="4"/>
      <c r="DG2" s="4"/>
      <c r="DH2" s="4"/>
      <c r="DI2" s="6"/>
      <c r="DJ2" s="7"/>
      <c r="DK2" s="4"/>
      <c r="DL2" s="4"/>
      <c r="DM2" s="4"/>
      <c r="DN2" s="4"/>
      <c r="DO2" s="4"/>
      <c r="DP2" s="4"/>
      <c r="DQ2" s="3"/>
      <c r="DR2" s="4"/>
      <c r="DS2" s="4"/>
      <c r="DT2" s="4"/>
      <c r="DU2" s="4"/>
      <c r="DV2" s="4"/>
      <c r="DW2" s="4"/>
      <c r="DX2" s="4"/>
      <c r="DY2" s="4"/>
      <c r="DZ2" s="4"/>
      <c r="EA2" s="4"/>
      <c r="EB2" s="4"/>
      <c r="EC2" s="4"/>
      <c r="ED2" s="4"/>
      <c r="ES2" s="4"/>
      <c r="ET2" s="13"/>
      <c r="EU2" s="4"/>
      <c r="FL2" s="9"/>
      <c r="FM2" s="10"/>
      <c r="FT2" s="10"/>
      <c r="FU2" s="9"/>
      <c r="GG2" s="9"/>
      <c r="IP2" s="4"/>
    </row>
    <row r="3" spans="1:263" ht="15" customHeight="1">
      <c r="A3" s="19">
        <v>102021034</v>
      </c>
      <c r="B3" s="18" t="s">
        <v>2063</v>
      </c>
      <c r="C3" s="18"/>
      <c r="D3" s="18"/>
      <c r="E3" s="18" t="s">
        <v>2436</v>
      </c>
      <c r="F3" s="18">
        <v>210002643</v>
      </c>
      <c r="G3" s="18"/>
      <c r="H3" s="18"/>
      <c r="I3" s="18"/>
      <c r="J3" s="18" t="s">
        <v>554</v>
      </c>
      <c r="K3" s="18" t="s">
        <v>2064</v>
      </c>
      <c r="L3" s="18" t="s">
        <v>420</v>
      </c>
      <c r="M3" s="18" t="s">
        <v>426</v>
      </c>
      <c r="N3" s="18"/>
      <c r="O3" s="18"/>
      <c r="P3" s="18" t="s">
        <v>2064</v>
      </c>
      <c r="Q3" s="18" t="s">
        <v>2065</v>
      </c>
      <c r="R3" s="18" t="s">
        <v>326</v>
      </c>
      <c r="S3" s="18"/>
      <c r="T3" s="18"/>
      <c r="U3" s="18"/>
      <c r="V3" s="18"/>
      <c r="W3" s="18"/>
      <c r="X3" s="18"/>
      <c r="Y3" s="18"/>
      <c r="Z3" s="18"/>
      <c r="AA3" s="18"/>
      <c r="AB3" s="18"/>
      <c r="AC3" s="18"/>
      <c r="AD3" s="18"/>
      <c r="AE3" s="18"/>
      <c r="AF3" s="18"/>
      <c r="AG3" s="231"/>
      <c r="AH3" s="18"/>
      <c r="AI3" s="18"/>
      <c r="AJ3" s="18" t="s">
        <v>328</v>
      </c>
      <c r="AK3" s="18"/>
      <c r="AL3" s="18" t="s">
        <v>600</v>
      </c>
      <c r="AM3" s="24"/>
      <c r="AN3" s="24"/>
      <c r="AO3" s="18" t="s">
        <v>2156</v>
      </c>
      <c r="AP3" s="13" t="s">
        <v>258</v>
      </c>
      <c r="AQ3" s="24" t="s">
        <v>2157</v>
      </c>
      <c r="AR3" s="24"/>
      <c r="AS3" s="13"/>
      <c r="AT3" s="13"/>
      <c r="AU3" s="13"/>
      <c r="AV3" s="13"/>
      <c r="AW3" s="13"/>
      <c r="AX3" s="48"/>
      <c r="AY3" s="48"/>
      <c r="AZ3" s="48"/>
      <c r="BA3" s="48"/>
      <c r="BB3" s="19"/>
      <c r="BC3" s="48"/>
      <c r="BD3" s="48"/>
      <c r="BE3" s="48"/>
      <c r="BF3" s="19"/>
      <c r="BG3" s="20"/>
      <c r="BH3" s="22"/>
      <c r="BI3" s="22"/>
      <c r="BJ3" s="14"/>
      <c r="BK3" s="22"/>
      <c r="BL3" s="14"/>
      <c r="BM3" s="14"/>
      <c r="BN3" s="14"/>
      <c r="BO3" s="17"/>
      <c r="BP3" s="23"/>
      <c r="BQ3" s="14"/>
      <c r="BR3" s="14"/>
      <c r="BS3" s="14"/>
      <c r="BT3" s="14"/>
      <c r="BU3" s="17"/>
      <c r="BV3" s="23"/>
      <c r="BW3" s="14"/>
      <c r="BX3" s="14"/>
      <c r="BY3" s="14"/>
      <c r="BZ3" s="14"/>
      <c r="CA3" s="17"/>
      <c r="CB3" s="23"/>
      <c r="CC3" s="14"/>
      <c r="CD3" s="14"/>
      <c r="CE3" s="14"/>
      <c r="CF3" s="14"/>
      <c r="CG3" s="17"/>
      <c r="CH3" s="23"/>
      <c r="CI3" s="14"/>
      <c r="CJ3" s="14"/>
      <c r="CK3" s="14"/>
      <c r="CL3" s="14"/>
      <c r="CM3" s="17"/>
      <c r="CN3" s="23"/>
      <c r="CO3" s="14"/>
      <c r="CP3" s="14"/>
      <c r="CQ3" s="14"/>
      <c r="CR3" s="14"/>
      <c r="CS3" s="17"/>
      <c r="CT3" s="23"/>
      <c r="CU3" s="14"/>
      <c r="CV3" s="14"/>
      <c r="CW3" s="14"/>
      <c r="CX3" s="14"/>
      <c r="CY3" s="14"/>
      <c r="CZ3" s="14"/>
      <c r="DA3" s="14"/>
      <c r="DB3" s="14"/>
      <c r="DC3" s="14"/>
      <c r="DD3" s="14"/>
      <c r="DE3" s="14"/>
      <c r="DF3" s="47"/>
      <c r="DG3" s="14"/>
      <c r="DH3" s="32"/>
      <c r="DI3" s="14"/>
      <c r="DJ3" s="14">
        <f>160+150</f>
        <v>310</v>
      </c>
      <c r="DK3" s="14">
        <f>SUM(DE3,DG3,DQ3, DJ3, DI3,FS3)</f>
        <v>1361.87</v>
      </c>
      <c r="DL3" s="14">
        <f>45.62+714</f>
        <v>759.62</v>
      </c>
      <c r="DM3" s="14">
        <f>93.75+127.5</f>
        <v>221.25</v>
      </c>
      <c r="DN3" s="14">
        <v>71</v>
      </c>
      <c r="DO3" s="23"/>
      <c r="DP3" s="25"/>
      <c r="DQ3" s="14">
        <f>SUM(DL3:DP3)</f>
        <v>1051.8699999999999</v>
      </c>
      <c r="DR3" s="24" t="s">
        <v>1997</v>
      </c>
      <c r="DS3" s="25">
        <v>89200</v>
      </c>
      <c r="DT3" s="25">
        <v>0</v>
      </c>
      <c r="DU3" s="25">
        <f>SUM(DS3+DT3)</f>
        <v>89200</v>
      </c>
      <c r="DV3" s="36">
        <v>18.600000000000001</v>
      </c>
      <c r="DW3" s="18" t="s">
        <v>2303</v>
      </c>
      <c r="DX3" s="18" t="s">
        <v>2304</v>
      </c>
      <c r="DY3" s="18" t="s">
        <v>2305</v>
      </c>
      <c r="DZ3" s="18"/>
      <c r="EA3" s="18"/>
      <c r="EB3" s="18"/>
      <c r="EC3" s="18"/>
      <c r="ED3" s="18"/>
      <c r="EE3" s="18"/>
      <c r="EF3" s="18"/>
      <c r="EG3" s="18"/>
      <c r="EH3" s="18"/>
      <c r="EI3" s="18" t="s">
        <v>2300</v>
      </c>
      <c r="EJ3" s="18"/>
      <c r="EK3" s="18" t="s">
        <v>2301</v>
      </c>
      <c r="EL3" s="18"/>
      <c r="EM3" s="18" t="s">
        <v>2302</v>
      </c>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4"/>
      <c r="IO3" s="14"/>
      <c r="IP3" s="27">
        <v>44333</v>
      </c>
      <c r="IQ3" s="18"/>
      <c r="IR3" s="18"/>
      <c r="IS3" s="18"/>
      <c r="IT3" s="18"/>
      <c r="IU3" s="240"/>
      <c r="IV3" s="240"/>
      <c r="IW3" s="240"/>
      <c r="IX3" s="240"/>
      <c r="IY3" s="240"/>
    </row>
    <row r="4" spans="1:263" ht="15" customHeight="1">
      <c r="A4" s="2">
        <v>102017037</v>
      </c>
      <c r="B4" t="s">
        <v>877</v>
      </c>
      <c r="J4" t="s">
        <v>253</v>
      </c>
      <c r="K4" t="s">
        <v>878</v>
      </c>
      <c r="L4" t="s">
        <v>879</v>
      </c>
      <c r="M4" t="s">
        <v>403</v>
      </c>
      <c r="N4" s="1"/>
      <c r="T4" s="1"/>
      <c r="AE4" s="1"/>
      <c r="AL4" s="4"/>
      <c r="AP4" s="13"/>
      <c r="AS4" s="1"/>
      <c r="AT4" s="13"/>
      <c r="AU4" s="1"/>
      <c r="AV4" s="1"/>
      <c r="AW4" s="1"/>
      <c r="AX4" s="1"/>
      <c r="AY4" s="15"/>
      <c r="AZ4" s="15"/>
      <c r="BA4" s="1"/>
      <c r="BB4" s="1"/>
      <c r="BC4" s="1"/>
      <c r="BD4" s="1"/>
      <c r="BE4" s="5"/>
      <c r="BF4" s="16"/>
      <c r="BG4" s="16"/>
      <c r="BI4" s="4"/>
      <c r="BJ4" s="4"/>
      <c r="BK4" s="6"/>
      <c r="BL4" s="7"/>
      <c r="BM4" s="4"/>
      <c r="BO4" s="4"/>
      <c r="BP4" s="4"/>
      <c r="BQ4" s="6"/>
      <c r="BR4" s="7"/>
      <c r="BS4" s="4"/>
      <c r="BT4" s="4"/>
      <c r="BU4" s="4"/>
      <c r="BV4" s="4"/>
      <c r="BW4" s="6"/>
      <c r="BX4" s="7"/>
      <c r="BY4" s="4"/>
      <c r="CA4" s="4"/>
      <c r="CB4" s="4"/>
      <c r="CC4" s="6"/>
      <c r="CD4" s="7"/>
      <c r="CE4" s="4"/>
      <c r="CF4" s="4"/>
      <c r="CG4" s="4"/>
      <c r="CH4" s="4"/>
      <c r="CI4" s="6"/>
      <c r="CJ4" s="7"/>
      <c r="CK4" s="4"/>
      <c r="CL4" s="4"/>
      <c r="CM4" s="4"/>
      <c r="CN4" s="4"/>
      <c r="CO4" s="6"/>
      <c r="CP4" s="7"/>
      <c r="CQ4" s="4"/>
      <c r="CR4" s="4"/>
      <c r="CS4" s="4"/>
      <c r="CT4" s="4"/>
      <c r="CU4" s="6"/>
      <c r="CV4" s="7"/>
      <c r="CW4" s="4"/>
      <c r="CX4" s="4"/>
      <c r="CY4" s="4"/>
      <c r="CZ4" s="4"/>
      <c r="DA4" s="6"/>
      <c r="DB4" s="7"/>
      <c r="DC4" s="4"/>
      <c r="DD4" s="4"/>
      <c r="DE4" s="4"/>
      <c r="DF4" s="4"/>
      <c r="DG4" s="6"/>
      <c r="DH4" s="7"/>
      <c r="DI4" s="4"/>
      <c r="DJ4" s="4"/>
      <c r="DK4" s="4"/>
      <c r="DL4" s="4"/>
      <c r="DM4" s="4"/>
      <c r="DN4" s="3"/>
      <c r="DO4" s="4"/>
      <c r="DP4" s="4"/>
      <c r="DQ4" s="4"/>
      <c r="DR4" s="4"/>
      <c r="DS4" s="4"/>
      <c r="DT4" s="4"/>
      <c r="DU4" s="4"/>
      <c r="DV4" s="4"/>
      <c r="DW4" s="4"/>
      <c r="DX4" s="4"/>
      <c r="DY4" s="4"/>
      <c r="DZ4" s="4"/>
      <c r="EA4" s="4"/>
      <c r="EB4" s="4"/>
      <c r="EC4" s="4"/>
      <c r="ED4" s="4"/>
      <c r="EE4" s="4"/>
      <c r="EF4" s="4"/>
      <c r="EG4" s="4"/>
      <c r="FO4" s="9"/>
      <c r="FP4" s="10"/>
      <c r="FW4" s="10"/>
      <c r="GI4" s="9"/>
      <c r="IP4" s="4"/>
    </row>
    <row r="5" spans="1:263" ht="15" customHeight="1">
      <c r="A5" s="18">
        <v>102023067</v>
      </c>
      <c r="B5" s="18" t="s">
        <v>4183</v>
      </c>
      <c r="C5" s="10"/>
      <c r="D5" s="161"/>
      <c r="E5" s="147"/>
      <c r="F5" s="160"/>
      <c r="G5" s="147">
        <v>230002576</v>
      </c>
      <c r="H5" s="10"/>
      <c r="I5" s="10"/>
      <c r="J5" s="28" t="s">
        <v>311</v>
      </c>
      <c r="K5" s="28" t="s">
        <v>4182</v>
      </c>
      <c r="L5" s="28" t="s">
        <v>741</v>
      </c>
      <c r="M5" s="28"/>
      <c r="N5" s="28"/>
      <c r="O5" s="150"/>
      <c r="P5" s="28"/>
      <c r="Q5" s="28"/>
      <c r="R5" s="28"/>
      <c r="S5" s="28"/>
      <c r="T5" s="10"/>
      <c r="U5" s="10"/>
      <c r="V5" s="10"/>
      <c r="W5" s="10"/>
      <c r="X5" s="10"/>
      <c r="Y5" s="10"/>
      <c r="Z5" s="10"/>
      <c r="AA5" s="10"/>
      <c r="AB5" s="10"/>
      <c r="AC5" s="10"/>
      <c r="AD5" s="10"/>
      <c r="AE5" s="10"/>
      <c r="AF5" s="10"/>
      <c r="AG5" s="141"/>
      <c r="AH5" s="10"/>
      <c r="AI5" s="10"/>
      <c r="AJ5" s="18"/>
      <c r="AK5" s="13"/>
      <c r="AL5" s="18"/>
      <c r="AM5" s="18"/>
      <c r="AN5" s="18"/>
      <c r="AO5" s="18" t="s">
        <v>4181</v>
      </c>
      <c r="AP5" s="13" t="s">
        <v>258</v>
      </c>
      <c r="AQ5" s="18" t="s">
        <v>329</v>
      </c>
      <c r="AR5" s="18" t="s">
        <v>260</v>
      </c>
      <c r="AX5" s="1"/>
      <c r="AY5" s="1"/>
      <c r="AZ5" s="1"/>
      <c r="BA5" s="1"/>
      <c r="BB5" s="1"/>
      <c r="BC5" s="70"/>
      <c r="BD5" s="115">
        <v>45060</v>
      </c>
      <c r="BE5" s="144">
        <v>45033</v>
      </c>
      <c r="BF5" s="70"/>
      <c r="BG5" s="2"/>
      <c r="BH5" s="70"/>
      <c r="BI5" s="70"/>
      <c r="BJ5" s="70"/>
      <c r="BK5" s="70"/>
      <c r="BL5" s="20">
        <f ca="1">SUM(EH5)+220</f>
        <v>1282.863525</v>
      </c>
      <c r="BM5" s="22">
        <f ca="1">PMT(10%/12,12,BL5,0,0)</f>
        <v>-112.78408499539259</v>
      </c>
      <c r="BN5" s="22">
        <f ca="1">SUM(BM5*-1)</f>
        <v>112.78408499539259</v>
      </c>
      <c r="BO5" s="14">
        <f>SUM(EP5*0.0052)/12</f>
        <v>31.286666666666665</v>
      </c>
      <c r="BP5" s="22">
        <f ca="1">SUM(BN5+BO5)</f>
        <v>144.07075166205925</v>
      </c>
      <c r="BQ5" s="14"/>
      <c r="BR5" s="14">
        <f>SUM(BQ5*0.1)</f>
        <v>0</v>
      </c>
      <c r="BS5" s="14">
        <f ca="1">SUM(BT5*BU5)</f>
        <v>0</v>
      </c>
      <c r="BT5" s="17">
        <f>SUM((BQ5+BR5)*0.00833333333333333)</f>
        <v>0</v>
      </c>
      <c r="BU5" s="23">
        <f ca="1">MONTH(TODAY())+49</f>
        <v>53</v>
      </c>
      <c r="BV5" s="14">
        <f ca="1">SUM(BQ5,BR5,BS5)</f>
        <v>0</v>
      </c>
      <c r="BW5" s="14">
        <v>0</v>
      </c>
      <c r="BX5" s="14">
        <f>SUM(BW5*0.1)</f>
        <v>0</v>
      </c>
      <c r="BY5" s="14">
        <f ca="1">SUM(BZ5*CA5)</f>
        <v>0</v>
      </c>
      <c r="BZ5" s="17">
        <f>SUM((BW5+BX5)*0.00833333333333333)</f>
        <v>0</v>
      </c>
      <c r="CA5" s="23">
        <f ca="1">MONTH(TODAY())+37</f>
        <v>41</v>
      </c>
      <c r="CB5" s="14">
        <f ca="1">SUM(BW5,BX5,BY5)</f>
        <v>0</v>
      </c>
      <c r="CC5" s="14"/>
      <c r="CD5" s="14">
        <f>SUM(CC5*0.1)</f>
        <v>0</v>
      </c>
      <c r="CE5" s="14">
        <f ca="1">SUM(CF5*CG5)</f>
        <v>0</v>
      </c>
      <c r="CF5" s="17">
        <f>SUM((CC5+CD5)*0.00833333333333333)</f>
        <v>0</v>
      </c>
      <c r="CG5" s="23">
        <f ca="1">MONTH(TODAY())+25</f>
        <v>29</v>
      </c>
      <c r="CH5" s="14">
        <f ca="1">SUM(CC5,CD5,CE5)</f>
        <v>0</v>
      </c>
      <c r="CI5" s="14">
        <v>0</v>
      </c>
      <c r="CJ5" s="14">
        <f>SUM(CI5*0.1)</f>
        <v>0</v>
      </c>
      <c r="CK5" s="14">
        <f ca="1">SUM(CL5*CM5)</f>
        <v>0</v>
      </c>
      <c r="CL5" s="17">
        <f>SUM((CI5+CJ5)*0.00833333333333333)</f>
        <v>0</v>
      </c>
      <c r="CM5" s="23">
        <f ca="1">MONTH(TODAY())+17</f>
        <v>21</v>
      </c>
      <c r="CN5" s="23">
        <f ca="1">SUM(CI5,CJ5,CK5)</f>
        <v>0</v>
      </c>
      <c r="CO5" s="14">
        <v>0</v>
      </c>
      <c r="CP5" s="14">
        <f>SUM(CO5*0.1)</f>
        <v>0</v>
      </c>
      <c r="CQ5" s="14">
        <f ca="1">SUM(CR5*CS5)</f>
        <v>0</v>
      </c>
      <c r="CR5" s="17">
        <f>SUM((CO5+CP5)*0.00833333333333333)</f>
        <v>0</v>
      </c>
      <c r="CS5" s="23">
        <f ca="1">MONTH(TODAY())+13</f>
        <v>17</v>
      </c>
      <c r="CT5" s="14">
        <f ca="1">SUM(CO5,CP5,CQ5)</f>
        <v>0</v>
      </c>
      <c r="CU5" s="14">
        <v>0</v>
      </c>
      <c r="CV5" s="14">
        <f>SUM(CU5*0.1)</f>
        <v>0</v>
      </c>
      <c r="CW5" s="14">
        <f ca="1">SUM(CX5*CY5)</f>
        <v>0</v>
      </c>
      <c r="CX5" s="17">
        <f>SUM((CU5+CV5)*0.00833333333333333)</f>
        <v>0</v>
      </c>
      <c r="CY5" s="23">
        <f ca="1">MONTH(TODAY())+7</f>
        <v>11</v>
      </c>
      <c r="CZ5" s="14">
        <f ca="1">SUM(CU5,CV5,CW5)</f>
        <v>0</v>
      </c>
      <c r="DA5" s="14">
        <v>0</v>
      </c>
      <c r="DB5" s="14">
        <f>SUM(DA5*0.1)</f>
        <v>0</v>
      </c>
      <c r="DC5" s="14">
        <f ca="1">SUM(DD5*DE5)</f>
        <v>0</v>
      </c>
      <c r="DD5" s="17">
        <f>SUM((DA5+DB5)*0.00833333333333333)</f>
        <v>0</v>
      </c>
      <c r="DE5" s="23">
        <f ca="1">MONTH(TODAY())+1</f>
        <v>5</v>
      </c>
      <c r="DF5" s="14">
        <f ca="1">SUM(DA5,DB5,DC5)</f>
        <v>0</v>
      </c>
      <c r="DG5" s="14">
        <f>SUM(EP5*0.0045)/2-125.16</f>
        <v>37.289999999999992</v>
      </c>
      <c r="DH5" s="14">
        <f>SUM(DG5*0.1)</f>
        <v>3.7289999999999992</v>
      </c>
      <c r="DI5" s="14">
        <f ca="1">SUM(DJ5*DK5)</f>
        <v>-1.0254749999999992</v>
      </c>
      <c r="DJ5" s="17">
        <f>SUM((DG5+DH5)*0.00833333333333333)</f>
        <v>0.34182499999999977</v>
      </c>
      <c r="DK5" s="23">
        <f ca="1">MONTH(TODAY())-7</f>
        <v>-3</v>
      </c>
      <c r="DL5" s="14">
        <f ca="1">SUM(DG5,DH5,DI5)</f>
        <v>39.993524999999991</v>
      </c>
      <c r="DM5" s="14">
        <f>SUM(EP5*0.0045)/2</f>
        <v>162.44999999999999</v>
      </c>
      <c r="DN5" s="14">
        <f>0</f>
        <v>0</v>
      </c>
      <c r="DO5" s="14">
        <v>0</v>
      </c>
      <c r="DP5" s="17">
        <f>SUM((DM5+DN5)*0.00833333333333333)</f>
        <v>1.3537499999999993</v>
      </c>
      <c r="DQ5" s="23">
        <f ca="1">MONTH(TODAY())+1</f>
        <v>5</v>
      </c>
      <c r="DR5" s="14">
        <f>SUM(DM5,DN5,DO5)</f>
        <v>162.44999999999999</v>
      </c>
      <c r="DS5" s="14">
        <f>SUM(BQ5, BW5, CC5, CI5,CO5,CU5,DA5,DG5,DM5)</f>
        <v>199.73999999999998</v>
      </c>
      <c r="DT5" s="14">
        <f>SUM(BR5,BX5,CD5, CJ5,CP5,CV5,DB5,DH5,DN5)</f>
        <v>3.7289999999999992</v>
      </c>
      <c r="DU5" s="14">
        <f ca="1">SUM(BS5,BY5,CE5, CK5,CQ5,CW5,DC5,DI5,DO5)</f>
        <v>-1.0254749999999992</v>
      </c>
      <c r="DV5" s="25">
        <f ca="1">SUM(DS5:DU5)</f>
        <v>202.44352499999999</v>
      </c>
      <c r="DW5" s="47">
        <f ca="1">SUM(DV5/EM5)</f>
        <v>3.4370717317487266E-3</v>
      </c>
      <c r="DX5" s="14">
        <f>20+200+60+60+160</f>
        <v>500</v>
      </c>
      <c r="DY5" s="32">
        <f>COUNTIF(AO5, "*")+COUNTIF(AJ5, "*")+COUNTIF(AA5, "*")+COUNTIF(FA5, "*")+COUNTIF(FG5, "*")+COUNTIF(FM5, "*")+COUNTIF(FQ5, "*")+COUNTIF(FX5, "*")+COUNTIF(AT5, "*")+COUNTIF(GG5, "*")+COUNTIF(GR5, "*")+COUNTIF(HC5, "*")+COUNTIF(HK5, "*")+COUNTIF(HS5, "*")+COUNTIF(IA5, "*")</f>
        <v>2</v>
      </c>
      <c r="DZ5" s="14">
        <f>0.6+DY5*7.45+8.16</f>
        <v>23.66</v>
      </c>
      <c r="EA5" s="4">
        <v>36.76</v>
      </c>
      <c r="EB5" s="4">
        <v>150</v>
      </c>
      <c r="EC5" s="4"/>
      <c r="ED5" s="4"/>
      <c r="EE5" s="4"/>
      <c r="EF5" s="4"/>
      <c r="EG5" s="14">
        <f>SUM(EA5:EF5)</f>
        <v>186.76</v>
      </c>
      <c r="EH5" s="14">
        <f ca="1">SUM(DV5,DX5,EG5, EB5, DZ5,GD5)</f>
        <v>1062.863525</v>
      </c>
      <c r="EI5" s="24" t="s">
        <v>3879</v>
      </c>
      <c r="EJ5" s="23">
        <v>0.85</v>
      </c>
      <c r="EK5" s="14">
        <v>10200</v>
      </c>
      <c r="EL5" s="14">
        <v>48700</v>
      </c>
      <c r="EM5" s="14">
        <f>SUM(EK5+EL5)</f>
        <v>58900</v>
      </c>
      <c r="EN5" s="14">
        <v>12800</v>
      </c>
      <c r="EO5" s="14">
        <v>59400</v>
      </c>
      <c r="EP5" s="14">
        <f>SUM(EN5+EO5)</f>
        <v>72200</v>
      </c>
      <c r="EQ5" s="141" t="s">
        <v>4642</v>
      </c>
      <c r="ER5" s="10" t="s">
        <v>4643</v>
      </c>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9"/>
      <c r="FV5" s="10"/>
      <c r="FW5" s="10"/>
      <c r="FX5" s="10"/>
      <c r="FY5" s="10"/>
      <c r="FZ5" s="10"/>
      <c r="GA5" s="10"/>
      <c r="GB5" s="9"/>
      <c r="GC5" s="10"/>
      <c r="GD5" s="10"/>
      <c r="GE5" s="10" t="s">
        <v>4646</v>
      </c>
      <c r="GF5" s="10" t="s">
        <v>4644</v>
      </c>
      <c r="GG5" s="10" t="s">
        <v>4645</v>
      </c>
      <c r="GH5" s="10"/>
      <c r="GI5" s="10" t="s">
        <v>4647</v>
      </c>
      <c r="GJ5" s="10"/>
      <c r="GK5" s="9">
        <v>41918</v>
      </c>
      <c r="GL5" s="10" t="s">
        <v>4648</v>
      </c>
      <c r="GM5" s="10"/>
      <c r="GN5" s="10"/>
      <c r="GO5" s="10"/>
      <c r="GP5" s="10"/>
      <c r="GQ5" s="10"/>
      <c r="GR5" s="10"/>
      <c r="GS5" s="10"/>
      <c r="GT5" s="10"/>
      <c r="GU5" s="10"/>
      <c r="GV5" s="9"/>
      <c r="GW5" s="10"/>
      <c r="GX5" s="10"/>
      <c r="GY5" s="10"/>
      <c r="GZ5" s="10"/>
      <c r="HA5" s="10"/>
      <c r="HB5" s="10"/>
      <c r="HC5" s="10"/>
      <c r="HD5" s="10"/>
      <c r="HE5" s="10"/>
      <c r="HF5" s="10"/>
      <c r="HG5" s="9"/>
      <c r="HH5" s="10"/>
      <c r="HI5" s="10"/>
      <c r="HJ5" s="10"/>
      <c r="HK5" s="10"/>
      <c r="HL5" s="10"/>
      <c r="HM5" s="10"/>
      <c r="HN5" s="10"/>
      <c r="HO5" s="9"/>
      <c r="HP5" s="10"/>
      <c r="HQ5" s="10"/>
      <c r="HR5" s="10"/>
      <c r="HS5" s="10"/>
      <c r="HT5" s="10"/>
      <c r="HU5" s="10"/>
      <c r="HV5" s="10"/>
      <c r="HW5" s="9"/>
      <c r="HX5" s="10"/>
      <c r="HY5" s="10"/>
      <c r="HZ5" s="10"/>
      <c r="IA5" s="10"/>
      <c r="IB5" s="10"/>
      <c r="IC5" s="10"/>
      <c r="ID5" s="10"/>
      <c r="IE5" s="9"/>
      <c r="IF5" s="4"/>
      <c r="IG5" s="4"/>
      <c r="IH5" s="10"/>
      <c r="II5" s="10"/>
      <c r="IJ5" s="10"/>
      <c r="IK5" s="10"/>
      <c r="IL5" s="4"/>
      <c r="IM5" s="4"/>
      <c r="IN5" s="14">
        <f ca="1">SUM(IF5-EH5-GD5-IL5)</f>
        <v>-1062.863525</v>
      </c>
      <c r="IO5" s="14"/>
      <c r="IP5" s="14"/>
      <c r="IQ5" s="9"/>
      <c r="IR5" s="9"/>
      <c r="IS5" s="9"/>
      <c r="IT5" s="9"/>
      <c r="IU5" s="9"/>
      <c r="IV5" s="27" t="s">
        <v>5913</v>
      </c>
    </row>
    <row r="6" spans="1:263" ht="15" customHeight="1">
      <c r="A6" s="2">
        <v>102020059</v>
      </c>
      <c r="B6" t="s">
        <v>1694</v>
      </c>
      <c r="J6" t="s">
        <v>253</v>
      </c>
      <c r="K6" t="s">
        <v>1695</v>
      </c>
      <c r="L6" t="s">
        <v>1696</v>
      </c>
      <c r="M6" t="s">
        <v>850</v>
      </c>
      <c r="AG6" s="248"/>
      <c r="AY6" s="9"/>
      <c r="AZ6" s="9"/>
      <c r="BG6" s="5"/>
      <c r="BH6" s="16"/>
      <c r="BI6" s="16"/>
      <c r="BJ6" s="4"/>
      <c r="BK6" s="4"/>
      <c r="BL6" s="4"/>
      <c r="BM6" s="6"/>
      <c r="BN6" s="7"/>
      <c r="BO6" s="4"/>
      <c r="BP6" s="4"/>
      <c r="BQ6" s="4"/>
      <c r="BR6" s="4"/>
      <c r="BS6" s="6"/>
      <c r="BT6" s="7"/>
      <c r="BU6" s="4"/>
      <c r="BV6" s="4"/>
      <c r="BW6" s="4"/>
      <c r="BX6" s="4"/>
      <c r="BY6" s="6"/>
      <c r="BZ6" s="7"/>
      <c r="CA6" s="4"/>
      <c r="CB6" s="4"/>
      <c r="CC6" s="4"/>
      <c r="CD6" s="4"/>
      <c r="CE6" s="6"/>
      <c r="CF6" s="7"/>
      <c r="CG6" s="4"/>
      <c r="CH6" s="4"/>
      <c r="CI6" s="4"/>
      <c r="CJ6" s="4"/>
      <c r="CK6" s="6"/>
      <c r="CL6" s="7"/>
      <c r="CM6" s="4"/>
      <c r="CN6" s="4"/>
      <c r="CO6" s="4"/>
      <c r="CP6" s="4"/>
      <c r="CQ6" s="6"/>
      <c r="CR6" s="7"/>
      <c r="CS6" s="4"/>
      <c r="CT6" s="4"/>
      <c r="CU6" s="4"/>
      <c r="CV6" s="4"/>
      <c r="CW6" s="6"/>
      <c r="CX6" s="7"/>
      <c r="CY6" s="4"/>
      <c r="CZ6" s="4"/>
      <c r="DA6" s="4"/>
      <c r="DB6" s="4"/>
      <c r="DC6" s="4"/>
      <c r="DD6" s="3"/>
      <c r="DE6" s="4"/>
      <c r="DF6" s="234"/>
      <c r="DG6" s="4"/>
      <c r="DH6" s="4"/>
      <c r="DI6" s="4"/>
      <c r="DJ6" s="4"/>
      <c r="DK6" s="4"/>
      <c r="DL6" s="4"/>
      <c r="DM6" s="7"/>
      <c r="DN6" s="8"/>
      <c r="DO6" s="4"/>
      <c r="DP6" s="8"/>
      <c r="DQ6" s="8"/>
      <c r="DR6" s="8"/>
      <c r="DS6" s="35"/>
      <c r="FX6" s="9"/>
      <c r="IW6" s="18"/>
      <c r="IX6" s="18"/>
      <c r="IY6" s="18"/>
    </row>
    <row r="7" spans="1:263" ht="15" customHeight="1">
      <c r="A7" s="19">
        <v>102022191</v>
      </c>
      <c r="B7" t="s">
        <v>1694</v>
      </c>
      <c r="D7" s="1" t="s">
        <v>3831</v>
      </c>
      <c r="E7" s="3"/>
      <c r="F7" s="3"/>
      <c r="J7" t="s">
        <v>253</v>
      </c>
      <c r="K7" t="s">
        <v>1695</v>
      </c>
      <c r="L7" t="s">
        <v>1696</v>
      </c>
      <c r="M7" t="s">
        <v>850</v>
      </c>
      <c r="AG7" s="43"/>
      <c r="AJ7" t="s">
        <v>1697</v>
      </c>
      <c r="AK7" t="s">
        <v>258</v>
      </c>
      <c r="AL7" t="s">
        <v>329</v>
      </c>
      <c r="AM7" t="s">
        <v>260</v>
      </c>
      <c r="AN7"/>
      <c r="AO7" s="3" t="s">
        <v>3254</v>
      </c>
      <c r="AP7" s="3" t="s">
        <v>258</v>
      </c>
      <c r="AQ7" t="s">
        <v>1698</v>
      </c>
      <c r="AR7"/>
      <c r="AS7" s="1"/>
      <c r="AT7" s="1"/>
      <c r="AU7" s="1"/>
      <c r="AV7" s="1"/>
      <c r="AW7" s="1"/>
      <c r="AX7" s="2"/>
      <c r="AY7" s="116"/>
      <c r="AZ7" s="115"/>
      <c r="BA7" s="2"/>
      <c r="BB7" s="2"/>
      <c r="BC7" s="2"/>
      <c r="BD7" s="2"/>
      <c r="BE7" s="2"/>
      <c r="BF7" s="2"/>
      <c r="BG7" s="20">
        <f ca="1">SUM(CY7)+214.5</f>
        <v>924.37439999999992</v>
      </c>
      <c r="BH7" s="22">
        <f ca="1">PMT(10%/12,12,BG7,0,0)</f>
        <v>-81.267195508707772</v>
      </c>
      <c r="BI7" s="22">
        <f ca="1">SUM(BH7*-1)</f>
        <v>81.267195508707772</v>
      </c>
      <c r="BJ7" s="14">
        <f>SUM(DI7*0.0052)/12</f>
        <v>23.919999999999998</v>
      </c>
      <c r="BK7" s="22">
        <f ca="1">SUM(BI7+BJ7)</f>
        <v>105.18719550870777</v>
      </c>
      <c r="BL7" s="14"/>
      <c r="BM7" s="14">
        <f>SUM(BL7*0.1)</f>
        <v>0</v>
      </c>
      <c r="BN7" s="14">
        <f ca="1">SUM(BO7*BP7)</f>
        <v>0</v>
      </c>
      <c r="BO7" s="17">
        <f>SUM((BL7+BM7)*0.00833333333333333)</f>
        <v>0</v>
      </c>
      <c r="BP7" s="23">
        <f ca="1">MONTH(TODAY())+49</f>
        <v>53</v>
      </c>
      <c r="BQ7" s="14">
        <f ca="1">SUM(BL7,BM7,BN7)</f>
        <v>0</v>
      </c>
      <c r="BR7" s="14"/>
      <c r="BS7" s="14">
        <f>SUM(BR7*0.1)</f>
        <v>0</v>
      </c>
      <c r="BT7" s="14">
        <f ca="1">SUM(BU7*BV7)</f>
        <v>0</v>
      </c>
      <c r="BU7" s="17">
        <f>SUM((BR7+BS7)*0.00833333333333333)</f>
        <v>0</v>
      </c>
      <c r="BV7" s="23">
        <f ca="1">MONTH(TODAY())+37</f>
        <v>41</v>
      </c>
      <c r="BW7" s="14">
        <f ca="1">SUM(BR7,BS7,BT7)</f>
        <v>0</v>
      </c>
      <c r="BX7" s="14"/>
      <c r="BY7" s="14">
        <f>SUM(BX7*0.1)</f>
        <v>0</v>
      </c>
      <c r="BZ7" s="14">
        <f ca="1">SUM(CA7*CB7)</f>
        <v>0</v>
      </c>
      <c r="CA7" s="17">
        <f>SUM((BX7+BY7)*0.00833333333333333)</f>
        <v>0</v>
      </c>
      <c r="CB7" s="23">
        <f ca="1">MONTH(TODAY())+25</f>
        <v>29</v>
      </c>
      <c r="CC7" s="14">
        <f ca="1">SUM(BX7,BY7,BZ7)</f>
        <v>0</v>
      </c>
      <c r="CD7" s="14">
        <f>SUM(DI7*0.0052)</f>
        <v>287.03999999999996</v>
      </c>
      <c r="CE7" s="14">
        <f>SUM(CD7*0.1)</f>
        <v>28.703999999999997</v>
      </c>
      <c r="CF7" s="14">
        <f ca="1">SUM(CG7*CH7)</f>
        <v>44.730399999999975</v>
      </c>
      <c r="CG7" s="17">
        <f>SUM((CD7+CE7)*0.00833333333333333)</f>
        <v>2.6311999999999984</v>
      </c>
      <c r="CH7" s="23">
        <f ca="1">MONTH(TODAY())+13</f>
        <v>17</v>
      </c>
      <c r="CI7" s="14">
        <f ca="1">SUM(CD7,CE7,CF7)</f>
        <v>360.47439999999995</v>
      </c>
      <c r="CJ7" s="14">
        <f>SUM(DI7*0.0052)</f>
        <v>287.03999999999996</v>
      </c>
      <c r="CK7" s="14">
        <f>SUM(CJ7*0.1)</f>
        <v>28.703999999999997</v>
      </c>
      <c r="CL7" s="14">
        <f ca="1">SUM(CM7*CN7)</f>
        <v>13.155999999999992</v>
      </c>
      <c r="CM7" s="17">
        <f>SUM((CJ7+CK7)*0.00833333333333333)</f>
        <v>2.6311999999999984</v>
      </c>
      <c r="CN7" s="23">
        <f ca="1">MONTH(TODAY())+1</f>
        <v>5</v>
      </c>
      <c r="CO7" s="14">
        <f ca="1">SUM(CJ7,CK7,CL7)</f>
        <v>328.9</v>
      </c>
      <c r="CP7" s="14">
        <f>SUM(BL7, BR7,BX7,CD7,CJ7)</f>
        <v>574.07999999999993</v>
      </c>
      <c r="CQ7" s="14">
        <f>SUM(BM7, BS7,BY7,CE7,CK7)</f>
        <v>57.407999999999994</v>
      </c>
      <c r="CR7" s="14">
        <f ca="1">SUM(BN7, BT7,BZ7,CF7,CL7)</f>
        <v>57.886399999999966</v>
      </c>
      <c r="CS7" s="14">
        <f ca="1">SUM(CP7:CR7)</f>
        <v>689.37439999999992</v>
      </c>
      <c r="CT7" s="47">
        <f ca="1">SUM(CS7/DI7)</f>
        <v>1.2488666666666665E-2</v>
      </c>
      <c r="CU7" s="14">
        <v>19.5</v>
      </c>
      <c r="CV7" s="32">
        <f>COUNTIF(DB7, "*")+COUNTIF(AO7, "*")+COUNTIF(AJ7, "*")+COUNTIF(AA7, "*")+COUNTIF(DY7, "*")+COUNTIF(EE7, "*")+COUNTIF(EK7, "*")+COUNTIF(EO7, "*")+COUNTIF(EV7, "*")+COUNTIF(FC7, "*")+COUNTIF(FJ7, "*")+COUNTIF(FU7, "*")+COUNTIF(GF7, "*")+COUNTIF(GN7, "*")+COUNTIF(GV7, "*")+COUNTIF(HD7, "*")+COUNTIF(HL7, "*")</f>
        <v>2</v>
      </c>
      <c r="CW7" s="14">
        <f>CV7*0.5</f>
        <v>1</v>
      </c>
      <c r="CX7" s="4"/>
      <c r="CY7" s="14">
        <f ca="1">SUM(CS7,CU7,DE7, CX7, CW7,FG7)</f>
        <v>709.87439999999992</v>
      </c>
      <c r="CZ7" s="4"/>
      <c r="DE7" s="14">
        <f>SUM(CZ7:DD7)</f>
        <v>0</v>
      </c>
      <c r="DF7" s="24" t="s">
        <v>2773</v>
      </c>
      <c r="DG7" s="4">
        <v>55200</v>
      </c>
      <c r="DH7" s="4">
        <v>0</v>
      </c>
      <c r="DI7" s="25">
        <f>SUM(DG7+DH7)</f>
        <v>55200</v>
      </c>
      <c r="DJ7" s="35">
        <v>10.6</v>
      </c>
      <c r="IC7" s="4"/>
    </row>
    <row r="8" spans="1:263" ht="15" customHeight="1">
      <c r="A8" s="19">
        <v>102017057</v>
      </c>
      <c r="B8" s="18" t="s">
        <v>945</v>
      </c>
      <c r="C8" s="18"/>
      <c r="D8" s="18"/>
      <c r="E8" s="18"/>
      <c r="F8" s="18">
        <v>180001481</v>
      </c>
      <c r="G8" s="18"/>
      <c r="H8" s="18"/>
      <c r="J8" s="18" t="s">
        <v>311</v>
      </c>
      <c r="K8" s="18" t="s">
        <v>946</v>
      </c>
      <c r="L8" s="18" t="s">
        <v>776</v>
      </c>
      <c r="M8" s="18" t="s">
        <v>537</v>
      </c>
      <c r="N8" s="18"/>
      <c r="O8" s="13"/>
      <c r="P8" s="18"/>
      <c r="Q8" s="18"/>
      <c r="R8" s="18"/>
      <c r="S8" s="18"/>
      <c r="T8" s="13"/>
      <c r="U8" s="18"/>
      <c r="V8" s="18"/>
      <c r="AD8" s="1"/>
      <c r="AJ8" s="4"/>
      <c r="AK8" s="18"/>
      <c r="AL8" s="4"/>
      <c r="AM8" s="34"/>
      <c r="AO8" s="4"/>
      <c r="AP8" s="13"/>
      <c r="AQ8" s="34"/>
      <c r="AR8" s="34"/>
      <c r="AS8" s="13"/>
      <c r="AT8" s="13"/>
      <c r="AU8" s="1"/>
      <c r="AV8" s="1"/>
      <c r="AW8" s="1"/>
      <c r="AX8" s="1"/>
      <c r="AY8" s="1"/>
      <c r="AZ8" s="1"/>
      <c r="BA8" s="1"/>
      <c r="BB8" s="1"/>
      <c r="BC8" s="1"/>
      <c r="BD8" s="1"/>
      <c r="BE8" s="1"/>
      <c r="BF8" s="1"/>
      <c r="BG8" s="5"/>
      <c r="BH8" s="16"/>
      <c r="BI8" s="16"/>
      <c r="BK8" s="4"/>
      <c r="BL8" s="4"/>
      <c r="BM8" s="6"/>
      <c r="BN8" s="7"/>
      <c r="BO8" s="4"/>
      <c r="BQ8" s="4"/>
      <c r="BR8" s="4"/>
      <c r="BS8" s="6"/>
      <c r="BT8" s="7"/>
      <c r="BU8" s="4"/>
      <c r="BV8" s="4"/>
      <c r="BW8" s="4"/>
      <c r="BX8" s="4"/>
      <c r="BY8" s="6"/>
      <c r="BZ8" s="7"/>
      <c r="CA8" s="4"/>
      <c r="CC8" s="4"/>
      <c r="CD8" s="4"/>
      <c r="CE8" s="6"/>
      <c r="CF8" s="7"/>
      <c r="CG8" s="4"/>
      <c r="CH8" s="4"/>
      <c r="CI8" s="4"/>
      <c r="CJ8" s="4"/>
      <c r="CK8" s="6"/>
      <c r="CL8" s="7"/>
      <c r="CM8" s="4"/>
      <c r="CN8" s="4"/>
      <c r="CO8" s="4"/>
      <c r="CP8" s="4"/>
      <c r="CQ8" s="6"/>
      <c r="CR8" s="7"/>
      <c r="CS8" s="4"/>
      <c r="CT8" s="4"/>
      <c r="CU8" s="4"/>
      <c r="CV8" s="4"/>
      <c r="CW8" s="6"/>
      <c r="CX8" s="7"/>
      <c r="CY8" s="4"/>
      <c r="CZ8" s="4"/>
      <c r="DA8" s="4"/>
      <c r="DB8" s="4"/>
      <c r="DC8" s="6"/>
      <c r="DD8" s="7"/>
      <c r="DE8" s="4"/>
      <c r="DF8" s="4"/>
      <c r="DG8" s="4"/>
      <c r="DH8" s="4"/>
      <c r="DI8" s="6"/>
      <c r="DJ8" s="7"/>
      <c r="DK8" s="4"/>
      <c r="DL8" s="4"/>
      <c r="DM8" s="4"/>
      <c r="DN8" s="4"/>
      <c r="DO8" s="4"/>
      <c r="DP8" s="4"/>
      <c r="DQ8" s="3"/>
      <c r="DR8" s="4"/>
      <c r="DS8" s="4"/>
      <c r="DT8" s="4"/>
      <c r="DU8" s="4"/>
      <c r="DV8" s="4"/>
      <c r="DW8" s="4"/>
      <c r="DX8" s="4"/>
      <c r="DY8" s="4"/>
      <c r="DZ8" s="4"/>
      <c r="EA8" s="4"/>
      <c r="EB8" s="4"/>
      <c r="EC8" s="4"/>
      <c r="ED8" s="4"/>
      <c r="FL8" s="9"/>
      <c r="FM8" s="10"/>
      <c r="FT8" s="10"/>
      <c r="FU8" s="9"/>
      <c r="GG8" s="9"/>
      <c r="IP8" s="4"/>
    </row>
    <row r="9" spans="1:263" ht="15" customHeight="1">
      <c r="A9" s="2">
        <v>102018025</v>
      </c>
      <c r="B9" s="4" t="s">
        <v>1124</v>
      </c>
      <c r="J9" t="s">
        <v>305</v>
      </c>
      <c r="K9" t="s">
        <v>1125</v>
      </c>
      <c r="L9" t="s">
        <v>1126</v>
      </c>
      <c r="M9" t="s">
        <v>537</v>
      </c>
      <c r="O9" s="1"/>
      <c r="P9" t="s">
        <v>1125</v>
      </c>
      <c r="Q9" t="s">
        <v>1106</v>
      </c>
      <c r="R9" t="s">
        <v>403</v>
      </c>
      <c r="T9" s="1"/>
      <c r="AJ9" s="4"/>
      <c r="AK9" s="4"/>
      <c r="AO9" s="4"/>
      <c r="AP9" s="5"/>
      <c r="AQ9" s="34"/>
      <c r="AS9" s="1"/>
      <c r="AT9" s="1"/>
      <c r="AU9" s="29"/>
      <c r="AV9" s="1"/>
      <c r="AW9" s="1"/>
      <c r="AX9" s="1"/>
      <c r="AY9" s="1"/>
      <c r="AZ9" s="1"/>
      <c r="BA9" s="1"/>
      <c r="BB9" s="1"/>
      <c r="BC9" s="1"/>
      <c r="BD9" s="1"/>
      <c r="BE9" s="1"/>
      <c r="BF9" s="1"/>
      <c r="BG9" s="5"/>
      <c r="BH9" s="16"/>
      <c r="BI9" s="16"/>
      <c r="BK9" s="4"/>
      <c r="BL9" s="4"/>
      <c r="BM9" s="6"/>
      <c r="BN9" s="7"/>
      <c r="BO9" s="4"/>
      <c r="BQ9" s="4"/>
      <c r="BR9" s="4"/>
      <c r="BS9" s="6"/>
      <c r="BT9" s="7"/>
      <c r="BU9" s="4"/>
      <c r="BW9" s="4"/>
      <c r="BX9" s="4"/>
      <c r="BY9" s="6"/>
      <c r="BZ9" s="7"/>
      <c r="CA9" s="4"/>
      <c r="CB9" s="6"/>
      <c r="CC9" s="4"/>
      <c r="CD9" s="4"/>
      <c r="CE9" s="6"/>
      <c r="CF9" s="7"/>
      <c r="CG9" s="4"/>
      <c r="CH9" s="6"/>
      <c r="CI9" s="4"/>
      <c r="CJ9" s="4"/>
      <c r="CK9" s="6"/>
      <c r="CL9" s="7"/>
      <c r="CM9" s="4"/>
      <c r="CN9" s="4"/>
      <c r="CO9" s="4"/>
      <c r="CP9" s="4"/>
      <c r="CQ9" s="6"/>
      <c r="CR9" s="7"/>
      <c r="CS9" s="4"/>
      <c r="CT9" s="4"/>
      <c r="CU9" s="4"/>
      <c r="CV9" s="4"/>
      <c r="CW9" s="6"/>
      <c r="CX9" s="7"/>
      <c r="CY9" s="4"/>
      <c r="CZ9" s="4"/>
      <c r="DA9" s="4"/>
      <c r="DB9" s="4"/>
      <c r="DC9" s="6"/>
      <c r="DD9" s="7"/>
      <c r="DE9" s="4"/>
      <c r="DF9" s="4"/>
      <c r="DG9" s="4"/>
      <c r="DH9" s="4"/>
      <c r="DI9" s="6"/>
      <c r="DJ9" s="7"/>
      <c r="DK9" s="4"/>
      <c r="DL9" s="4"/>
      <c r="DM9" s="4"/>
      <c r="DN9" s="4"/>
      <c r="DO9" s="4"/>
      <c r="DP9" s="4"/>
      <c r="DR9" s="4"/>
      <c r="DS9" s="4"/>
      <c r="DT9" s="4"/>
      <c r="DU9" s="4"/>
      <c r="DV9" s="7"/>
      <c r="DW9" s="7"/>
      <c r="DX9" s="4"/>
      <c r="DY9" s="4"/>
      <c r="DZ9" s="4"/>
      <c r="EA9" s="4"/>
      <c r="EB9" s="4"/>
      <c r="EC9" s="4"/>
      <c r="ED9" s="4"/>
      <c r="EK9" s="11"/>
      <c r="EQ9" s="11"/>
      <c r="ER9" s="4"/>
      <c r="ES9" s="4"/>
      <c r="ET9" s="4"/>
      <c r="EU9" s="4"/>
      <c r="EV9" s="4"/>
      <c r="EW9" s="4"/>
      <c r="EX9" s="4"/>
      <c r="EY9" s="4"/>
      <c r="EZ9" s="4"/>
      <c r="FA9" s="4"/>
      <c r="FB9" s="4"/>
      <c r="FC9" s="4"/>
      <c r="FD9" s="4"/>
      <c r="FE9" s="4"/>
      <c r="FF9" s="4"/>
      <c r="FL9" s="9"/>
      <c r="FU9" s="9"/>
      <c r="GC9" s="10"/>
      <c r="GM9" s="10"/>
      <c r="HB9" s="9"/>
    </row>
    <row r="10" spans="1:263" ht="15" customHeight="1">
      <c r="A10" s="2">
        <v>102017078</v>
      </c>
      <c r="B10" t="s">
        <v>1004</v>
      </c>
      <c r="G10" s="2"/>
      <c r="H10" s="2"/>
      <c r="J10" t="s">
        <v>434</v>
      </c>
      <c r="K10" t="s">
        <v>1005</v>
      </c>
      <c r="L10" t="s">
        <v>1006</v>
      </c>
      <c r="N10" t="s">
        <v>341</v>
      </c>
      <c r="O10" s="1"/>
      <c r="P10" t="s">
        <v>1005</v>
      </c>
      <c r="Q10" t="s">
        <v>1007</v>
      </c>
      <c r="T10" s="1"/>
      <c r="X10" s="18"/>
      <c r="Y10" s="18"/>
      <c r="Z10" s="18"/>
      <c r="AA10" s="18"/>
      <c r="AB10" s="18"/>
      <c r="AC10" s="18"/>
      <c r="AD10" s="18"/>
      <c r="AE10" s="13"/>
      <c r="AF10" s="18"/>
      <c r="AG10" s="24"/>
      <c r="AH10" s="18"/>
      <c r="AI10" s="18"/>
      <c r="AJ10" s="14"/>
      <c r="AK10" s="14"/>
      <c r="AL10" s="14"/>
      <c r="AM10" s="24"/>
      <c r="AN10" s="24"/>
      <c r="AO10" s="14"/>
      <c r="AP10" s="13"/>
      <c r="AQ10" s="63"/>
      <c r="AR10" s="63"/>
      <c r="AS10" s="20"/>
      <c r="AT10" s="13"/>
      <c r="AU10" s="13"/>
      <c r="AV10" s="13"/>
      <c r="AW10" s="13"/>
      <c r="AX10" s="13"/>
      <c r="AY10" s="13"/>
      <c r="AZ10" s="21"/>
      <c r="BA10" s="13"/>
      <c r="BB10" s="13"/>
      <c r="BC10" s="13"/>
      <c r="BD10" s="13"/>
      <c r="BE10" s="13"/>
      <c r="BF10" s="13"/>
      <c r="BG10" s="20"/>
      <c r="BH10" s="22"/>
      <c r="BI10" s="22"/>
      <c r="BJ10" s="14"/>
      <c r="BK10" s="14"/>
      <c r="BL10" s="14"/>
      <c r="BM10" s="17"/>
      <c r="BN10" s="7"/>
      <c r="BO10" s="14"/>
      <c r="BP10" s="18"/>
      <c r="BQ10" s="14"/>
      <c r="BR10" s="14"/>
      <c r="BS10" s="17"/>
      <c r="BT10" s="7"/>
      <c r="BU10" s="14"/>
      <c r="BV10" s="14"/>
      <c r="BW10" s="14"/>
      <c r="BX10" s="14"/>
      <c r="BY10" s="17"/>
      <c r="BZ10" s="23"/>
      <c r="CA10" s="14"/>
      <c r="CB10" s="14"/>
      <c r="CC10" s="14"/>
      <c r="CD10" s="14"/>
      <c r="CE10" s="17"/>
      <c r="CF10" s="23"/>
      <c r="CG10" s="14"/>
      <c r="CH10" s="14"/>
      <c r="CI10" s="14"/>
      <c r="CJ10" s="14"/>
      <c r="CK10" s="17"/>
      <c r="CL10" s="7"/>
      <c r="CM10" s="14"/>
      <c r="CN10" s="14"/>
      <c r="CO10" s="14"/>
      <c r="CP10" s="14"/>
      <c r="CQ10" s="17"/>
      <c r="CR10" s="7"/>
      <c r="CS10" s="14"/>
      <c r="CT10" s="14"/>
      <c r="CU10" s="14"/>
      <c r="CV10" s="14"/>
      <c r="CW10" s="17"/>
      <c r="CX10" s="7"/>
      <c r="CY10" s="14"/>
      <c r="CZ10" s="14"/>
      <c r="DA10" s="14"/>
      <c r="DB10" s="14"/>
      <c r="DC10" s="17"/>
      <c r="DD10" s="7"/>
      <c r="DE10" s="14"/>
      <c r="DF10" s="4"/>
      <c r="DG10" s="14"/>
      <c r="DH10" s="14"/>
      <c r="DI10" s="14"/>
      <c r="DJ10" s="24"/>
      <c r="DK10" s="4"/>
      <c r="DL10" s="234"/>
      <c r="DM10" s="14"/>
      <c r="DN10" s="14"/>
      <c r="DO10" s="14"/>
      <c r="DP10" s="14"/>
      <c r="DQ10" s="14"/>
      <c r="DR10" s="14"/>
      <c r="DS10" s="14"/>
      <c r="DT10" s="14"/>
      <c r="DU10" s="14"/>
      <c r="DV10" s="25"/>
      <c r="DW10" s="14"/>
      <c r="DX10" s="14"/>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27"/>
      <c r="FH10" s="28"/>
      <c r="FI10" s="18"/>
      <c r="FJ10" s="18"/>
      <c r="FK10" s="18"/>
      <c r="FL10" s="18"/>
      <c r="FM10" s="18"/>
      <c r="FN10" s="18"/>
      <c r="FO10" s="28"/>
      <c r="FP10" s="9"/>
      <c r="FQ10" s="18"/>
      <c r="FR10" s="18"/>
      <c r="FS10" s="18"/>
      <c r="FT10" s="18"/>
      <c r="FU10" s="18"/>
      <c r="FV10" s="18"/>
      <c r="FW10" s="18"/>
      <c r="FX10" s="18"/>
      <c r="FY10" s="18"/>
      <c r="FZ10" s="18"/>
      <c r="GA10" s="18"/>
      <c r="GB10" s="27"/>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4"/>
      <c r="IL10" s="18"/>
      <c r="IM10" s="18"/>
      <c r="IN10" s="18"/>
      <c r="IO10" s="18"/>
      <c r="IP10" s="18"/>
      <c r="IQ10" s="18"/>
    </row>
    <row r="11" spans="1:263" ht="15" customHeight="1">
      <c r="A11" s="2">
        <v>102024071</v>
      </c>
      <c r="B11" t="s">
        <v>5349</v>
      </c>
      <c r="D11" s="1"/>
      <c r="E11" s="3"/>
      <c r="G11" s="3"/>
      <c r="J11" t="s">
        <v>253</v>
      </c>
      <c r="K11" s="18" t="s">
        <v>5350</v>
      </c>
      <c r="L11" s="18" t="s">
        <v>5351</v>
      </c>
      <c r="M11" t="s">
        <v>326</v>
      </c>
      <c r="O11" s="3"/>
      <c r="AG11" s="43"/>
      <c r="AK11" s="1"/>
      <c r="AM11"/>
      <c r="AN11"/>
      <c r="AO11" t="s">
        <v>5352</v>
      </c>
      <c r="AP11" s="1" t="s">
        <v>258</v>
      </c>
      <c r="AQ11" t="s">
        <v>329</v>
      </c>
      <c r="AR11" t="s">
        <v>260</v>
      </c>
      <c r="AS11" s="10"/>
      <c r="AT11" s="10"/>
      <c r="AU11" s="10"/>
      <c r="AV11" s="10"/>
      <c r="AW11" s="1"/>
      <c r="AY11" s="1"/>
      <c r="AZ11" s="1"/>
      <c r="BA11" s="1"/>
      <c r="BB11" s="1"/>
      <c r="BC11" s="2"/>
      <c r="BD11" s="115">
        <v>45415</v>
      </c>
      <c r="BE11" s="115"/>
      <c r="BF11" s="2"/>
      <c r="BG11" s="2"/>
      <c r="BH11" s="2"/>
      <c r="BI11" s="2"/>
      <c r="BJ11" s="2"/>
      <c r="BK11" s="2"/>
      <c r="BL11" s="20">
        <f ca="1">SUM(EN11)+220</f>
        <v>821.3911333333333</v>
      </c>
      <c r="BM11" s="22">
        <f ca="1">PMT(10%/12,12,BL11,0,0)</f>
        <v>-72.213330249863105</v>
      </c>
      <c r="BN11" s="22">
        <f ca="1">SUM(BM11*-1)</f>
        <v>72.213330249863105</v>
      </c>
      <c r="BO11" s="14">
        <f>SUM(EV11*0.0052)/12</f>
        <v>25.783333333333331</v>
      </c>
      <c r="BP11" s="22">
        <f ca="1">SUM(BN11+BO11)</f>
        <v>97.996663583196437</v>
      </c>
      <c r="BQ11" s="14"/>
      <c r="BR11" s="14">
        <f>SUM(BQ11*0.1)</f>
        <v>0</v>
      </c>
      <c r="BS11" s="14">
        <f ca="1">SUM(BT11*BU11)</f>
        <v>0</v>
      </c>
      <c r="BT11" s="17">
        <f>SUM((BQ11+BR11)*0.00833333333333333)</f>
        <v>0</v>
      </c>
      <c r="BU11" s="23">
        <f ca="1">MONTH(TODAY())+61</f>
        <v>65</v>
      </c>
      <c r="BV11" s="14">
        <f ca="1">SUM(BQ11,BR11,BS11)</f>
        <v>0</v>
      </c>
      <c r="BW11" s="14"/>
      <c r="BX11" s="14">
        <f>SUM(BW11*0.1)</f>
        <v>0</v>
      </c>
      <c r="BY11" s="14">
        <f ca="1">SUM(BZ11*CA11)</f>
        <v>0</v>
      </c>
      <c r="BZ11" s="17">
        <f>SUM((BW11+BX11)*0.00833333333333333)</f>
        <v>0</v>
      </c>
      <c r="CA11" s="23">
        <f ca="1">MONTH(TODAY())+49</f>
        <v>53</v>
      </c>
      <c r="CB11" s="14">
        <f ca="1">SUM(BW11,BX11,BY11)</f>
        <v>0</v>
      </c>
      <c r="CC11" s="14">
        <v>0</v>
      </c>
      <c r="CD11" s="14">
        <f>SUM(CC11*0.1)</f>
        <v>0</v>
      </c>
      <c r="CE11" s="14">
        <f ca="1">SUM(CF11*CG11)</f>
        <v>0</v>
      </c>
      <c r="CF11" s="17">
        <f>SUM((CC11+CD11)*0.00833333333333333)</f>
        <v>0</v>
      </c>
      <c r="CG11" s="23">
        <f ca="1">MONTH(TODAY())+37</f>
        <v>41</v>
      </c>
      <c r="CH11" s="14">
        <f ca="1">SUM(CC11,CD11,CE11)</f>
        <v>0</v>
      </c>
      <c r="CI11" s="14">
        <v>0</v>
      </c>
      <c r="CJ11" s="14">
        <f>SUM(CI11*0.1)</f>
        <v>0</v>
      </c>
      <c r="CK11" s="14">
        <f ca="1">SUM(CL11*CM11)</f>
        <v>0</v>
      </c>
      <c r="CL11" s="17">
        <f>SUM((CI11+CJ11)*0.00833333333333333)</f>
        <v>0</v>
      </c>
      <c r="CM11" s="23">
        <f ca="1">MONTH(TODAY())+25</f>
        <v>29</v>
      </c>
      <c r="CN11" s="14">
        <f ca="1">SUM(CI11,CJ11,CK11)</f>
        <v>0</v>
      </c>
      <c r="CO11" s="14">
        <v>0</v>
      </c>
      <c r="CP11" s="14">
        <f>SUM(CO11*0.1)</f>
        <v>0</v>
      </c>
      <c r="CQ11" s="14">
        <f ca="1">SUM(CR11*CS11)</f>
        <v>0</v>
      </c>
      <c r="CR11" s="17">
        <f>SUM((CO11+CP11)*0.00833333333333333)</f>
        <v>0</v>
      </c>
      <c r="CS11" s="23">
        <f ca="1">MONTH(TODAY())+17</f>
        <v>21</v>
      </c>
      <c r="CT11" s="23">
        <f ca="1">SUM(CO11,CP11,CQ11)</f>
        <v>0</v>
      </c>
      <c r="CU11" s="14">
        <f>SUM(ES11*0.0052)/2-57.42</f>
        <v>76.48</v>
      </c>
      <c r="CV11" s="14">
        <f>SUM(CU11*0.1)</f>
        <v>7.6480000000000006</v>
      </c>
      <c r="CW11" s="14">
        <f ca="1">SUM(CX11*CY11)</f>
        <v>11.918133333333328</v>
      </c>
      <c r="CX11" s="17">
        <f>SUM((CU11+CV11)*0.00833333333333333)</f>
        <v>0.70106666666666639</v>
      </c>
      <c r="CY11" s="23">
        <f ca="1">MONTH(TODAY())+13</f>
        <v>17</v>
      </c>
      <c r="CZ11" s="23">
        <f ca="1">SUM(CU11,CV11,CW11)</f>
        <v>96.04613333333333</v>
      </c>
      <c r="DA11" s="14">
        <f>SUM(EV11*0.0045)/2</f>
        <v>133.875</v>
      </c>
      <c r="DB11" s="14">
        <f>SUM(DA11*0.1)</f>
        <v>13.387500000000001</v>
      </c>
      <c r="DC11" s="14">
        <f ca="1">SUM(DD11*DE11)</f>
        <v>13.499062499999994</v>
      </c>
      <c r="DD11" s="17">
        <f>SUM((DA11+DB11)*0.00833333333333333)</f>
        <v>1.2271874999999994</v>
      </c>
      <c r="DE11" s="23">
        <f ca="1">MONTH(TODAY())+7</f>
        <v>11</v>
      </c>
      <c r="DF11" s="23">
        <f ca="1">SUM(DA11,DB11,DC11)</f>
        <v>160.76156249999997</v>
      </c>
      <c r="DG11" s="14">
        <f>SUM(EV11*0.0045)/2</f>
        <v>133.875</v>
      </c>
      <c r="DH11" s="14">
        <f>SUM(DG11*0.1)</f>
        <v>13.387500000000001</v>
      </c>
      <c r="DI11" s="14">
        <f ca="1">SUM(DJ11*DK11)</f>
        <v>6.1359374999999972</v>
      </c>
      <c r="DJ11" s="17">
        <f>SUM((DG11+DH11)*0.00833333333333333)</f>
        <v>1.2271874999999994</v>
      </c>
      <c r="DK11" s="23">
        <f ca="1">MONTH(TODAY())+1</f>
        <v>5</v>
      </c>
      <c r="DL11" s="14">
        <f ca="1">SUM(DG11,DH11,DI11)</f>
        <v>153.3984375</v>
      </c>
      <c r="DM11" s="14">
        <f>SUM(EV11*0.0045)/2</f>
        <v>133.875</v>
      </c>
      <c r="DN11" s="14">
        <f>0</f>
        <v>0</v>
      </c>
      <c r="DO11" s="14">
        <f>0</f>
        <v>0</v>
      </c>
      <c r="DP11" s="17">
        <f>SUM((DM11+DN11)*0.00833333333333333)</f>
        <v>1.1156249999999994</v>
      </c>
      <c r="DQ11" s="23">
        <f ca="1">MONTH(TODAY())+7</f>
        <v>11</v>
      </c>
      <c r="DR11" s="23">
        <f>SUM(DM11,DN11,DO11)</f>
        <v>133.875</v>
      </c>
      <c r="DS11" s="14">
        <f>0</f>
        <v>0</v>
      </c>
      <c r="DT11" s="14">
        <f>0</f>
        <v>0</v>
      </c>
      <c r="DU11" s="14">
        <f ca="1">SUM(DV11*DW11)</f>
        <v>0</v>
      </c>
      <c r="DV11" s="17">
        <f>SUM((DS11+DT11)*0.00833333333333333)</f>
        <v>0</v>
      </c>
      <c r="DW11" s="23">
        <f ca="1">MONTH(TODAY())+1</f>
        <v>5</v>
      </c>
      <c r="DX11" s="14">
        <f ca="1">SUM(DS11,DT11,DU11)</f>
        <v>0</v>
      </c>
      <c r="DY11" s="14">
        <f>SUM( BQ11, BW11, CC11, CI11, CO11,CU11,DA11,DG11,DM11,DS11)</f>
        <v>478.10500000000002</v>
      </c>
      <c r="DZ11" s="14">
        <f>SUM(BR11,BX11,CD11,CJ11, CP11,CV11,DB11,DH11,DN11,DT11)</f>
        <v>34.423000000000002</v>
      </c>
      <c r="EA11" s="14">
        <f ca="1">SUM(BS11,BY11,CE11,CK11, CQ11,CW11,DC11,DI11,DO11,DU11)</f>
        <v>31.553133333333321</v>
      </c>
      <c r="EB11" s="25">
        <f ca="1">SUM(DY11:EA11)</f>
        <v>544.08113333333336</v>
      </c>
      <c r="EC11" s="47">
        <f ca="1">SUM(EB11/ES11)</f>
        <v>1.0564682200647249E-2</v>
      </c>
      <c r="ED11" s="14">
        <f>20+10</f>
        <v>30</v>
      </c>
      <c r="EE11" s="32">
        <f>COUNTIF(AO11, "*")+COUNTIF(AJ11, "*")+COUNTIF(AA11, "*")+COUNTIF(FG11, "*")+COUNTIF(FM11, "*")+COUNTIF(FS11, "*")+COUNTIF(FW11, "*")+COUNTIF(GD11, "*")+COUNTIF(AS11, "*")+COUNTIF(GM11, "*")+COUNTIF(GX11, "*")+COUNTIF(HI11, "*")+COUNTIF(HQ11, "*")+COUNTIF(HY11, "*")+COUNTIF(IG11, "*")</f>
        <v>1</v>
      </c>
      <c r="EF11" s="14">
        <f>EE11*0.64</f>
        <v>0.64</v>
      </c>
      <c r="EG11" s="4"/>
      <c r="EH11" s="4">
        <v>26.67</v>
      </c>
      <c r="EI11" s="4"/>
      <c r="EJ11" s="4"/>
      <c r="EL11" s="4"/>
      <c r="EM11" s="14">
        <f>SUM(EH11:EL11)</f>
        <v>26.67</v>
      </c>
      <c r="EN11" s="14">
        <f ca="1">SUM(EB11,ED11,EM11, EG11, EF11,GJ11)</f>
        <v>601.3911333333333</v>
      </c>
      <c r="EO11" s="24" t="s">
        <v>4935</v>
      </c>
      <c r="EP11" s="23">
        <v>2.84</v>
      </c>
      <c r="EQ11" s="14">
        <v>25200</v>
      </c>
      <c r="ER11" s="14">
        <v>26300</v>
      </c>
      <c r="ES11" s="14">
        <f>SUM(EQ11+ER11)</f>
        <v>51500</v>
      </c>
      <c r="ET11" s="14">
        <v>27200</v>
      </c>
      <c r="EU11" s="14">
        <v>32300</v>
      </c>
      <c r="EV11" s="14">
        <f>SUM(ET11+EU11)</f>
        <v>59500</v>
      </c>
      <c r="EW11" s="10"/>
      <c r="EX11" s="10"/>
      <c r="EY11" s="10"/>
      <c r="EZ11" s="10"/>
      <c r="FA11" s="10"/>
      <c r="FB11" s="10"/>
      <c r="FC11" s="10"/>
      <c r="FD11" s="10"/>
      <c r="GJ11" s="4"/>
      <c r="IK11" s="9"/>
      <c r="IV11" s="4"/>
      <c r="IW11" s="4"/>
      <c r="IX11" s="4"/>
      <c r="IY11" s="9"/>
      <c r="IZ11" s="9"/>
      <c r="JA11" s="9"/>
      <c r="JB11" s="9"/>
      <c r="JC11" s="9"/>
    </row>
    <row r="12" spans="1:263" ht="15" customHeight="1">
      <c r="A12" s="2">
        <v>102024140</v>
      </c>
      <c r="B12" t="s">
        <v>5482</v>
      </c>
      <c r="D12" s="1"/>
      <c r="E12" s="3"/>
      <c r="G12" s="3"/>
      <c r="J12" t="s">
        <v>554</v>
      </c>
      <c r="K12" t="s">
        <v>2051</v>
      </c>
      <c r="L12" t="s">
        <v>5483</v>
      </c>
      <c r="M12" t="s">
        <v>396</v>
      </c>
      <c r="N12" t="s">
        <v>341</v>
      </c>
      <c r="O12" s="3"/>
      <c r="P12" t="s">
        <v>2051</v>
      </c>
      <c r="Q12" t="s">
        <v>1059</v>
      </c>
      <c r="R12" t="s">
        <v>357</v>
      </c>
      <c r="AG12" s="43"/>
      <c r="AJ12" s="18" t="s">
        <v>328</v>
      </c>
      <c r="AK12" s="1"/>
      <c r="AL12" t="s">
        <v>329</v>
      </c>
      <c r="AM12"/>
      <c r="AN12"/>
      <c r="AO12" t="s">
        <v>5484</v>
      </c>
      <c r="AP12" s="1" t="s">
        <v>258</v>
      </c>
      <c r="AQ12" t="s">
        <v>329</v>
      </c>
      <c r="AR12" t="s">
        <v>260</v>
      </c>
      <c r="AS12" s="10"/>
      <c r="AT12" s="10"/>
      <c r="AU12" s="10"/>
      <c r="AV12" s="10"/>
      <c r="AW12" s="1"/>
      <c r="AY12" s="1"/>
      <c r="AZ12" s="1"/>
      <c r="BA12" s="1"/>
      <c r="BB12" s="1"/>
      <c r="BC12" s="2"/>
      <c r="BD12" s="116"/>
      <c r="BE12" s="115"/>
      <c r="BF12" s="2"/>
      <c r="BG12" s="2"/>
      <c r="BH12" s="2"/>
      <c r="BI12" s="2"/>
      <c r="BJ12" s="2"/>
      <c r="BK12" s="2"/>
      <c r="BL12" s="20">
        <f ca="1">SUM(EB12)+220</f>
        <v>916.70529999999985</v>
      </c>
      <c r="BM12" s="22">
        <f ca="1">PMT(10%/12,12,BL12,0,0)</f>
        <v>-80.592959777952103</v>
      </c>
      <c r="BN12" s="22">
        <f ca="1">SUM(BM12*-1)</f>
        <v>80.592959777952103</v>
      </c>
      <c r="BO12" s="14">
        <f>SUM(EJ12*0.0052)/12</f>
        <v>27.86333333333333</v>
      </c>
      <c r="BP12" s="22">
        <f ca="1">SUM(BN12+BO12)</f>
        <v>108.45629311128543</v>
      </c>
      <c r="BQ12" s="14"/>
      <c r="BR12" s="14">
        <f>SUM(BQ12*0.1)</f>
        <v>0</v>
      </c>
      <c r="BS12" s="14">
        <f ca="1">SUM(BT12*BU12)</f>
        <v>0</v>
      </c>
      <c r="BT12" s="17">
        <f>SUM((BQ12+BR12)*0.00833333333333333)</f>
        <v>0</v>
      </c>
      <c r="BU12" s="23">
        <f ca="1">MONTH(TODAY())+61</f>
        <v>65</v>
      </c>
      <c r="BV12" s="14">
        <f ca="1">SUM(BQ12,BR12,BS12)</f>
        <v>0</v>
      </c>
      <c r="BW12" s="14"/>
      <c r="BX12" s="14">
        <f>SUM(BW12*0.1)</f>
        <v>0</v>
      </c>
      <c r="BY12" s="14">
        <f ca="1">SUM(BZ12*CA12)</f>
        <v>0</v>
      </c>
      <c r="BZ12" s="17">
        <f>SUM((BW12+BX12)*0.00833333333333333)</f>
        <v>0</v>
      </c>
      <c r="CA12" s="23">
        <f ca="1">MONTH(TODAY())+49</f>
        <v>53</v>
      </c>
      <c r="CB12" s="14">
        <f ca="1">SUM(BW12,BX12,BY12)</f>
        <v>0</v>
      </c>
      <c r="CC12" s="14">
        <v>0</v>
      </c>
      <c r="CD12" s="14">
        <f>SUM(CC12*0.1)</f>
        <v>0</v>
      </c>
      <c r="CE12" s="14">
        <f ca="1">SUM(CF12*CG12)</f>
        <v>0</v>
      </c>
      <c r="CF12" s="17">
        <f>SUM((CC12+CD12)*0.00833333333333333)</f>
        <v>0</v>
      </c>
      <c r="CG12" s="23">
        <f ca="1">MONTH(TODAY())+37</f>
        <v>41</v>
      </c>
      <c r="CH12" s="14">
        <f ca="1">SUM(CC12,CD12,CE12)</f>
        <v>0</v>
      </c>
      <c r="CI12" s="14">
        <v>0</v>
      </c>
      <c r="CJ12" s="14">
        <f>SUM(CI12*0.1)</f>
        <v>0</v>
      </c>
      <c r="CK12" s="14">
        <f ca="1">SUM(CL12*CM12)</f>
        <v>0</v>
      </c>
      <c r="CL12" s="17">
        <f>SUM((CI12+CJ12)*0.00833333333333333)</f>
        <v>0</v>
      </c>
      <c r="CM12" s="23">
        <f ca="1">MONTH(TODAY())+25</f>
        <v>29</v>
      </c>
      <c r="CN12" s="14">
        <f ca="1">SUM(CI12,CJ12,CK12)</f>
        <v>0</v>
      </c>
      <c r="CO12" s="14">
        <f>SUM(EG12*0.0052)/2</f>
        <v>131.82</v>
      </c>
      <c r="CP12" s="14">
        <f>SUM(CO12*0.1)</f>
        <v>13.182</v>
      </c>
      <c r="CQ12" s="14">
        <f ca="1">SUM(CR12*CS12)</f>
        <v>25.375349999999987</v>
      </c>
      <c r="CR12" s="17">
        <f>SUM((CO12+CP12)*0.00833333333333333)</f>
        <v>1.2083499999999994</v>
      </c>
      <c r="CS12" s="23">
        <f ca="1">MONTH(TODAY())+17</f>
        <v>21</v>
      </c>
      <c r="CT12" s="23">
        <f ca="1">SUM(CO12,CP12,CQ12)</f>
        <v>170.37734999999998</v>
      </c>
      <c r="CU12" s="14">
        <f>SUM(EG12*0.0052)/2</f>
        <v>131.82</v>
      </c>
      <c r="CV12" s="14">
        <f>SUM(CU12*0.1)</f>
        <v>13.182</v>
      </c>
      <c r="CW12" s="14">
        <f ca="1">SUM(CX12*CY12)</f>
        <v>20.541949999999989</v>
      </c>
      <c r="CX12" s="17">
        <f>SUM((CU12+CV12)*0.00833333333333333)</f>
        <v>1.2083499999999994</v>
      </c>
      <c r="CY12" s="23">
        <f ca="1">MONTH(TODAY())+13</f>
        <v>17</v>
      </c>
      <c r="CZ12" s="23">
        <f ca="1">SUM(CU12,CV12,CW12)</f>
        <v>165.54394999999997</v>
      </c>
      <c r="DA12" s="14">
        <f>SUM(EJ12*0.0045)/2</f>
        <v>144.67499999999998</v>
      </c>
      <c r="DB12" s="14">
        <f>SUM(DA12*0.1)</f>
        <v>14.467499999999999</v>
      </c>
      <c r="DC12" s="14">
        <f ca="1">SUM(DD12*DE12)</f>
        <v>14.588062499999991</v>
      </c>
      <c r="DD12" s="17">
        <f>SUM((DA12+DB12)*0.00833333333333333)</f>
        <v>1.3261874999999992</v>
      </c>
      <c r="DE12" s="23">
        <f ca="1">MONTH(TODAY())+7</f>
        <v>11</v>
      </c>
      <c r="DF12" s="23">
        <f ca="1">SUM(DA12,DB12,DC12)</f>
        <v>173.73056249999996</v>
      </c>
      <c r="DG12" s="14">
        <f>SUM(EJ12*0.0045)/2</f>
        <v>144.67499999999998</v>
      </c>
      <c r="DH12" s="14">
        <f>SUM(DG12*0.1)</f>
        <v>14.467499999999999</v>
      </c>
      <c r="DI12" s="14">
        <f ca="1">SUM(DJ12*DK12)</f>
        <v>6.6309374999999964</v>
      </c>
      <c r="DJ12" s="17">
        <f>SUM((DG12+DH12)*0.00833333333333333)</f>
        <v>1.3261874999999992</v>
      </c>
      <c r="DK12" s="23">
        <f ca="1">MONTH(TODAY())+1</f>
        <v>5</v>
      </c>
      <c r="DL12" s="14">
        <f ca="1">SUM(DG12,DH12,DI12)</f>
        <v>165.77343749999997</v>
      </c>
      <c r="DM12" s="14">
        <f>SUM( BQ12, BW12, CC12, CI12, CO12,CU12,DA12,DG12)</f>
        <v>552.9899999999999</v>
      </c>
      <c r="DN12" s="14">
        <f>SUM(BR12,BX12,CD12,CJ12, CP12,CV12,DB12,DH12)</f>
        <v>55.298999999999999</v>
      </c>
      <c r="DO12" s="14">
        <f ca="1">SUM(BS12,BY12,CE12,CK12, CQ12,CW12,DC12,DI12)</f>
        <v>67.136299999999963</v>
      </c>
      <c r="DP12" s="25">
        <f ca="1">SUM(DM12:DO12)</f>
        <v>675.42529999999988</v>
      </c>
      <c r="DQ12" s="47">
        <f ca="1">SUM(DP12/EG12)</f>
        <v>1.332199802761341E-2</v>
      </c>
      <c r="DR12" s="14">
        <f>20</f>
        <v>20</v>
      </c>
      <c r="DS12" s="32">
        <f>COUNTIF(AO12, "*")+COUNTIF(AJ12, "*")+COUNTIF(AA12, "*")+COUNTIF(EU12, "*")+COUNTIF(FA12, "*")+COUNTIF(FG12, "*")+COUNTIF(FK12, "*")+COUNTIF(FR12, "*")+COUNTIF(AS12, "*")+COUNTIF(GA12, "*")+COUNTIF(GL12, "*")+COUNTIF(GW12, "*")+COUNTIF(HE12, "*")+COUNTIF(HM12, "*")+COUNTIF(HU12, "*")</f>
        <v>2</v>
      </c>
      <c r="DT12" s="14">
        <f>DS12*0.64</f>
        <v>1.28</v>
      </c>
      <c r="DU12" s="4"/>
      <c r="DV12" s="4"/>
      <c r="DW12" s="4"/>
      <c r="DX12" s="4"/>
      <c r="DZ12" s="4"/>
      <c r="EA12" s="14">
        <f>SUM(DV12:DZ12)</f>
        <v>0</v>
      </c>
      <c r="EB12" s="14">
        <f ca="1">SUM(DP12,DR12,EA12, DU12, DT12,FX12)</f>
        <v>696.70529999999985</v>
      </c>
      <c r="EC12" s="24" t="s">
        <v>4935</v>
      </c>
      <c r="ED12" s="23">
        <v>13.87</v>
      </c>
      <c r="EE12" s="14">
        <v>50700</v>
      </c>
      <c r="EF12" s="14">
        <v>0</v>
      </c>
      <c r="EG12" s="14">
        <f>SUM(EE12+EF12)</f>
        <v>50700</v>
      </c>
      <c r="EH12" s="14">
        <v>64300</v>
      </c>
      <c r="EI12" s="14">
        <v>0</v>
      </c>
      <c r="EJ12" s="14">
        <f>SUM(EH12+EI12)</f>
        <v>64300</v>
      </c>
      <c r="EK12" s="10"/>
      <c r="EL12" s="10"/>
      <c r="EM12" s="10"/>
      <c r="EN12" s="10"/>
      <c r="EO12" s="10"/>
      <c r="EP12" s="10"/>
      <c r="EQ12" s="10"/>
      <c r="ER12" s="10"/>
      <c r="FX12" s="4"/>
      <c r="HY12" s="9"/>
      <c r="IJ12" s="4"/>
      <c r="IK12" s="4"/>
      <c r="IL12" s="4"/>
      <c r="IM12" s="9"/>
      <c r="IN12" s="9"/>
      <c r="IO12" s="9"/>
      <c r="IP12" s="9"/>
      <c r="IQ12" s="9"/>
    </row>
    <row r="13" spans="1:263" ht="15" customHeight="1">
      <c r="A13" s="19">
        <v>102022169</v>
      </c>
      <c r="B13" t="s">
        <v>2897</v>
      </c>
      <c r="D13" s="1"/>
      <c r="J13" t="s">
        <v>554</v>
      </c>
      <c r="K13" t="s">
        <v>2061</v>
      </c>
      <c r="L13" t="s">
        <v>3030</v>
      </c>
      <c r="M13" t="s">
        <v>396</v>
      </c>
      <c r="N13" t="s">
        <v>341</v>
      </c>
      <c r="P13" t="s">
        <v>2061</v>
      </c>
      <c r="Q13" t="s">
        <v>3212</v>
      </c>
      <c r="R13" t="s">
        <v>403</v>
      </c>
      <c r="AJ13" t="s">
        <v>3213</v>
      </c>
      <c r="AK13" t="s">
        <v>258</v>
      </c>
      <c r="AL13" t="s">
        <v>438</v>
      </c>
      <c r="AM13"/>
      <c r="AN13"/>
      <c r="AO13" s="3" t="s">
        <v>3214</v>
      </c>
      <c r="AP13" s="3"/>
      <c r="AQ13" s="3" t="s">
        <v>438</v>
      </c>
      <c r="AR13"/>
      <c r="AT13" s="1"/>
      <c r="AU13" s="1"/>
      <c r="AV13" s="1"/>
      <c r="AW13" s="1"/>
      <c r="AX13" s="2"/>
      <c r="AY13" s="2"/>
      <c r="AZ13" s="70"/>
      <c r="BA13" s="2"/>
      <c r="BB13" s="2"/>
      <c r="BC13" s="2"/>
      <c r="BD13" s="2"/>
      <c r="BE13" s="2"/>
      <c r="BF13" s="2"/>
      <c r="BG13" s="20"/>
      <c r="BH13" s="22"/>
      <c r="BI13" s="22"/>
      <c r="BJ13" s="14"/>
      <c r="BK13" s="22"/>
      <c r="BL13" s="14"/>
      <c r="BM13" s="14"/>
      <c r="BN13" s="14"/>
      <c r="BO13" s="17"/>
      <c r="BP13" s="23"/>
      <c r="BQ13" s="14"/>
      <c r="BR13" s="14"/>
      <c r="BS13" s="14"/>
      <c r="BT13" s="14"/>
      <c r="BU13" s="17"/>
      <c r="BV13" s="23"/>
      <c r="BW13" s="14"/>
      <c r="BX13" s="14"/>
      <c r="BY13" s="14"/>
      <c r="BZ13" s="14"/>
      <c r="CA13" s="17"/>
      <c r="CB13" s="23"/>
      <c r="CC13" s="14"/>
      <c r="CD13" s="14"/>
      <c r="CE13" s="14"/>
      <c r="CF13" s="14"/>
      <c r="CG13" s="17"/>
      <c r="CH13" s="23"/>
      <c r="CI13" s="14"/>
      <c r="CJ13" s="14"/>
      <c r="CK13" s="14"/>
      <c r="CL13" s="14"/>
      <c r="CM13" s="17"/>
      <c r="CN13" s="23"/>
      <c r="CO13" s="14"/>
      <c r="CP13" s="14"/>
      <c r="CQ13" s="14"/>
      <c r="CR13" s="14"/>
      <c r="CS13" s="14"/>
      <c r="CT13" s="47"/>
      <c r="CU13" s="14"/>
      <c r="CV13" s="32"/>
      <c r="CW13" s="14"/>
      <c r="CY13" s="14"/>
      <c r="DE13" s="14"/>
      <c r="DF13" s="24"/>
      <c r="DG13" s="4"/>
      <c r="DH13" s="4"/>
      <c r="DI13" s="25"/>
      <c r="DJ13" s="35">
        <v>1.1299999999999999</v>
      </c>
      <c r="IC13" s="4"/>
    </row>
    <row r="14" spans="1:263" s="12" customFormat="1" ht="15" customHeight="1">
      <c r="A14" s="19">
        <v>102019081</v>
      </c>
      <c r="B14" s="14" t="s">
        <v>737</v>
      </c>
      <c r="C14" s="13" t="s">
        <v>258</v>
      </c>
      <c r="D14" s="13"/>
      <c r="E14" s="24"/>
      <c r="F14" s="19"/>
      <c r="G14" s="18"/>
      <c r="H14" s="18"/>
      <c r="I14" s="18"/>
      <c r="J14" s="18" t="s">
        <v>253</v>
      </c>
      <c r="K14" s="18" t="s">
        <v>545</v>
      </c>
      <c r="L14" s="18" t="s">
        <v>738</v>
      </c>
      <c r="M14" s="18"/>
      <c r="N14" s="18"/>
      <c r="O14" s="13"/>
      <c r="P14" s="18"/>
      <c r="Q14" s="18"/>
      <c r="R14" s="18"/>
      <c r="S14" s="18"/>
      <c r="T14" s="13"/>
      <c r="U14" s="18"/>
      <c r="V14" s="18"/>
      <c r="W14" s="18"/>
      <c r="X14" s="18"/>
      <c r="Y14" s="18"/>
      <c r="Z14" s="18"/>
      <c r="AA14" s="18"/>
      <c r="AB14" s="18"/>
      <c r="AC14" s="18"/>
      <c r="AD14" s="18"/>
      <c r="AE14" s="18"/>
      <c r="AF14" s="18"/>
      <c r="AG14" s="231"/>
      <c r="AH14" s="18"/>
      <c r="AI14" s="18"/>
      <c r="AJ14" s="14"/>
      <c r="AK14" s="14"/>
      <c r="AL14" s="18"/>
      <c r="AM14" s="24"/>
      <c r="AN14" s="24"/>
      <c r="AO14" s="14"/>
      <c r="AP14" s="20"/>
      <c r="AQ14" s="24"/>
      <c r="AR14" s="24"/>
      <c r="AS14" s="20"/>
      <c r="AT14" s="20"/>
      <c r="AU14" s="13"/>
      <c r="AV14" s="13"/>
      <c r="AW14" s="13"/>
      <c r="AX14" s="48"/>
      <c r="AY14" s="48"/>
      <c r="AZ14" s="48"/>
      <c r="BA14" s="48"/>
      <c r="BB14" s="19"/>
      <c r="BC14" s="48"/>
      <c r="BD14" s="48"/>
      <c r="BE14" s="48"/>
      <c r="BF14" s="19"/>
      <c r="BG14" s="20"/>
      <c r="BH14" s="22"/>
      <c r="BI14" s="22"/>
      <c r="BJ14" s="14"/>
      <c r="BK14" s="14"/>
      <c r="BL14" s="14"/>
      <c r="BM14" s="17"/>
      <c r="BN14" s="23"/>
      <c r="BO14" s="14"/>
      <c r="BP14" s="14"/>
      <c r="BQ14" s="14"/>
      <c r="BR14" s="14"/>
      <c r="BS14" s="17"/>
      <c r="BT14" s="23"/>
      <c r="BU14" s="14"/>
      <c r="BV14" s="14"/>
      <c r="BW14" s="14"/>
      <c r="BX14" s="14"/>
      <c r="BY14" s="17"/>
      <c r="BZ14" s="23"/>
      <c r="CA14" s="14"/>
      <c r="CB14" s="14"/>
      <c r="CC14" s="14"/>
      <c r="CD14" s="14"/>
      <c r="CE14" s="17"/>
      <c r="CF14" s="23"/>
      <c r="CG14" s="14"/>
      <c r="CH14" s="14"/>
      <c r="CI14" s="14"/>
      <c r="CJ14" s="14"/>
      <c r="CK14" s="17"/>
      <c r="CL14" s="23"/>
      <c r="CM14" s="14"/>
      <c r="CN14" s="14"/>
      <c r="CO14" s="14"/>
      <c r="CP14" s="14"/>
      <c r="CQ14" s="17"/>
      <c r="CR14" s="23"/>
      <c r="CS14" s="14"/>
      <c r="CT14" s="14"/>
      <c r="CU14" s="14"/>
      <c r="CV14" s="14"/>
      <c r="CW14" s="17"/>
      <c r="CX14" s="23"/>
      <c r="CY14" s="14"/>
      <c r="CZ14" s="14"/>
      <c r="DA14" s="14"/>
      <c r="DB14" s="14"/>
      <c r="DC14" s="17"/>
      <c r="DD14" s="23"/>
      <c r="DE14" s="14"/>
      <c r="DF14" s="14"/>
      <c r="DG14" s="14"/>
      <c r="DH14" s="14"/>
      <c r="DI14" s="14"/>
      <c r="DJ14" s="47"/>
      <c r="DK14" s="14"/>
      <c r="DL14" s="32"/>
      <c r="DM14" s="14"/>
      <c r="DN14" s="14"/>
      <c r="DO14" s="14"/>
      <c r="DP14" s="14"/>
      <c r="DQ14" s="14"/>
      <c r="DR14" s="14"/>
      <c r="DS14" s="23"/>
      <c r="DT14" s="25"/>
      <c r="DU14" s="14"/>
      <c r="DV14" s="24"/>
      <c r="DW14" s="25"/>
      <c r="DX14" s="25"/>
      <c r="DY14" s="25"/>
      <c r="DZ14" s="36"/>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27"/>
      <c r="FJ14" s="18"/>
      <c r="FK14" s="18"/>
      <c r="FL14" s="18"/>
      <c r="FM14" s="18"/>
      <c r="FN14" s="18"/>
      <c r="FO14" s="18"/>
      <c r="FP14" s="18"/>
      <c r="FQ14" s="18"/>
      <c r="FR14" s="27"/>
      <c r="FS14" s="18"/>
      <c r="FT14" s="18"/>
      <c r="FU14" s="18"/>
      <c r="FV14" s="18"/>
      <c r="FW14" s="18"/>
      <c r="FX14" s="14"/>
      <c r="FY14" s="18"/>
      <c r="FZ14" s="18"/>
      <c r="GA14" s="18"/>
      <c r="GB14" s="18"/>
      <c r="GC14" s="28"/>
      <c r="GD14" s="18"/>
      <c r="GE14" s="27"/>
      <c r="GF14" s="18"/>
      <c r="GG14" s="18"/>
      <c r="GH14" s="18"/>
      <c r="GI14" s="18"/>
      <c r="GJ14" s="18"/>
      <c r="GK14" s="18"/>
      <c r="GL14" s="18"/>
      <c r="GM14" s="18"/>
      <c r="GN14" s="28"/>
      <c r="GO14" s="18"/>
      <c r="GP14" s="274"/>
      <c r="GQ14" s="18"/>
      <c r="GR14" s="18"/>
      <c r="GS14" s="18"/>
      <c r="GT14" s="18"/>
      <c r="GU14" s="18"/>
      <c r="GV14" s="18"/>
      <c r="GW14" s="18"/>
      <c r="GX14" s="18"/>
      <c r="GY14" s="18"/>
      <c r="GZ14" s="18"/>
      <c r="HA14" s="27"/>
      <c r="HB14" s="27"/>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4"/>
      <c r="IK14" s="14"/>
      <c r="IL14"/>
      <c r="IM14"/>
      <c r="IN14"/>
      <c r="IO14"/>
      <c r="IP14"/>
      <c r="IQ14"/>
      <c r="IR14"/>
      <c r="IS14"/>
      <c r="IT14"/>
      <c r="IU14"/>
      <c r="IV14"/>
      <c r="IW14"/>
      <c r="IX14"/>
      <c r="IY14"/>
      <c r="IZ14"/>
      <c r="JA14"/>
      <c r="JB14"/>
      <c r="JC14"/>
    </row>
    <row r="15" spans="1:263" ht="15" customHeight="1">
      <c r="A15" s="18">
        <v>102019081</v>
      </c>
      <c r="B15" s="18" t="s">
        <v>737</v>
      </c>
      <c r="C15" s="10" t="s">
        <v>258</v>
      </c>
      <c r="D15" s="161"/>
      <c r="E15" s="10" t="s">
        <v>4931</v>
      </c>
      <c r="F15" s="160">
        <v>230003196</v>
      </c>
      <c r="G15" s="147"/>
      <c r="H15" s="10"/>
      <c r="I15" s="10"/>
      <c r="J15" s="28" t="s">
        <v>253</v>
      </c>
      <c r="K15" s="28" t="s">
        <v>545</v>
      </c>
      <c r="L15" s="28" t="s">
        <v>738</v>
      </c>
      <c r="M15" s="28" t="s">
        <v>4131</v>
      </c>
      <c r="N15" s="28"/>
      <c r="O15" s="150"/>
      <c r="P15" s="28"/>
      <c r="Q15" s="28"/>
      <c r="R15" s="28"/>
      <c r="S15" s="28"/>
      <c r="T15" s="10"/>
      <c r="U15" s="10"/>
      <c r="V15" s="10"/>
      <c r="W15" s="10"/>
      <c r="X15" s="10"/>
      <c r="Y15" s="10"/>
      <c r="Z15" s="10"/>
      <c r="AA15" s="10"/>
      <c r="AB15" s="10"/>
      <c r="AC15" s="10"/>
      <c r="AD15" s="10"/>
      <c r="AE15" s="10"/>
      <c r="AF15" s="10"/>
      <c r="AG15" s="141"/>
      <c r="AH15" s="10"/>
      <c r="AI15" s="10"/>
      <c r="AJ15" s="18"/>
      <c r="AK15" s="13"/>
      <c r="AL15" s="18"/>
      <c r="AM15" s="18"/>
      <c r="AN15" s="18"/>
      <c r="AO15" s="18" t="s">
        <v>4132</v>
      </c>
      <c r="AP15" s="13" t="s">
        <v>258</v>
      </c>
      <c r="AQ15" s="18" t="s">
        <v>438</v>
      </c>
      <c r="AR15" s="18" t="s">
        <v>260</v>
      </c>
      <c r="AS15" s="18" t="s">
        <v>473</v>
      </c>
      <c r="AT15" s="18" t="s">
        <v>474</v>
      </c>
      <c r="AU15" s="18" t="s">
        <v>475</v>
      </c>
      <c r="AV15" s="18" t="s">
        <v>438</v>
      </c>
      <c r="AW15" s="18" t="s">
        <v>260</v>
      </c>
      <c r="AX15" s="1"/>
      <c r="AY15" s="1"/>
      <c r="AZ15" s="1" t="s">
        <v>258</v>
      </c>
      <c r="BA15" s="1" t="s">
        <v>258</v>
      </c>
      <c r="BB15" s="1" t="s">
        <v>258</v>
      </c>
      <c r="BC15" s="9">
        <v>45096</v>
      </c>
      <c r="BD15" s="115">
        <v>45060</v>
      </c>
      <c r="BE15" s="144">
        <v>45057</v>
      </c>
      <c r="BF15" s="70">
        <v>45251</v>
      </c>
      <c r="BG15" t="s">
        <v>318</v>
      </c>
      <c r="BH15" s="9">
        <v>45240</v>
      </c>
      <c r="BI15" s="9">
        <v>45240</v>
      </c>
      <c r="BJ15" s="70">
        <v>45268</v>
      </c>
      <c r="BK15" s="70" t="s">
        <v>319</v>
      </c>
      <c r="BL15" s="20">
        <f ca="1">SUM(EH15)+220</f>
        <v>4643.5691500000012</v>
      </c>
      <c r="BM15" s="22">
        <f ca="1">PMT(10%/12,12,BL15,0,0)</f>
        <v>-408.24350173615159</v>
      </c>
      <c r="BN15" s="22">
        <f ca="1">SUM(BM15*-1)</f>
        <v>408.24350173615159</v>
      </c>
      <c r="BO15" s="14">
        <f>SUM(EP15*0.0052)/12</f>
        <v>14.950000000000001</v>
      </c>
      <c r="BP15" s="22">
        <f ca="1">SUM(BN15+BO15)</f>
        <v>423.19350173615157</v>
      </c>
      <c r="BQ15" s="14"/>
      <c r="BR15" s="14">
        <f>SUM(BQ15*0.1)</f>
        <v>0</v>
      </c>
      <c r="BS15" s="14">
        <f ca="1">SUM(BT15*BU15)</f>
        <v>0</v>
      </c>
      <c r="BT15" s="17">
        <f>SUM((BQ15+BR15)*0.00833333333333333)</f>
        <v>0</v>
      </c>
      <c r="BU15" s="23">
        <f ca="1">MONTH(TODAY())+49</f>
        <v>53</v>
      </c>
      <c r="BV15" s="14">
        <f ca="1">SUM(BQ15,BR15,BS15)</f>
        <v>0</v>
      </c>
      <c r="BW15" s="14">
        <v>0</v>
      </c>
      <c r="BX15" s="14">
        <f>SUM(BW15*0.1)</f>
        <v>0</v>
      </c>
      <c r="BY15" s="14">
        <f ca="1">SUM(BZ15*CA15)</f>
        <v>0</v>
      </c>
      <c r="BZ15" s="17">
        <f>SUM((BW15+BX15)*0.00833333333333333)</f>
        <v>0</v>
      </c>
      <c r="CA15" s="23">
        <f ca="1">MONTH(TODAY())+37</f>
        <v>41</v>
      </c>
      <c r="CB15" s="14">
        <f ca="1">SUM(BW15,BX15,BY15)</f>
        <v>0</v>
      </c>
      <c r="CC15" s="14">
        <f>SUM(EM15*0.0052)</f>
        <v>105.55999999999999</v>
      </c>
      <c r="CD15" s="14">
        <f>SUM(CC15*0.1)</f>
        <v>10.555999999999999</v>
      </c>
      <c r="CE15" s="14">
        <f>SUM(CF15*CG15)</f>
        <v>34.83479999999998</v>
      </c>
      <c r="CF15" s="17">
        <f>SUM((CC15+CD15)*0.00833333333333333)</f>
        <v>0.96763333333333279</v>
      </c>
      <c r="CG15" s="23">
        <v>36</v>
      </c>
      <c r="CH15" s="14">
        <f>SUM(CC15,CD15,CE15)</f>
        <v>150.95079999999996</v>
      </c>
      <c r="CI15" s="14">
        <f>SUM(EM15*0.0052)/2</f>
        <v>52.779999999999994</v>
      </c>
      <c r="CJ15" s="14">
        <f>SUM(CI15*0.1)</f>
        <v>5.2779999999999996</v>
      </c>
      <c r="CK15" s="14">
        <f>SUM(CL15*CM15)</f>
        <v>14.514499999999991</v>
      </c>
      <c r="CL15" s="17">
        <f>SUM((CI15+CJ15)*0.00833333333333333)</f>
        <v>0.4838166666666664</v>
      </c>
      <c r="CM15" s="23">
        <v>30</v>
      </c>
      <c r="CN15" s="23">
        <f>SUM(CI15,CJ15,CK15)</f>
        <v>72.572499999999991</v>
      </c>
      <c r="CO15" s="14">
        <f>SUM(EM15*0.0052)/2</f>
        <v>52.779999999999994</v>
      </c>
      <c r="CP15" s="14">
        <f>SUM(CO15*0.1)</f>
        <v>5.2779999999999996</v>
      </c>
      <c r="CQ15" s="14">
        <f>SUM(CR15*CS15)</f>
        <v>11.611599999999994</v>
      </c>
      <c r="CR15" s="17">
        <f>SUM((CO15+CP15)*0.00833333333333333)</f>
        <v>0.4838166666666664</v>
      </c>
      <c r="CS15" s="23">
        <v>24</v>
      </c>
      <c r="CT15" s="14">
        <f>SUM(CO15,CP15,CQ15)</f>
        <v>69.669599999999988</v>
      </c>
      <c r="CU15" s="14">
        <f>SUM(EP15*0.0045)/2</f>
        <v>77.625</v>
      </c>
      <c r="CV15" s="14">
        <f>SUM(CU15*0.1)</f>
        <v>7.7625000000000002</v>
      </c>
      <c r="CW15" s="14">
        <f>SUM(CX15*CY15)</f>
        <v>12.808124999999995</v>
      </c>
      <c r="CX15" s="17">
        <f>SUM((CU15+CV15)*0.00833333333333333)</f>
        <v>0.71156249999999976</v>
      </c>
      <c r="CY15" s="23">
        <v>18</v>
      </c>
      <c r="CZ15" s="14">
        <f>SUM(CU15,CV15,CW15)</f>
        <v>98.195624999999993</v>
      </c>
      <c r="DA15" s="14">
        <f>SUM(EP15*0.0045)/2</f>
        <v>77.625</v>
      </c>
      <c r="DB15" s="14">
        <f>SUM(DA15*0.1)</f>
        <v>7.7625000000000002</v>
      </c>
      <c r="DC15" s="14">
        <f>SUM(DD15*DE15)</f>
        <v>8.5387499999999967</v>
      </c>
      <c r="DD15" s="17">
        <f>SUM((DA15+DB15)*0.00833333333333333)</f>
        <v>0.71156249999999976</v>
      </c>
      <c r="DE15" s="23">
        <v>12</v>
      </c>
      <c r="DF15" s="14">
        <f>SUM(DA15,DB15,DC15)</f>
        <v>93.926249999999996</v>
      </c>
      <c r="DG15" s="14">
        <f>SUM(EP15*0.0045)/2</f>
        <v>77.625</v>
      </c>
      <c r="DH15" s="14">
        <f>SUM(DG15*0.1)</f>
        <v>7.7625000000000002</v>
      </c>
      <c r="DI15" s="14">
        <f>SUM(DJ15*DK15)</f>
        <v>4.2693749999999984</v>
      </c>
      <c r="DJ15" s="17">
        <f>SUM((DG15+DH15)*0.00833333333333333)</f>
        <v>0.71156249999999976</v>
      </c>
      <c r="DK15" s="23">
        <v>6</v>
      </c>
      <c r="DL15" s="14">
        <f>SUM(DG15,DH15,DI15)</f>
        <v>89.656874999999999</v>
      </c>
      <c r="DM15" s="14">
        <f>SUM(EP15*0.0045)/2</f>
        <v>77.625</v>
      </c>
      <c r="DN15" s="14">
        <f>SUM(DM15*0.1)</f>
        <v>7.7625000000000002</v>
      </c>
      <c r="DO15" s="14">
        <f>SUM(DP15*DQ15)</f>
        <v>0</v>
      </c>
      <c r="DP15" s="17">
        <f>SUM((DM15+DN15)*0.00833333333333333)</f>
        <v>0.71156249999999976</v>
      </c>
      <c r="DQ15" s="23">
        <v>0</v>
      </c>
      <c r="DR15" s="14">
        <f>SUM(DM15,DN15,DO15)</f>
        <v>85.387500000000003</v>
      </c>
      <c r="DS15" s="14">
        <f>SUM(BQ15, BW15, CC15, CI15,CO15,CU15,DA15,DG15,DM15)</f>
        <v>521.62</v>
      </c>
      <c r="DT15" s="14">
        <f>SUM(BR15,BX15,CD15, CJ15,CP15,CV15,DB15,DH15,DN15)</f>
        <v>52.162000000000006</v>
      </c>
      <c r="DU15" s="14">
        <f ca="1">SUM(BS15,BY15,CE15, CK15,CQ15,CW15,DC15,DI15,DO15)</f>
        <v>86.577149999999946</v>
      </c>
      <c r="DV15" s="25">
        <f ca="1">SUM(DS15:DU15)</f>
        <v>660.35915</v>
      </c>
      <c r="DW15" s="47">
        <f ca="1">SUM(DV15/EM15)</f>
        <v>3.2530007389162563E-2</v>
      </c>
      <c r="DX15" s="14">
        <f>20+200+10+200+40+40+40+20+80+100+220+60+40+40+40+40+100+100</f>
        <v>1390</v>
      </c>
      <c r="DY15" s="32">
        <f>COUNTIF(AO15, "*")+COUNTIF(AJ15, "*")+COUNTIF(AA15, "*")+COUNTIF(FA15, "*")+COUNTIF(FG15, "*")+COUNTIF(FM15, "*")+COUNTIF(FQ15, "*")+COUNTIF(FX15, "*")+COUNTIF(AT15, "*")+COUNTIF(GG15, "*")+COUNTIF(GR15, "*")+COUNTIF(HC15, "*")+COUNTIF(HK15, "*")+COUNTIF(HS15, "*")+COUNTIF(IA15, "*")</f>
        <v>2</v>
      </c>
      <c r="DZ15" s="14">
        <f>1.2+DY15*7.45+28</f>
        <v>44.1</v>
      </c>
      <c r="EA15" s="4">
        <f>36.76+414.6+640</f>
        <v>1091.3600000000001</v>
      </c>
      <c r="EB15" s="4">
        <v>250</v>
      </c>
      <c r="EC15" s="4">
        <f>93.75+185</f>
        <v>278.75</v>
      </c>
      <c r="ED15" s="4">
        <v>199</v>
      </c>
      <c r="EE15" s="14">
        <f>IF(SUM(EK15*0.004)&lt;100, 100, SUM(EK15*0.004))</f>
        <v>100</v>
      </c>
      <c r="EF15" s="4">
        <v>410</v>
      </c>
      <c r="EG15" s="14">
        <f>SUM(EA15:EF15)</f>
        <v>2329.11</v>
      </c>
      <c r="EH15" s="14">
        <f ca="1">SUM(DV15,DX15,EG15,DZ15,GD15)</f>
        <v>4423.5691500000012</v>
      </c>
      <c r="EI15" s="24" t="s">
        <v>5892</v>
      </c>
      <c r="EJ15" s="23">
        <v>0.11</v>
      </c>
      <c r="EK15" s="14">
        <v>4400</v>
      </c>
      <c r="EL15" s="14">
        <v>15900</v>
      </c>
      <c r="EM15" s="14">
        <v>20300</v>
      </c>
      <c r="EN15" s="14">
        <v>11000</v>
      </c>
      <c r="EO15" s="14">
        <v>23500</v>
      </c>
      <c r="EP15" s="14">
        <f>SUM(EN15+EO15)</f>
        <v>34500</v>
      </c>
      <c r="EQ15" s="10" t="s">
        <v>4855</v>
      </c>
      <c r="ER15" s="10" t="s">
        <v>4856</v>
      </c>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9"/>
      <c r="FV15" s="10"/>
      <c r="FW15" s="10"/>
      <c r="FX15" s="10"/>
      <c r="FY15" s="10"/>
      <c r="FZ15" s="10"/>
      <c r="GA15" s="10"/>
      <c r="GB15" s="9"/>
      <c r="GC15" s="10"/>
      <c r="GD15" s="10"/>
      <c r="GE15" s="10"/>
      <c r="GF15" s="10"/>
      <c r="GG15" s="10"/>
      <c r="GH15" s="10"/>
      <c r="GI15" s="10"/>
      <c r="GJ15" s="10"/>
      <c r="GK15" s="9"/>
      <c r="GL15" s="10"/>
      <c r="GM15" s="10"/>
      <c r="GN15" s="10"/>
      <c r="GO15" s="10"/>
      <c r="GP15" s="10"/>
      <c r="GQ15" s="10"/>
      <c r="GR15" s="10"/>
      <c r="GS15" s="10"/>
      <c r="GT15" s="10"/>
      <c r="GU15" s="10"/>
      <c r="GV15" s="9"/>
      <c r="GW15" s="10"/>
      <c r="GX15" s="10"/>
      <c r="GY15" s="10"/>
      <c r="GZ15" s="10"/>
      <c r="HA15" s="10"/>
      <c r="HB15" s="10"/>
      <c r="HC15" s="10"/>
      <c r="HD15" s="10"/>
      <c r="HE15" s="10"/>
      <c r="HF15" s="10"/>
      <c r="HG15" s="9"/>
      <c r="HH15" s="10"/>
      <c r="HI15" s="10"/>
      <c r="HJ15" s="10"/>
      <c r="HK15" s="10"/>
      <c r="HL15" s="10"/>
      <c r="HM15" s="10"/>
      <c r="HN15" s="10"/>
      <c r="HO15" s="9"/>
      <c r="HP15" s="10"/>
      <c r="HQ15" s="10"/>
      <c r="HR15" s="10"/>
      <c r="HS15" s="10"/>
      <c r="HT15" s="10"/>
      <c r="HU15" s="10"/>
      <c r="HV15" s="10"/>
      <c r="HW15" s="9"/>
      <c r="HX15" s="10"/>
      <c r="HY15" s="10"/>
      <c r="HZ15" s="10"/>
      <c r="IA15" s="10"/>
      <c r="IB15" s="10"/>
      <c r="IC15" s="10"/>
      <c r="ID15" s="10"/>
      <c r="IE15" s="9"/>
      <c r="IF15" s="4"/>
      <c r="IG15" s="4"/>
      <c r="IH15" s="10"/>
      <c r="II15" s="10"/>
      <c r="IJ15" s="10"/>
      <c r="IK15" s="10"/>
      <c r="IL15" s="4"/>
      <c r="IM15" s="4"/>
      <c r="IN15" s="14">
        <f ca="1">SUM(IF15-EH15-GD15-IL15)</f>
        <v>-4423.5691500000012</v>
      </c>
      <c r="IO15" s="14"/>
      <c r="IP15" s="14"/>
      <c r="IQ15" s="9">
        <v>45278</v>
      </c>
      <c r="IR15" s="9"/>
      <c r="IS15" s="9"/>
      <c r="IT15" s="9"/>
      <c r="IU15" s="9"/>
      <c r="IV15" s="27" t="s">
        <v>5913</v>
      </c>
      <c r="IW15" s="18"/>
      <c r="IX15" s="18"/>
      <c r="IY15" s="18"/>
      <c r="IZ15" s="18"/>
      <c r="JA15" s="18"/>
      <c r="JB15" s="18"/>
      <c r="JC15" s="18"/>
    </row>
    <row r="16" spans="1:263" s="12" customFormat="1" ht="15" customHeight="1">
      <c r="A16" s="19">
        <v>102023054</v>
      </c>
      <c r="B16" s="18" t="s">
        <v>4223</v>
      </c>
      <c r="C16" s="18" t="s">
        <v>258</v>
      </c>
      <c r="D16" s="1"/>
      <c r="E16" s="3"/>
      <c r="F16" s="3"/>
      <c r="G16"/>
      <c r="H16"/>
      <c r="I16"/>
      <c r="J16" s="18" t="s">
        <v>311</v>
      </c>
      <c r="K16" s="18" t="s">
        <v>4222</v>
      </c>
      <c r="L16" s="18" t="s">
        <v>2058</v>
      </c>
      <c r="M16" s="18" t="s">
        <v>537</v>
      </c>
      <c r="N16" s="18" t="s">
        <v>341</v>
      </c>
      <c r="O16" s="24"/>
      <c r="P16" s="18"/>
      <c r="Q16" s="18"/>
      <c r="R16" s="18"/>
      <c r="S16" s="18"/>
      <c r="T16"/>
      <c r="U16"/>
      <c r="V16"/>
      <c r="W16"/>
      <c r="X16"/>
      <c r="Y16"/>
      <c r="Z16"/>
      <c r="AA16"/>
      <c r="AB16"/>
      <c r="AC16"/>
      <c r="AD16"/>
      <c r="AE16"/>
      <c r="AF16"/>
      <c r="AG16" s="43"/>
      <c r="AH16"/>
      <c r="AI16"/>
      <c r="AJ16" s="18"/>
      <c r="AK16" s="18"/>
      <c r="AL16" s="18"/>
      <c r="AM16" s="18"/>
      <c r="AN16" s="18"/>
      <c r="AO16" s="18" t="s">
        <v>4221</v>
      </c>
      <c r="AP16" s="18" t="s">
        <v>258</v>
      </c>
      <c r="AQ16" s="18" t="s">
        <v>438</v>
      </c>
      <c r="AR16" s="18" t="s">
        <v>260</v>
      </c>
      <c r="AS16" s="18" t="s">
        <v>473</v>
      </c>
      <c r="AT16" s="18" t="s">
        <v>474</v>
      </c>
      <c r="AU16" s="18" t="s">
        <v>475</v>
      </c>
      <c r="AV16" s="18" t="s">
        <v>438</v>
      </c>
      <c r="AW16" s="18" t="s">
        <v>260</v>
      </c>
      <c r="AX16" s="1"/>
      <c r="AY16" s="1"/>
      <c r="AZ16" s="1"/>
      <c r="BA16" s="1"/>
      <c r="BB16" s="1"/>
      <c r="BC16" s="2"/>
      <c r="BD16" s="116"/>
      <c r="BE16" s="115"/>
      <c r="BF16" s="2"/>
      <c r="BG16" s="2"/>
      <c r="BH16" s="2"/>
      <c r="BI16" s="2"/>
      <c r="BJ16" s="2"/>
      <c r="BK16" s="2"/>
      <c r="BL16" s="20">
        <f ca="1">SUM(EB16)+220</f>
        <v>637.49473333333322</v>
      </c>
      <c r="BM16" s="22">
        <f ca="1">PMT(10%/12,12,BL16,0,0)</f>
        <v>-56.045915085458361</v>
      </c>
      <c r="BN16" s="22">
        <f ca="1">SUM(BM16*-1)</f>
        <v>56.045915085458361</v>
      </c>
      <c r="BO16" s="14">
        <f>SUM(EJ16*0.0052)/12</f>
        <v>22.66333333333333</v>
      </c>
      <c r="BP16" s="22">
        <f ca="1">SUM(BN16+BO16)</f>
        <v>78.709248418791688</v>
      </c>
      <c r="BQ16" s="14"/>
      <c r="BR16" s="14">
        <f>SUM(BQ16*0.1)</f>
        <v>0</v>
      </c>
      <c r="BS16" s="14">
        <f ca="1">SUM(BT16*BU16)</f>
        <v>0</v>
      </c>
      <c r="BT16" s="17">
        <f>SUM((BQ16+BR16)*0.00833333333333333)</f>
        <v>0</v>
      </c>
      <c r="BU16" s="23">
        <f ca="1">MONTH(TODAY())+49</f>
        <v>53</v>
      </c>
      <c r="BV16" s="14">
        <f ca="1">SUM(BQ16,BR16,BS16)</f>
        <v>0</v>
      </c>
      <c r="BW16" s="14"/>
      <c r="BX16" s="14">
        <f>SUM(BW16*0.1)</f>
        <v>0</v>
      </c>
      <c r="BY16" s="14">
        <f ca="1">SUM(BZ16*CA16)</f>
        <v>0</v>
      </c>
      <c r="BZ16" s="17">
        <f>SUM((BW16+BX16)*0.00833333333333333)</f>
        <v>0</v>
      </c>
      <c r="CA16" s="23">
        <f ca="1">MONTH(TODAY())+37</f>
        <v>41</v>
      </c>
      <c r="CB16" s="14">
        <f ca="1">SUM(BW16,BX16,BY16)</f>
        <v>0</v>
      </c>
      <c r="CC16" s="14">
        <v>0</v>
      </c>
      <c r="CD16" s="14">
        <f>SUM(CC16*0.1)</f>
        <v>0</v>
      </c>
      <c r="CE16" s="14">
        <f ca="1">SUM(CF16*CG16)</f>
        <v>0</v>
      </c>
      <c r="CF16" s="17">
        <f>SUM((CC16+CD16)*0.00833333333333333)</f>
        <v>0</v>
      </c>
      <c r="CG16" s="23">
        <f ca="1">MONTH(TODAY())+25</f>
        <v>29</v>
      </c>
      <c r="CH16" s="14">
        <f ca="1">SUM(CC16,CD16,CE16)</f>
        <v>0</v>
      </c>
      <c r="CI16" s="14">
        <f>SUM(EG16*0.0052)-200</f>
        <v>18.919999999999987</v>
      </c>
      <c r="CJ16" s="14">
        <f>SUM(CI16*0.1)</f>
        <v>1.8919999999999988</v>
      </c>
      <c r="CK16" s="14">
        <f ca="1">SUM(CL16*CM16)</f>
        <v>2.9483666666666637</v>
      </c>
      <c r="CL16" s="17">
        <f>SUM((CI16+CJ16)*0.00833333333333333)</f>
        <v>0.17343333333333316</v>
      </c>
      <c r="CM16" s="23">
        <f ca="1">MONTH(TODAY())+13</f>
        <v>17</v>
      </c>
      <c r="CN16" s="14">
        <f ca="1">SUM(CI16,CJ16,CK16)</f>
        <v>23.760366666666652</v>
      </c>
      <c r="CO16" s="14">
        <f>SUM(EG16*0.0052)/2</f>
        <v>109.46</v>
      </c>
      <c r="CP16" s="14">
        <f>SUM(CO16*0.1)</f>
        <v>10.946</v>
      </c>
      <c r="CQ16" s="14">
        <f ca="1">SUM(CR16*CS16)</f>
        <v>9.0304499999999948</v>
      </c>
      <c r="CR16" s="17">
        <f>SUM((CO16+CP16)*0.00833333333333333)</f>
        <v>1.0033833333333328</v>
      </c>
      <c r="CS16" s="23">
        <f ca="1">MONTH(TODAY())+5</f>
        <v>9</v>
      </c>
      <c r="CT16" s="23">
        <f ca="1">SUM(CO16,CP16,CQ16)</f>
        <v>129.43644999999998</v>
      </c>
      <c r="CU16" s="14">
        <f>SUM(EG16*0.0052)/2</f>
        <v>109.46</v>
      </c>
      <c r="CV16" s="14">
        <f>SUM(CU16*0.1)</f>
        <v>10.946</v>
      </c>
      <c r="CW16" s="14">
        <f ca="1">SUM(CX16*CY16)</f>
        <v>5.0169166666666642</v>
      </c>
      <c r="CX16" s="17">
        <f>SUM((CU16+CV16)*0.00833333333333333)</f>
        <v>1.0033833333333328</v>
      </c>
      <c r="CY16" s="23">
        <f ca="1">MONTH(TODAY())+1</f>
        <v>5</v>
      </c>
      <c r="CZ16" s="23">
        <f ca="1">SUM(CU16,CV16,CW16)</f>
        <v>125.42291666666665</v>
      </c>
      <c r="DA16" s="14">
        <f>SUM(EJ16*0.0045)/2</f>
        <v>117.675</v>
      </c>
      <c r="DB16" s="14">
        <v>0</v>
      </c>
      <c r="DC16" s="14">
        <v>0</v>
      </c>
      <c r="DD16" s="17">
        <f>SUM((DA16+DB16)*0.00833333333333333)</f>
        <v>0.98062499999999952</v>
      </c>
      <c r="DE16" s="23">
        <f ca="1">MONTH(TODAY())-5</f>
        <v>-1</v>
      </c>
      <c r="DF16" s="23">
        <f>SUM(DA16,DB16,DC16)</f>
        <v>117.675</v>
      </c>
      <c r="DG16" s="14">
        <v>0</v>
      </c>
      <c r="DH16" s="14">
        <v>0</v>
      </c>
      <c r="DI16" s="14">
        <v>0</v>
      </c>
      <c r="DJ16" s="17">
        <f>SUM((DG16+DH16)*0.00833333333333333)</f>
        <v>0</v>
      </c>
      <c r="DK16" s="23">
        <f ca="1">MONTH(TODAY())+1</f>
        <v>5</v>
      </c>
      <c r="DL16" s="23">
        <f>SUM(DG16,DH16,DI16)</f>
        <v>0</v>
      </c>
      <c r="DM16" s="14">
        <f>SUM( BQ16, BW16, CC16, CI16, CO16,CU16,DA16,DG16)</f>
        <v>355.51499999999999</v>
      </c>
      <c r="DN16" s="14">
        <f>SUM(BR16,BX16,CD16,CJ16, CP16,CV16,DB16,DH16)</f>
        <v>23.783999999999999</v>
      </c>
      <c r="DO16" s="14">
        <f ca="1">SUM(BS16,BY16,CE16,CK16, CQ16,CW16,DC16,DI16)</f>
        <v>16.995733333333323</v>
      </c>
      <c r="DP16" s="25">
        <f ca="1">SUM(DM16:DO16)</f>
        <v>396.29473333333328</v>
      </c>
      <c r="DQ16" s="47">
        <f ca="1">SUM(DP16/EG16)</f>
        <v>9.4131765637371322E-3</v>
      </c>
      <c r="DR16" s="14">
        <v>20</v>
      </c>
      <c r="DS16" s="32">
        <f>COUNTIF(DX16, "*")+COUNTIF(AO16, "*")+COUNTIF(AJ16, "*")+COUNTIF(AA16, "*")+COUNTIF(EY16, "*")+COUNTIF(FE16, "*")+COUNTIF(FK16, "*")+COUNTIF(FO16, "*")+COUNTIF(FV16, "*")+COUNTIF(AT16, "*")+COUNTIF(GE16, "*")+COUNTIF(GP16, "*")+COUNTIF(HA16, "*")+COUNTIF(HI16, "*")+COUNTIF(HQ16, "*")+COUNTIF(HY16, "*")+COUNTIF(IG16, "*")</f>
        <v>2</v>
      </c>
      <c r="DT16" s="14">
        <f>DS16*0.6</f>
        <v>1.2</v>
      </c>
      <c r="DU16" s="4"/>
      <c r="DV16" s="4"/>
      <c r="DW16" s="4"/>
      <c r="DX16" s="4"/>
      <c r="DY16"/>
      <c r="DZ16" s="4"/>
      <c r="EA16" s="14">
        <f>SUM(DV16:DZ16)</f>
        <v>0</v>
      </c>
      <c r="EB16" s="14">
        <f ca="1">SUM(DP16,DR16,EA16, DU16, DT16,GB16)</f>
        <v>417.49473333333327</v>
      </c>
      <c r="EC16" s="24" t="s">
        <v>3879</v>
      </c>
      <c r="ED16" s="130">
        <v>0.34</v>
      </c>
      <c r="EE16" s="14">
        <v>7400</v>
      </c>
      <c r="EF16" s="14">
        <v>34700</v>
      </c>
      <c r="EG16" s="14">
        <v>42100</v>
      </c>
      <c r="EH16" s="14">
        <v>7400</v>
      </c>
      <c r="EI16" s="14">
        <v>44900</v>
      </c>
      <c r="EJ16" s="14">
        <f>SUM(EH16+EI16)</f>
        <v>52300</v>
      </c>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s="9"/>
      <c r="IN16"/>
      <c r="IO16"/>
      <c r="IP16"/>
      <c r="IQ16"/>
      <c r="IR16"/>
      <c r="IS16"/>
      <c r="IT16"/>
      <c r="IU16"/>
      <c r="IV16"/>
      <c r="IW16"/>
      <c r="IX16" s="14">
        <f ca="1">SUM(IN16-EB16-GB16-IV16)</f>
        <v>-417.49473333333327</v>
      </c>
      <c r="IY16" s="9"/>
      <c r="IZ16" s="9"/>
      <c r="JA16" s="9"/>
      <c r="JB16" s="9"/>
      <c r="JC16" s="9"/>
    </row>
    <row r="17" spans="1:263" ht="15" customHeight="1">
      <c r="A17" s="2">
        <v>102019002</v>
      </c>
      <c r="B17" s="4" t="s">
        <v>1320</v>
      </c>
      <c r="C17" s="4"/>
      <c r="D17" s="4"/>
      <c r="E17" s="3" t="s">
        <v>1321</v>
      </c>
      <c r="F17" s="2">
        <v>190001898</v>
      </c>
      <c r="G17" s="2"/>
      <c r="H17" s="2"/>
      <c r="J17" t="s">
        <v>311</v>
      </c>
      <c r="K17" t="s">
        <v>1322</v>
      </c>
      <c r="L17" t="s">
        <v>1323</v>
      </c>
      <c r="M17" t="s">
        <v>403</v>
      </c>
      <c r="N17" t="s">
        <v>470</v>
      </c>
      <c r="T17" s="1"/>
      <c r="AJ17" s="4"/>
      <c r="AO17" s="4"/>
      <c r="AP17" s="5"/>
      <c r="AS17" s="5"/>
      <c r="AT17" s="5"/>
      <c r="AU17" s="1"/>
      <c r="AV17" s="1"/>
      <c r="AW17" s="1"/>
      <c r="AX17" s="1"/>
      <c r="AY17" s="1"/>
      <c r="AZ17" s="1"/>
      <c r="BA17" s="1"/>
      <c r="BB17" s="1"/>
      <c r="BC17" s="1"/>
      <c r="BD17" s="1"/>
      <c r="BE17" s="1"/>
      <c r="BF17" s="1"/>
      <c r="BG17" s="5"/>
      <c r="BH17" s="16"/>
      <c r="BI17" s="16"/>
      <c r="BK17" s="4"/>
      <c r="BL17" s="4"/>
      <c r="BM17" s="6"/>
      <c r="BN17" s="7"/>
      <c r="BO17" s="4"/>
      <c r="BP17" s="4"/>
      <c r="BQ17" s="4"/>
      <c r="BR17" s="4"/>
      <c r="BS17" s="6"/>
      <c r="BT17" s="7"/>
      <c r="BU17" s="4"/>
      <c r="BV17" s="4"/>
      <c r="BW17" s="4"/>
      <c r="BX17" s="4"/>
      <c r="BY17" s="6"/>
      <c r="BZ17" s="7"/>
      <c r="CA17" s="4"/>
      <c r="CB17" s="4"/>
      <c r="CC17" s="4"/>
      <c r="CD17" s="4"/>
      <c r="CE17" s="6"/>
      <c r="CF17" s="7"/>
      <c r="CG17" s="4"/>
      <c r="CH17" s="4"/>
      <c r="CI17" s="4"/>
      <c r="CJ17" s="4"/>
      <c r="CK17" s="6"/>
      <c r="CL17" s="7"/>
      <c r="CM17" s="4"/>
      <c r="CN17" s="4"/>
      <c r="CO17" s="4"/>
      <c r="CP17" s="4"/>
      <c r="CQ17" s="6"/>
      <c r="CR17" s="7"/>
      <c r="CS17" s="4"/>
      <c r="CT17" s="4"/>
      <c r="CU17" s="4"/>
      <c r="CV17" s="4"/>
      <c r="CW17" s="6"/>
      <c r="CX17" s="7"/>
      <c r="CY17" s="4"/>
      <c r="CZ17" s="4"/>
      <c r="DA17" s="4"/>
      <c r="DB17" s="4"/>
      <c r="DC17" s="6"/>
      <c r="DD17" s="7"/>
      <c r="DE17" s="4"/>
      <c r="DF17" s="4"/>
      <c r="DG17" s="4"/>
      <c r="DH17" s="14"/>
      <c r="DI17" s="14"/>
      <c r="DJ17" s="4"/>
      <c r="DK17" s="3"/>
      <c r="DL17" s="4"/>
      <c r="DM17" s="234"/>
      <c r="DN17" s="4"/>
      <c r="DO17" s="4"/>
      <c r="DP17" s="4"/>
      <c r="DQ17" s="4"/>
      <c r="DR17" s="4"/>
      <c r="DS17" s="4"/>
      <c r="DT17" s="7"/>
      <c r="DU17" s="8"/>
      <c r="DV17" s="4"/>
      <c r="DW17" s="4"/>
      <c r="DX17" s="4"/>
      <c r="DY17" s="4"/>
      <c r="DZ17" s="33"/>
      <c r="EA17" s="251"/>
      <c r="EB17" s="251"/>
      <c r="EC17" s="251"/>
      <c r="ED17" s="251"/>
      <c r="EI17" s="11"/>
      <c r="EO17" s="11"/>
      <c r="EP17" s="11"/>
      <c r="EQ17" s="4"/>
      <c r="ER17" s="4"/>
      <c r="ES17" s="4"/>
      <c r="ET17" s="4"/>
      <c r="EU17" s="4"/>
      <c r="EV17" s="4"/>
      <c r="EW17" s="4"/>
      <c r="EX17" s="4"/>
      <c r="EY17" s="4"/>
      <c r="EZ17" s="4"/>
      <c r="FA17" s="4"/>
      <c r="FB17" s="4"/>
      <c r="FC17" s="4"/>
      <c r="FD17" s="4"/>
      <c r="FE17" s="4"/>
      <c r="FI17" s="9"/>
      <c r="FR17" s="9"/>
      <c r="FX17" s="4"/>
      <c r="GC17" s="10"/>
      <c r="GM17" s="10"/>
      <c r="HB17" s="9"/>
      <c r="II17" s="9"/>
      <c r="IJ17" s="4"/>
      <c r="IK17" s="4"/>
      <c r="IL17" s="9"/>
      <c r="IN17" t="s">
        <v>1180</v>
      </c>
      <c r="IO17" t="s">
        <v>1181</v>
      </c>
      <c r="IP17" t="s">
        <v>300</v>
      </c>
      <c r="IS17" s="4">
        <v>53</v>
      </c>
      <c r="IT17" s="4"/>
      <c r="IZ17" s="18"/>
    </row>
    <row r="18" spans="1:263" ht="15" customHeight="1">
      <c r="A18" s="2">
        <v>102019002</v>
      </c>
      <c r="B18" t="s">
        <v>1320</v>
      </c>
      <c r="E18" t="s">
        <v>1321</v>
      </c>
      <c r="F18">
        <v>190001898</v>
      </c>
      <c r="J18" t="s">
        <v>311</v>
      </c>
      <c r="K18" t="s">
        <v>1322</v>
      </c>
      <c r="L18" t="s">
        <v>1323</v>
      </c>
      <c r="M18" t="s">
        <v>403</v>
      </c>
      <c r="N18" t="s">
        <v>470</v>
      </c>
      <c r="AJ18" s="4"/>
      <c r="AO18" s="4"/>
      <c r="AP18" s="5"/>
      <c r="AS18" s="5"/>
      <c r="AT18" s="5"/>
      <c r="AU18" s="1"/>
      <c r="AV18" s="1"/>
      <c r="AW18" s="1"/>
      <c r="AX18" s="1"/>
      <c r="AY18" s="1"/>
      <c r="AZ18" s="1"/>
      <c r="BA18" s="1"/>
      <c r="BB18" s="1"/>
      <c r="BC18" s="1"/>
      <c r="BD18" s="1"/>
      <c r="BE18" s="1"/>
      <c r="BF18" s="1"/>
      <c r="BG18" s="5"/>
      <c r="BH18" s="16"/>
      <c r="BI18" s="16"/>
      <c r="BK18" s="4"/>
      <c r="BL18" s="4"/>
      <c r="BM18" s="6"/>
      <c r="BN18" s="7"/>
      <c r="BO18" s="4"/>
      <c r="BP18" s="4"/>
      <c r="BQ18" s="4"/>
      <c r="BR18" s="4"/>
      <c r="BS18" s="6"/>
      <c r="BT18" s="7"/>
      <c r="BU18" s="4"/>
      <c r="BV18" s="4"/>
      <c r="BW18" s="4"/>
      <c r="BX18" s="4"/>
      <c r="BY18" s="6"/>
      <c r="BZ18" s="7"/>
      <c r="CA18" s="4"/>
      <c r="CB18" s="4"/>
      <c r="CC18" s="4"/>
      <c r="CD18" s="4"/>
      <c r="CE18" s="6"/>
      <c r="CF18" s="7"/>
      <c r="CG18" s="4"/>
      <c r="CH18" s="4"/>
      <c r="CI18" s="4"/>
      <c r="CJ18" s="4"/>
      <c r="CK18" s="6"/>
      <c r="CL18" s="7"/>
      <c r="CM18" s="4"/>
      <c r="CN18" s="4"/>
      <c r="CO18" s="4"/>
      <c r="CP18" s="4"/>
      <c r="CQ18" s="6"/>
      <c r="CR18" s="7"/>
      <c r="CS18" s="4"/>
      <c r="CT18" s="4"/>
      <c r="CU18" s="4"/>
      <c r="CV18" s="4"/>
      <c r="CW18" s="6"/>
      <c r="CX18" s="7"/>
      <c r="CY18" s="4"/>
      <c r="CZ18" s="4"/>
      <c r="DA18" s="4"/>
      <c r="DB18" s="4"/>
      <c r="DC18" s="6"/>
      <c r="DD18" s="7"/>
      <c r="DE18" s="4"/>
      <c r="DF18" s="4"/>
      <c r="DG18" s="4"/>
      <c r="DH18" s="14"/>
      <c r="DI18" s="14"/>
      <c r="DJ18" s="4"/>
      <c r="DK18" s="3"/>
      <c r="DL18" s="4"/>
      <c r="DM18" s="234"/>
      <c r="DN18" s="4"/>
      <c r="DO18" s="4"/>
      <c r="DP18" s="4"/>
      <c r="DQ18" s="4"/>
      <c r="DR18" s="4"/>
      <c r="DS18" s="4"/>
      <c r="DT18" s="7"/>
      <c r="DU18" s="8"/>
      <c r="DV18" s="4"/>
      <c r="DW18" s="4"/>
      <c r="DX18" s="4"/>
      <c r="DY18" s="4"/>
      <c r="DZ18" s="33"/>
      <c r="EA18" s="251"/>
      <c r="EB18" s="251"/>
      <c r="EI18" s="11"/>
      <c r="EO18" s="11"/>
      <c r="EP18" s="11"/>
      <c r="EQ18" s="4"/>
      <c r="ER18" s="4"/>
      <c r="ES18" s="4"/>
      <c r="ET18" s="4"/>
      <c r="EU18" s="4"/>
      <c r="EV18" s="4"/>
      <c r="EW18" s="4"/>
      <c r="EX18" s="4"/>
      <c r="EY18" s="4"/>
      <c r="EZ18" s="4"/>
      <c r="FA18" s="4"/>
      <c r="FB18" s="4"/>
      <c r="FC18" s="4"/>
      <c r="FD18" s="4"/>
      <c r="FE18" s="4"/>
      <c r="FI18" s="9"/>
      <c r="FR18" s="9"/>
      <c r="FX18" s="4"/>
      <c r="GC18" s="10"/>
      <c r="GM18" s="10"/>
      <c r="HB18" s="9"/>
      <c r="II18" s="9"/>
      <c r="IJ18" s="4"/>
      <c r="IK18" s="4"/>
      <c r="IL18" s="14"/>
      <c r="IM18" s="14"/>
      <c r="IN18" s="27"/>
      <c r="IO18" s="18"/>
      <c r="IP18" s="18"/>
      <c r="IQ18" s="18"/>
      <c r="IR18" s="18"/>
      <c r="IS18" s="18"/>
      <c r="IT18" s="18"/>
      <c r="IU18" s="14"/>
      <c r="IV18" s="14"/>
    </row>
    <row r="19" spans="1:263" ht="15" customHeight="1">
      <c r="A19" s="2">
        <v>102020086</v>
      </c>
      <c r="B19" s="4" t="s">
        <v>1320</v>
      </c>
      <c r="C19" s="4"/>
      <c r="D19" s="4"/>
      <c r="E19" s="3" t="s">
        <v>1321</v>
      </c>
      <c r="F19" s="2">
        <v>190001898</v>
      </c>
      <c r="G19" s="2"/>
      <c r="H19" s="2"/>
      <c r="J19" t="s">
        <v>311</v>
      </c>
      <c r="K19" t="s">
        <v>1322</v>
      </c>
      <c r="L19" t="s">
        <v>1323</v>
      </c>
      <c r="M19" t="s">
        <v>403</v>
      </c>
      <c r="N19" t="s">
        <v>470</v>
      </c>
      <c r="T19" s="1"/>
      <c r="AJ19" s="281" t="s">
        <v>1910</v>
      </c>
      <c r="AL19" t="s">
        <v>438</v>
      </c>
      <c r="AO19" s="4"/>
      <c r="AP19" s="5"/>
      <c r="AS19" s="5"/>
      <c r="AT19" s="5"/>
      <c r="AU19" s="1"/>
      <c r="AV19" s="1"/>
      <c r="AW19" s="1"/>
      <c r="AX19" s="2"/>
      <c r="AY19" s="2"/>
      <c r="AZ19" s="2"/>
      <c r="BA19" s="2"/>
      <c r="BB19" s="2"/>
      <c r="BC19" s="2"/>
      <c r="BD19" s="2"/>
      <c r="BE19" s="2"/>
      <c r="BF19" s="2"/>
      <c r="BG19" s="5"/>
      <c r="BH19" s="16"/>
      <c r="BI19" s="16"/>
      <c r="BK19" s="4"/>
      <c r="BL19" s="4"/>
      <c r="BM19" s="6"/>
      <c r="BN19" s="7"/>
      <c r="BO19" s="4"/>
      <c r="BP19" s="4"/>
      <c r="BQ19" s="4"/>
      <c r="BR19" s="4"/>
      <c r="BS19" s="6"/>
      <c r="BT19" s="7"/>
      <c r="BU19" s="4"/>
      <c r="BV19" s="4"/>
      <c r="BW19" s="4"/>
      <c r="BX19" s="4"/>
      <c r="BY19" s="6"/>
      <c r="BZ19" s="7"/>
      <c r="CA19" s="4"/>
      <c r="CB19" s="4"/>
      <c r="CC19" s="4"/>
      <c r="CD19" s="4"/>
      <c r="CE19" s="6"/>
      <c r="CF19" s="7"/>
      <c r="CG19" s="4"/>
      <c r="CH19" s="4"/>
      <c r="CI19" s="4"/>
      <c r="CJ19" s="4"/>
      <c r="CK19" s="6"/>
      <c r="CL19" s="7"/>
      <c r="CM19" s="4"/>
      <c r="CN19" s="4"/>
      <c r="CO19" s="4"/>
      <c r="CP19" s="4"/>
      <c r="CQ19" s="6"/>
      <c r="CR19" s="7"/>
      <c r="CS19" s="4"/>
      <c r="CT19" s="4"/>
      <c r="CU19" s="4"/>
      <c r="CV19" s="4"/>
      <c r="CW19" s="6"/>
      <c r="CX19" s="7"/>
      <c r="CY19" s="4"/>
      <c r="CZ19" s="4"/>
      <c r="DA19" s="4"/>
      <c r="DB19" s="14"/>
      <c r="DC19" s="14"/>
      <c r="DD19" s="4"/>
      <c r="DE19" s="3"/>
      <c r="DF19" s="4"/>
      <c r="DG19" s="234"/>
      <c r="DH19" s="4"/>
      <c r="DI19" s="4"/>
      <c r="DJ19" s="4"/>
      <c r="DK19" s="4"/>
      <c r="DL19" s="4"/>
      <c r="DM19" s="4"/>
      <c r="DN19" s="4"/>
      <c r="DO19" s="4"/>
      <c r="DP19" s="8"/>
      <c r="DQ19" s="4"/>
      <c r="DR19" s="4">
        <v>7400</v>
      </c>
      <c r="DS19" s="4">
        <v>12100</v>
      </c>
      <c r="DT19" s="4">
        <f>SUM(DR19+DS19)</f>
        <v>19500</v>
      </c>
      <c r="DU19" s="33">
        <v>0.9</v>
      </c>
      <c r="DV19" s="71" t="s">
        <v>1483</v>
      </c>
      <c r="DW19" s="71" t="s">
        <v>1520</v>
      </c>
      <c r="DX19" s="71" t="s">
        <v>1913</v>
      </c>
      <c r="DY19" s="71" t="s">
        <v>1927</v>
      </c>
      <c r="DZ19" s="71" t="s">
        <v>1928</v>
      </c>
      <c r="ED19" s="11"/>
      <c r="EJ19" s="11"/>
      <c r="EK19" s="11"/>
      <c r="EL19" s="4"/>
      <c r="EM19" s="4"/>
      <c r="EN19" s="4"/>
      <c r="EO19" s="4"/>
      <c r="EP19" s="4"/>
      <c r="EQ19" s="4"/>
      <c r="ER19" s="4"/>
      <c r="ES19" s="4"/>
      <c r="ET19" s="4"/>
      <c r="EU19" s="4"/>
      <c r="EV19" s="4"/>
      <c r="EW19" s="4"/>
      <c r="EX19" s="4"/>
      <c r="EY19" s="4"/>
      <c r="EZ19" s="4"/>
      <c r="FD19" s="9"/>
      <c r="FM19" s="9"/>
      <c r="FS19" s="4"/>
      <c r="FX19" s="10"/>
      <c r="GH19" s="10"/>
      <c r="GW19" s="9"/>
      <c r="ID19" s="9">
        <v>43694</v>
      </c>
      <c r="IE19" s="4">
        <v>4250</v>
      </c>
      <c r="IF19" s="4"/>
      <c r="IG19" s="9"/>
      <c r="II19" t="s">
        <v>1410</v>
      </c>
      <c r="IJ19" t="s">
        <v>846</v>
      </c>
      <c r="IK19" t="s">
        <v>386</v>
      </c>
    </row>
    <row r="20" spans="1:263" ht="15" customHeight="1">
      <c r="A20" s="19">
        <v>102021022</v>
      </c>
      <c r="B20" s="18" t="s">
        <v>2117</v>
      </c>
      <c r="C20" s="18" t="s">
        <v>258</v>
      </c>
      <c r="D20" s="13"/>
      <c r="E20" s="24" t="s">
        <v>4945</v>
      </c>
      <c r="F20" s="24">
        <v>230003302</v>
      </c>
      <c r="G20" s="24">
        <v>210002448</v>
      </c>
      <c r="H20" s="18"/>
      <c r="I20" s="18"/>
      <c r="J20" s="18" t="s">
        <v>554</v>
      </c>
      <c r="K20" s="18" t="s">
        <v>2118</v>
      </c>
      <c r="L20" s="18" t="s">
        <v>2119</v>
      </c>
      <c r="M20" s="18"/>
      <c r="N20" s="18"/>
      <c r="O20" s="24"/>
      <c r="P20" s="18" t="s">
        <v>2118</v>
      </c>
      <c r="Q20" s="18" t="s">
        <v>2120</v>
      </c>
      <c r="R20" s="18"/>
      <c r="S20" s="18"/>
      <c r="T20" s="18"/>
      <c r="U20" s="18"/>
      <c r="V20" s="18"/>
      <c r="W20" s="18"/>
      <c r="X20" s="18"/>
      <c r="Y20" s="18"/>
      <c r="Z20" s="18"/>
      <c r="AA20" s="18"/>
      <c r="AB20" s="18"/>
      <c r="AC20" s="18"/>
      <c r="AD20" s="18"/>
      <c r="AE20" s="18"/>
      <c r="AF20" s="18"/>
      <c r="AG20" s="26"/>
      <c r="AH20" s="18"/>
      <c r="AI20" s="18"/>
      <c r="AJ20" s="18" t="s">
        <v>328</v>
      </c>
      <c r="AK20" s="18"/>
      <c r="AL20" s="18" t="s">
        <v>438</v>
      </c>
      <c r="AM20" s="18"/>
      <c r="AN20" s="18"/>
      <c r="AO20" s="18" t="s">
        <v>2150</v>
      </c>
      <c r="AP20" s="24" t="s">
        <v>258</v>
      </c>
      <c r="AQ20" s="18" t="s">
        <v>279</v>
      </c>
      <c r="AR20" s="18" t="s">
        <v>268</v>
      </c>
      <c r="AS20" s="18" t="s">
        <v>473</v>
      </c>
      <c r="AT20" s="18" t="s">
        <v>474</v>
      </c>
      <c r="AU20" s="18" t="s">
        <v>475</v>
      </c>
      <c r="AV20" s="18" t="s">
        <v>438</v>
      </c>
      <c r="AW20" s="18" t="s">
        <v>260</v>
      </c>
      <c r="AX20" s="13"/>
      <c r="AY20" s="13" t="s">
        <v>258</v>
      </c>
      <c r="AZ20" s="13"/>
      <c r="BA20" s="13"/>
      <c r="BB20" s="13"/>
      <c r="BC20" s="48">
        <v>45119</v>
      </c>
      <c r="BD20" s="115">
        <v>45060</v>
      </c>
      <c r="BE20" s="114">
        <v>45092</v>
      </c>
      <c r="BF20" s="48"/>
      <c r="BG20" s="19"/>
      <c r="BH20" s="48"/>
      <c r="BI20" s="48"/>
      <c r="BJ20" s="19"/>
      <c r="BK20" s="19"/>
      <c r="BL20" s="20">
        <f ca="1">SUM(EB20)+220</f>
        <v>2578.3556541666667</v>
      </c>
      <c r="BM20" s="22">
        <f ca="1">PMT(10%/12,12,BL20,0,0)</f>
        <v>-226.67842493057429</v>
      </c>
      <c r="BN20" s="22">
        <f ca="1">SUM(BM20*-1)</f>
        <v>226.67842493057429</v>
      </c>
      <c r="BO20" s="14">
        <f>SUM(EJ20*0.0052)/12</f>
        <v>95.203333333333333</v>
      </c>
      <c r="BP20" s="22">
        <f ca="1">SUM(BN20+BO20)</f>
        <v>321.88175826390761</v>
      </c>
      <c r="BQ20" s="14">
        <v>0</v>
      </c>
      <c r="BR20" s="14">
        <f>SUM(BQ20*0.1)</f>
        <v>0</v>
      </c>
      <c r="BS20" s="14">
        <f ca="1">SUM(BT20*BU20)</f>
        <v>0</v>
      </c>
      <c r="BT20" s="17">
        <f>SUM((BQ20+BR20)*0.00833333333333333)</f>
        <v>0</v>
      </c>
      <c r="BU20" s="23">
        <f ca="1">MONTH(TODAY())+49</f>
        <v>53</v>
      </c>
      <c r="BV20" s="14">
        <f ca="1">SUM(BQ20,BR20,BS20)</f>
        <v>0</v>
      </c>
      <c r="BW20" s="14">
        <v>0</v>
      </c>
      <c r="BX20" s="14">
        <f>SUM(BW20*0.1)</f>
        <v>0</v>
      </c>
      <c r="BY20" s="14">
        <f ca="1">SUM(BZ20*CA20)</f>
        <v>0</v>
      </c>
      <c r="BZ20" s="17">
        <f>SUM((BW20+BX20)*0.00833333333333333)</f>
        <v>0</v>
      </c>
      <c r="CA20" s="23">
        <f ca="1">MONTH(TODAY())+37</f>
        <v>41</v>
      </c>
      <c r="CB20" s="14">
        <f ca="1">SUM(BW20,BX20,BY20)</f>
        <v>0</v>
      </c>
      <c r="CC20" s="14">
        <v>0</v>
      </c>
      <c r="CD20" s="14">
        <f>SUM(CC20*0.1)</f>
        <v>0</v>
      </c>
      <c r="CE20" s="14">
        <f ca="1">SUM(CF20*CG20)</f>
        <v>0</v>
      </c>
      <c r="CF20" s="17">
        <f>SUM((CC20+CD20)*0.00833333333333333)</f>
        <v>0</v>
      </c>
      <c r="CG20" s="23">
        <f ca="1">MONTH(TODAY())+25</f>
        <v>29</v>
      </c>
      <c r="CH20" s="14">
        <f ca="1">SUM(CC20,CD20,CE20)</f>
        <v>0</v>
      </c>
      <c r="CI20" s="14">
        <v>0</v>
      </c>
      <c r="CJ20" s="14">
        <f>SUM(CI20*0.1)</f>
        <v>0</v>
      </c>
      <c r="CK20" s="14">
        <f ca="1">SUM(CL20*CM20)</f>
        <v>0</v>
      </c>
      <c r="CL20" s="17">
        <f>SUM((CI20+CJ20)*0.00833333333333333)</f>
        <v>0</v>
      </c>
      <c r="CM20" s="23">
        <f ca="1">MONTH(TODAY())+13</f>
        <v>17</v>
      </c>
      <c r="CN20" s="14">
        <f ca="1">SUM(CI20,CJ20,CK20)</f>
        <v>0</v>
      </c>
      <c r="CO20" s="14">
        <f>SUM(EG20*0.0052)/2</f>
        <v>453.44</v>
      </c>
      <c r="CP20" s="14">
        <f>SUM(CO20*0.1)</f>
        <v>45.344000000000001</v>
      </c>
      <c r="CQ20" s="14">
        <f ca="1">SUM(CR20*CS20)</f>
        <v>37.408799999999978</v>
      </c>
      <c r="CR20" s="17">
        <f>SUM((CO20+CP20)*0.00833333333333333)</f>
        <v>4.1565333333333312</v>
      </c>
      <c r="CS20" s="23">
        <f ca="1">MONTH(TODAY())+5</f>
        <v>9</v>
      </c>
      <c r="CT20" s="23">
        <f ca="1">SUM(CO20,CP20,CQ20)</f>
        <v>536.19279999999992</v>
      </c>
      <c r="CU20" s="14">
        <f>SUM(EG20*0.0052)/2</f>
        <v>453.44</v>
      </c>
      <c r="CV20" s="14">
        <f>SUM(CU20*0.1)</f>
        <v>45.344000000000001</v>
      </c>
      <c r="CW20" s="14">
        <f ca="1">SUM(CX20*CY20)</f>
        <v>20.782666666666657</v>
      </c>
      <c r="CX20" s="17">
        <f>SUM((CU20+CV20)*0.00833333333333333)</f>
        <v>4.1565333333333312</v>
      </c>
      <c r="CY20" s="23">
        <f ca="1">MONTH(TODAY())+1</f>
        <v>5</v>
      </c>
      <c r="CZ20" s="23">
        <f ca="1">SUM(CU20,CV20,CW20)</f>
        <v>519.56666666666661</v>
      </c>
      <c r="DA20" s="14">
        <f>SUM(EJ20*0.0045)/2</f>
        <v>494.32499999999999</v>
      </c>
      <c r="DB20" s="14">
        <f>SUM(DA20*0.1)</f>
        <v>49.432500000000005</v>
      </c>
      <c r="DC20" s="14">
        <f ca="1">SUM(DD20*DE20)</f>
        <v>-4.5313124999999976</v>
      </c>
      <c r="DD20" s="17">
        <f>SUM((DA20+DB20)*0.00833333333333333)</f>
        <v>4.5313124999999976</v>
      </c>
      <c r="DE20" s="23">
        <f ca="1">MONTH(TODAY())-5</f>
        <v>-1</v>
      </c>
      <c r="DF20" s="23">
        <f ca="1">SUM(DA20,DB20,DC20)</f>
        <v>539.22618749999992</v>
      </c>
      <c r="DG20" s="14">
        <v>0</v>
      </c>
      <c r="DH20" s="14">
        <v>0</v>
      </c>
      <c r="DI20" s="14">
        <v>0</v>
      </c>
      <c r="DJ20" s="17">
        <f>SUM((DG20+DH20)*0.00833333333333333)</f>
        <v>0</v>
      </c>
      <c r="DK20" s="23">
        <f ca="1">MONTH(TODAY())+1</f>
        <v>5</v>
      </c>
      <c r="DL20" s="23">
        <f>SUM(DG20,DH20,DI20)</f>
        <v>0</v>
      </c>
      <c r="DM20" s="14">
        <f>SUM( BQ20, BW20, CC20, CI20, CO20,CU20,DA20,DG20)</f>
        <v>1401.2049999999999</v>
      </c>
      <c r="DN20" s="14">
        <f>SUM(BR20,BX20,CD20,CJ20, CP20,CV20,DB20,DH20)</f>
        <v>140.12049999999999</v>
      </c>
      <c r="DO20" s="14">
        <f ca="1">SUM(BS20,BY20,CE20,CK20, CQ20,CW20,DC20,DI20)</f>
        <v>53.660154166666636</v>
      </c>
      <c r="DP20" s="25">
        <f ca="1">SUM(DM20:DO20)</f>
        <v>1594.9856541666666</v>
      </c>
      <c r="DQ20" s="47">
        <f ca="1">SUM(DP20/EG20)</f>
        <v>9.145559943616207E-3</v>
      </c>
      <c r="DR20" s="14">
        <f>499.16-150+60+60+100</f>
        <v>569.16000000000008</v>
      </c>
      <c r="DS20" s="32">
        <f>COUNTIF(DX20, "*")+COUNTIF(AO20, "*")+COUNTIF(AJ20, "*")+COUNTIF(AA20, "*")+COUNTIF(EY20, "*")+COUNTIF(FE20, "*")+COUNTIF(FK20, "*")+COUNTIF(FO20, "*")+COUNTIF(FV20, "*")+COUNTIF(AT20, "*")+COUNTIF(GE20, "*")+COUNTIF(GP20, "*")+COUNTIF(HA20, "*")+COUNTIF(HI20, "*")+COUNTIF(HQ20, "*")+COUNTIF(HY20, "*")+COUNTIF(IG20, "*")</f>
        <v>4</v>
      </c>
      <c r="DT20" s="14">
        <f>7.45</f>
        <v>7.45</v>
      </c>
      <c r="DU20" s="14">
        <v>150</v>
      </c>
      <c r="DV20" s="4">
        <v>36.76</v>
      </c>
      <c r="DW20" s="14"/>
      <c r="DX20" s="14"/>
      <c r="DY20" s="23"/>
      <c r="DZ20" s="25"/>
      <c r="EA20" s="14">
        <f>SUM(DV20:DZ20)</f>
        <v>36.76</v>
      </c>
      <c r="EB20" s="14">
        <f ca="1">SUM(DP20,DR20,EA20, DU20, DT20,GB20)</f>
        <v>2358.3556541666667</v>
      </c>
      <c r="EC20" s="24" t="s">
        <v>4935</v>
      </c>
      <c r="ED20" s="23">
        <v>2.64</v>
      </c>
      <c r="EE20" s="14">
        <v>52800</v>
      </c>
      <c r="EF20" s="14">
        <v>121600</v>
      </c>
      <c r="EG20" s="14">
        <f>SUM(EE20+EF20)</f>
        <v>174400</v>
      </c>
      <c r="EH20" s="14">
        <v>52800</v>
      </c>
      <c r="EI20" s="14">
        <v>166900</v>
      </c>
      <c r="EJ20" s="14">
        <f>SUM(EH20+EI20)</f>
        <v>219700</v>
      </c>
      <c r="EK20" s="18" t="s">
        <v>4936</v>
      </c>
      <c r="EL20" s="18" t="s">
        <v>2260</v>
      </c>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t="s">
        <v>2298</v>
      </c>
      <c r="FO20" s="18" t="s">
        <v>858</v>
      </c>
      <c r="FP20" s="18"/>
      <c r="FQ20" s="18" t="s">
        <v>386</v>
      </c>
      <c r="FR20" s="18" t="s">
        <v>260</v>
      </c>
      <c r="FS20" s="27">
        <v>43189</v>
      </c>
      <c r="FT20" s="18" t="s">
        <v>2261</v>
      </c>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27"/>
      <c r="IN20" s="18"/>
      <c r="IO20" s="18"/>
      <c r="IP20" s="18"/>
      <c r="IQ20" s="18"/>
      <c r="IR20" s="18"/>
      <c r="IS20" s="18"/>
      <c r="IT20" s="18"/>
      <c r="IU20" s="18"/>
      <c r="IV20" s="18"/>
      <c r="IW20" s="18"/>
      <c r="IX20" s="14">
        <f ca="1">SUM(IN20-EB20-GB20-IV20)</f>
        <v>-2358.3556541666667</v>
      </c>
      <c r="IY20" s="27"/>
      <c r="IZ20" s="27"/>
      <c r="JA20" s="27"/>
      <c r="JB20" s="27"/>
      <c r="JC20" s="27"/>
    </row>
    <row r="21" spans="1:263" ht="15" customHeight="1">
      <c r="A21" s="19">
        <v>102022076</v>
      </c>
      <c r="B21" t="s">
        <v>2821</v>
      </c>
      <c r="D21" s="1">
        <v>2025</v>
      </c>
      <c r="J21" t="s">
        <v>554</v>
      </c>
      <c r="K21" t="s">
        <v>1175</v>
      </c>
      <c r="L21" t="s">
        <v>1355</v>
      </c>
      <c r="M21" t="s">
        <v>537</v>
      </c>
      <c r="P21" t="s">
        <v>1175</v>
      </c>
      <c r="Q21" t="s">
        <v>1255</v>
      </c>
      <c r="R21" t="s">
        <v>326</v>
      </c>
      <c r="AJ21" s="18" t="s">
        <v>328</v>
      </c>
      <c r="AL21" t="s">
        <v>438</v>
      </c>
      <c r="AM21"/>
      <c r="AN21"/>
      <c r="AO21" s="3" t="s">
        <v>3077</v>
      </c>
      <c r="AQ21" t="s">
        <v>438</v>
      </c>
      <c r="AR21"/>
      <c r="AS21" s="1"/>
      <c r="AT21" s="1"/>
      <c r="AU21" s="1"/>
      <c r="AV21" s="1"/>
      <c r="AW21" s="1"/>
      <c r="AX21" s="2"/>
      <c r="AY21" s="2"/>
      <c r="AZ21" s="70"/>
      <c r="BA21" s="2"/>
      <c r="BB21" s="2"/>
      <c r="BC21" s="2"/>
      <c r="BD21" s="2"/>
      <c r="BE21" s="2"/>
      <c r="BF21" s="2"/>
      <c r="BG21" s="20"/>
      <c r="BH21" s="22"/>
      <c r="BI21" s="22"/>
      <c r="BJ21" s="14"/>
      <c r="BK21" s="22"/>
      <c r="BL21" s="14"/>
      <c r="BM21" s="14"/>
      <c r="BN21" s="14"/>
      <c r="BO21" s="17"/>
      <c r="BP21" s="23"/>
      <c r="BQ21" s="14"/>
      <c r="BR21" s="14"/>
      <c r="BS21" s="14"/>
      <c r="BT21" s="14"/>
      <c r="BU21" s="17"/>
      <c r="BV21" s="23"/>
      <c r="BW21" s="14"/>
      <c r="BX21" s="14"/>
      <c r="BY21" s="14"/>
      <c r="BZ21" s="14"/>
      <c r="CA21" s="17"/>
      <c r="CB21" s="23"/>
      <c r="CC21" s="14"/>
      <c r="CD21" s="14"/>
      <c r="CE21" s="14"/>
      <c r="CF21" s="14"/>
      <c r="CG21" s="17"/>
      <c r="CH21" s="23"/>
      <c r="CI21" s="14"/>
      <c r="CJ21" s="14"/>
      <c r="CK21" s="14"/>
      <c r="CL21" s="14"/>
      <c r="CM21" s="17"/>
      <c r="CN21" s="23"/>
      <c r="CO21" s="14"/>
      <c r="CP21" s="14"/>
      <c r="CQ21" s="14"/>
      <c r="CR21" s="14"/>
      <c r="CS21" s="14"/>
      <c r="CT21" s="47"/>
      <c r="CU21" s="14"/>
      <c r="CV21" s="32"/>
      <c r="CW21" s="14"/>
      <c r="CY21" s="14"/>
      <c r="DE21" s="14"/>
      <c r="DF21" s="24"/>
      <c r="DG21" s="4"/>
      <c r="DH21" s="4"/>
      <c r="DI21" s="25"/>
      <c r="DJ21" s="35">
        <f>0.13+0.13+0.14</f>
        <v>0.4</v>
      </c>
      <c r="IC21" s="4"/>
    </row>
    <row r="22" spans="1:263" ht="15" customHeight="1">
      <c r="A22" s="2">
        <v>102024065</v>
      </c>
      <c r="B22" t="s">
        <v>5099</v>
      </c>
      <c r="D22" s="1"/>
      <c r="E22" s="3"/>
      <c r="G22" s="3"/>
      <c r="J22" t="s">
        <v>434</v>
      </c>
      <c r="K22" t="s">
        <v>956</v>
      </c>
      <c r="L22" t="s">
        <v>681</v>
      </c>
      <c r="O22" s="3"/>
      <c r="P22" t="s">
        <v>956</v>
      </c>
      <c r="Q22" t="s">
        <v>5231</v>
      </c>
      <c r="R22" t="s">
        <v>326</v>
      </c>
      <c r="U22" t="s">
        <v>5232</v>
      </c>
      <c r="V22" t="s">
        <v>565</v>
      </c>
      <c r="W22" t="s">
        <v>426</v>
      </c>
      <c r="AG22" s="43"/>
      <c r="AJ22" t="s">
        <v>5233</v>
      </c>
      <c r="AK22" s="1" t="s">
        <v>258</v>
      </c>
      <c r="AL22" t="s">
        <v>438</v>
      </c>
      <c r="AM22" t="s">
        <v>260</v>
      </c>
      <c r="AN22"/>
      <c r="AO22" t="s">
        <v>5234</v>
      </c>
      <c r="AQ22" t="s">
        <v>438</v>
      </c>
      <c r="AR22"/>
      <c r="AX22" s="1"/>
      <c r="AY22" s="1"/>
      <c r="AZ22" s="1"/>
      <c r="BA22" s="1"/>
      <c r="BB22" s="1"/>
      <c r="BC22" s="2"/>
      <c r="BD22" s="115">
        <v>45382</v>
      </c>
      <c r="BE22" s="115"/>
      <c r="BF22" s="2"/>
      <c r="BG22" s="2"/>
      <c r="BH22" s="2"/>
      <c r="BI22" s="2"/>
      <c r="BJ22" s="2"/>
      <c r="BK22" s="2"/>
      <c r="BL22" s="20">
        <f ca="1">SUM(EB22)+220</f>
        <v>1187.2303999999999</v>
      </c>
      <c r="BM22" s="22">
        <f ca="1">PMT(10%/12,12,BL22,0,0)</f>
        <v>-104.37641396243917</v>
      </c>
      <c r="BN22" s="22">
        <f ca="1">SUM(BM22*-1)</f>
        <v>104.37641396243917</v>
      </c>
      <c r="BO22" s="14">
        <f>SUM(EJ22*0.0052)/12</f>
        <v>22.966666666666665</v>
      </c>
      <c r="BP22" s="22">
        <f ca="1">SUM(BN22+BO22)</f>
        <v>127.34308062910584</v>
      </c>
      <c r="BQ22" s="14"/>
      <c r="BR22" s="14">
        <f>SUM(BQ22*0.1)</f>
        <v>0</v>
      </c>
      <c r="BS22" s="14">
        <f ca="1">SUM(BT22*BU22)</f>
        <v>0</v>
      </c>
      <c r="BT22" s="17">
        <f>SUM((BQ22+BR22)*0.00833333333333333)</f>
        <v>0</v>
      </c>
      <c r="BU22" s="23">
        <f ca="1">MONTH(TODAY())+61</f>
        <v>65</v>
      </c>
      <c r="BV22" s="14">
        <f ca="1">SUM(BQ22,BR22,BS22)</f>
        <v>0</v>
      </c>
      <c r="BW22" s="14"/>
      <c r="BX22" s="14">
        <f>SUM(BW22*0.1)</f>
        <v>0</v>
      </c>
      <c r="BY22" s="14">
        <f ca="1">SUM(BZ22*CA22)</f>
        <v>0</v>
      </c>
      <c r="BZ22" s="17">
        <f>SUM((BW22+BX22)*0.00833333333333333)</f>
        <v>0</v>
      </c>
      <c r="CA22" s="23">
        <f ca="1">MONTH(TODAY())+49</f>
        <v>53</v>
      </c>
      <c r="CB22" s="14">
        <f ca="1">SUM(BW22,BX22,BY22)</f>
        <v>0</v>
      </c>
      <c r="CC22" s="14">
        <v>0</v>
      </c>
      <c r="CD22" s="14">
        <f>SUM(CC22*0.1)</f>
        <v>0</v>
      </c>
      <c r="CE22" s="14">
        <f ca="1">SUM(CF22*CG22)</f>
        <v>0</v>
      </c>
      <c r="CF22" s="17">
        <f>SUM((CC22+CD22)*0.00833333333333333)</f>
        <v>0</v>
      </c>
      <c r="CG22" s="23">
        <f ca="1">MONTH(TODAY())+37</f>
        <v>41</v>
      </c>
      <c r="CH22" s="14">
        <f ca="1">SUM(CC22,CD22,CE22)</f>
        <v>0</v>
      </c>
      <c r="CI22" s="14">
        <f>SUM(EG22*0.0052)</f>
        <v>230.35999999999999</v>
      </c>
      <c r="CJ22" s="14">
        <f>SUM(CI22*0.1)</f>
        <v>23.036000000000001</v>
      </c>
      <c r="CK22" s="14">
        <f ca="1">SUM(CL22*CM22)</f>
        <v>61.237366666666638</v>
      </c>
      <c r="CL22" s="17">
        <f>SUM((CI22+CJ22)*0.00833333333333333)</f>
        <v>2.1116333333333324</v>
      </c>
      <c r="CM22" s="23">
        <f ca="1">MONTH(TODAY())+25</f>
        <v>29</v>
      </c>
      <c r="CN22" s="14">
        <f ca="1">SUM(CI22,CJ22,CK22)</f>
        <v>314.63336666666663</v>
      </c>
      <c r="CO22" s="14">
        <f>SUM(EG22*0.0052)/2</f>
        <v>115.17999999999999</v>
      </c>
      <c r="CP22" s="14">
        <f>SUM(CO22*0.1)</f>
        <v>11.518000000000001</v>
      </c>
      <c r="CQ22" s="14">
        <f ca="1">SUM(CR22*CS22)</f>
        <v>22.172149999999991</v>
      </c>
      <c r="CR22" s="17">
        <f>SUM((CO22+CP22)*0.00833333333333333)</f>
        <v>1.0558166666666662</v>
      </c>
      <c r="CS22" s="23">
        <f ca="1">MONTH(TODAY())+17</f>
        <v>21</v>
      </c>
      <c r="CT22" s="23">
        <f ca="1">SUM(CO22,CP22,CQ22)</f>
        <v>148.87015</v>
      </c>
      <c r="CU22" s="14">
        <f>SUM(EG22*0.0052)/2</f>
        <v>115.17999999999999</v>
      </c>
      <c r="CV22" s="14">
        <f>SUM(CU22*0.1)</f>
        <v>11.518000000000001</v>
      </c>
      <c r="CW22" s="14">
        <f ca="1">SUM(CX22*CY22)</f>
        <v>17.948883333333324</v>
      </c>
      <c r="CX22" s="17">
        <f>SUM((CU22+CV22)*0.00833333333333333)</f>
        <v>1.0558166666666662</v>
      </c>
      <c r="CY22" s="23">
        <f ca="1">MONTH(TODAY())+13</f>
        <v>17</v>
      </c>
      <c r="CZ22" s="23">
        <f ca="1">SUM(CU22,CV22,CW22)</f>
        <v>144.64688333333331</v>
      </c>
      <c r="DA22" s="14">
        <f>SUM(EJ22*0.0045)/2</f>
        <v>119.24999999999999</v>
      </c>
      <c r="DB22" s="14">
        <f>SUM(DA22*0.1)</f>
        <v>11.924999999999999</v>
      </c>
      <c r="DC22" s="14">
        <f ca="1">SUM(DD22*DE22)</f>
        <v>12.024374999999994</v>
      </c>
      <c r="DD22" s="17">
        <f>SUM((DA22+DB22)*0.00833333333333333)</f>
        <v>1.0931249999999995</v>
      </c>
      <c r="DE22" s="23">
        <f ca="1">MONTH(TODAY())+7</f>
        <v>11</v>
      </c>
      <c r="DF22" s="23">
        <f ca="1">SUM(DA22,DB22,DC22)</f>
        <v>143.19937499999997</v>
      </c>
      <c r="DG22" s="14">
        <f>SUM(EJ22*0.0045)/2</f>
        <v>119.24999999999999</v>
      </c>
      <c r="DH22" s="14">
        <f>SUM(DG22*0.1)</f>
        <v>11.924999999999999</v>
      </c>
      <c r="DI22" s="14">
        <f ca="1">SUM(DJ22*DK22)</f>
        <v>5.4656249999999975</v>
      </c>
      <c r="DJ22" s="17">
        <f>SUM((DG22+DH22)*0.00833333333333333)</f>
        <v>1.0931249999999995</v>
      </c>
      <c r="DK22" s="23">
        <f ca="1">MONTH(TODAY())+1</f>
        <v>5</v>
      </c>
      <c r="DL22" s="14">
        <f ca="1">SUM(DG22,DH22,DI22)</f>
        <v>136.64062499999997</v>
      </c>
      <c r="DM22" s="14">
        <f>SUM( BQ22, BW22, CC22, CI22, CO22,CU22,DA22,DG22)</f>
        <v>699.21999999999991</v>
      </c>
      <c r="DN22" s="14">
        <f>SUM(BR22,BX22,CD22,CJ22, CP22,CV22,DB22,DH22)</f>
        <v>69.921999999999997</v>
      </c>
      <c r="DO22" s="14">
        <f ca="1">SUM(BS22,BY22,CE22,CK22, CQ22,CW22,DC22,DI22)</f>
        <v>118.84839999999996</v>
      </c>
      <c r="DP22" s="25">
        <f ca="1">SUM(DM22:DO22)</f>
        <v>887.99039999999991</v>
      </c>
      <c r="DQ22" s="47">
        <f ca="1">SUM(DP22/EG22)</f>
        <v>2.0044930022573362E-2</v>
      </c>
      <c r="DR22" s="14">
        <f>40+10</f>
        <v>50</v>
      </c>
      <c r="DS22" s="32">
        <f>COUNTIF(AO22, "*")+COUNTIF(AJ22, "*")+COUNTIF(AA22, "*")+COUNTIF(EU22, "*")+COUNTIF(FA22, "*")+COUNTIF(FG22, "*")+COUNTIF(FK22, "*")+COUNTIF(FR22, "*")+COUNTIF(AT22, "*")+COUNTIF(GA22, "*")+COUNTIF(GL22, "*")+COUNTIF(GW22, "*")+COUNTIF(HE22, "*")+COUNTIF(HM22, "*")+COUNTIF(HU22, "*")</f>
        <v>2</v>
      </c>
      <c r="DT22" s="14">
        <f>DS22*0.64</f>
        <v>1.28</v>
      </c>
      <c r="DU22" s="4"/>
      <c r="DV22" s="4">
        <v>27.96</v>
      </c>
      <c r="DW22" s="4"/>
      <c r="DX22" s="4"/>
      <c r="DZ22" s="4"/>
      <c r="EA22" s="14">
        <f>SUM(DV22:DZ22)</f>
        <v>27.96</v>
      </c>
      <c r="EB22" s="14">
        <f ca="1">SUM(DP22,DR22,EA22, DU22, DT22,FX22)</f>
        <v>967.23039999999992</v>
      </c>
      <c r="EC22" s="24" t="s">
        <v>4944</v>
      </c>
      <c r="ED22" s="130">
        <f>0.13+0.15+0.16+0.12+0.15+0.15+0.13</f>
        <v>0.9900000000000001</v>
      </c>
      <c r="EE22" s="14">
        <f>300+300+6300+300+300+300+6300</f>
        <v>14100</v>
      </c>
      <c r="EF22" s="14">
        <v>30200</v>
      </c>
      <c r="EG22" s="14">
        <f>SUM(EE22+EF22)</f>
        <v>44300</v>
      </c>
      <c r="EH22" s="14">
        <f>300+300+6300+300+300+300+6300</f>
        <v>14100</v>
      </c>
      <c r="EI22" s="14">
        <v>38900</v>
      </c>
      <c r="EJ22" s="14">
        <f>SUM(EH22+EI22)</f>
        <v>53000</v>
      </c>
      <c r="EK22" s="10"/>
      <c r="EL22" s="10"/>
      <c r="EM22" s="10"/>
      <c r="EN22" s="10"/>
      <c r="EO22" s="10"/>
      <c r="EP22" s="10"/>
      <c r="EQ22" s="10"/>
      <c r="ER22" s="10"/>
      <c r="FX22" s="4"/>
      <c r="HY22" s="9"/>
      <c r="IJ22" s="4"/>
      <c r="IK22" s="4"/>
      <c r="IL22" s="4"/>
      <c r="IM22" s="9"/>
      <c r="IN22" s="9"/>
      <c r="IO22" s="9"/>
      <c r="IP22" s="9"/>
      <c r="IQ22" s="9"/>
    </row>
    <row r="23" spans="1:263" ht="15" customHeight="1">
      <c r="A23" s="19">
        <v>102020012</v>
      </c>
      <c r="B23" s="18" t="s">
        <v>1570</v>
      </c>
      <c r="C23" s="18"/>
      <c r="D23" s="13"/>
      <c r="E23" s="18" t="s">
        <v>3464</v>
      </c>
      <c r="F23" s="18">
        <v>220000924</v>
      </c>
      <c r="G23" s="18">
        <v>200002441</v>
      </c>
      <c r="H23" s="18"/>
      <c r="I23" s="18"/>
      <c r="J23" s="18" t="s">
        <v>253</v>
      </c>
      <c r="K23" s="18" t="s">
        <v>1814</v>
      </c>
      <c r="L23" s="18" t="s">
        <v>1329</v>
      </c>
      <c r="M23" s="18"/>
      <c r="N23" s="18"/>
      <c r="O23" s="18"/>
      <c r="P23" s="18"/>
      <c r="Q23" s="18"/>
      <c r="R23" s="18"/>
      <c r="S23" s="18"/>
      <c r="T23" s="18"/>
      <c r="U23" s="18"/>
      <c r="V23" s="18"/>
      <c r="W23" s="18"/>
      <c r="X23" s="18"/>
      <c r="Y23" s="18"/>
      <c r="Z23" s="18"/>
      <c r="AA23" s="18"/>
      <c r="AB23" s="18"/>
      <c r="AC23" s="18"/>
      <c r="AD23" s="18" t="s">
        <v>3338</v>
      </c>
      <c r="AE23" s="18" t="s">
        <v>311</v>
      </c>
      <c r="AF23" s="18" t="s">
        <v>3339</v>
      </c>
      <c r="AG23" s="26"/>
      <c r="AH23" s="31" t="s">
        <v>3340</v>
      </c>
      <c r="AI23" s="18"/>
      <c r="AJ23" s="14" t="s">
        <v>1571</v>
      </c>
      <c r="AK23" s="18" t="s">
        <v>258</v>
      </c>
      <c r="AL23" s="18" t="s">
        <v>329</v>
      </c>
      <c r="AM23" s="18" t="s">
        <v>260</v>
      </c>
      <c r="AN23" s="18"/>
      <c r="AO23" s="63" t="s">
        <v>1815</v>
      </c>
      <c r="AP23" s="24" t="s">
        <v>258</v>
      </c>
      <c r="AQ23" s="18" t="s">
        <v>386</v>
      </c>
      <c r="AR23" s="18" t="s">
        <v>260</v>
      </c>
      <c r="AS23" s="13"/>
      <c r="AT23" s="13"/>
      <c r="AU23" s="13"/>
      <c r="AV23" s="13"/>
      <c r="AW23" s="13"/>
      <c r="AX23" s="48"/>
      <c r="AY23" s="114">
        <v>43912</v>
      </c>
      <c r="AZ23" s="114">
        <v>43901</v>
      </c>
      <c r="BA23" s="19"/>
      <c r="BB23" s="19"/>
      <c r="BC23" s="19"/>
      <c r="BD23" s="19"/>
      <c r="BE23" s="19"/>
      <c r="BF23" s="19"/>
      <c r="BG23" s="20">
        <f ca="1">SUM(CY23)+214.5</f>
        <v>1811.5208333333335</v>
      </c>
      <c r="BH23" s="22">
        <f ca="1">PMT(10%/12,12,BG23,0,0)</f>
        <v>-159.26146129814637</v>
      </c>
      <c r="BI23" s="22">
        <f ca="1">SUM(BH23*-1)</f>
        <v>159.26146129814637</v>
      </c>
      <c r="BJ23" s="14">
        <f>SUM(DI23*0.0052)/12</f>
        <v>20.063333333333333</v>
      </c>
      <c r="BK23" s="22">
        <f ca="1">SUM(BI23+BJ23)</f>
        <v>179.3247946314797</v>
      </c>
      <c r="BL23" s="14">
        <v>0</v>
      </c>
      <c r="BM23" s="14">
        <f>SUM(BL23*0.1)</f>
        <v>0</v>
      </c>
      <c r="BN23" s="14">
        <f ca="1">SUM(BO23*BP23)</f>
        <v>0</v>
      </c>
      <c r="BO23" s="17">
        <f>SUM((BL23+BM23)*0.00833333333333333)</f>
        <v>0</v>
      </c>
      <c r="BP23" s="23">
        <f ca="1">MONTH(TODAY())+49</f>
        <v>53</v>
      </c>
      <c r="BQ23" s="14">
        <f ca="1">SUM(BL23,BM23,BN23)</f>
        <v>0</v>
      </c>
      <c r="BR23" s="14">
        <v>0</v>
      </c>
      <c r="BS23" s="14">
        <f>SUM(BR23*0.1)</f>
        <v>0</v>
      </c>
      <c r="BT23" s="14">
        <f ca="1">SUM(BU23*BV23)</f>
        <v>0</v>
      </c>
      <c r="BU23" s="17">
        <f>SUM((BR23+BS23)*0.00833333333333333)</f>
        <v>0</v>
      </c>
      <c r="BV23" s="23">
        <f ca="1">MONTH(TODAY())+37</f>
        <v>41</v>
      </c>
      <c r="BW23" s="14">
        <f ca="1">SUM(BR23,BS23,BT23)</f>
        <v>0</v>
      </c>
      <c r="BX23" s="14">
        <v>0</v>
      </c>
      <c r="BY23" s="14">
        <f>SUM(BX23*0.1)</f>
        <v>0</v>
      </c>
      <c r="BZ23" s="14">
        <f ca="1">SUM(CA23*CB23)</f>
        <v>0</v>
      </c>
      <c r="CA23" s="17">
        <f>SUM((BX23+BY23)*0.00833333333333333)</f>
        <v>0</v>
      </c>
      <c r="CB23" s="23">
        <f ca="1">MONTH(TODAY())+25</f>
        <v>29</v>
      </c>
      <c r="CC23" s="14">
        <f ca="1">SUM(BX23,BY23,BZ23)</f>
        <v>0</v>
      </c>
      <c r="CD23" s="14">
        <v>0</v>
      </c>
      <c r="CE23" s="14">
        <f>SUM(CD23*0.1)</f>
        <v>0</v>
      </c>
      <c r="CF23" s="14">
        <f ca="1">SUM(CG23*CH23)</f>
        <v>0</v>
      </c>
      <c r="CG23" s="17">
        <f>SUM((CD23+CE23)*0.00833333333333333)</f>
        <v>0</v>
      </c>
      <c r="CH23" s="23">
        <f ca="1">MONTH(TODAY())+13</f>
        <v>17</v>
      </c>
      <c r="CI23" s="14">
        <f ca="1">SUM(CD23,CE23,CF23)</f>
        <v>0</v>
      </c>
      <c r="CJ23" s="14">
        <f>SUM(DI23*0.0052)</f>
        <v>240.76</v>
      </c>
      <c r="CK23" s="14">
        <f>SUM(CJ23*0.1)</f>
        <v>24.076000000000001</v>
      </c>
      <c r="CL23" s="14">
        <f ca="1">SUM(CM23*CN23)</f>
        <v>11.03483333333333</v>
      </c>
      <c r="CM23" s="17">
        <f>SUM((CJ23+CK23)*0.00833333333333333)</f>
        <v>2.2069666666666659</v>
      </c>
      <c r="CN23" s="23">
        <f ca="1">MONTH(TODAY())+1</f>
        <v>5</v>
      </c>
      <c r="CO23" s="14">
        <f ca="1">SUM(CJ23,CK23,CL23)</f>
        <v>275.87083333333334</v>
      </c>
      <c r="CP23" s="14">
        <f>SUM(BL23, BR23,BX23,CD23,CJ23)</f>
        <v>240.76</v>
      </c>
      <c r="CQ23" s="14">
        <f>SUM(BM23, BS23,BY23,CE23,CK23)</f>
        <v>24.076000000000001</v>
      </c>
      <c r="CR23" s="14">
        <f ca="1">SUM(BN23, BT23,BZ23,CF23,CL23)</f>
        <v>11.03483333333333</v>
      </c>
      <c r="CS23" s="14">
        <f ca="1">SUM(CP23:CR23)</f>
        <v>275.87083333333334</v>
      </c>
      <c r="CT23" s="47">
        <f ca="1">SUM(CS23/DI23)</f>
        <v>5.9583333333333337E-3</v>
      </c>
      <c r="CU23" s="14">
        <f>39+195+58.5+148+58.5+58.5+58.5-100+58.5+58.5+195+195+58.5+39</f>
        <v>1120.5</v>
      </c>
      <c r="CV23" s="32">
        <f>COUNTIF(DB23, "*")+COUNTIF(AO23, "*")+COUNTIF(AJ23, "*")+COUNTIF(AA23, "*")+COUNTIF(DY23, "*")+COUNTIF(EE23, "*")+COUNTIF(EK23, "*")+COUNTIF(EO23, "*")+COUNTIF(EV23, "*")+COUNTIF(FC23, "*")+COUNTIF(FJ23, "*")+COUNTIF(FU23, "*")+COUNTIF(GF23, "*")+COUNTIF(GN23, "*")+COUNTIF(GV23, "*")+COUNTIF(HD23, "*")+COUNTIF(HL23, "*")</f>
        <v>3</v>
      </c>
      <c r="CW23" s="14">
        <f>0.5+6.25+6.25+6.25+6.47</f>
        <v>25.72</v>
      </c>
      <c r="CX23" s="14">
        <v>150</v>
      </c>
      <c r="CY23" s="14">
        <f ca="1">SUM(CS23,CU23,DE23, CX23, CW23,FG23)</f>
        <v>1597.0208333333335</v>
      </c>
      <c r="CZ23" s="14">
        <v>24.93</v>
      </c>
      <c r="DA23" s="14"/>
      <c r="DB23" s="14"/>
      <c r="DC23" s="23"/>
      <c r="DD23" s="25"/>
      <c r="DE23" s="14">
        <f>SUM(CZ23:DD23)</f>
        <v>24.93</v>
      </c>
      <c r="DF23" s="24">
        <v>2021</v>
      </c>
      <c r="DG23" s="25">
        <v>28300</v>
      </c>
      <c r="DH23" s="25">
        <v>18000</v>
      </c>
      <c r="DI23" s="25">
        <f>SUM(DG23+DH23)</f>
        <v>46300</v>
      </c>
      <c r="DJ23" s="36">
        <v>4.46</v>
      </c>
      <c r="DK23" s="18" t="s">
        <v>1766</v>
      </c>
      <c r="DL23" s="18" t="s">
        <v>1767</v>
      </c>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t="s">
        <v>1768</v>
      </c>
      <c r="EO23" s="18" t="s">
        <v>1769</v>
      </c>
      <c r="EP23" s="18"/>
      <c r="EQ23" s="18" t="s">
        <v>300</v>
      </c>
      <c r="ER23" s="18" t="s">
        <v>301</v>
      </c>
      <c r="ES23" s="27">
        <v>42923</v>
      </c>
      <c r="ET23" s="18" t="s">
        <v>1770</v>
      </c>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4"/>
      <c r="ID23" s="18"/>
      <c r="IE23" s="18"/>
      <c r="IF23" s="18"/>
      <c r="IG23" s="18"/>
      <c r="IH23" s="18"/>
      <c r="IW23" s="243"/>
      <c r="IX23" s="243"/>
      <c r="IY23" s="243"/>
    </row>
    <row r="24" spans="1:263" ht="15" customHeight="1">
      <c r="A24" s="19">
        <v>102023110</v>
      </c>
      <c r="B24" s="18" t="s">
        <v>4365</v>
      </c>
      <c r="D24" s="1"/>
      <c r="E24" s="3"/>
      <c r="F24" s="3"/>
      <c r="G24" s="3"/>
      <c r="J24" s="18" t="s">
        <v>554</v>
      </c>
      <c r="K24" s="18" t="s">
        <v>4427</v>
      </c>
      <c r="L24" s="18" t="s">
        <v>4425</v>
      </c>
      <c r="M24" s="18"/>
      <c r="N24" s="18"/>
      <c r="O24" s="19"/>
      <c r="P24" s="18" t="s">
        <v>4427</v>
      </c>
      <c r="Q24" s="18" t="s">
        <v>4428</v>
      </c>
      <c r="R24" s="18"/>
      <c r="S24" s="18"/>
      <c r="AG24" s="43"/>
      <c r="AH24" s="3"/>
      <c r="AI24" s="3"/>
      <c r="AJ24" s="18" t="s">
        <v>4429</v>
      </c>
      <c r="AK24" t="s">
        <v>258</v>
      </c>
      <c r="AL24" s="18" t="s">
        <v>329</v>
      </c>
      <c r="AM24" t="s">
        <v>260</v>
      </c>
      <c r="AN24"/>
      <c r="AO24" s="18" t="s">
        <v>4430</v>
      </c>
      <c r="AP24" s="3"/>
      <c r="AQ24" s="18" t="s">
        <v>438</v>
      </c>
      <c r="AR24"/>
      <c r="AY24" s="1"/>
      <c r="AZ24" s="1"/>
      <c r="BA24" s="1"/>
      <c r="BB24" s="1"/>
      <c r="BC24" s="2"/>
      <c r="BD24" s="115">
        <v>45060</v>
      </c>
      <c r="BE24" s="115">
        <v>45051</v>
      </c>
      <c r="BF24" s="2"/>
      <c r="BG24" s="2"/>
      <c r="BH24" s="2"/>
      <c r="BI24" s="2"/>
      <c r="BJ24" s="2"/>
      <c r="BK24" s="2"/>
      <c r="BL24" s="20">
        <f ca="1">SUM(EB24)+220</f>
        <v>1222.2034625000001</v>
      </c>
      <c r="BM24" s="22">
        <f ca="1">PMT(10%/12,12,BL24,0,0)</f>
        <v>-107.45110178127727</v>
      </c>
      <c r="BN24" s="22">
        <f ca="1">SUM(BM24*-1)</f>
        <v>107.45110178127727</v>
      </c>
      <c r="BO24" s="14">
        <f>SUM(EJ24*0.0052)/12</f>
        <v>17.636666666666667</v>
      </c>
      <c r="BP24" s="22">
        <f ca="1">SUM(BN24+BO24)</f>
        <v>125.08776844794394</v>
      </c>
      <c r="BQ24" s="14"/>
      <c r="BR24" s="14">
        <f>SUM(BQ24*0.1)</f>
        <v>0</v>
      </c>
      <c r="BS24" s="14">
        <f ca="1">SUM(BT24*BU24)</f>
        <v>0</v>
      </c>
      <c r="BT24" s="17">
        <f>SUM((BQ24+BR24)*0.00833333333333333)</f>
        <v>0</v>
      </c>
      <c r="BU24" s="23">
        <f ca="1">MONTH(TODAY())+49</f>
        <v>53</v>
      </c>
      <c r="BV24" s="14">
        <f ca="1">SUM(BQ24,BR24,BS24)</f>
        <v>0</v>
      </c>
      <c r="BW24" s="14"/>
      <c r="BX24" s="14">
        <f>SUM(BW24*0.1)</f>
        <v>0</v>
      </c>
      <c r="BY24" s="14">
        <f ca="1">SUM(BZ24*CA24)</f>
        <v>0</v>
      </c>
      <c r="BZ24" s="17">
        <f>SUM((BW24+BX24)*0.00833333333333333)</f>
        <v>0</v>
      </c>
      <c r="CA24" s="23">
        <f ca="1">MONTH(TODAY())+37</f>
        <v>41</v>
      </c>
      <c r="CB24" s="14">
        <f ca="1">SUM(BW24,BX24,BY24)</f>
        <v>0</v>
      </c>
      <c r="CC24" s="14">
        <v>0</v>
      </c>
      <c r="CD24" s="14">
        <f>SUM(CC24*0.1)</f>
        <v>0</v>
      </c>
      <c r="CE24" s="14">
        <f ca="1">SUM(CF24*CG24)</f>
        <v>0</v>
      </c>
      <c r="CF24" s="17">
        <f>SUM((CC24+CD24)*0.00833333333333333)</f>
        <v>0</v>
      </c>
      <c r="CG24" s="23">
        <f ca="1">MONTH(TODAY())+25</f>
        <v>29</v>
      </c>
      <c r="CH24" s="14">
        <f ca="1">SUM(CC24,CD24,CE24)</f>
        <v>0</v>
      </c>
      <c r="CI24" s="14">
        <f>SUM(EG24*0.0052)</f>
        <v>198.12</v>
      </c>
      <c r="CJ24" s="14">
        <f>SUM(CI24*0.1)</f>
        <v>19.812000000000001</v>
      </c>
      <c r="CK24" s="14">
        <f ca="1">SUM(CL24*CM24)</f>
        <v>30.873699999999989</v>
      </c>
      <c r="CL24" s="17">
        <f>SUM((CI24+CJ24)*0.00833333333333333)</f>
        <v>1.8160999999999994</v>
      </c>
      <c r="CM24" s="23">
        <f ca="1">MONTH(TODAY())+13</f>
        <v>17</v>
      </c>
      <c r="CN24" s="14">
        <f ca="1">SUM(CI24,CJ24,CK24)</f>
        <v>248.8057</v>
      </c>
      <c r="CO24" s="14">
        <f>SUM(EG24*0.0052)/2</f>
        <v>99.06</v>
      </c>
      <c r="CP24" s="14">
        <f>SUM(CO24*0.1)</f>
        <v>9.9060000000000006</v>
      </c>
      <c r="CQ24" s="14">
        <f ca="1">SUM(CR24*CS24)</f>
        <v>8.1724499999999978</v>
      </c>
      <c r="CR24" s="17">
        <f>SUM((CO24+CP24)*0.00833333333333333)</f>
        <v>0.90804999999999969</v>
      </c>
      <c r="CS24" s="23">
        <f ca="1">MONTH(TODAY())+5</f>
        <v>9</v>
      </c>
      <c r="CT24" s="23">
        <f ca="1">SUM(CO24,CP24,CQ24)</f>
        <v>117.13845000000001</v>
      </c>
      <c r="CU24" s="14">
        <f>SUM(EG24*0.0052)/2</f>
        <v>99.06</v>
      </c>
      <c r="CV24" s="14">
        <f>SUM(CU24*0.1)</f>
        <v>9.9060000000000006</v>
      </c>
      <c r="CW24" s="14">
        <f ca="1">SUM(CX24*CY24)</f>
        <v>4.5402499999999986</v>
      </c>
      <c r="CX24" s="17">
        <f>SUM((CU24+CV24)*0.00833333333333333)</f>
        <v>0.90804999999999969</v>
      </c>
      <c r="CY24" s="23">
        <f ca="1">MONTH(TODAY())+1</f>
        <v>5</v>
      </c>
      <c r="CZ24" s="23">
        <f ca="1">SUM(CU24,CV24,CW24)</f>
        <v>113.50625000000001</v>
      </c>
      <c r="DA24" s="14">
        <f>SUM(EJ24*0.0045)/2</f>
        <v>91.574999999999989</v>
      </c>
      <c r="DB24" s="14">
        <f>SUM(DA24*0.1)</f>
        <v>9.1574999999999989</v>
      </c>
      <c r="DC24" s="14">
        <f ca="1">SUM(DD24*DE24)</f>
        <v>-0.8394374999999995</v>
      </c>
      <c r="DD24" s="17">
        <f>SUM((DA24+DB24)*0.00833333333333333)</f>
        <v>0.8394374999999995</v>
      </c>
      <c r="DE24" s="23">
        <f ca="1">MONTH(TODAY())-5</f>
        <v>-1</v>
      </c>
      <c r="DF24" s="23">
        <f ca="1">SUM(DA24,DB24,DC24)</f>
        <v>99.893062499999985</v>
      </c>
      <c r="DG24" s="14">
        <v>0</v>
      </c>
      <c r="DH24" s="14">
        <v>0</v>
      </c>
      <c r="DI24" s="14">
        <v>0</v>
      </c>
      <c r="DJ24" s="17">
        <f>SUM((DG24+DH24)*0.00833333333333333)</f>
        <v>0</v>
      </c>
      <c r="DK24" s="23">
        <f ca="1">MONTH(TODAY())+1</f>
        <v>5</v>
      </c>
      <c r="DL24" s="23">
        <f>SUM(DG24,DH24,DI24)</f>
        <v>0</v>
      </c>
      <c r="DM24" s="14">
        <f>SUM( BQ24, BW24, CC24, CI24, CO24,CU24,DA24,DG24)</f>
        <v>487.815</v>
      </c>
      <c r="DN24" s="14">
        <f>SUM(BR24,BX24,CD24,CJ24, CP24,CV24,DB24,DH24)</f>
        <v>48.781500000000001</v>
      </c>
      <c r="DO24" s="14">
        <f ca="1">SUM(BS24,BY24,CE24,CK24, CQ24,CW24,DC24,DI24)</f>
        <v>42.746962499999981</v>
      </c>
      <c r="DP24" s="25">
        <f ca="1">SUM(DM24:DO24)</f>
        <v>579.34346249999999</v>
      </c>
      <c r="DQ24" s="47">
        <f ca="1">SUM(DP24/EG24)</f>
        <v>1.5205865157480314E-2</v>
      </c>
      <c r="DR24" s="14">
        <f>20+200</f>
        <v>220</v>
      </c>
      <c r="DS24" s="32">
        <f>COUNTIF(DX24, "*")+COUNTIF(AO24, "*")+COUNTIF(AJ24, "*")+COUNTIF(AA24, "*")+COUNTIF(EY24, "*")+COUNTIF(FE24, "*")+COUNTIF(FK24, "*")+COUNTIF(FO24, "*")+COUNTIF(FV24, "*")+COUNTIF(AT24, "*")+COUNTIF(GE24, "*")+COUNTIF(GP24, "*")+COUNTIF(HA24, "*")+COUNTIF(HI24, "*")+COUNTIF(HQ24, "*")+COUNTIF(HY24, "*")+COUNTIF(IG24, "*")</f>
        <v>2</v>
      </c>
      <c r="DT24" s="14">
        <f>1.2+DS24*7.45</f>
        <v>16.100000000000001</v>
      </c>
      <c r="DU24" s="4">
        <v>150</v>
      </c>
      <c r="DV24" s="4">
        <v>36.76</v>
      </c>
      <c r="DW24" s="4"/>
      <c r="DX24" s="4"/>
      <c r="DZ24" s="4"/>
      <c r="EA24" s="14">
        <f>SUM(DV24:DZ24)</f>
        <v>36.76</v>
      </c>
      <c r="EB24" s="14">
        <f ca="1">SUM(DP24,DR24,EA24, DU24, DT24,GB24)</f>
        <v>1002.2034625</v>
      </c>
      <c r="EC24" s="24" t="s">
        <v>3879</v>
      </c>
      <c r="ED24" s="130">
        <v>3.67</v>
      </c>
      <c r="EE24" s="14">
        <v>29400</v>
      </c>
      <c r="EF24" s="14">
        <v>8700</v>
      </c>
      <c r="EG24" s="14">
        <v>38100</v>
      </c>
      <c r="EH24" s="14">
        <v>31400</v>
      </c>
      <c r="EI24" s="14">
        <v>9300</v>
      </c>
      <c r="EJ24" s="14">
        <f>SUM(EH24+EI24)</f>
        <v>40700</v>
      </c>
      <c r="EK24" t="s">
        <v>4734</v>
      </c>
      <c r="EL24" t="s">
        <v>4735</v>
      </c>
      <c r="GC24" t="s">
        <v>439</v>
      </c>
      <c r="GD24" t="s">
        <v>1530</v>
      </c>
      <c r="GF24" t="s">
        <v>440</v>
      </c>
      <c r="GG24" t="s">
        <v>274</v>
      </c>
      <c r="GH24" t="s">
        <v>275</v>
      </c>
      <c r="GI24" s="9">
        <v>44410</v>
      </c>
      <c r="GJ24" t="s">
        <v>4736</v>
      </c>
      <c r="IM24" s="9"/>
      <c r="IX24" s="14">
        <f ca="1">SUM(IN24-EB24-GB24-IV24)</f>
        <v>-1002.2034625</v>
      </c>
      <c r="IY24" s="9"/>
      <c r="IZ24" s="9"/>
      <c r="JA24" s="9"/>
      <c r="JB24" s="9"/>
      <c r="JC24" s="9"/>
    </row>
    <row r="25" spans="1:263" ht="15" customHeight="1">
      <c r="A25" s="19">
        <v>102019077</v>
      </c>
      <c r="B25" s="14" t="s">
        <v>714</v>
      </c>
      <c r="C25" s="13" t="s">
        <v>258</v>
      </c>
      <c r="D25" s="13"/>
      <c r="E25" s="24" t="s">
        <v>1528</v>
      </c>
      <c r="F25" s="19">
        <v>190005637</v>
      </c>
      <c r="G25" s="18"/>
      <c r="H25" s="18"/>
      <c r="I25" s="18"/>
      <c r="J25" s="18" t="s">
        <v>253</v>
      </c>
      <c r="K25" s="18" t="s">
        <v>715</v>
      </c>
      <c r="L25" s="18" t="s">
        <v>716</v>
      </c>
      <c r="M25" s="18" t="s">
        <v>469</v>
      </c>
      <c r="N25" s="18"/>
      <c r="O25" s="13"/>
      <c r="P25" s="18"/>
      <c r="Q25" s="18"/>
      <c r="R25" s="18"/>
      <c r="S25" s="18"/>
      <c r="T25" s="13"/>
      <c r="U25" s="18"/>
      <c r="V25" s="18"/>
      <c r="W25" s="18"/>
      <c r="X25" s="18"/>
      <c r="Y25" s="18"/>
      <c r="Z25" s="18"/>
      <c r="AA25" s="18"/>
      <c r="AB25" s="18"/>
      <c r="AC25" s="18"/>
      <c r="AD25" s="18"/>
      <c r="AE25" s="18"/>
      <c r="AF25" s="18"/>
      <c r="AG25" s="231"/>
      <c r="AH25" s="20"/>
      <c r="AI25" s="18"/>
      <c r="AJ25" s="14"/>
      <c r="AK25" s="14"/>
      <c r="AL25" s="18"/>
      <c r="AM25" s="24"/>
      <c r="AN25" s="24"/>
      <c r="AO25" s="14"/>
      <c r="AP25" s="20"/>
      <c r="AQ25" s="24"/>
      <c r="AR25" s="24"/>
      <c r="AS25" s="20"/>
      <c r="AT25" s="20"/>
      <c r="AU25" s="13"/>
      <c r="AV25" s="13"/>
      <c r="AW25" s="13"/>
      <c r="AX25" s="48"/>
      <c r="AY25" s="48"/>
      <c r="AZ25" s="48"/>
      <c r="BA25" s="48"/>
      <c r="BB25" s="19"/>
      <c r="BC25" s="48"/>
      <c r="BD25" s="48"/>
      <c r="BE25" s="48"/>
      <c r="BF25" s="19"/>
      <c r="BG25" s="20"/>
      <c r="BH25" s="22"/>
      <c r="BI25" s="22"/>
      <c r="BJ25" s="14"/>
      <c r="BK25" s="14"/>
      <c r="BL25" s="14"/>
      <c r="BM25" s="17"/>
      <c r="BN25" s="23"/>
      <c r="BO25" s="14"/>
      <c r="BP25" s="14"/>
      <c r="BQ25" s="14"/>
      <c r="BR25" s="14"/>
      <c r="BS25" s="17"/>
      <c r="BT25" s="23"/>
      <c r="BU25" s="14"/>
      <c r="BV25" s="14"/>
      <c r="BW25" s="14"/>
      <c r="BX25" s="14"/>
      <c r="BY25" s="17"/>
      <c r="BZ25" s="23"/>
      <c r="CA25" s="14"/>
      <c r="CB25" s="14"/>
      <c r="CC25" s="14"/>
      <c r="CD25" s="14"/>
      <c r="CE25" s="17"/>
      <c r="CF25" s="23"/>
      <c r="CG25" s="14"/>
      <c r="CH25" s="14"/>
      <c r="CI25" s="14"/>
      <c r="CJ25" s="14"/>
      <c r="CK25" s="17"/>
      <c r="CL25" s="23"/>
      <c r="CM25" s="14"/>
      <c r="CN25" s="14"/>
      <c r="CO25" s="14"/>
      <c r="CP25" s="14"/>
      <c r="CQ25" s="17"/>
      <c r="CR25" s="23"/>
      <c r="CS25" s="14"/>
      <c r="CT25" s="14"/>
      <c r="CU25" s="14"/>
      <c r="CV25" s="14"/>
      <c r="CW25" s="17"/>
      <c r="CX25" s="23"/>
      <c r="CY25" s="14"/>
      <c r="CZ25" s="14"/>
      <c r="DA25" s="14"/>
      <c r="DB25" s="14"/>
      <c r="DC25" s="14"/>
      <c r="DD25" s="14"/>
      <c r="DE25" s="47"/>
      <c r="DF25" s="24"/>
      <c r="DG25" s="14"/>
      <c r="DH25" s="32"/>
      <c r="DI25" s="14"/>
      <c r="DJ25" s="14"/>
      <c r="DK25" s="14"/>
      <c r="DL25" s="14"/>
      <c r="DM25" s="14"/>
      <c r="DN25" s="14"/>
      <c r="DO25" s="23"/>
      <c r="DP25" s="25"/>
      <c r="DQ25" s="14"/>
      <c r="DR25" s="25"/>
      <c r="DS25" s="25"/>
      <c r="DT25" s="25"/>
      <c r="DU25" s="36"/>
      <c r="DV25" s="18"/>
      <c r="DW25" s="18"/>
      <c r="DX25" s="18"/>
      <c r="DY25" s="18"/>
      <c r="DZ25" s="18"/>
      <c r="EA25" s="18"/>
      <c r="EB25" s="18"/>
      <c r="EC25" s="18"/>
      <c r="ED25" s="30"/>
      <c r="EE25" s="18"/>
      <c r="EF25" s="18"/>
      <c r="EG25" s="18"/>
      <c r="EH25" s="18"/>
      <c r="EI25" s="18"/>
      <c r="EJ25" s="30"/>
      <c r="EK25" s="30"/>
      <c r="EL25" s="14"/>
      <c r="EM25" s="14"/>
      <c r="EN25" s="14"/>
      <c r="EO25" s="14"/>
      <c r="EP25" s="14"/>
      <c r="EQ25" s="14"/>
      <c r="ER25" s="14"/>
      <c r="ES25" s="14"/>
      <c r="ET25" s="14"/>
      <c r="EU25" s="14"/>
      <c r="EV25" s="14"/>
      <c r="EW25" s="14"/>
      <c r="EX25" s="14"/>
      <c r="EY25" s="14"/>
      <c r="EZ25" s="14"/>
      <c r="FA25" s="18"/>
      <c r="FB25" s="18"/>
      <c r="FC25" s="18"/>
      <c r="FD25" s="27"/>
      <c r="FE25" s="18"/>
      <c r="FF25" s="18"/>
      <c r="FG25" s="18"/>
      <c r="FH25" s="18"/>
      <c r="FI25" s="18"/>
      <c r="FJ25" s="18"/>
      <c r="FK25" s="18"/>
      <c r="FL25" s="18"/>
      <c r="FM25" s="27"/>
      <c r="FN25" s="18"/>
      <c r="FO25" s="18"/>
      <c r="FP25" s="18"/>
      <c r="FQ25" s="18"/>
      <c r="FR25" s="18"/>
      <c r="FS25" s="14"/>
      <c r="FT25" s="18"/>
      <c r="FU25" s="18"/>
      <c r="FV25" s="18"/>
      <c r="FW25" s="18"/>
      <c r="FX25" s="18"/>
      <c r="FY25" s="18"/>
      <c r="FZ25" s="27"/>
      <c r="GA25" s="18"/>
      <c r="GB25" s="18"/>
      <c r="GC25" s="18"/>
      <c r="GD25" s="18"/>
      <c r="GE25" s="18"/>
      <c r="GF25" s="18"/>
      <c r="GG25" s="18"/>
      <c r="GH25" s="18"/>
      <c r="GI25" s="28"/>
      <c r="GJ25" s="18"/>
      <c r="GK25" s="27"/>
      <c r="GL25" s="18"/>
      <c r="GM25" s="18"/>
      <c r="GN25" s="18"/>
      <c r="GO25" s="18"/>
      <c r="GP25" s="18"/>
      <c r="GQ25" s="18"/>
      <c r="GR25" s="18"/>
      <c r="GS25" s="18"/>
      <c r="GT25" s="18"/>
      <c r="GU25" s="18"/>
      <c r="GV25" s="18"/>
      <c r="GW25" s="27"/>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27"/>
      <c r="IE25" s="14"/>
      <c r="IF25" s="14"/>
      <c r="IG25" s="27"/>
      <c r="IH25" s="18"/>
      <c r="II25" s="18"/>
      <c r="IJ25" s="18"/>
      <c r="IK25" s="18"/>
    </row>
    <row r="26" spans="1:263" ht="15" customHeight="1">
      <c r="A26" s="19">
        <v>102023148</v>
      </c>
      <c r="B26" t="s">
        <v>4857</v>
      </c>
      <c r="D26" s="3"/>
      <c r="E26" s="3"/>
      <c r="G26" s="3"/>
      <c r="J26" t="s">
        <v>434</v>
      </c>
      <c r="K26" t="s">
        <v>2586</v>
      </c>
      <c r="L26" t="s">
        <v>4858</v>
      </c>
      <c r="M26" t="s">
        <v>396</v>
      </c>
      <c r="O26" s="1"/>
      <c r="P26" t="s">
        <v>4956</v>
      </c>
      <c r="Q26" t="s">
        <v>4859</v>
      </c>
      <c r="R26" t="s">
        <v>256</v>
      </c>
      <c r="T26" s="1"/>
      <c r="U26" t="s">
        <v>4957</v>
      </c>
      <c r="V26" t="s">
        <v>4860</v>
      </c>
      <c r="W26" t="s">
        <v>396</v>
      </c>
      <c r="AG26" s="43"/>
      <c r="AJ26" s="18" t="s">
        <v>328</v>
      </c>
      <c r="AL26" s="18" t="s">
        <v>438</v>
      </c>
      <c r="AM26"/>
      <c r="AN26"/>
      <c r="AO26" s="4" t="s">
        <v>4863</v>
      </c>
      <c r="AP26" s="5" t="s">
        <v>258</v>
      </c>
      <c r="AQ26" t="s">
        <v>4864</v>
      </c>
      <c r="AR26" s="3" t="s">
        <v>4865</v>
      </c>
      <c r="AX26" s="1"/>
      <c r="AY26" s="1"/>
      <c r="AZ26" s="1"/>
      <c r="BA26" s="1"/>
      <c r="BB26" s="1"/>
      <c r="BC26" s="2"/>
      <c r="BD26" s="115">
        <v>45060</v>
      </c>
      <c r="BE26" s="115">
        <v>45162</v>
      </c>
      <c r="BF26" s="2"/>
      <c r="BG26" s="2"/>
      <c r="BH26" s="2"/>
      <c r="BI26" s="2"/>
      <c r="BJ26" s="2"/>
      <c r="BK26" s="2"/>
      <c r="BL26" s="20">
        <f ca="1">SUM(EB26)+220</f>
        <v>1097.4123749999999</v>
      </c>
      <c r="BM26" s="22">
        <f ca="1">PMT(10%/12,12,BL26,0,0)</f>
        <v>-96.479982605316991</v>
      </c>
      <c r="BN26" s="22">
        <f ca="1">SUM(BM26*-1)</f>
        <v>96.479982605316991</v>
      </c>
      <c r="BO26" s="14">
        <f>SUM(EJ26*0.0052)/12</f>
        <v>14.299999999999999</v>
      </c>
      <c r="BP26" s="22">
        <f ca="1">SUM(BN26+BO26)</f>
        <v>110.77998260531699</v>
      </c>
      <c r="BQ26" s="14"/>
      <c r="BR26" s="14">
        <f>SUM(BQ26*0.1)</f>
        <v>0</v>
      </c>
      <c r="BS26" s="14">
        <f ca="1">SUM(BT26*BU26)</f>
        <v>0</v>
      </c>
      <c r="BT26" s="17">
        <f>SUM((BQ26+BR26)*0.00833333333333333)</f>
        <v>0</v>
      </c>
      <c r="BU26" s="23">
        <f ca="1">MONTH(TODAY())+49</f>
        <v>53</v>
      </c>
      <c r="BV26" s="14">
        <f ca="1">SUM(BQ26,BR26,BS26)</f>
        <v>0</v>
      </c>
      <c r="BW26" s="14"/>
      <c r="BX26" s="14">
        <f>SUM(BW26*0.1)</f>
        <v>0</v>
      </c>
      <c r="BY26" s="14">
        <f ca="1">SUM(BZ26*CA26)</f>
        <v>0</v>
      </c>
      <c r="BZ26" s="17">
        <f>SUM((BW26+BX26)*0.00833333333333333)</f>
        <v>0</v>
      </c>
      <c r="CA26" s="23">
        <f ca="1">MONTH(TODAY())+37</f>
        <v>41</v>
      </c>
      <c r="CB26" s="14">
        <f ca="1">SUM(BW26,BX26,BY26)</f>
        <v>0</v>
      </c>
      <c r="CC26" s="14">
        <v>0</v>
      </c>
      <c r="CD26" s="14">
        <f>SUM(CC26*0.1)</f>
        <v>0</v>
      </c>
      <c r="CE26" s="14">
        <f ca="1">SUM(CF26*CG26)</f>
        <v>0</v>
      </c>
      <c r="CF26" s="17">
        <f>SUM((CC26+CD26)*0.00833333333333333)</f>
        <v>0</v>
      </c>
      <c r="CG26" s="23">
        <f ca="1">MONTH(TODAY())+25</f>
        <v>29</v>
      </c>
      <c r="CH26" s="14">
        <f ca="1">SUM(CC26,CD26,CE26)</f>
        <v>0</v>
      </c>
      <c r="CI26" s="14">
        <f>SUM(EG26*0.0052)</f>
        <v>166.4</v>
      </c>
      <c r="CJ26" s="14">
        <f>SUM(CI26*0.1)</f>
        <v>16.64</v>
      </c>
      <c r="CK26" s="14">
        <f ca="1">SUM(CL26*CM26)</f>
        <v>25.930666666666657</v>
      </c>
      <c r="CL26" s="17">
        <f>SUM((CI26+CJ26)*0.00833333333333333)</f>
        <v>1.5253333333333328</v>
      </c>
      <c r="CM26" s="23">
        <f ca="1">MONTH(TODAY())+13</f>
        <v>17</v>
      </c>
      <c r="CN26" s="14">
        <f ca="1">SUM(CI26,CJ26,CK26)</f>
        <v>208.97066666666669</v>
      </c>
      <c r="CO26" s="14">
        <f>SUM(EG26*0.0052)/2</f>
        <v>83.2</v>
      </c>
      <c r="CP26" s="14">
        <f>SUM(CO26*0.1)</f>
        <v>8.32</v>
      </c>
      <c r="CQ26" s="14">
        <f ca="1">SUM(CR26*CS26)</f>
        <v>6.8639999999999972</v>
      </c>
      <c r="CR26" s="17">
        <f>SUM((CO26+CP26)*0.00833333333333333)</f>
        <v>0.76266666666666638</v>
      </c>
      <c r="CS26" s="23">
        <f ca="1">MONTH(TODAY())+5</f>
        <v>9</v>
      </c>
      <c r="CT26" s="23">
        <f ca="1">SUM(CO26,CP26,CQ26)</f>
        <v>98.384000000000015</v>
      </c>
      <c r="CU26" s="14">
        <f>SUM(EG26*0.0052)/2</f>
        <v>83.2</v>
      </c>
      <c r="CV26" s="14">
        <f>SUM(CU26*0.1)</f>
        <v>8.32</v>
      </c>
      <c r="CW26" s="14">
        <f ca="1">SUM(CX26*CY26)</f>
        <v>3.8133333333333317</v>
      </c>
      <c r="CX26" s="17">
        <f>SUM((CU26+CV26)*0.00833333333333333)</f>
        <v>0.76266666666666638</v>
      </c>
      <c r="CY26" s="23">
        <f ca="1">MONTH(TODAY())+1</f>
        <v>5</v>
      </c>
      <c r="CZ26" s="23">
        <f ca="1">SUM(CU26,CV26,CW26)</f>
        <v>95.333333333333343</v>
      </c>
      <c r="DA26" s="14">
        <f>SUM(EJ26*0.0045)/2</f>
        <v>74.25</v>
      </c>
      <c r="DB26" s="14">
        <f>SUM(DA26*0.1)</f>
        <v>7.4250000000000007</v>
      </c>
      <c r="DC26" s="14">
        <f ca="1">SUM(DD26*DE26)</f>
        <v>-0.6806249999999997</v>
      </c>
      <c r="DD26" s="17">
        <f>SUM((DA26+DB26)*0.00833333333333333)</f>
        <v>0.6806249999999997</v>
      </c>
      <c r="DE26" s="23">
        <f ca="1">MONTH(TODAY())-5</f>
        <v>-1</v>
      </c>
      <c r="DF26" s="23">
        <f ca="1">SUM(DA26,DB26,DC26)</f>
        <v>80.994374999999991</v>
      </c>
      <c r="DG26" s="14">
        <f>SUM(EJ26*0.0045)/2</f>
        <v>74.25</v>
      </c>
      <c r="DH26" s="14">
        <v>0</v>
      </c>
      <c r="DI26" s="14">
        <v>0</v>
      </c>
      <c r="DJ26" s="17">
        <f>SUM((DG26+DH26)*0.00833333333333333)</f>
        <v>0.61874999999999969</v>
      </c>
      <c r="DK26" s="23">
        <f ca="1">MONTH(TODAY())+1</f>
        <v>5</v>
      </c>
      <c r="DL26" s="14">
        <f>SUM(DG26,DH26,DI26)</f>
        <v>74.25</v>
      </c>
      <c r="DM26" s="14">
        <f>SUM( BQ26, BW26, CC26, CI26, CO26,CU26,DA26,DG26)</f>
        <v>481.3</v>
      </c>
      <c r="DN26" s="14">
        <f>SUM(BR26,BX26,CD26,CJ26, CP26,CV26,DB26,DH26)</f>
        <v>40.704999999999998</v>
      </c>
      <c r="DO26" s="14">
        <f ca="1">SUM(BS26,BY26,CE26,CK26, CQ26,CW26,DC26,DI26)</f>
        <v>35.927374999999991</v>
      </c>
      <c r="DP26" s="25">
        <f ca="1">SUM(DM26:DO26)</f>
        <v>557.93237499999998</v>
      </c>
      <c r="DQ26" s="47">
        <f ca="1">SUM(DP26/EG26)</f>
        <v>1.7435386718749998E-2</v>
      </c>
      <c r="DR26" s="14">
        <f>20+20+100+20</f>
        <v>160</v>
      </c>
      <c r="DS26" s="32">
        <f>COUNTIF(DX26, "*")+COUNTIF(AO26, "*")+COUNTIF(AJ26, "*")+COUNTIF(AA26, "*")+COUNTIF(EY26, "*")+COUNTIF(FE26, "*")+COUNTIF(FK26, "*")+COUNTIF(FO26, "*")+COUNTIF(FV26, "*")+COUNTIF(AT26, "*")+COUNTIF(GE26, "*")+COUNTIF(GP26, "*")+COUNTIF(HA26, "*")+COUNTIF(HI26, "*")+COUNTIF(HQ26, "*")+COUNTIF(HY26, "*")</f>
        <v>2</v>
      </c>
      <c r="DT26" s="14">
        <f>1.2+DS26*7.45</f>
        <v>16.100000000000001</v>
      </c>
      <c r="DU26" s="4">
        <v>125</v>
      </c>
      <c r="DV26" s="4">
        <f>36.76/2</f>
        <v>18.38</v>
      </c>
      <c r="DW26" s="4"/>
      <c r="DX26" s="4"/>
      <c r="DZ26" s="4"/>
      <c r="EA26" s="14">
        <f>SUM(DV26:DZ26)</f>
        <v>18.38</v>
      </c>
      <c r="EB26" s="14">
        <f ca="1">SUM(DP26,DR26,EA26, DU26, DT26,GB26)</f>
        <v>877.412375</v>
      </c>
      <c r="EC26" s="24" t="s">
        <v>3879</v>
      </c>
      <c r="ED26" s="7">
        <v>5</v>
      </c>
      <c r="EE26" s="4">
        <v>32000</v>
      </c>
      <c r="EF26" s="4">
        <v>0</v>
      </c>
      <c r="EG26" s="4">
        <f>SUM(EE26+EF26)</f>
        <v>32000</v>
      </c>
      <c r="EH26" s="4">
        <v>33000</v>
      </c>
      <c r="EI26" s="4">
        <v>0</v>
      </c>
      <c r="EJ26" s="4">
        <f>SUM(EH26+EI26)</f>
        <v>33000</v>
      </c>
      <c r="GB26" s="4"/>
      <c r="IE26" s="9"/>
      <c r="IP26" s="14">
        <f ca="1">SUM(IF26-EB26-GB26-IN26)</f>
        <v>-877.412375</v>
      </c>
      <c r="IQ26" s="9"/>
      <c r="IR26" s="9"/>
      <c r="IS26" s="9"/>
      <c r="IT26" s="9"/>
      <c r="IU26" s="9"/>
    </row>
    <row r="27" spans="1:263" ht="15" customHeight="1">
      <c r="A27" s="2">
        <v>102017012</v>
      </c>
      <c r="B27" t="s">
        <v>792</v>
      </c>
      <c r="E27" t="s">
        <v>793</v>
      </c>
      <c r="F27">
        <v>180002380</v>
      </c>
      <c r="J27" t="s">
        <v>305</v>
      </c>
      <c r="K27" t="s">
        <v>545</v>
      </c>
      <c r="L27" t="s">
        <v>420</v>
      </c>
      <c r="O27" s="1"/>
      <c r="P27" t="s">
        <v>545</v>
      </c>
      <c r="Q27" t="s">
        <v>502</v>
      </c>
      <c r="T27" s="1"/>
      <c r="AE27" s="1"/>
      <c r="AJ27" s="4"/>
      <c r="AK27" s="4"/>
      <c r="AL27" s="4"/>
      <c r="AO27" s="4"/>
      <c r="AP27" s="5"/>
      <c r="AQ27" s="34"/>
      <c r="AR27" s="34"/>
      <c r="AS27" s="5"/>
      <c r="AT27" s="5"/>
      <c r="AU27" s="1"/>
      <c r="AV27" s="1"/>
      <c r="AW27" s="1"/>
      <c r="AX27" s="15"/>
      <c r="AY27" s="15"/>
      <c r="AZ27" s="15"/>
      <c r="BA27" s="15"/>
      <c r="BB27" s="1"/>
      <c r="BC27" s="15"/>
      <c r="BD27" s="15"/>
      <c r="BE27" s="15"/>
      <c r="BF27" s="15"/>
      <c r="BG27" s="5"/>
      <c r="BH27" s="16"/>
      <c r="BI27" s="16"/>
      <c r="BK27" s="4"/>
      <c r="BL27" s="4"/>
      <c r="BM27" s="6"/>
      <c r="BN27" s="7"/>
      <c r="BO27" s="4"/>
      <c r="BQ27" s="4"/>
      <c r="BR27" s="4"/>
      <c r="BS27" s="6"/>
      <c r="BT27" s="7"/>
      <c r="BU27" s="4"/>
      <c r="BV27" s="4"/>
      <c r="BW27" s="4"/>
      <c r="BX27" s="4"/>
      <c r="BY27" s="6"/>
      <c r="BZ27" s="7"/>
      <c r="CA27" s="4"/>
      <c r="CC27" s="4"/>
      <c r="CD27" s="4"/>
      <c r="CE27" s="6"/>
      <c r="CF27" s="7"/>
      <c r="CG27" s="4"/>
      <c r="CH27" s="4"/>
      <c r="CI27" s="4"/>
      <c r="CJ27" s="4"/>
      <c r="CK27" s="6"/>
      <c r="CL27" s="7"/>
      <c r="CM27" s="4"/>
      <c r="CN27" s="4"/>
      <c r="CO27" s="4"/>
      <c r="CP27" s="4"/>
      <c r="CQ27" s="6"/>
      <c r="CR27" s="7"/>
      <c r="CS27" s="4"/>
      <c r="CT27" s="4"/>
      <c r="CU27" s="4"/>
      <c r="CV27" s="4"/>
      <c r="CW27" s="6"/>
      <c r="CX27" s="7"/>
      <c r="CY27" s="4"/>
      <c r="CZ27" s="4"/>
      <c r="DA27" s="4"/>
      <c r="DB27" s="4"/>
      <c r="DC27" s="6"/>
      <c r="DD27" s="7"/>
      <c r="DE27" s="4"/>
      <c r="DF27" s="4"/>
      <c r="DG27" s="4"/>
      <c r="DH27" s="4"/>
      <c r="DI27" s="6"/>
      <c r="DJ27" s="7"/>
      <c r="DK27" s="4"/>
      <c r="DL27" s="4"/>
      <c r="DM27" s="4"/>
      <c r="DN27" s="4"/>
      <c r="DO27" s="4"/>
      <c r="DP27" s="4"/>
      <c r="DQ27" s="3"/>
      <c r="DR27" s="4"/>
      <c r="DS27" s="4"/>
      <c r="DT27" s="4"/>
      <c r="DU27" s="4"/>
      <c r="DV27" s="4"/>
      <c r="DW27" s="4"/>
      <c r="DX27" s="4"/>
      <c r="DY27" s="4"/>
      <c r="DZ27" s="4"/>
      <c r="EA27" s="4"/>
      <c r="EB27" s="4"/>
      <c r="EC27" s="4"/>
      <c r="ED27" s="4"/>
      <c r="FL27" s="9"/>
      <c r="FM27" s="10"/>
      <c r="FT27" s="10"/>
      <c r="FU27" s="9"/>
      <c r="GG27" s="9"/>
      <c r="IK27" s="9"/>
    </row>
    <row r="28" spans="1:263" ht="15" customHeight="1">
      <c r="A28" s="2">
        <v>102018057</v>
      </c>
      <c r="B28" s="4" t="s">
        <v>1201</v>
      </c>
      <c r="C28" s="4"/>
      <c r="D28" s="4"/>
      <c r="E28" s="4"/>
      <c r="F28" s="3"/>
      <c r="G28" s="3"/>
      <c r="H28" s="3"/>
      <c r="J28" t="s">
        <v>434</v>
      </c>
      <c r="K28" t="s">
        <v>435</v>
      </c>
      <c r="L28" t="s">
        <v>1202</v>
      </c>
      <c r="O28" s="1"/>
      <c r="P28" t="s">
        <v>453</v>
      </c>
      <c r="Q28" t="s">
        <v>1203</v>
      </c>
      <c r="R28" t="s">
        <v>357</v>
      </c>
      <c r="T28" s="1"/>
      <c r="AJ28" s="4"/>
      <c r="AK28" s="4"/>
      <c r="AM28" s="34"/>
      <c r="AN28" s="34"/>
      <c r="AO28" s="4"/>
      <c r="AP28" s="5"/>
      <c r="AQ28" s="34"/>
      <c r="AS28" s="5"/>
      <c r="AT28" s="5"/>
      <c r="AU28" s="1"/>
      <c r="AV28" s="1"/>
      <c r="AW28" s="1"/>
      <c r="AX28" s="1"/>
      <c r="AY28" s="1"/>
      <c r="AZ28" s="1"/>
      <c r="BA28" s="1"/>
      <c r="BB28" s="1"/>
      <c r="BC28" s="1"/>
      <c r="BD28" s="1"/>
      <c r="BE28" s="5"/>
      <c r="BF28" s="16"/>
      <c r="BG28" s="16"/>
      <c r="BI28" s="4"/>
      <c r="BJ28" s="4"/>
      <c r="BK28" s="6"/>
      <c r="BL28" s="7"/>
      <c r="BM28" s="4"/>
      <c r="BO28" s="4"/>
      <c r="BP28" s="4"/>
      <c r="BQ28" s="6"/>
      <c r="BR28" s="7"/>
      <c r="BS28" s="4"/>
      <c r="BU28" s="4"/>
      <c r="BV28" s="4"/>
      <c r="BW28" s="6"/>
      <c r="BX28" s="7"/>
      <c r="BY28" s="4"/>
      <c r="BZ28" s="4"/>
      <c r="CA28" s="4"/>
      <c r="CB28" s="4"/>
      <c r="CC28" s="6"/>
      <c r="CD28" s="7"/>
      <c r="CE28" s="4"/>
      <c r="CF28" s="6"/>
      <c r="CG28" s="4"/>
      <c r="CH28" s="4"/>
      <c r="CI28" s="6"/>
      <c r="CJ28" s="7"/>
      <c r="CK28" s="4"/>
      <c r="CL28" s="4"/>
      <c r="CM28" s="4"/>
      <c r="CN28" s="4"/>
      <c r="CO28" s="6"/>
      <c r="CP28" s="7"/>
      <c r="CQ28" s="4"/>
      <c r="CR28" s="4"/>
      <c r="CS28" s="4"/>
      <c r="CT28" s="4"/>
      <c r="CU28" s="6"/>
      <c r="CV28" s="7"/>
      <c r="CW28" s="4"/>
      <c r="CX28" s="4"/>
      <c r="CY28" s="4"/>
      <c r="CZ28" s="4"/>
      <c r="DA28" s="6"/>
      <c r="DB28" s="7"/>
      <c r="DC28" s="4"/>
      <c r="DD28" s="4"/>
      <c r="DE28" s="4"/>
      <c r="DF28" s="4"/>
      <c r="DG28" s="6"/>
      <c r="DH28" s="7"/>
      <c r="DI28" s="4"/>
      <c r="DJ28" s="4"/>
      <c r="DK28" s="4"/>
      <c r="DL28" s="4"/>
      <c r="DM28" s="4"/>
      <c r="DO28" s="4"/>
      <c r="DQ28" s="4"/>
      <c r="DR28" s="4"/>
      <c r="DS28" s="4"/>
      <c r="DT28" s="4"/>
      <c r="DU28" s="4"/>
      <c r="DV28" s="4"/>
      <c r="DW28" s="4"/>
      <c r="DX28" s="4"/>
      <c r="DY28" s="4"/>
      <c r="DZ28" s="4"/>
      <c r="EA28" s="4"/>
      <c r="EB28" s="7"/>
      <c r="EC28" s="4"/>
      <c r="ED28" s="4"/>
      <c r="EE28" s="3"/>
      <c r="EF28" s="11"/>
      <c r="EG28" s="11"/>
      <c r="EP28" s="11"/>
      <c r="EV28" s="11"/>
      <c r="EW28" s="4"/>
      <c r="EX28" s="4"/>
      <c r="EY28" s="4"/>
      <c r="EZ28" s="4"/>
      <c r="FA28" s="4"/>
      <c r="FB28" s="4"/>
      <c r="FC28" s="4"/>
      <c r="FD28" s="4"/>
      <c r="FE28" s="4"/>
      <c r="FF28" s="4"/>
      <c r="FG28" s="4"/>
      <c r="FH28" s="4"/>
      <c r="FI28" s="4"/>
      <c r="FJ28" s="4"/>
      <c r="FN28" s="9"/>
      <c r="GF28" s="10"/>
      <c r="GP28" s="10"/>
      <c r="HE28" s="9"/>
    </row>
    <row r="29" spans="1:263" ht="15" customHeight="1">
      <c r="A29" s="19">
        <v>102022067</v>
      </c>
      <c r="B29" t="s">
        <v>2812</v>
      </c>
      <c r="C29" t="s">
        <v>258</v>
      </c>
      <c r="D29" s="1"/>
      <c r="E29" s="3"/>
      <c r="G29" s="3">
        <v>230003519</v>
      </c>
      <c r="J29" t="s">
        <v>253</v>
      </c>
      <c r="K29" t="s">
        <v>3052</v>
      </c>
      <c r="L29" t="s">
        <v>3053</v>
      </c>
      <c r="M29" t="s">
        <v>403</v>
      </c>
      <c r="O29" s="3"/>
      <c r="AG29" s="43"/>
      <c r="AM29"/>
      <c r="AN29"/>
      <c r="AO29" t="s">
        <v>3054</v>
      </c>
      <c r="AP29" s="3" t="s">
        <v>258</v>
      </c>
      <c r="AQ29" t="s">
        <v>438</v>
      </c>
      <c r="AR29" t="s">
        <v>260</v>
      </c>
      <c r="AS29" s="18" t="s">
        <v>473</v>
      </c>
      <c r="AT29" s="18" t="s">
        <v>474</v>
      </c>
      <c r="AU29" s="18" t="s">
        <v>475</v>
      </c>
      <c r="AV29" s="18" t="s">
        <v>438</v>
      </c>
      <c r="AW29" s="18" t="s">
        <v>260</v>
      </c>
      <c r="AX29" s="1"/>
      <c r="AY29" s="1"/>
      <c r="AZ29" s="1"/>
      <c r="BA29" s="1"/>
      <c r="BB29" s="1"/>
      <c r="BC29" s="2"/>
      <c r="BD29" s="115">
        <v>45060</v>
      </c>
      <c r="BE29" s="115">
        <v>45056</v>
      </c>
      <c r="BF29" s="2"/>
      <c r="BG29" s="2"/>
      <c r="BH29" s="2"/>
      <c r="BI29" s="2"/>
      <c r="BJ29" s="2"/>
      <c r="BK29" s="2"/>
      <c r="BL29" s="20">
        <f ca="1">SUM(EB29)+220</f>
        <v>1477.5255416666664</v>
      </c>
      <c r="BM29" s="22">
        <f ca="1">PMT(10%/12,12,BL29,0,0)</f>
        <v>-129.89796890062547</v>
      </c>
      <c r="BN29" s="22">
        <f ca="1">SUM(BM29*-1)</f>
        <v>129.89796890062547</v>
      </c>
      <c r="BO29" s="14">
        <f>SUM(EJ29*0.0052)/12</f>
        <v>9.2299999999999986</v>
      </c>
      <c r="BP29" s="22">
        <f ca="1">SUM(BN29+BO29)</f>
        <v>139.12796890062546</v>
      </c>
      <c r="BQ29" s="14"/>
      <c r="BR29" s="14">
        <f>SUM(BQ29*0.1)</f>
        <v>0</v>
      </c>
      <c r="BS29" s="14">
        <f ca="1">SUM(BT29*BU29)</f>
        <v>0</v>
      </c>
      <c r="BT29" s="17">
        <f>SUM((BQ29+BR29)*0.00833333333333333)</f>
        <v>0</v>
      </c>
      <c r="BU29" s="23">
        <f ca="1">MONTH(TODAY())+61</f>
        <v>65</v>
      </c>
      <c r="BV29" s="14">
        <f ca="1">SUM(BQ29,BR29,BS29)</f>
        <v>0</v>
      </c>
      <c r="BW29" s="14"/>
      <c r="BX29" s="14">
        <f>SUM(BW29*0.1)</f>
        <v>0</v>
      </c>
      <c r="BY29" s="14">
        <f ca="1">SUM(BZ29*CA29)</f>
        <v>0</v>
      </c>
      <c r="BZ29" s="17">
        <f>SUM((BW29+BX29)*0.00833333333333333)</f>
        <v>0</v>
      </c>
      <c r="CA29" s="23">
        <f ca="1">MONTH(TODAY())+49</f>
        <v>53</v>
      </c>
      <c r="CB29" s="14">
        <f ca="1">SUM(BW29,BX29,BY29)</f>
        <v>0</v>
      </c>
      <c r="CC29" s="14">
        <v>30.82</v>
      </c>
      <c r="CD29" s="14">
        <f>SUM(CC29*0.1)</f>
        <v>3.0820000000000003</v>
      </c>
      <c r="CE29" s="14">
        <f ca="1">SUM(CF29*CG29)</f>
        <v>11.583183333333327</v>
      </c>
      <c r="CF29" s="17">
        <f>SUM((CC29+CD29)*0.00833333333333333)</f>
        <v>0.28251666666666653</v>
      </c>
      <c r="CG29" s="23">
        <f ca="1">MONTH(TODAY())+37</f>
        <v>41</v>
      </c>
      <c r="CH29" s="14">
        <f ca="1">SUM(CC29,CD29,CE29)</f>
        <v>45.485183333333325</v>
      </c>
      <c r="CI29" s="14">
        <f>SUM(EG29*0.0052)</f>
        <v>108.16</v>
      </c>
      <c r="CJ29" s="14">
        <f>SUM(CI29*0.1)</f>
        <v>10.816000000000001</v>
      </c>
      <c r="CK29" s="14">
        <f ca="1">SUM(CL29*CM29)</f>
        <v>28.752533333333322</v>
      </c>
      <c r="CL29" s="17">
        <f>SUM((CI29+CJ29)*0.00833333333333333)</f>
        <v>0.99146666666666627</v>
      </c>
      <c r="CM29" s="23">
        <f ca="1">MONTH(TODAY())+25</f>
        <v>29</v>
      </c>
      <c r="CN29" s="14">
        <f ca="1">SUM(CI29,CJ29,CK29)</f>
        <v>147.72853333333333</v>
      </c>
      <c r="CO29" s="14">
        <f>SUM(EG29*0.0052)/2</f>
        <v>54.08</v>
      </c>
      <c r="CP29" s="14">
        <f>SUM(CO29*0.1)</f>
        <v>5.4080000000000004</v>
      </c>
      <c r="CQ29" s="14">
        <f ca="1">SUM(CR29*CS29)</f>
        <v>10.410399999999996</v>
      </c>
      <c r="CR29" s="17">
        <f>SUM((CO29+CP29)*0.00833333333333333)</f>
        <v>0.49573333333333314</v>
      </c>
      <c r="CS29" s="23">
        <f ca="1">MONTH(TODAY())+17</f>
        <v>21</v>
      </c>
      <c r="CT29" s="23">
        <f ca="1">SUM(CO29,CP29,CQ29)</f>
        <v>69.898399999999995</v>
      </c>
      <c r="CU29" s="14">
        <f>SUM(EG29*0.0052)/2</f>
        <v>54.08</v>
      </c>
      <c r="CV29" s="14">
        <f>SUM(CU29*0.1)</f>
        <v>5.4080000000000004</v>
      </c>
      <c r="CW29" s="14">
        <f ca="1">SUM(CX29*CY29)</f>
        <v>8.427466666666664</v>
      </c>
      <c r="CX29" s="17">
        <f>SUM((CU29+CV29)*0.00833333333333333)</f>
        <v>0.49573333333333314</v>
      </c>
      <c r="CY29" s="23">
        <f ca="1">MONTH(TODAY())+13</f>
        <v>17</v>
      </c>
      <c r="CZ29" s="23">
        <f ca="1">SUM(CU29,CV29,CW29)</f>
        <v>67.91546666666666</v>
      </c>
      <c r="DA29" s="14">
        <f>SUM(EJ29*0.0045)/2</f>
        <v>47.924999999999997</v>
      </c>
      <c r="DB29" s="14">
        <f>SUM(DA29*0.1)</f>
        <v>4.7924999999999995</v>
      </c>
      <c r="DC29" s="14">
        <f ca="1">SUM(DD29*DE29)</f>
        <v>4.8324374999999975</v>
      </c>
      <c r="DD29" s="17">
        <f>SUM((DA29+DB29)*0.00833333333333333)</f>
        <v>0.43931249999999977</v>
      </c>
      <c r="DE29" s="23">
        <f ca="1">MONTH(TODAY())+7</f>
        <v>11</v>
      </c>
      <c r="DF29" s="23">
        <f ca="1">SUM(DA29,DB29,DC29)</f>
        <v>57.549937499999992</v>
      </c>
      <c r="DG29" s="14">
        <f>SUM(EJ29*0.0045)/2-9.23</f>
        <v>38.694999999999993</v>
      </c>
      <c r="DH29" s="14">
        <f>SUM(DG29*0.1)</f>
        <v>3.8694999999999995</v>
      </c>
      <c r="DI29" s="14">
        <f ca="1">SUM(DJ29*DK29)</f>
        <v>1.7735208333333325</v>
      </c>
      <c r="DJ29" s="17">
        <f>SUM((DG29+DH29)*0.00833333333333333)</f>
        <v>0.35470416666666649</v>
      </c>
      <c r="DK29" s="23">
        <f ca="1">MONTH(TODAY())+1</f>
        <v>5</v>
      </c>
      <c r="DL29" s="14">
        <f ca="1">SUM(DG29,DH29,DI29)</f>
        <v>44.338020833333331</v>
      </c>
      <c r="DM29" s="14">
        <f>SUM( BQ29, BW29, CC29, CI29, CO29,CU29,DA29,DG29)</f>
        <v>333.76</v>
      </c>
      <c r="DN29" s="14">
        <f>SUM(BR29,BX29,CD29,CJ29, CP29,CV29,DB29,DH29)</f>
        <v>33.376000000000005</v>
      </c>
      <c r="DO29" s="14">
        <f ca="1">SUM(BS29,BY29,CE29,CK29, CQ29,CW29,DC29,DI29)</f>
        <v>65.779541666666645</v>
      </c>
      <c r="DP29" s="25">
        <f ca="1">SUM(DM29:DO29)</f>
        <v>432.91554166666663</v>
      </c>
      <c r="DQ29" s="47">
        <f ca="1">SUM(DP29/EG29)</f>
        <v>2.0813247195512818E-2</v>
      </c>
      <c r="DR29" s="14">
        <f>20+200+60+160+60</f>
        <v>500</v>
      </c>
      <c r="DS29" s="32">
        <f>COUNTIF(DX29, "*")+COUNTIF(AO29, "*")+COUNTIF(AJ29, "*")+COUNTIF(AA29, "*")+COUNTIF(EU29, "*")+COUNTIF(FA29, "*")+COUNTIF(FG29, "*")+COUNTIF(FK29, "*")+COUNTIF(FR29, "*")+COUNTIF(AT29, "*")+COUNTIF(GA29, "*")+COUNTIF(GL29, "*")+COUNTIF(GW29, "*")+COUNTIF(HE29, "*")+COUNTIF(HM29, "*")+COUNTIF(HU29, "*")</f>
        <v>4</v>
      </c>
      <c r="DT29" s="14">
        <f>0.6+DS29*7.45+7.45</f>
        <v>37.85</v>
      </c>
      <c r="DU29" s="4">
        <v>250</v>
      </c>
      <c r="DV29" s="4">
        <v>36.76</v>
      </c>
      <c r="DW29" s="4"/>
      <c r="DX29" s="4"/>
      <c r="DZ29" s="4"/>
      <c r="EA29" s="14">
        <f>SUM(DV29:DZ29)</f>
        <v>36.76</v>
      </c>
      <c r="EB29" s="14">
        <f ca="1">SUM(DP29,DR29,EA29, DU29, DT29,FX29)</f>
        <v>1257.5255416666664</v>
      </c>
      <c r="EC29" s="24" t="s">
        <v>2773</v>
      </c>
      <c r="ED29" s="7">
        <f>0.09+0.09+0.09+0.13+0.13</f>
        <v>0.53</v>
      </c>
      <c r="EE29" s="4">
        <f>500+500+11800+500+500</f>
        <v>13800</v>
      </c>
      <c r="EF29" s="4">
        <v>7000</v>
      </c>
      <c r="EG29" s="14">
        <f>SUM(EE29+EF29)</f>
        <v>20800</v>
      </c>
      <c r="EH29" s="14">
        <f>500+500+11700+500+500</f>
        <v>13700</v>
      </c>
      <c r="EI29" s="14">
        <v>7600</v>
      </c>
      <c r="EJ29" s="14">
        <f>SUM(EH29+EI29)</f>
        <v>21300</v>
      </c>
      <c r="EK29" t="s">
        <v>4814</v>
      </c>
      <c r="EL29" t="s">
        <v>4815</v>
      </c>
      <c r="EM29" t="s">
        <v>4816</v>
      </c>
      <c r="FJ29" t="s">
        <v>3575</v>
      </c>
      <c r="FK29" t="s">
        <v>936</v>
      </c>
      <c r="FM29" t="s">
        <v>386</v>
      </c>
      <c r="FN29" t="s">
        <v>260</v>
      </c>
      <c r="FO29" s="9">
        <v>43700</v>
      </c>
      <c r="FP29" t="s">
        <v>4817</v>
      </c>
      <c r="FQ29" t="s">
        <v>2396</v>
      </c>
      <c r="FR29" t="s">
        <v>936</v>
      </c>
      <c r="FT29" t="s">
        <v>386</v>
      </c>
      <c r="FU29" t="s">
        <v>260</v>
      </c>
      <c r="FV29" s="9">
        <v>43700</v>
      </c>
      <c r="FW29" t="s">
        <v>4817</v>
      </c>
      <c r="FX29" s="4"/>
      <c r="IA29" s="9"/>
      <c r="IL29" s="14">
        <f ca="1">SUM(IB29-EB29-FX29-IJ29)</f>
        <v>-1257.5255416666664</v>
      </c>
      <c r="IM29" s="14"/>
      <c r="IN29" s="14"/>
      <c r="IO29" s="9"/>
      <c r="IP29" s="9"/>
      <c r="IQ29" s="9"/>
      <c r="IR29" s="9"/>
      <c r="IS29" s="9"/>
    </row>
    <row r="30" spans="1:263" ht="15" customHeight="1">
      <c r="A30" s="19">
        <v>102023149</v>
      </c>
      <c r="B30" s="4" t="s">
        <v>4861</v>
      </c>
      <c r="C30" s="4"/>
      <c r="G30" s="3"/>
      <c r="J30" t="s">
        <v>434</v>
      </c>
      <c r="K30" t="s">
        <v>2586</v>
      </c>
      <c r="L30" t="s">
        <v>4858</v>
      </c>
      <c r="M30" t="s">
        <v>396</v>
      </c>
      <c r="O30" s="1"/>
      <c r="P30" t="s">
        <v>4956</v>
      </c>
      <c r="Q30" t="s">
        <v>4859</v>
      </c>
      <c r="R30" t="s">
        <v>256</v>
      </c>
      <c r="T30" s="1"/>
      <c r="U30" t="s">
        <v>4957</v>
      </c>
      <c r="V30" t="s">
        <v>4860</v>
      </c>
      <c r="W30" t="s">
        <v>396</v>
      </c>
      <c r="AG30" s="43"/>
      <c r="AJ30" s="18" t="s">
        <v>328</v>
      </c>
      <c r="AL30" s="18" t="s">
        <v>438</v>
      </c>
      <c r="AM30"/>
      <c r="AN30"/>
      <c r="AO30" s="4" t="s">
        <v>4863</v>
      </c>
      <c r="AP30" s="5" t="s">
        <v>258</v>
      </c>
      <c r="AQ30" t="s">
        <v>4864</v>
      </c>
      <c r="AR30" s="3" t="s">
        <v>4865</v>
      </c>
      <c r="AX30" s="1"/>
      <c r="AY30" s="1"/>
      <c r="AZ30" s="1"/>
      <c r="BA30" s="1"/>
      <c r="BB30" s="1"/>
      <c r="BC30" s="2"/>
      <c r="BD30" s="115">
        <v>45060</v>
      </c>
      <c r="BE30" s="115">
        <v>45162</v>
      </c>
      <c r="BF30" s="2"/>
      <c r="BG30" s="2"/>
      <c r="BH30" s="2"/>
      <c r="BI30" s="2"/>
      <c r="BJ30" s="2"/>
      <c r="BK30" s="2"/>
      <c r="BL30" s="20">
        <f ca="1">SUM(EB30)+220</f>
        <v>628.05095000000006</v>
      </c>
      <c r="BM30" s="22">
        <f ca="1">PMT(10%/12,12,BL30,0,0)</f>
        <v>-55.215656494900401</v>
      </c>
      <c r="BN30" s="22">
        <f ca="1">SUM(BM30*-1)</f>
        <v>55.215656494900401</v>
      </c>
      <c r="BO30" s="14">
        <f>SUM(EJ30*0.0052)/12</f>
        <v>4.333333333333333</v>
      </c>
      <c r="BP30" s="22">
        <f ca="1">SUM(BN30+BO30)</f>
        <v>59.548989828233736</v>
      </c>
      <c r="BQ30" s="14"/>
      <c r="BR30" s="14">
        <f>SUM(BQ30*0.1)</f>
        <v>0</v>
      </c>
      <c r="BS30" s="14">
        <f ca="1">SUM(BT30*BU30)</f>
        <v>0</v>
      </c>
      <c r="BT30" s="17">
        <f>SUM((BQ30+BR30)*0.00833333333333333)</f>
        <v>0</v>
      </c>
      <c r="BU30" s="23">
        <f ca="1">MONTH(TODAY())+49</f>
        <v>53</v>
      </c>
      <c r="BV30" s="14">
        <f ca="1">SUM(BQ30,BR30,BS30)</f>
        <v>0</v>
      </c>
      <c r="BW30" s="14"/>
      <c r="BX30" s="14">
        <f>SUM(BW30*0.1)</f>
        <v>0</v>
      </c>
      <c r="BY30" s="14">
        <f ca="1">SUM(BZ30*CA30)</f>
        <v>0</v>
      </c>
      <c r="BZ30" s="17">
        <f>SUM((BW30+BX30)*0.00833333333333333)</f>
        <v>0</v>
      </c>
      <c r="CA30" s="23">
        <f ca="1">MONTH(TODAY())+37</f>
        <v>41</v>
      </c>
      <c r="CB30" s="14">
        <f ca="1">SUM(BW30,BX30,BY30)</f>
        <v>0</v>
      </c>
      <c r="CC30" s="14">
        <v>0</v>
      </c>
      <c r="CD30" s="14">
        <f>SUM(CC30*0.1)</f>
        <v>0</v>
      </c>
      <c r="CE30" s="14">
        <f ca="1">SUM(CF30*CG30)</f>
        <v>0</v>
      </c>
      <c r="CF30" s="17">
        <f>SUM((CC30+CD30)*0.00833333333333333)</f>
        <v>0</v>
      </c>
      <c r="CG30" s="23">
        <f ca="1">MONTH(TODAY())+25</f>
        <v>29</v>
      </c>
      <c r="CH30" s="14">
        <f ca="1">SUM(CC30,CD30,CE30)</f>
        <v>0</v>
      </c>
      <c r="CI30" s="14">
        <f>SUM(EG30*0.0052)</f>
        <v>17.16</v>
      </c>
      <c r="CJ30" s="14">
        <f>SUM(CI30*0.1)</f>
        <v>1.7160000000000002</v>
      </c>
      <c r="CK30" s="14">
        <f ca="1">SUM(CL30*CM30)</f>
        <v>2.6740999999999988</v>
      </c>
      <c r="CL30" s="17">
        <f>SUM((CI30+CJ30)*0.00833333333333333)</f>
        <v>0.15729999999999994</v>
      </c>
      <c r="CM30" s="23">
        <f ca="1">MONTH(TODAY())+13</f>
        <v>17</v>
      </c>
      <c r="CN30" s="14">
        <f ca="1">SUM(CI30,CJ30,CK30)</f>
        <v>21.5501</v>
      </c>
      <c r="CO30" s="14">
        <f>SUM(EG30*0.0052)/2</f>
        <v>8.58</v>
      </c>
      <c r="CP30" s="14">
        <f>SUM(CO30*0.1)</f>
        <v>0.8580000000000001</v>
      </c>
      <c r="CQ30" s="14">
        <f ca="1">SUM(CR30*CS30)</f>
        <v>0.70784999999999976</v>
      </c>
      <c r="CR30" s="17">
        <f>SUM((CO30+CP30)*0.00833333333333333)</f>
        <v>7.864999999999997E-2</v>
      </c>
      <c r="CS30" s="23">
        <f ca="1">MONTH(TODAY())+5</f>
        <v>9</v>
      </c>
      <c r="CT30" s="23">
        <f ca="1">SUM(CO30,CP30,CQ30)</f>
        <v>10.145850000000001</v>
      </c>
      <c r="CU30" s="14">
        <f>SUM(EG30*0.0052)/2</f>
        <v>8.58</v>
      </c>
      <c r="CV30" s="14">
        <f>SUM(CU30*0.1)</f>
        <v>0.8580000000000001</v>
      </c>
      <c r="CW30" s="14">
        <f ca="1">SUM(CX30*CY30)</f>
        <v>0.39324999999999988</v>
      </c>
      <c r="CX30" s="17">
        <f>SUM((CU30+CV30)*0.00833333333333333)</f>
        <v>7.864999999999997E-2</v>
      </c>
      <c r="CY30" s="23">
        <f ca="1">MONTH(TODAY())+1</f>
        <v>5</v>
      </c>
      <c r="CZ30" s="23">
        <f ca="1">SUM(CU30,CV30,CW30)</f>
        <v>9.8312500000000007</v>
      </c>
      <c r="DA30" s="14">
        <f>SUM(EJ30*0.0045)/2</f>
        <v>22.5</v>
      </c>
      <c r="DB30" s="14">
        <f>SUM(DA30*0.1)</f>
        <v>2.25</v>
      </c>
      <c r="DC30" s="14">
        <f ca="1">SUM(DD30*DE30)</f>
        <v>-0.20624999999999991</v>
      </c>
      <c r="DD30" s="17">
        <f>SUM((DA30+DB30)*0.00833333333333333)</f>
        <v>0.20624999999999991</v>
      </c>
      <c r="DE30" s="23">
        <f ca="1">MONTH(TODAY())-5</f>
        <v>-1</v>
      </c>
      <c r="DF30" s="23">
        <f ca="1">SUM(DA30,DB30,DC30)</f>
        <v>24.543749999999999</v>
      </c>
      <c r="DG30" s="14">
        <f>SUM(EJ30*0.0045)/2</f>
        <v>22.5</v>
      </c>
      <c r="DH30" s="14">
        <v>0</v>
      </c>
      <c r="DI30" s="14">
        <v>0</v>
      </c>
      <c r="DJ30" s="17">
        <f>SUM((DG30+DH30)*0.00833333333333333)</f>
        <v>0.18749999999999992</v>
      </c>
      <c r="DK30" s="23">
        <f ca="1">MONTH(TODAY())+1</f>
        <v>5</v>
      </c>
      <c r="DL30" s="14">
        <f>SUM(DG30,DH30,DI30)</f>
        <v>22.5</v>
      </c>
      <c r="DM30" s="14">
        <f>SUM( BQ30, BW30, CC30, CI30, CO30,CU30,DA30,DG30)</f>
        <v>79.319999999999993</v>
      </c>
      <c r="DN30" s="14">
        <f>SUM(BR30,BX30,CD30,CJ30, CP30,CV30,DB30,DH30)</f>
        <v>5.6820000000000004</v>
      </c>
      <c r="DO30" s="14">
        <f ca="1">SUM(BS30,BY30,CE30,CK30, CQ30,CW30,DC30,DI30)</f>
        <v>3.5689499999999983</v>
      </c>
      <c r="DP30" s="25">
        <f ca="1">SUM(DM30:DO30)</f>
        <v>88.570949999999996</v>
      </c>
      <c r="DQ30" s="47">
        <f ca="1">SUM(DP30/EG30)</f>
        <v>2.6839681818181818E-2</v>
      </c>
      <c r="DR30" s="14">
        <f>20+20+100+20</f>
        <v>160</v>
      </c>
      <c r="DS30" s="32">
        <f>COUNTIF(DX30, "*")+COUNTIF(AO30, "*")+COUNTIF(AJ30, "*")+COUNTIF(AA30, "*")+COUNTIF(EY30, "*")+COUNTIF(FE30, "*")+COUNTIF(FK30, "*")+COUNTIF(FO30, "*")+COUNTIF(FV30, "*")+COUNTIF(AT30, "*")+COUNTIF(GE30, "*")+COUNTIF(GP30, "*")+COUNTIF(HA30, "*")+COUNTIF(HI30, "*")+COUNTIF(HQ30, "*")+COUNTIF(HY30, "*")</f>
        <v>2</v>
      </c>
      <c r="DT30" s="14">
        <f>1.2+DS30*7.45</f>
        <v>16.100000000000001</v>
      </c>
      <c r="DU30" s="4">
        <v>125</v>
      </c>
      <c r="DV30" s="4">
        <f>36.76/2</f>
        <v>18.38</v>
      </c>
      <c r="DW30" s="4"/>
      <c r="DX30" s="4"/>
      <c r="DZ30" s="4"/>
      <c r="EA30" s="14">
        <f>SUM(DV30:DZ30)</f>
        <v>18.38</v>
      </c>
      <c r="EB30" s="14">
        <f ca="1">SUM(DP30,DR30,EA30, DU30, DT30,GB30)</f>
        <v>408.05095</v>
      </c>
      <c r="EC30" s="24" t="s">
        <v>3879</v>
      </c>
      <c r="ED30" s="7">
        <v>0.47</v>
      </c>
      <c r="EE30" s="4">
        <v>3300</v>
      </c>
      <c r="EF30" s="4">
        <v>0</v>
      </c>
      <c r="EG30" s="4">
        <f>SUM(EE30+EF30)</f>
        <v>3300</v>
      </c>
      <c r="EH30" s="4">
        <v>10000</v>
      </c>
      <c r="EI30" s="4">
        <v>0</v>
      </c>
      <c r="EJ30" s="4">
        <f>SUM(EH30+EI30)</f>
        <v>10000</v>
      </c>
      <c r="FS30" s="9"/>
      <c r="FZ30" s="9"/>
      <c r="GB30" s="4"/>
      <c r="IE30" s="9"/>
      <c r="IP30" s="14">
        <f ca="1">SUM(IF30-EB30-GB30-IN30)</f>
        <v>-408.05095</v>
      </c>
      <c r="IQ30" s="9"/>
      <c r="IR30" s="9"/>
      <c r="IS30" s="9"/>
      <c r="IT30" s="9"/>
      <c r="IU30" s="9"/>
    </row>
    <row r="31" spans="1:263" ht="15" customHeight="1">
      <c r="A31" s="2">
        <v>102018045</v>
      </c>
      <c r="B31" s="4" t="s">
        <v>1174</v>
      </c>
      <c r="C31" s="3"/>
      <c r="D31" s="3"/>
      <c r="J31" t="s">
        <v>305</v>
      </c>
      <c r="K31" t="s">
        <v>1175</v>
      </c>
      <c r="L31" t="s">
        <v>1176</v>
      </c>
      <c r="M31" t="s">
        <v>396</v>
      </c>
      <c r="O31" s="1"/>
      <c r="P31" t="s">
        <v>1175</v>
      </c>
      <c r="Q31" t="s">
        <v>1177</v>
      </c>
      <c r="R31" t="s">
        <v>650</v>
      </c>
      <c r="T31" s="1"/>
      <c r="AK31" s="4"/>
      <c r="AO31" s="4"/>
      <c r="AP31" s="5"/>
      <c r="AQ31" s="34"/>
      <c r="AS31" s="5"/>
      <c r="AT31" s="5"/>
      <c r="AU31" s="1"/>
      <c r="AV31" s="1"/>
      <c r="AW31" s="1"/>
      <c r="AX31" s="1"/>
      <c r="AY31" s="1"/>
      <c r="AZ31" s="15"/>
      <c r="BA31" s="1"/>
      <c r="BB31" s="1"/>
      <c r="BC31" s="1"/>
      <c r="BD31" s="1"/>
      <c r="BE31" s="1"/>
      <c r="BF31" s="1"/>
      <c r="BG31" s="5"/>
      <c r="BH31" s="16"/>
      <c r="BI31" s="16"/>
      <c r="BK31" s="4"/>
      <c r="BL31" s="4"/>
      <c r="BM31" s="6"/>
      <c r="BN31" s="7"/>
      <c r="BO31" s="4"/>
      <c r="BQ31" s="4"/>
      <c r="BR31" s="4"/>
      <c r="BS31" s="6"/>
      <c r="BT31" s="7"/>
      <c r="BU31" s="4"/>
      <c r="BW31" s="4"/>
      <c r="BX31" s="4"/>
      <c r="BY31" s="6"/>
      <c r="BZ31" s="7"/>
      <c r="CA31" s="4"/>
      <c r="CB31" s="4"/>
      <c r="CC31" s="4"/>
      <c r="CD31" s="4"/>
      <c r="CE31" s="6"/>
      <c r="CF31" s="7"/>
      <c r="CG31" s="4"/>
      <c r="CH31" s="6"/>
      <c r="CI31" s="4"/>
      <c r="CJ31" s="4"/>
      <c r="CK31" s="6"/>
      <c r="CL31" s="7"/>
      <c r="CM31" s="4"/>
      <c r="CN31" s="4"/>
      <c r="CO31" s="4"/>
      <c r="CP31" s="4"/>
      <c r="CQ31" s="6"/>
      <c r="CR31" s="7"/>
      <c r="CS31" s="4"/>
      <c r="CT31" s="4"/>
      <c r="CU31" s="4"/>
      <c r="CV31" s="4"/>
      <c r="CW31" s="6"/>
      <c r="CX31" s="7"/>
      <c r="CY31" s="4"/>
      <c r="CZ31" s="4"/>
      <c r="DA31" s="4"/>
      <c r="DB31" s="4"/>
      <c r="DC31" s="6"/>
      <c r="DD31" s="7"/>
      <c r="DE31" s="4"/>
      <c r="DF31" s="4"/>
      <c r="DG31" s="4"/>
      <c r="DH31" s="4"/>
      <c r="DI31" s="6"/>
      <c r="DJ31" s="7"/>
      <c r="DK31" s="4"/>
      <c r="DL31" s="4"/>
      <c r="DM31" s="4"/>
      <c r="DN31" s="4"/>
      <c r="DO31" s="4"/>
      <c r="DP31" s="4"/>
      <c r="DR31" s="4"/>
      <c r="DS31" s="4"/>
      <c r="DT31" s="4"/>
      <c r="DU31" s="4"/>
      <c r="DV31" s="4"/>
      <c r="DW31" s="4"/>
      <c r="DX31" s="4"/>
      <c r="DY31" s="7"/>
      <c r="DZ31" s="4"/>
      <c r="EA31" s="4"/>
      <c r="EB31" s="34"/>
      <c r="EC31" s="4"/>
      <c r="ED31" s="4"/>
      <c r="EM31" s="11"/>
      <c r="ES31" s="11"/>
      <c r="ET31" s="11"/>
      <c r="EU31" s="4"/>
      <c r="EV31" s="4"/>
      <c r="EW31" s="4"/>
      <c r="EX31" s="4"/>
      <c r="EY31" s="4"/>
      <c r="EZ31" s="4"/>
      <c r="FA31" s="4"/>
      <c r="FB31" s="4"/>
      <c r="FC31" s="4"/>
      <c r="FD31" s="4"/>
      <c r="FE31" s="4"/>
      <c r="FF31" s="4"/>
      <c r="FG31" s="4"/>
      <c r="FH31" s="4"/>
      <c r="FL31" s="9"/>
      <c r="FU31" s="9"/>
      <c r="GE31" s="10"/>
      <c r="GO31" s="10"/>
      <c r="HD31" s="9"/>
      <c r="IL31" s="18"/>
      <c r="IM31" s="18"/>
      <c r="IN31" s="18"/>
      <c r="IO31" s="18"/>
      <c r="IP31" s="18"/>
      <c r="IQ31" s="18"/>
      <c r="IR31" s="18"/>
      <c r="IS31" s="18"/>
      <c r="IT31" s="18"/>
      <c r="IU31" s="18"/>
      <c r="IV31" s="18"/>
    </row>
    <row r="32" spans="1:263" ht="15" customHeight="1">
      <c r="A32" s="2">
        <v>102019101</v>
      </c>
      <c r="B32" t="s">
        <v>1499</v>
      </c>
      <c r="F32" s="9"/>
      <c r="G32" s="9"/>
      <c r="H32" s="9"/>
      <c r="I32" s="9"/>
      <c r="K32" t="s">
        <v>419</v>
      </c>
      <c r="L32" t="s">
        <v>1500</v>
      </c>
      <c r="O32" s="1"/>
      <c r="T32" s="1"/>
      <c r="AC32" s="3"/>
      <c r="AG32" s="272"/>
      <c r="BG32" s="5"/>
      <c r="BH32" s="16"/>
      <c r="BI32" s="16"/>
      <c r="BJ32" s="4"/>
      <c r="BK32" s="4"/>
      <c r="BL32" s="4"/>
      <c r="BM32" s="6"/>
      <c r="BN32" s="7"/>
      <c r="BO32" s="4"/>
      <c r="BP32" s="4"/>
      <c r="BQ32" s="4"/>
      <c r="BR32" s="4"/>
      <c r="BS32" s="6"/>
      <c r="BT32" s="7"/>
      <c r="BU32" s="4"/>
      <c r="BV32" s="4"/>
      <c r="BW32" s="4"/>
      <c r="BX32" s="4"/>
      <c r="BY32" s="6"/>
      <c r="BZ32" s="7"/>
      <c r="CA32" s="4"/>
      <c r="CB32" s="4"/>
      <c r="CC32" s="4"/>
      <c r="CD32" s="4"/>
      <c r="CE32" s="6"/>
      <c r="CF32" s="7"/>
      <c r="CG32" s="4"/>
      <c r="CH32" s="4"/>
      <c r="CI32" s="4"/>
      <c r="CJ32" s="4"/>
      <c r="CK32" s="6"/>
      <c r="CL32" s="7"/>
      <c r="CM32" s="4"/>
      <c r="CN32" s="4"/>
      <c r="CO32" s="4"/>
      <c r="CP32" s="4"/>
      <c r="CQ32" s="6"/>
      <c r="CR32" s="7"/>
      <c r="CS32" s="4"/>
      <c r="CT32" s="4"/>
      <c r="CU32" s="4"/>
      <c r="CV32" s="4"/>
      <c r="CW32" s="6"/>
      <c r="CX32" s="7"/>
      <c r="CY32" s="4"/>
      <c r="CZ32" s="4"/>
      <c r="DA32" s="4"/>
      <c r="DB32" s="4"/>
      <c r="DC32" s="4"/>
      <c r="DD32" s="3"/>
      <c r="DE32" s="4"/>
      <c r="DF32" s="234"/>
      <c r="DG32" s="4"/>
      <c r="DH32" s="4"/>
      <c r="DI32" s="4"/>
      <c r="DJ32" s="4"/>
      <c r="DK32" s="4"/>
      <c r="DL32" s="4"/>
      <c r="DM32" s="7"/>
      <c r="DN32" s="8"/>
      <c r="DO32" s="4"/>
      <c r="DP32" s="8"/>
      <c r="DQ32" s="8"/>
      <c r="DR32" s="8"/>
      <c r="DS32" s="2"/>
      <c r="JB32" s="240"/>
      <c r="JC32" s="240"/>
    </row>
    <row r="33" spans="1:263" ht="15" customHeight="1">
      <c r="A33" s="2">
        <v>102019102</v>
      </c>
      <c r="B33" t="s">
        <v>1501</v>
      </c>
      <c r="F33" s="9"/>
      <c r="G33" s="9"/>
      <c r="H33" s="9"/>
      <c r="I33" s="9"/>
      <c r="K33" t="s">
        <v>419</v>
      </c>
      <c r="L33" t="s">
        <v>1502</v>
      </c>
      <c r="O33" s="1"/>
      <c r="T33" s="1"/>
      <c r="AG33" s="272"/>
      <c r="BG33" s="5"/>
      <c r="BH33" s="16"/>
      <c r="BI33" s="16"/>
      <c r="BJ33" s="4"/>
      <c r="BK33" s="4"/>
      <c r="BL33" s="4"/>
      <c r="BM33" s="6"/>
      <c r="BN33" s="7"/>
      <c r="BO33" s="4"/>
      <c r="BP33" s="4"/>
      <c r="BQ33" s="4"/>
      <c r="BR33" s="4"/>
      <c r="BS33" s="6"/>
      <c r="BT33" s="7"/>
      <c r="BU33" s="4"/>
      <c r="BV33" s="4"/>
      <c r="BW33" s="4"/>
      <c r="BX33" s="4"/>
      <c r="BY33" s="6"/>
      <c r="BZ33" s="7"/>
      <c r="CA33" s="4"/>
      <c r="CB33" s="4"/>
      <c r="CC33" s="4"/>
      <c r="CD33" s="4"/>
      <c r="CE33" s="6"/>
      <c r="CF33" s="7"/>
      <c r="CG33" s="4"/>
      <c r="CH33" s="4"/>
      <c r="CI33" s="4"/>
      <c r="CJ33" s="4"/>
      <c r="CK33" s="6"/>
      <c r="CL33" s="7"/>
      <c r="CM33" s="4"/>
      <c r="CN33" s="4"/>
      <c r="CO33" s="4"/>
      <c r="CP33" s="4"/>
      <c r="CQ33" s="6"/>
      <c r="CR33" s="7"/>
      <c r="CS33" s="4"/>
      <c r="CT33" s="4"/>
      <c r="CU33" s="4"/>
      <c r="CV33" s="4"/>
      <c r="CW33" s="6"/>
      <c r="CX33" s="7"/>
      <c r="CY33" s="4"/>
      <c r="CZ33" s="4"/>
      <c r="DA33" s="4"/>
      <c r="DB33" s="4"/>
      <c r="DC33" s="4"/>
      <c r="DD33" s="3"/>
      <c r="DE33" s="4"/>
      <c r="DF33" s="234"/>
      <c r="DG33" s="4"/>
      <c r="DH33" s="4"/>
      <c r="DI33" s="4"/>
      <c r="DJ33" s="4"/>
      <c r="DK33" s="4"/>
      <c r="DL33" s="4"/>
      <c r="DM33" s="7"/>
      <c r="DN33" s="8"/>
      <c r="DO33" s="4"/>
      <c r="DP33" s="8"/>
      <c r="DQ33" s="8"/>
      <c r="DR33" s="8"/>
      <c r="DS33" s="2"/>
      <c r="IW33" s="243"/>
      <c r="IX33" s="243"/>
      <c r="IY33" s="243"/>
    </row>
    <row r="34" spans="1:263" ht="15" customHeight="1">
      <c r="A34" s="2">
        <v>102019103</v>
      </c>
      <c r="B34" t="s">
        <v>1503</v>
      </c>
      <c r="F34" s="9"/>
      <c r="G34" s="9"/>
      <c r="H34" s="9"/>
      <c r="I34" s="9"/>
      <c r="K34" t="s">
        <v>1074</v>
      </c>
      <c r="L34" t="s">
        <v>1236</v>
      </c>
      <c r="O34" s="1"/>
      <c r="T34" s="1"/>
      <c r="AG34" s="272"/>
      <c r="AO34" s="4"/>
      <c r="BG34" s="5"/>
      <c r="BH34" s="16"/>
      <c r="BI34" s="16"/>
      <c r="BJ34" s="4"/>
      <c r="BK34" s="4"/>
      <c r="BL34" s="4"/>
      <c r="BM34" s="6"/>
      <c r="BN34" s="7"/>
      <c r="BO34" s="4"/>
      <c r="BP34" s="4"/>
      <c r="BQ34" s="4"/>
      <c r="BR34" s="4"/>
      <c r="BS34" s="6"/>
      <c r="BT34" s="7"/>
      <c r="BU34" s="4"/>
      <c r="BV34" s="4"/>
      <c r="BW34" s="4"/>
      <c r="BX34" s="4"/>
      <c r="BY34" s="6"/>
      <c r="BZ34" s="7"/>
      <c r="CA34" s="4"/>
      <c r="CB34" s="4"/>
      <c r="CC34" s="4"/>
      <c r="CD34" s="4"/>
      <c r="CE34" s="6"/>
      <c r="CF34" s="7"/>
      <c r="CG34" s="4"/>
      <c r="CH34" s="4"/>
      <c r="CI34" s="4"/>
      <c r="CJ34" s="4"/>
      <c r="CK34" s="6"/>
      <c r="CL34" s="7"/>
      <c r="CM34" s="4"/>
      <c r="CN34" s="4"/>
      <c r="CO34" s="4"/>
      <c r="CP34" s="4"/>
      <c r="CQ34" s="6"/>
      <c r="CR34" s="7"/>
      <c r="CS34" s="4"/>
      <c r="CT34" s="4"/>
      <c r="CU34" s="4"/>
      <c r="CV34" s="4"/>
      <c r="CW34" s="6"/>
      <c r="CX34" s="7"/>
      <c r="CY34" s="4"/>
      <c r="CZ34" s="4"/>
      <c r="DA34" s="4"/>
      <c r="DB34" s="4"/>
      <c r="DC34" s="4"/>
      <c r="DD34" s="3"/>
      <c r="DE34" s="4"/>
      <c r="DF34" s="234"/>
      <c r="DG34" s="4"/>
      <c r="DH34" s="4"/>
      <c r="DI34" s="4"/>
      <c r="DJ34" s="4"/>
      <c r="DK34" s="4"/>
      <c r="DL34" s="4"/>
      <c r="DM34" s="7"/>
      <c r="DN34" s="8"/>
      <c r="DO34" s="4"/>
      <c r="DP34" s="8"/>
      <c r="DQ34" s="8"/>
      <c r="DR34" s="8"/>
      <c r="DS34" s="2"/>
      <c r="IW34" s="240"/>
      <c r="IX34" s="240"/>
      <c r="IY34" s="240"/>
    </row>
    <row r="35" spans="1:263" ht="15" customHeight="1">
      <c r="A35" s="2">
        <v>102024142</v>
      </c>
      <c r="B35" t="s">
        <v>5491</v>
      </c>
      <c r="C35" s="10"/>
      <c r="D35" s="161"/>
      <c r="E35" s="147"/>
      <c r="F35" s="160"/>
      <c r="G35" s="147">
        <v>240002205</v>
      </c>
      <c r="H35" s="10"/>
      <c r="I35" s="10"/>
      <c r="J35" s="10" t="s">
        <v>253</v>
      </c>
      <c r="K35" s="10" t="s">
        <v>956</v>
      </c>
      <c r="L35" s="10" t="s">
        <v>5492</v>
      </c>
      <c r="M35" s="10" t="s">
        <v>326</v>
      </c>
      <c r="N35" s="10"/>
      <c r="O35" s="147"/>
      <c r="P35" s="10"/>
      <c r="Q35" s="10"/>
      <c r="R35" s="10"/>
      <c r="S35" s="10"/>
      <c r="T35" s="10"/>
      <c r="U35" s="10"/>
      <c r="V35" s="10"/>
      <c r="W35" s="10"/>
      <c r="X35" s="10"/>
      <c r="Y35" s="10"/>
      <c r="Z35" s="10"/>
      <c r="AA35" s="10"/>
      <c r="AB35" s="10"/>
      <c r="AC35" s="10"/>
      <c r="AD35" s="10"/>
      <c r="AE35" s="10"/>
      <c r="AF35" s="10"/>
      <c r="AG35" s="141" t="s">
        <v>5589</v>
      </c>
      <c r="AH35" s="10"/>
      <c r="AI35" s="10"/>
      <c r="AJ35" t="s">
        <v>5493</v>
      </c>
      <c r="AK35" s="1" t="s">
        <v>258</v>
      </c>
      <c r="AL35" s="18" t="s">
        <v>438</v>
      </c>
      <c r="AM35" t="s">
        <v>260</v>
      </c>
      <c r="AN35"/>
      <c r="AO35" t="s">
        <v>5494</v>
      </c>
      <c r="AP35" s="1" t="s">
        <v>258</v>
      </c>
      <c r="AQ35" s="18" t="s">
        <v>438</v>
      </c>
      <c r="AR35" t="s">
        <v>260</v>
      </c>
      <c r="AW35" s="1"/>
      <c r="AY35" s="1"/>
      <c r="AZ35" s="1"/>
      <c r="BA35" s="1"/>
      <c r="BB35" s="1"/>
      <c r="BC35" s="70"/>
      <c r="BD35" s="115"/>
      <c r="BE35" s="144"/>
      <c r="BF35" s="70"/>
      <c r="BG35" s="2"/>
      <c r="BH35" s="70"/>
      <c r="BI35" s="70"/>
      <c r="BJ35" s="70"/>
      <c r="BK35" s="70"/>
      <c r="BL35" s="20">
        <f ca="1">SUM(EB35)+220</f>
        <v>1205.1879999999996</v>
      </c>
      <c r="BM35" s="22">
        <f ca="1">PMT(10%/12,12,BL35,0,0)</f>
        <v>-105.95517229896076</v>
      </c>
      <c r="BN35" s="22">
        <f ca="1">SUM(BM35*-1)</f>
        <v>105.95517229896076</v>
      </c>
      <c r="BO35" s="14">
        <f>SUM(EJ35*0.0052)/12</f>
        <v>26.78</v>
      </c>
      <c r="BP35" s="22">
        <f ca="1">SUM(BN35+BO35)</f>
        <v>132.73517229896078</v>
      </c>
      <c r="BQ35" s="14">
        <v>0</v>
      </c>
      <c r="BR35" s="14">
        <f>SUM(BQ35*0.1)</f>
        <v>0</v>
      </c>
      <c r="BS35" s="14">
        <f ca="1">SUM(BT35*BU35)</f>
        <v>0</v>
      </c>
      <c r="BT35" s="17">
        <f>SUM((BQ35+BR35)*0.00833333333333333)</f>
        <v>0</v>
      </c>
      <c r="BU35" s="23">
        <f ca="1">MONTH(TODAY())+37</f>
        <v>41</v>
      </c>
      <c r="BV35" s="14">
        <f ca="1">SUM(BQ35,BR35,BS35)</f>
        <v>0</v>
      </c>
      <c r="BW35" s="14">
        <v>0</v>
      </c>
      <c r="BX35" s="14">
        <f>SUM(BW35*0.1)</f>
        <v>0</v>
      </c>
      <c r="BY35" s="14">
        <f ca="1">SUM(BZ35*CA35)</f>
        <v>0</v>
      </c>
      <c r="BZ35" s="17">
        <f>SUM((BW35+BX35)*0.00833333333333333)</f>
        <v>0</v>
      </c>
      <c r="CA35" s="167">
        <f ca="1">MONTH(TODAY())+37</f>
        <v>41</v>
      </c>
      <c r="CB35" s="14">
        <f ca="1">SUM(BW35,BX35,BY35)</f>
        <v>0</v>
      </c>
      <c r="CC35" s="14">
        <f>SUM(EG35*0.0052)/2</f>
        <v>101.39999999999999</v>
      </c>
      <c r="CD35" s="14">
        <f>SUM(CC35*0.1)</f>
        <v>10.14</v>
      </c>
      <c r="CE35" s="14">
        <f ca="1">SUM(CF35*CG35)</f>
        <v>30.673499999999986</v>
      </c>
      <c r="CF35" s="17">
        <f>SUM((CC35+CD35)*0.00833333333333333)</f>
        <v>0.92949999999999955</v>
      </c>
      <c r="CG35" s="167">
        <f ca="1">MONTH(TODAY())+29</f>
        <v>33</v>
      </c>
      <c r="CH35" s="23">
        <f ca="1">SUM(CC35,CD35,CE35)</f>
        <v>142.21349999999998</v>
      </c>
      <c r="CI35" s="14">
        <f>SUM(EG35*0.0052)/2</f>
        <v>101.39999999999999</v>
      </c>
      <c r="CJ35" s="14">
        <f>SUM(CI35*0.1)</f>
        <v>10.14</v>
      </c>
      <c r="CK35" s="14">
        <f ca="1">SUM(CL35*CM35)</f>
        <v>26.955499999999986</v>
      </c>
      <c r="CL35" s="17">
        <f>SUM((CI35+CJ35)*0.00833333333333333)</f>
        <v>0.92949999999999955</v>
      </c>
      <c r="CM35" s="58">
        <f ca="1">MONTH(TODAY())+25</f>
        <v>29</v>
      </c>
      <c r="CN35" s="14">
        <f ca="1">SUM(CI35,CJ35,CK35)</f>
        <v>138.49549999999999</v>
      </c>
      <c r="CO35" s="14">
        <f>SUM(EJ35*0.0045)/2</f>
        <v>139.04999999999998</v>
      </c>
      <c r="CP35" s="14">
        <f>SUM(CO35*0.1)</f>
        <v>13.904999999999999</v>
      </c>
      <c r="CQ35" s="14">
        <f ca="1">SUM(CR35*CS35)</f>
        <v>29.316374999999983</v>
      </c>
      <c r="CR35" s="17">
        <f>SUM((CO35+CP35)*0.00833333333333333)</f>
        <v>1.2746249999999992</v>
      </c>
      <c r="CS35" s="58">
        <f ca="1">MONTH(TODAY())+19</f>
        <v>23</v>
      </c>
      <c r="CT35" s="14">
        <f ca="1">SUM(CO35,CP35,CQ35)</f>
        <v>182.27137499999998</v>
      </c>
      <c r="CU35" s="14">
        <f>SUM(EJ35*0.0045)/2</f>
        <v>139.04999999999998</v>
      </c>
      <c r="CV35" s="14">
        <f>SUM(CU35*0.1)</f>
        <v>13.904999999999999</v>
      </c>
      <c r="CW35" s="14">
        <f ca="1">SUM(CX35*CY35)</f>
        <v>21.668624999999988</v>
      </c>
      <c r="CX35" s="17">
        <f>SUM((CU35+CV35)*0.00833333333333333)</f>
        <v>1.2746249999999992</v>
      </c>
      <c r="CY35" s="58">
        <f ca="1">MONTH(TODAY())+13</f>
        <v>17</v>
      </c>
      <c r="CZ35" s="14">
        <f ca="1">SUM(CU35,CV35,CW35)</f>
        <v>174.62362499999998</v>
      </c>
      <c r="DA35" s="14">
        <f>SUM(EJ35*0.0045)/2</f>
        <v>139.04999999999998</v>
      </c>
      <c r="DB35" s="14">
        <f>SUM(DA35*0.1)</f>
        <v>13.904999999999999</v>
      </c>
      <c r="DC35" s="14">
        <f ca="1">SUM(DD35*DE35)</f>
        <v>14.020874999999991</v>
      </c>
      <c r="DD35" s="17">
        <f>SUM((DA35+DB35)*0.00833333333333333)</f>
        <v>1.2746249999999992</v>
      </c>
      <c r="DE35" s="58">
        <f ca="1">MONTH(TODAY())+7</f>
        <v>11</v>
      </c>
      <c r="DF35" s="14">
        <f ca="1">SUM(DA35,DB35,DC35)</f>
        <v>166.97587499999997</v>
      </c>
      <c r="DG35" s="180">
        <f>SUM(EJ35*0.0045)/2</f>
        <v>139.04999999999998</v>
      </c>
      <c r="DH35" s="14">
        <f>SUM(DG35*0.1)</f>
        <v>13.904999999999999</v>
      </c>
      <c r="DI35" s="103">
        <f ca="1">SUM(DJ35*DK35)</f>
        <v>6.3731249999999964</v>
      </c>
      <c r="DJ35" s="17">
        <f>SUM((DG35+DH35)*0.00833333333333333)</f>
        <v>1.2746249999999992</v>
      </c>
      <c r="DK35" s="58">
        <f ca="1">MONTH(TODAY())+1</f>
        <v>5</v>
      </c>
      <c r="DL35" s="14">
        <f ca="1">SUM(DG35,DH35,DI35)</f>
        <v>159.32812499999997</v>
      </c>
      <c r="DM35" s="192">
        <f>SUM(BQ35, BW35, CC35,CI35,CO35,CU35,DA35,DG35)</f>
        <v>758.99999999999989</v>
      </c>
      <c r="DN35" s="192">
        <f>SUM(BR35,BX35, CD35,CJ35,CP35,CV35,DB35,DH35)</f>
        <v>75.900000000000006</v>
      </c>
      <c r="DO35" s="192">
        <f ca="1">SUM(BS35,BY35, CE35,CK35,CQ35,CW35,DC35,DI35)</f>
        <v>129.00799999999992</v>
      </c>
      <c r="DP35" s="25">
        <f ca="1">SUM(DM35:DO35)</f>
        <v>963.90799999999979</v>
      </c>
      <c r="DQ35" s="47">
        <f ca="1">SUM(DP35/EG35)</f>
        <v>2.4715589743589738E-2</v>
      </c>
      <c r="DR35" s="14">
        <f>20</f>
        <v>20</v>
      </c>
      <c r="DS35" s="32">
        <f>COUNTIF(AO35, "*")+COUNTIF(AJ35, "*")+COUNTIF(AA35, "*")+COUNTIF(EU35, "*")+COUNTIF(FA35, "*")+COUNTIF(FG35, "*")+COUNTIF(FK35, "*")+COUNTIF(FR35, "*")+COUNTIF(AS35, "*")+COUNTIF(GA35, "*")+COUNTIF(GL35, "*")+COUNTIF(GW35, "*")+COUNTIF(HE35, "*")+COUNTIF(HM35, "*")+COUNTIF(HU35, "*")</f>
        <v>2</v>
      </c>
      <c r="DT35" s="14">
        <f>DS35*0.64</f>
        <v>1.28</v>
      </c>
      <c r="DU35" s="4"/>
      <c r="DV35" s="4"/>
      <c r="DW35" s="4"/>
      <c r="DX35" s="4"/>
      <c r="DY35" s="4"/>
      <c r="DZ35" s="4"/>
      <c r="EA35" s="14">
        <f>SUM(DU35:DZ35)</f>
        <v>0</v>
      </c>
      <c r="EB35" s="103">
        <f ca="1">SUM(DP35,DR35,EA35,DT35,FX35)</f>
        <v>985.18799999999976</v>
      </c>
      <c r="EC35" s="24" t="s">
        <v>4935</v>
      </c>
      <c r="ED35" s="23">
        <f>0.22</f>
        <v>0.22</v>
      </c>
      <c r="EE35" s="14">
        <f>3000</f>
        <v>3000</v>
      </c>
      <c r="EF35" s="14">
        <v>36000</v>
      </c>
      <c r="EG35" s="14">
        <f>SUM(EE35+EF35)</f>
        <v>39000</v>
      </c>
      <c r="EH35" s="14">
        <f>9000</f>
        <v>9000</v>
      </c>
      <c r="EI35" s="14">
        <v>52800</v>
      </c>
      <c r="EJ35" s="14">
        <f>SUM(EH35+EI35)</f>
        <v>61800</v>
      </c>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9"/>
      <c r="FP35" s="10"/>
      <c r="FQ35" s="10"/>
      <c r="FR35" s="10"/>
      <c r="FS35" s="10"/>
      <c r="FT35" s="10"/>
      <c r="FU35" s="10"/>
      <c r="FV35" s="9"/>
      <c r="FW35" s="10"/>
      <c r="FX35" s="10"/>
      <c r="FY35" s="10"/>
      <c r="FZ35" s="10"/>
      <c r="GA35" s="10"/>
      <c r="GB35" s="10"/>
      <c r="GC35" s="10"/>
      <c r="GD35" s="10"/>
      <c r="GE35" s="9"/>
      <c r="GF35" s="10"/>
      <c r="GG35" s="10"/>
      <c r="GH35" s="10"/>
      <c r="GI35" s="10"/>
      <c r="GJ35" s="10"/>
      <c r="GK35" s="10"/>
      <c r="GL35" s="10"/>
      <c r="GM35" s="10"/>
      <c r="GN35" s="10"/>
      <c r="GO35" s="10"/>
      <c r="GP35" s="9"/>
      <c r="GQ35" s="10"/>
      <c r="GR35" s="10"/>
      <c r="GS35" s="10"/>
      <c r="GT35" s="10"/>
      <c r="GU35" s="10"/>
      <c r="GV35" s="10"/>
      <c r="GW35" s="10"/>
      <c r="GX35" s="10"/>
      <c r="GY35" s="10"/>
      <c r="GZ35" s="10"/>
      <c r="HA35" s="9"/>
      <c r="HB35" s="10"/>
      <c r="HC35" s="10"/>
      <c r="HD35" s="10"/>
      <c r="HE35" s="10"/>
      <c r="HF35" s="10"/>
      <c r="HG35" s="10"/>
      <c r="HH35" s="10"/>
      <c r="HI35" s="9"/>
      <c r="HJ35" s="10"/>
      <c r="HK35" s="10"/>
      <c r="HL35" s="10"/>
      <c r="HM35" s="10"/>
      <c r="HN35" s="10"/>
      <c r="HO35" s="10"/>
      <c r="HP35" s="10"/>
      <c r="HQ35" s="9"/>
      <c r="HR35" s="10"/>
      <c r="HS35" s="10"/>
      <c r="HT35" s="10"/>
      <c r="HU35" s="10"/>
      <c r="HV35" s="10"/>
      <c r="HW35" s="10"/>
      <c r="HX35" s="10"/>
      <c r="HY35" s="9"/>
      <c r="HZ35" s="4"/>
      <c r="IA35" s="4"/>
      <c r="IB35" s="10"/>
      <c r="IC35" s="10"/>
      <c r="ID35" s="10"/>
      <c r="IE35" s="10"/>
      <c r="IF35" s="4"/>
      <c r="IG35" s="4"/>
      <c r="IH35" s="4"/>
      <c r="II35" s="4"/>
      <c r="IJ35" s="4"/>
      <c r="IK35" s="9"/>
      <c r="IL35" s="9"/>
      <c r="IM35" s="9"/>
      <c r="IN35" s="9"/>
      <c r="IO35" s="9"/>
      <c r="IP35" t="s">
        <v>5913</v>
      </c>
    </row>
    <row r="36" spans="1:263" ht="15" customHeight="1">
      <c r="A36" s="2">
        <v>102018068</v>
      </c>
      <c r="B36" s="4" t="s">
        <v>1223</v>
      </c>
      <c r="C36" s="4"/>
      <c r="D36" s="3"/>
      <c r="E36" s="3"/>
      <c r="F36" s="2"/>
      <c r="G36">
        <v>180000522</v>
      </c>
      <c r="J36" t="s">
        <v>253</v>
      </c>
      <c r="K36" t="s">
        <v>1224</v>
      </c>
      <c r="L36" t="s">
        <v>657</v>
      </c>
      <c r="M36" t="s">
        <v>403</v>
      </c>
      <c r="O36" s="1"/>
      <c r="T36" s="1"/>
      <c r="AE36" s="1"/>
      <c r="AH36" s="3"/>
      <c r="AJ36" s="4"/>
      <c r="AK36" s="4"/>
      <c r="AL36" s="4"/>
      <c r="AM36" s="34"/>
      <c r="AP36" s="13"/>
      <c r="AS36" s="5"/>
      <c r="AT36" s="13"/>
      <c r="AU36" s="1"/>
      <c r="AV36" s="1"/>
      <c r="AW36" s="1"/>
      <c r="AX36" s="1"/>
      <c r="AY36" s="1"/>
      <c r="AZ36" s="1"/>
      <c r="BA36" s="1"/>
      <c r="BB36" s="1"/>
      <c r="BC36" s="1"/>
      <c r="BD36" s="1"/>
      <c r="BE36" s="1"/>
      <c r="BF36" s="1"/>
      <c r="BG36" s="5"/>
      <c r="BH36" s="16"/>
      <c r="BI36" s="16"/>
      <c r="BK36" s="4"/>
      <c r="BL36" s="4"/>
      <c r="BM36" s="6"/>
      <c r="BN36" s="7"/>
      <c r="BO36" s="4"/>
      <c r="BQ36" s="4"/>
      <c r="BR36" s="4"/>
      <c r="BS36" s="6"/>
      <c r="BT36" s="7"/>
      <c r="BU36" s="4"/>
      <c r="BV36" s="4"/>
      <c r="BW36" s="4"/>
      <c r="BX36" s="4"/>
      <c r="BY36" s="6"/>
      <c r="BZ36" s="7"/>
      <c r="CA36" s="4"/>
      <c r="CC36" s="4"/>
      <c r="CD36" s="4"/>
      <c r="CE36" s="6"/>
      <c r="CF36" s="7"/>
      <c r="CG36" s="4"/>
      <c r="CH36" s="4"/>
      <c r="CI36" s="4"/>
      <c r="CJ36" s="4"/>
      <c r="CK36" s="6"/>
      <c r="CL36" s="7"/>
      <c r="CM36" s="4"/>
      <c r="CN36" s="4"/>
      <c r="CO36" s="4"/>
      <c r="CP36" s="4"/>
      <c r="CQ36" s="6"/>
      <c r="CR36" s="7"/>
      <c r="CS36" s="4"/>
      <c r="CT36" s="4"/>
      <c r="CU36" s="4"/>
      <c r="CV36" s="4"/>
      <c r="CW36" s="6"/>
      <c r="CX36" s="7"/>
      <c r="CY36" s="4"/>
      <c r="CZ36" s="4"/>
      <c r="DA36" s="4"/>
      <c r="DB36" s="4"/>
      <c r="DC36" s="6"/>
      <c r="DD36" s="7"/>
      <c r="DE36" s="4"/>
      <c r="DF36" s="4"/>
      <c r="DG36" s="4"/>
      <c r="DH36" s="4"/>
      <c r="DI36" s="6"/>
      <c r="DJ36" s="7"/>
      <c r="DK36" s="4"/>
      <c r="DL36" s="4"/>
      <c r="DM36" s="4"/>
      <c r="DN36" s="4"/>
      <c r="DO36" s="4"/>
      <c r="DP36" s="4"/>
      <c r="DQ36" s="3"/>
      <c r="DR36" s="4"/>
      <c r="DS36" s="4"/>
      <c r="DT36" s="4"/>
      <c r="DU36" s="4"/>
      <c r="DV36" s="4"/>
      <c r="DW36" s="4"/>
      <c r="DX36" s="4"/>
      <c r="DY36" s="4"/>
      <c r="DZ36" s="4"/>
      <c r="EA36" s="4"/>
      <c r="EB36" s="4"/>
      <c r="EC36" s="4"/>
      <c r="ED36" s="4"/>
      <c r="FL36" s="9"/>
      <c r="FM36" s="10"/>
      <c r="FT36" s="10"/>
      <c r="FU36" s="9"/>
      <c r="GG36" s="9"/>
    </row>
    <row r="37" spans="1:263" ht="15" customHeight="1">
      <c r="A37">
        <v>102024144</v>
      </c>
      <c r="B37" t="s">
        <v>5495</v>
      </c>
      <c r="C37" s="10"/>
      <c r="D37" s="161">
        <v>2026</v>
      </c>
      <c r="E37" s="147"/>
      <c r="F37" s="160"/>
      <c r="G37" s="147">
        <v>240002206</v>
      </c>
      <c r="H37" s="10"/>
      <c r="I37" s="10"/>
      <c r="J37" s="10" t="s">
        <v>554</v>
      </c>
      <c r="K37" s="10" t="s">
        <v>956</v>
      </c>
      <c r="L37" s="10" t="s">
        <v>5492</v>
      </c>
      <c r="M37" s="10" t="s">
        <v>326</v>
      </c>
      <c r="N37" s="10"/>
      <c r="O37" s="147"/>
      <c r="P37" s="10" t="s">
        <v>956</v>
      </c>
      <c r="Q37" s="10" t="s">
        <v>1112</v>
      </c>
      <c r="R37" s="10"/>
      <c r="S37" s="10"/>
      <c r="T37" s="10"/>
      <c r="U37" s="10"/>
      <c r="V37" s="10"/>
      <c r="W37" s="10"/>
      <c r="X37" s="10"/>
      <c r="Y37" s="10"/>
      <c r="Z37" s="10"/>
      <c r="AA37" s="10"/>
      <c r="AB37" s="10"/>
      <c r="AC37" s="10"/>
      <c r="AD37" s="10"/>
      <c r="AE37" s="10"/>
      <c r="AF37" s="10"/>
      <c r="AG37" s="141"/>
      <c r="AH37" s="10"/>
      <c r="AI37" s="10"/>
      <c r="AJ37" s="18" t="s">
        <v>328</v>
      </c>
      <c r="AK37" s="1"/>
      <c r="AL37" s="18" t="s">
        <v>438</v>
      </c>
      <c r="AM37"/>
      <c r="AN37"/>
      <c r="AO37" t="s">
        <v>5494</v>
      </c>
      <c r="AP37" s="1" t="s">
        <v>258</v>
      </c>
      <c r="AQ37" s="18" t="s">
        <v>438</v>
      </c>
      <c r="AR37" t="s">
        <v>260</v>
      </c>
      <c r="AS37" t="s">
        <v>473</v>
      </c>
      <c r="AT37" t="s">
        <v>474</v>
      </c>
      <c r="AU37" t="s">
        <v>475</v>
      </c>
      <c r="AV37" t="s">
        <v>438</v>
      </c>
      <c r="AW37" s="1" t="s">
        <v>260</v>
      </c>
      <c r="AY37" s="1"/>
      <c r="AZ37" s="1"/>
      <c r="BA37" s="1"/>
      <c r="BB37" s="1"/>
      <c r="BC37" s="70"/>
      <c r="BD37" s="115"/>
      <c r="BE37" s="144"/>
      <c r="BF37" s="70"/>
      <c r="BG37" s="2"/>
      <c r="BH37" s="70"/>
      <c r="BI37" s="70"/>
      <c r="BJ37" s="70"/>
      <c r="BK37" s="70"/>
      <c r="BL37" s="20">
        <f ca="1">SUM(EH37)+220</f>
        <v>246.8906375</v>
      </c>
      <c r="BM37" s="22">
        <f ca="1">PMT(10%/12,12,BL37,0,0)</f>
        <v>-21.705609444595176</v>
      </c>
      <c r="BN37" s="22">
        <f ca="1">SUM(BM37*-1)</f>
        <v>21.705609444595176</v>
      </c>
      <c r="BO37" s="14">
        <f>SUM(EP37*0.0052)/12</f>
        <v>0.12999999999999998</v>
      </c>
      <c r="BP37" s="22">
        <f ca="1">SUM(BN37+BO37)</f>
        <v>21.835609444595175</v>
      </c>
      <c r="BQ37" s="14"/>
      <c r="BR37" s="14">
        <f>SUM(BQ37*0.1)</f>
        <v>0</v>
      </c>
      <c r="BS37" s="14">
        <f ca="1">SUM(BT37*BU37)</f>
        <v>0</v>
      </c>
      <c r="BT37" s="17">
        <f>SUM((BQ37+BR37)*0.00833333333333333)</f>
        <v>0</v>
      </c>
      <c r="BU37" s="23">
        <f ca="1">MONTH(TODAY())+49</f>
        <v>53</v>
      </c>
      <c r="BV37" s="14">
        <f ca="1">SUM(BQ37,BR37,BS37)</f>
        <v>0</v>
      </c>
      <c r="BW37" s="14">
        <v>0</v>
      </c>
      <c r="BX37" s="14">
        <f>SUM(BW37*0.1)</f>
        <v>0</v>
      </c>
      <c r="BY37" s="14">
        <f ca="1">SUM(BZ37*CA37)</f>
        <v>0</v>
      </c>
      <c r="BZ37" s="17">
        <f>SUM((BW37+BX37)*0.00833333333333333)</f>
        <v>0</v>
      </c>
      <c r="CA37" s="23">
        <f ca="1">MONTH(TODAY())+37</f>
        <v>41</v>
      </c>
      <c r="CB37" s="14">
        <f ca="1">SUM(BW37,BX37,BY37)</f>
        <v>0</v>
      </c>
      <c r="CC37" s="14">
        <v>0</v>
      </c>
      <c r="CD37" s="14">
        <f>SUM(CC37*0.1)</f>
        <v>0</v>
      </c>
      <c r="CE37" s="14">
        <f ca="1">SUM(CF37*CG37)</f>
        <v>0</v>
      </c>
      <c r="CF37" s="17">
        <f>SUM((CC37+CD37)*0.00833333333333333)</f>
        <v>0</v>
      </c>
      <c r="CG37" s="23">
        <f ca="1">MONTH(TODAY())+25</f>
        <v>29</v>
      </c>
      <c r="CH37" s="14">
        <f ca="1">SUM(CC37,CD37,CE37)</f>
        <v>0</v>
      </c>
      <c r="CI37" s="14">
        <f>SUM(EM37*0.0052)/2</f>
        <v>0.77999999999999992</v>
      </c>
      <c r="CJ37" s="14">
        <f>SUM(CI37*0.1)</f>
        <v>7.8E-2</v>
      </c>
      <c r="CK37" s="14">
        <f ca="1">SUM(CL37*CM37)</f>
        <v>0.15014999999999992</v>
      </c>
      <c r="CL37" s="17">
        <f>SUM((CI37+CJ37)*0.00833333333333333)</f>
        <v>7.1499999999999958E-3</v>
      </c>
      <c r="CM37" s="23">
        <f ca="1">MONTH(TODAY())+17</f>
        <v>21</v>
      </c>
      <c r="CN37" s="23">
        <f ca="1">SUM(CI37,CJ37,CK37)</f>
        <v>1.0081499999999999</v>
      </c>
      <c r="CO37" s="14">
        <f>SUM(EM37*0.0052)/2</f>
        <v>0.77999999999999992</v>
      </c>
      <c r="CP37" s="14">
        <f>SUM(CO37*0.1)</f>
        <v>7.8E-2</v>
      </c>
      <c r="CQ37" s="14">
        <f ca="1">SUM(CR37*CS37)</f>
        <v>0.12154999999999992</v>
      </c>
      <c r="CR37" s="17">
        <f>SUM((CO37+CP37)*0.00833333333333333)</f>
        <v>7.1499999999999958E-3</v>
      </c>
      <c r="CS37" s="23">
        <f ca="1">MONTH(TODAY())+13</f>
        <v>17</v>
      </c>
      <c r="CT37" s="14">
        <f ca="1">SUM(CO37,CP37,CQ37)</f>
        <v>0.97954999999999981</v>
      </c>
      <c r="CU37" s="14">
        <f>SUM(EP37*0.0045)/2</f>
        <v>0.67499999999999993</v>
      </c>
      <c r="CV37" s="14">
        <f>SUM(CU37*0.1)</f>
        <v>6.7499999999999991E-2</v>
      </c>
      <c r="CW37" s="14">
        <f ca="1">SUM(CX37*CY37)</f>
        <v>6.806249999999997E-2</v>
      </c>
      <c r="CX37" s="17">
        <f>SUM((CU37+CV37)*0.00833333333333333)</f>
        <v>6.1874999999999968E-3</v>
      </c>
      <c r="CY37" s="23">
        <f ca="1">MONTH(TODAY())+7</f>
        <v>11</v>
      </c>
      <c r="CZ37" s="14">
        <f ca="1">SUM(CU37,CV37,CW37)</f>
        <v>0.81056249999999985</v>
      </c>
      <c r="DA37" s="14">
        <f>SUM(EP37*0.0045)/2</f>
        <v>0.67499999999999993</v>
      </c>
      <c r="DB37" s="14">
        <f>SUM(DA37*0.1)</f>
        <v>6.7499999999999991E-2</v>
      </c>
      <c r="DC37" s="14">
        <f ca="1">SUM(DD37*DE37)</f>
        <v>3.0937499999999986E-2</v>
      </c>
      <c r="DD37" s="17">
        <f>SUM((DA37+DB37)*0.00833333333333333)</f>
        <v>6.1874999999999968E-3</v>
      </c>
      <c r="DE37" s="23">
        <f ca="1">MONTH(TODAY())+1</f>
        <v>5</v>
      </c>
      <c r="DF37" s="14">
        <f ca="1">SUM(DA37,DB37,DC37)</f>
        <v>0.77343749999999989</v>
      </c>
      <c r="DG37" s="14">
        <f>SUM(EP37*0.0045)/2</f>
        <v>0.67499999999999993</v>
      </c>
      <c r="DH37" s="14">
        <f>SUM(DG37*0.1)</f>
        <v>6.7499999999999991E-2</v>
      </c>
      <c r="DI37" s="14">
        <f ca="1">SUM(DJ37*DK37)</f>
        <v>-1.8562499999999989E-2</v>
      </c>
      <c r="DJ37" s="17">
        <f>SUM((DG37+DH37)*0.00833333333333333)</f>
        <v>6.1874999999999968E-3</v>
      </c>
      <c r="DK37" s="23">
        <f ca="1">MONTH(TODAY())-7</f>
        <v>-3</v>
      </c>
      <c r="DL37" s="14">
        <f ca="1">SUM(DG37,DH37,DI37)</f>
        <v>0.7239374999999999</v>
      </c>
      <c r="DM37" s="14">
        <f>SUM(EP37*0.0045)/2</f>
        <v>0.67499999999999993</v>
      </c>
      <c r="DN37" s="14">
        <f>0</f>
        <v>0</v>
      </c>
      <c r="DO37" s="14">
        <f>SUM(DP37*DQ37)</f>
        <v>0</v>
      </c>
      <c r="DP37" s="17">
        <f>SUM((DM37+DN37)*0.00833333333333333)</f>
        <v>5.6249999999999972E-3</v>
      </c>
      <c r="DQ37" s="23">
        <v>0</v>
      </c>
      <c r="DR37" s="14">
        <f>SUM(DM37,DN37,DO37)</f>
        <v>0.67499999999999993</v>
      </c>
      <c r="DS37" s="14">
        <f>SUM(BQ37, BW37, CC37, CI37,CO37,CU37,DA37,DG37,DM37)</f>
        <v>4.26</v>
      </c>
      <c r="DT37" s="14">
        <f>SUM(BR37,BX37,CD37, CJ37,CP37,CV37,DB37,DH37,DN37)</f>
        <v>0.35849999999999999</v>
      </c>
      <c r="DU37" s="14">
        <f ca="1">SUM(BS37,BY37,CE37, CK37,CQ37,CW37,DC37,DI37,DO37)</f>
        <v>0.35213749999999983</v>
      </c>
      <c r="DV37" s="25">
        <f ca="1">SUM(DS37:DU37)</f>
        <v>4.9706374999999996</v>
      </c>
      <c r="DW37" s="47">
        <f ca="1">SUM(DV37/EM37)</f>
        <v>1.6568791666666666E-2</v>
      </c>
      <c r="DX37" s="14">
        <f>20</f>
        <v>20</v>
      </c>
      <c r="DY37" s="32">
        <f>COUNTIF(AO37, "*")+COUNTIF(AJ37, "*")+COUNTIF(AA37, "*")+COUNTIF(FA37, "*")+COUNTIF(FG37, "*")+COUNTIF(FM37, "*")+COUNTIF(FQ37, "*")+COUNTIF(FX37, "*")+COUNTIF(AT37, "*")+COUNTIF(GG37, "*")+COUNTIF(GR37, "*")+COUNTIF(HC37, "*")+COUNTIF(HK37, "*")+COUNTIF(HS37, "*")+COUNTIF(IA37, "*")</f>
        <v>3</v>
      </c>
      <c r="DZ37" s="14">
        <f>DY37*0.64</f>
        <v>1.92</v>
      </c>
      <c r="EA37" s="4"/>
      <c r="EB37" s="4"/>
      <c r="EC37" s="4"/>
      <c r="ED37" s="4"/>
      <c r="EE37" s="4"/>
      <c r="EF37" s="4"/>
      <c r="EG37" s="14">
        <f>SUM(EA37:EF37)</f>
        <v>0</v>
      </c>
      <c r="EH37" s="14">
        <f ca="1">SUM(DV37,DX37,EG37,DZ37,GD37)</f>
        <v>26.890637499999997</v>
      </c>
      <c r="EI37" s="24" t="s">
        <v>4935</v>
      </c>
      <c r="EJ37" s="23">
        <f>0.04+0.05+0.04</f>
        <v>0.13</v>
      </c>
      <c r="EK37" s="14">
        <v>300</v>
      </c>
      <c r="EL37" s="14">
        <v>0</v>
      </c>
      <c r="EM37" s="14">
        <f>SUM(EK37+EL37)</f>
        <v>300</v>
      </c>
      <c r="EN37" s="14">
        <v>300</v>
      </c>
      <c r="EO37" s="14">
        <v>0</v>
      </c>
      <c r="EP37" s="14">
        <f>SUM(EN37+EO37)</f>
        <v>300</v>
      </c>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9"/>
      <c r="FV37" s="10"/>
      <c r="FW37" s="10"/>
      <c r="FX37" s="10"/>
      <c r="FY37" s="10"/>
      <c r="FZ37" s="10"/>
      <c r="GA37" s="10"/>
      <c r="GB37" s="9"/>
      <c r="GC37" s="10"/>
      <c r="GD37" s="10"/>
      <c r="GE37" s="10"/>
      <c r="GF37" s="10"/>
      <c r="GG37" s="10"/>
      <c r="GH37" s="10"/>
      <c r="GI37" s="10"/>
      <c r="GJ37" s="10"/>
      <c r="GK37" s="9"/>
      <c r="GL37" s="10"/>
      <c r="GM37" s="10"/>
      <c r="GN37" s="10"/>
      <c r="GO37" s="10"/>
      <c r="GP37" s="10"/>
      <c r="GQ37" s="10"/>
      <c r="GR37" s="10"/>
      <c r="GS37" s="10"/>
      <c r="GT37" s="10"/>
      <c r="GU37" s="10"/>
      <c r="GV37" s="9"/>
      <c r="GW37" s="10"/>
      <c r="GX37" s="10"/>
      <c r="GY37" s="10"/>
      <c r="GZ37" s="10"/>
      <c r="HA37" s="10"/>
      <c r="HB37" s="10"/>
      <c r="HC37" s="10"/>
      <c r="HD37" s="10"/>
      <c r="HE37" s="10"/>
      <c r="HF37" s="10"/>
      <c r="HG37" s="9"/>
      <c r="HH37" s="10"/>
      <c r="HI37" s="10"/>
      <c r="HJ37" s="10"/>
      <c r="HK37" s="10"/>
      <c r="HL37" s="10"/>
      <c r="HM37" s="10"/>
      <c r="HN37" s="10"/>
      <c r="HO37" s="9"/>
      <c r="HP37" s="10"/>
      <c r="HQ37" s="10"/>
      <c r="HR37" s="10"/>
      <c r="HS37" s="10"/>
      <c r="HT37" s="10"/>
      <c r="HU37" s="10"/>
      <c r="HV37" s="10"/>
      <c r="HW37" s="9"/>
      <c r="HX37" s="10"/>
      <c r="HY37" s="10"/>
      <c r="HZ37" s="10"/>
      <c r="IA37" s="10"/>
      <c r="IB37" s="10"/>
      <c r="IC37" s="10"/>
      <c r="ID37" s="10"/>
      <c r="IE37" s="9"/>
      <c r="IF37" s="4"/>
      <c r="IG37" s="4"/>
      <c r="IH37" s="10"/>
      <c r="II37" s="10"/>
      <c r="IJ37" s="10"/>
      <c r="IK37" s="10"/>
      <c r="IL37" s="4"/>
      <c r="IM37" s="4"/>
      <c r="IN37" s="4"/>
      <c r="IO37" s="4"/>
      <c r="IP37" s="4"/>
      <c r="IQ37" s="9"/>
      <c r="IR37" s="9"/>
      <c r="IS37" s="9"/>
      <c r="IT37" s="9"/>
      <c r="IU37" s="9"/>
      <c r="IV37" t="s">
        <v>5913</v>
      </c>
    </row>
    <row r="38" spans="1:263" ht="15" customHeight="1">
      <c r="A38" s="19">
        <v>102021008</v>
      </c>
      <c r="B38" s="18" t="s">
        <v>2136</v>
      </c>
      <c r="C38" s="18" t="s">
        <v>258</v>
      </c>
      <c r="D38" s="18"/>
      <c r="E38" s="18" t="s">
        <v>2495</v>
      </c>
      <c r="F38" s="18">
        <v>210003120</v>
      </c>
      <c r="G38" s="18"/>
      <c r="H38" s="18"/>
      <c r="I38" s="18"/>
      <c r="J38" s="18" t="s">
        <v>311</v>
      </c>
      <c r="K38" s="18" t="s">
        <v>810</v>
      </c>
      <c r="L38" s="18" t="s">
        <v>811</v>
      </c>
      <c r="M38" s="18" t="s">
        <v>326</v>
      </c>
      <c r="N38" s="18"/>
      <c r="O38" s="18"/>
      <c r="P38" s="18"/>
      <c r="Q38" s="18"/>
      <c r="R38" s="18"/>
      <c r="S38" s="18"/>
      <c r="T38" s="18"/>
      <c r="U38" s="18"/>
      <c r="V38" s="18"/>
      <c r="W38" s="18"/>
      <c r="X38" s="18"/>
      <c r="Y38" s="18"/>
      <c r="Z38" s="18"/>
      <c r="AA38" s="18"/>
      <c r="AB38" s="18"/>
      <c r="AC38" s="18"/>
      <c r="AD38" s="18"/>
      <c r="AE38" s="18"/>
      <c r="AF38" s="18"/>
      <c r="AG38" s="231"/>
      <c r="AH38" s="18"/>
      <c r="AI38" s="18"/>
      <c r="AJ38" s="18" t="s">
        <v>812</v>
      </c>
      <c r="AK38" s="18" t="s">
        <v>258</v>
      </c>
      <c r="AL38" s="18" t="s">
        <v>438</v>
      </c>
      <c r="AM38" s="24" t="s">
        <v>260</v>
      </c>
      <c r="AN38" s="24"/>
      <c r="AO38" s="18" t="s">
        <v>814</v>
      </c>
      <c r="AP38" s="13"/>
      <c r="AQ38" s="24" t="s">
        <v>438</v>
      </c>
      <c r="AR38" s="24"/>
      <c r="AS38" s="13"/>
      <c r="AT38" s="13"/>
      <c r="AU38" s="13"/>
      <c r="AV38" s="13"/>
      <c r="AW38" s="13"/>
      <c r="AX38" s="48"/>
      <c r="AY38" s="48"/>
      <c r="AZ38" s="48"/>
      <c r="BA38" s="48"/>
      <c r="BB38" s="19"/>
      <c r="BC38" s="48"/>
      <c r="BD38" s="48"/>
      <c r="BE38" s="48"/>
      <c r="BF38" s="19"/>
      <c r="BG38" s="20"/>
      <c r="BH38" s="22"/>
      <c r="BI38" s="22"/>
      <c r="BJ38" s="14"/>
      <c r="BK38" s="22"/>
      <c r="BL38" s="14"/>
      <c r="BM38" s="14"/>
      <c r="BN38" s="14"/>
      <c r="BO38" s="17"/>
      <c r="BP38" s="23"/>
      <c r="BQ38" s="14"/>
      <c r="BR38" s="14"/>
      <c r="BS38" s="14"/>
      <c r="BT38" s="14"/>
      <c r="BU38" s="17"/>
      <c r="BV38" s="23"/>
      <c r="BW38" s="14"/>
      <c r="BX38" s="14"/>
      <c r="BY38" s="14"/>
      <c r="BZ38" s="14"/>
      <c r="CA38" s="17"/>
      <c r="CB38" s="23"/>
      <c r="CC38" s="14"/>
      <c r="CD38" s="14"/>
      <c r="CE38" s="14"/>
      <c r="CF38" s="14"/>
      <c r="CG38" s="17"/>
      <c r="CH38" s="23"/>
      <c r="CI38" s="14"/>
      <c r="CJ38" s="14"/>
      <c r="CK38" s="14"/>
      <c r="CL38" s="14"/>
      <c r="CM38" s="17"/>
      <c r="CN38" s="23"/>
      <c r="CO38" s="14"/>
      <c r="CP38" s="14"/>
      <c r="CQ38" s="14"/>
      <c r="CR38" s="14"/>
      <c r="CS38" s="17"/>
      <c r="CT38" s="23"/>
      <c r="CU38" s="14"/>
      <c r="CV38" s="14"/>
      <c r="CW38" s="14"/>
      <c r="CX38" s="14"/>
      <c r="CY38" s="14"/>
      <c r="CZ38" s="14"/>
      <c r="DA38" s="14"/>
      <c r="DB38" s="14"/>
      <c r="DC38" s="14"/>
      <c r="DD38" s="14"/>
      <c r="DE38" s="14"/>
      <c r="DF38" s="47"/>
      <c r="DG38" s="14"/>
      <c r="DH38" s="32"/>
      <c r="DI38" s="14"/>
      <c r="DJ38" s="14">
        <f>75+100</f>
        <v>175</v>
      </c>
      <c r="DK38" s="14">
        <f>SUM(DE38,DG38,DQ38, DJ38, DI38,FS38)</f>
        <v>488.65999999999997</v>
      </c>
      <c r="DL38" s="14">
        <v>47.41</v>
      </c>
      <c r="DM38" s="14">
        <f>93.75+110</f>
        <v>203.75</v>
      </c>
      <c r="DN38" s="14">
        <v>62.5</v>
      </c>
      <c r="DO38" s="23"/>
      <c r="DP38" s="25"/>
      <c r="DQ38" s="14">
        <f>SUM(DL38:DP38)</f>
        <v>313.65999999999997</v>
      </c>
      <c r="DR38" s="24" t="s">
        <v>1997</v>
      </c>
      <c r="DS38" s="25">
        <f>3000+100+100</f>
        <v>3200</v>
      </c>
      <c r="DT38" s="25">
        <v>56200</v>
      </c>
      <c r="DU38" s="25">
        <f>SUM(DS38+DT38)</f>
        <v>59400</v>
      </c>
      <c r="DV38" s="36">
        <v>0.34</v>
      </c>
      <c r="DW38" s="18" t="s">
        <v>2403</v>
      </c>
      <c r="DX38" s="18" t="s">
        <v>2404</v>
      </c>
      <c r="DY38" s="18" t="s">
        <v>2405</v>
      </c>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t="s">
        <v>473</v>
      </c>
      <c r="FO38" s="18" t="s">
        <v>474</v>
      </c>
      <c r="FP38" s="18" t="s">
        <v>475</v>
      </c>
      <c r="FQ38" s="18" t="s">
        <v>438</v>
      </c>
      <c r="FR38" s="18" t="s">
        <v>260</v>
      </c>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27">
        <v>43711</v>
      </c>
      <c r="IO38" s="27">
        <v>43803</v>
      </c>
      <c r="IP38" s="18"/>
      <c r="IQ38" s="18"/>
      <c r="IR38" s="18"/>
      <c r="IS38" s="18"/>
      <c r="IT38" s="18"/>
      <c r="IU38" s="18"/>
      <c r="IV38" s="18"/>
      <c r="IW38" s="18"/>
      <c r="IX38" s="18"/>
      <c r="IY38" s="18"/>
    </row>
    <row r="39" spans="1:263" ht="15" customHeight="1">
      <c r="A39" s="19">
        <v>102021008</v>
      </c>
      <c r="B39" s="18" t="s">
        <v>2136</v>
      </c>
      <c r="C39" s="13" t="s">
        <v>258</v>
      </c>
      <c r="D39" s="18"/>
      <c r="E39" s="18" t="s">
        <v>2495</v>
      </c>
      <c r="F39" s="18">
        <v>210003120</v>
      </c>
      <c r="G39" s="18"/>
      <c r="H39" s="18"/>
      <c r="I39" s="18"/>
      <c r="J39" s="18" t="s">
        <v>311</v>
      </c>
      <c r="K39" s="18" t="s">
        <v>810</v>
      </c>
      <c r="L39" s="18" t="s">
        <v>811</v>
      </c>
      <c r="M39" s="18" t="s">
        <v>326</v>
      </c>
      <c r="N39" s="18"/>
      <c r="O39" s="18"/>
      <c r="P39" s="18"/>
      <c r="Q39" s="18"/>
      <c r="R39" s="18"/>
      <c r="S39" s="18"/>
      <c r="T39" s="18"/>
      <c r="U39" s="18"/>
      <c r="V39" s="18"/>
      <c r="W39" s="18"/>
      <c r="X39" s="18"/>
      <c r="Y39" s="18"/>
      <c r="Z39" s="18"/>
      <c r="AA39" s="18"/>
      <c r="AB39" s="18"/>
      <c r="AC39" s="18"/>
      <c r="AD39" s="18"/>
      <c r="AE39" s="18"/>
      <c r="AF39" s="18"/>
      <c r="AG39" s="37"/>
      <c r="AH39" s="18"/>
      <c r="AI39" s="18"/>
      <c r="AJ39" s="18" t="s">
        <v>812</v>
      </c>
      <c r="AK39" s="18" t="s">
        <v>258</v>
      </c>
      <c r="AL39" s="18" t="s">
        <v>438</v>
      </c>
      <c r="AM39" s="18" t="s">
        <v>260</v>
      </c>
      <c r="AN39" s="18"/>
      <c r="AO39" s="24" t="s">
        <v>814</v>
      </c>
      <c r="AP39" s="24"/>
      <c r="AQ39" s="24" t="s">
        <v>438</v>
      </c>
      <c r="AR39" s="18"/>
      <c r="AS39" s="13"/>
      <c r="AT39" s="13"/>
      <c r="AU39" s="13" t="s">
        <v>258</v>
      </c>
      <c r="AV39" s="13" t="s">
        <v>258</v>
      </c>
      <c r="AW39" s="13" t="s">
        <v>258</v>
      </c>
      <c r="AX39" s="48">
        <v>44309</v>
      </c>
      <c r="AY39" s="48">
        <v>44248</v>
      </c>
      <c r="AZ39" s="48">
        <v>44270</v>
      </c>
      <c r="BA39" s="48">
        <v>44358</v>
      </c>
      <c r="BB39" s="19" t="s">
        <v>318</v>
      </c>
      <c r="BC39" s="48">
        <v>44344</v>
      </c>
      <c r="BD39" s="48">
        <v>44351</v>
      </c>
      <c r="BE39" s="48">
        <v>44358</v>
      </c>
      <c r="BF39" s="19" t="s">
        <v>319</v>
      </c>
      <c r="BG39" s="20">
        <v>2610.7248</v>
      </c>
      <c r="BH39" s="22">
        <v>-229.52418710538936</v>
      </c>
      <c r="BI39" s="22">
        <v>229.52418710538936</v>
      </c>
      <c r="BJ39" s="14">
        <v>25.74</v>
      </c>
      <c r="BK39" s="22">
        <v>255.26418710538937</v>
      </c>
      <c r="BL39" s="14"/>
      <c r="BM39" s="14">
        <v>0</v>
      </c>
      <c r="BN39" s="14">
        <v>0</v>
      </c>
      <c r="BO39" s="17">
        <v>0</v>
      </c>
      <c r="BP39" s="23">
        <v>70</v>
      </c>
      <c r="BQ39" s="14">
        <v>0</v>
      </c>
      <c r="BR39" s="14"/>
      <c r="BS39" s="14">
        <v>0</v>
      </c>
      <c r="BT39" s="14">
        <v>0</v>
      </c>
      <c r="BU39" s="17">
        <v>0</v>
      </c>
      <c r="BV39" s="23">
        <v>58</v>
      </c>
      <c r="BW39" s="14">
        <v>0</v>
      </c>
      <c r="BX39" s="14"/>
      <c r="BY39" s="14">
        <v>0</v>
      </c>
      <c r="BZ39" s="14">
        <f>SUM(CA39*CB39)</f>
        <v>0</v>
      </c>
      <c r="CA39" s="17">
        <f>SUM((BX39+BY39)*0.00833333333333333)</f>
        <v>0</v>
      </c>
      <c r="CB39" s="23">
        <v>49</v>
      </c>
      <c r="CC39" s="14">
        <f>SUM(BX39,BY39,BZ39)</f>
        <v>0</v>
      </c>
      <c r="CD39" s="14">
        <v>313.04000000000002</v>
      </c>
      <c r="CE39" s="14">
        <f>SUM(CD39*0.1)</f>
        <v>31.304000000000002</v>
      </c>
      <c r="CF39" s="14">
        <f>SUM(CG39*CH39)</f>
        <v>106.17273333333331</v>
      </c>
      <c r="CG39" s="17">
        <f>SUM((CD39+CE39)*0.00833333333333333)</f>
        <v>2.8695333333333326</v>
      </c>
      <c r="CH39" s="23">
        <v>37</v>
      </c>
      <c r="CI39" s="14">
        <f>SUM(CD39,CE39,CF39)</f>
        <v>450.51673333333338</v>
      </c>
      <c r="CJ39" s="14">
        <v>308.88</v>
      </c>
      <c r="CK39" s="14">
        <v>30.888000000000002</v>
      </c>
      <c r="CL39" s="14">
        <f>SUM(CM39*CN39)</f>
        <v>70.784999999999968</v>
      </c>
      <c r="CM39" s="17">
        <f>SUM((CJ39+CK39)*0.00833333333333333)</f>
        <v>2.8313999999999986</v>
      </c>
      <c r="CN39" s="23">
        <v>25</v>
      </c>
      <c r="CO39" s="14">
        <f>SUM(CJ39,CK39,CL39)</f>
        <v>410.55299999999994</v>
      </c>
      <c r="CP39" s="14">
        <v>308.88</v>
      </c>
      <c r="CQ39" s="14">
        <v>30.888000000000002</v>
      </c>
      <c r="CR39" s="14">
        <f>SUM(CS39*CT39)</f>
        <v>36.808199999999985</v>
      </c>
      <c r="CS39" s="17">
        <f>SUM((CP39+CQ39)*0.00833333333333333)</f>
        <v>2.8313999999999986</v>
      </c>
      <c r="CT39" s="23">
        <v>13</v>
      </c>
      <c r="CU39" s="14">
        <f>SUM(CP39,CQ39,CR39)</f>
        <v>376.57619999999997</v>
      </c>
      <c r="CV39" s="14">
        <f>SUM(DP39*0.0052)</f>
        <v>308.88</v>
      </c>
      <c r="CW39" s="14">
        <f>SUM(BL39, BR39, BX39, CD39,CJ39,CP39, CV39)</f>
        <v>1239.68</v>
      </c>
      <c r="CX39" s="14">
        <f>SUM(BM39, BS39, BY39, CE39,CK39,CQ39)</f>
        <v>93.080000000000013</v>
      </c>
      <c r="CY39" s="14">
        <f>SUM(BN39, BT39, BZ39, CF39,CL39,CR39)</f>
        <v>213.76593333333329</v>
      </c>
      <c r="CZ39" s="14">
        <f>SUM(CW39:CY39)</f>
        <v>1546.5259333333333</v>
      </c>
      <c r="DA39" s="47">
        <v>2.0259845117845118E-2</v>
      </c>
      <c r="DB39" s="14">
        <v>1332.5</v>
      </c>
      <c r="DC39" s="32">
        <v>3</v>
      </c>
      <c r="DD39" s="14">
        <f>24.88+25.03</f>
        <v>49.91</v>
      </c>
      <c r="DE39" s="14">
        <v>175</v>
      </c>
      <c r="DF39" s="18"/>
      <c r="DG39" s="14">
        <f>47.41+182.42</f>
        <v>229.82999999999998</v>
      </c>
      <c r="DH39" s="14">
        <v>203.75</v>
      </c>
      <c r="DI39" s="14">
        <v>62.5</v>
      </c>
      <c r="DJ39" s="14">
        <f>SUM(DP39*0.004)</f>
        <v>237.6</v>
      </c>
      <c r="DK39" s="25">
        <v>510</v>
      </c>
      <c r="DL39" s="14">
        <f>SUM(DG39:DK39)</f>
        <v>1243.6799999999998</v>
      </c>
      <c r="DM39" s="24" t="s">
        <v>1997</v>
      </c>
      <c r="DN39" s="25">
        <v>3200</v>
      </c>
      <c r="DO39" s="25">
        <v>56200</v>
      </c>
      <c r="DP39" s="25">
        <v>59400</v>
      </c>
      <c r="DQ39" s="36">
        <v>0.34</v>
      </c>
      <c r="DR39" s="18" t="s">
        <v>2403</v>
      </c>
      <c r="DS39" s="18" t="s">
        <v>2404</v>
      </c>
      <c r="DT39" s="18" t="s">
        <v>2405</v>
      </c>
      <c r="DU39" s="18"/>
      <c r="DV39" s="18"/>
      <c r="DW39" s="18"/>
      <c r="DX39" s="18"/>
      <c r="DY39" s="18"/>
      <c r="DZ39" s="18"/>
      <c r="EA39" s="18"/>
      <c r="EB39" s="14">
        <f>SUM(CZ39,DB39,DL39, DE39, DD39,FK39)</f>
        <v>5972.3659333333326</v>
      </c>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t="s">
        <v>473</v>
      </c>
      <c r="FG39" s="18" t="s">
        <v>474</v>
      </c>
      <c r="FH39" s="18" t="s">
        <v>475</v>
      </c>
      <c r="FI39" s="18" t="s">
        <v>438</v>
      </c>
      <c r="FJ39" s="18" t="s">
        <v>260</v>
      </c>
      <c r="FK39" s="14">
        <f>1363.77+0.55+260.43</f>
        <v>1624.75</v>
      </c>
      <c r="FL39" s="18"/>
      <c r="FM39" s="18"/>
      <c r="FN39" s="18"/>
      <c r="FO39" s="18"/>
      <c r="FP39" s="18"/>
      <c r="FQ39" s="18"/>
      <c r="FR39" s="18"/>
      <c r="FS39" s="18"/>
      <c r="FT39" s="18"/>
      <c r="FU39" s="18"/>
      <c r="FV39" s="18"/>
      <c r="FW39" s="18"/>
      <c r="FX39" s="18">
        <v>1624.75</v>
      </c>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27">
        <v>44499</v>
      </c>
      <c r="IB39" s="18">
        <v>46000</v>
      </c>
      <c r="IC39" s="14">
        <v>4600</v>
      </c>
      <c r="ID39" s="18"/>
      <c r="IE39" s="18"/>
      <c r="IF39" s="18" t="s">
        <v>2756</v>
      </c>
      <c r="IG39" s="18" t="s">
        <v>2737</v>
      </c>
      <c r="IH39" s="18" t="s">
        <v>438</v>
      </c>
      <c r="II39" s="18"/>
      <c r="IJ39" s="18"/>
      <c r="IK39" s="14">
        <v>304.5</v>
      </c>
      <c r="IL39" s="14">
        <f>SUM(IB39-EB39-IJ39)</f>
        <v>40027.634066666666</v>
      </c>
      <c r="IM39" s="14">
        <f>SUM(IL39-IN39)</f>
        <v>29138.331707137768</v>
      </c>
      <c r="IN39" s="14">
        <f>SUM((FX39/EB39)*IL39)</f>
        <v>10889.302359528898</v>
      </c>
      <c r="IO39" s="27">
        <v>44377</v>
      </c>
      <c r="IP39" s="27">
        <v>44397</v>
      </c>
      <c r="IQ39" s="27">
        <v>44501</v>
      </c>
      <c r="IR39" s="27">
        <v>44505</v>
      </c>
      <c r="IS39" s="18"/>
      <c r="IT39" s="18"/>
      <c r="IU39" s="18"/>
      <c r="IV39" s="18"/>
      <c r="IW39" s="18"/>
      <c r="IX39" s="18"/>
      <c r="IY39" s="18"/>
      <c r="IZ39" s="18"/>
      <c r="JA39" s="18"/>
      <c r="JB39" s="18"/>
      <c r="JC39" s="18"/>
    </row>
    <row r="40" spans="1:263" ht="15" customHeight="1">
      <c r="A40" s="19">
        <v>102023086</v>
      </c>
      <c r="B40" s="18" t="s">
        <v>4296</v>
      </c>
      <c r="C40" s="18" t="s">
        <v>258</v>
      </c>
      <c r="D40" s="1">
        <v>2025</v>
      </c>
      <c r="E40" s="3"/>
      <c r="F40" s="3"/>
      <c r="J40" s="18"/>
      <c r="K40" s="18" t="s">
        <v>4297</v>
      </c>
      <c r="L40" s="130"/>
      <c r="M40" s="130"/>
      <c r="N40" s="130"/>
      <c r="O40" s="288"/>
      <c r="P40" s="130"/>
      <c r="Q40" s="130"/>
      <c r="R40" s="130"/>
      <c r="S40" s="130"/>
      <c r="Z40" t="s">
        <v>4321</v>
      </c>
      <c r="AA40" t="s">
        <v>4322</v>
      </c>
      <c r="AB40" t="s">
        <v>4323</v>
      </c>
      <c r="AC40" t="s">
        <v>4324</v>
      </c>
      <c r="AG40" s="43"/>
      <c r="AJ40" s="18" t="s">
        <v>328</v>
      </c>
      <c r="AK40" s="18"/>
      <c r="AL40" s="18" t="s">
        <v>438</v>
      </c>
      <c r="AM40" s="18"/>
      <c r="AN40" s="18"/>
      <c r="AO40" s="18" t="s">
        <v>4317</v>
      </c>
      <c r="AP40" s="18" t="s">
        <v>258</v>
      </c>
      <c r="AQ40" s="18" t="s">
        <v>386</v>
      </c>
      <c r="AR40" s="18" t="s">
        <v>260</v>
      </c>
      <c r="AS40" s="18" t="s">
        <v>473</v>
      </c>
      <c r="AT40" s="18" t="s">
        <v>474</v>
      </c>
      <c r="AU40" s="18" t="s">
        <v>475</v>
      </c>
      <c r="AV40" s="18" t="s">
        <v>438</v>
      </c>
      <c r="AW40" s="18" t="s">
        <v>260</v>
      </c>
      <c r="AX40" s="1"/>
      <c r="AY40" s="1"/>
      <c r="AZ40" s="1"/>
      <c r="BA40" s="1"/>
      <c r="BB40" s="1"/>
      <c r="BC40" s="2"/>
      <c r="BD40" s="116"/>
      <c r="BE40" s="115"/>
      <c r="BF40" s="2"/>
      <c r="BG40" s="2"/>
      <c r="BH40" s="2"/>
      <c r="BI40" s="2"/>
      <c r="BJ40" s="2"/>
      <c r="BK40" s="2"/>
      <c r="BL40" s="20">
        <f ca="1">SUM(DP40)+220</f>
        <v>251.2088</v>
      </c>
      <c r="BM40" s="22">
        <f ca="1">PMT(10%/12,12,BL40,0,0)</f>
        <v>-22.085244531986032</v>
      </c>
      <c r="BN40" s="22">
        <f ca="1">SUM(BM40*-1)</f>
        <v>22.085244531986032</v>
      </c>
      <c r="BO40" s="14">
        <f>SUM(DX40*0.0052)/12</f>
        <v>0.30333333333333329</v>
      </c>
      <c r="BP40" s="22">
        <f ca="1">SUM(BN40+BO40)</f>
        <v>22.388577865319366</v>
      </c>
      <c r="BQ40" s="14"/>
      <c r="BR40" s="14">
        <f>SUM(BQ40*0.1)</f>
        <v>0</v>
      </c>
      <c r="BS40" s="14">
        <f ca="1">SUM(BT40*BU40)</f>
        <v>0</v>
      </c>
      <c r="BT40" s="17">
        <f>SUM((BQ40+BR40)*0.00833333333333333)</f>
        <v>0</v>
      </c>
      <c r="BU40" s="23">
        <f ca="1">MONTH(TODAY())+49</f>
        <v>53</v>
      </c>
      <c r="BV40" s="14">
        <f ca="1">SUM(BQ40,BR40,BS40)</f>
        <v>0</v>
      </c>
      <c r="BW40" s="14"/>
      <c r="BX40" s="14">
        <f>SUM(BW40*0.1)</f>
        <v>0</v>
      </c>
      <c r="BY40" s="14">
        <f ca="1">SUM(BZ40*CA40)</f>
        <v>0</v>
      </c>
      <c r="BZ40" s="17">
        <f>SUM((BW40+BX40)*0.00833333333333333)</f>
        <v>0</v>
      </c>
      <c r="CA40" s="23">
        <f ca="1">MONTH(TODAY())+37</f>
        <v>41</v>
      </c>
      <c r="CB40" s="14">
        <f ca="1">SUM(BW40,BX40,BY40)</f>
        <v>0</v>
      </c>
      <c r="CC40" s="14">
        <v>0</v>
      </c>
      <c r="CD40" s="14">
        <f>SUM(CC40*0.1)</f>
        <v>0</v>
      </c>
      <c r="CE40" s="14">
        <f ca="1">SUM(CF40*CG40)</f>
        <v>0</v>
      </c>
      <c r="CF40" s="17">
        <f>SUM((CC40+CD40)*0.00833333333333333)</f>
        <v>0</v>
      </c>
      <c r="CG40" s="23">
        <f ca="1">MONTH(TODAY())+25</f>
        <v>29</v>
      </c>
      <c r="CH40" s="14">
        <f ca="1">SUM(CC40,CD40,CE40)</f>
        <v>0</v>
      </c>
      <c r="CI40" s="14">
        <f>SUM(DU40*0.0052)</f>
        <v>3.6399999999999997</v>
      </c>
      <c r="CJ40" s="14">
        <f>SUM(CI40*0.1)</f>
        <v>0.36399999999999999</v>
      </c>
      <c r="CK40" s="14">
        <f ca="1">SUM(CL40*CM40)</f>
        <v>0.56723333333333303</v>
      </c>
      <c r="CL40" s="17">
        <f>SUM((CI40+CJ40)*0.00833333333333333)</f>
        <v>3.3366666666666649E-2</v>
      </c>
      <c r="CM40" s="23">
        <f ca="1">MONTH(TODAY())+13</f>
        <v>17</v>
      </c>
      <c r="CN40" s="14">
        <f ca="1">SUM(CI40,CJ40,CK40)</f>
        <v>4.5712333333333328</v>
      </c>
      <c r="CO40" s="14">
        <f>SUM(DU40*0.0052)/2</f>
        <v>1.8199999999999998</v>
      </c>
      <c r="CP40" s="14">
        <f>SUM(CO40*0.1)</f>
        <v>0.182</v>
      </c>
      <c r="CQ40" s="14">
        <f ca="1">SUM(CR40*CS40)</f>
        <v>0.15014999999999992</v>
      </c>
      <c r="CR40" s="17">
        <f>SUM((CO40+CP40)*0.00833333333333333)</f>
        <v>1.6683333333333324E-2</v>
      </c>
      <c r="CS40" s="23">
        <f ca="1">MONTH(TODAY())+5</f>
        <v>9</v>
      </c>
      <c r="CT40" s="23">
        <f ca="1">SUM(CO40,CP40,CQ40)</f>
        <v>2.1521499999999998</v>
      </c>
      <c r="CU40" s="14">
        <f>SUM(DU40*0.0052)/2</f>
        <v>1.8199999999999998</v>
      </c>
      <c r="CV40" s="14">
        <f>SUM(CU40*0.1)</f>
        <v>0.182</v>
      </c>
      <c r="CW40" s="14">
        <f ca="1">SUM(CX40*CY40)</f>
        <v>8.3416666666666625E-2</v>
      </c>
      <c r="CX40" s="17">
        <f>SUM((CU40+CV40)*0.00833333333333333)</f>
        <v>1.6683333333333324E-2</v>
      </c>
      <c r="CY40" s="23">
        <f ca="1">MONTH(TODAY())+1</f>
        <v>5</v>
      </c>
      <c r="CZ40" s="23">
        <f ca="1">SUM(CU40,CV40,CW40)</f>
        <v>2.0854166666666663</v>
      </c>
      <c r="DA40" s="14">
        <f>SUM( BQ40, BW40, CC40, CI40, CO40,CU40)</f>
        <v>7.2799999999999994</v>
      </c>
      <c r="DB40" s="14">
        <f>SUM(BR40,BX40,CD40,CJ40, CP40,CV40)</f>
        <v>0.72799999999999998</v>
      </c>
      <c r="DC40" s="14">
        <f ca="1">SUM(BS40,BY40,CE40,CK40, CQ40,CW40)</f>
        <v>0.80079999999999951</v>
      </c>
      <c r="DD40" s="25">
        <f ca="1">SUM(DA40:DC40)</f>
        <v>8.808799999999998</v>
      </c>
      <c r="DE40" s="47">
        <f ca="1">SUM(DD40/DU40)</f>
        <v>1.2583999999999996E-2</v>
      </c>
      <c r="DF40" s="14">
        <v>20</v>
      </c>
      <c r="DG40" s="32">
        <f>COUNTIF(DL40, "*")+COUNTIF(AO40, "*")+COUNTIF(AJ40, "*")+COUNTIF(AA40, "*")+COUNTIF(EM40, "*")+COUNTIF(ES40, "*")+COUNTIF(EY40, "*")+COUNTIF(FC40, "*")+COUNTIF(FJ40, "*")+COUNTIF(AT40, "*")+COUNTIF(FS40, "*")+COUNTIF(GD40, "*")+COUNTIF(GO40, "*")+COUNTIF(GW40, "*")+COUNTIF(HE40, "*")+COUNTIF(HM40, "*")+COUNTIF(HU40, "*")</f>
        <v>4</v>
      </c>
      <c r="DH40" s="14">
        <f>DG40*0.6</f>
        <v>2.4</v>
      </c>
      <c r="DI40" s="4"/>
      <c r="DJ40" s="4"/>
      <c r="DK40" s="4"/>
      <c r="DL40" s="4"/>
      <c r="DN40" s="4"/>
      <c r="DO40" s="14">
        <f>SUM(DJ40:DN40)</f>
        <v>0</v>
      </c>
      <c r="DP40" s="14">
        <f ca="1">SUM(DD40,DF40,DO40, DI40, DH40,FP40)</f>
        <v>31.208799999999997</v>
      </c>
      <c r="DQ40" s="24" t="s">
        <v>3879</v>
      </c>
      <c r="DR40" s="130">
        <v>1</v>
      </c>
      <c r="DS40" s="14">
        <v>700</v>
      </c>
      <c r="DT40" s="14">
        <v>0</v>
      </c>
      <c r="DU40" s="14">
        <v>700</v>
      </c>
      <c r="DV40" s="14">
        <v>700</v>
      </c>
      <c r="DW40" s="14">
        <v>0</v>
      </c>
      <c r="DX40" s="14">
        <f>SUM(DV40+DW40)</f>
        <v>700</v>
      </c>
      <c r="IA40" s="9"/>
      <c r="IL40" s="14">
        <f ca="1">SUM(IB40-DP40-FP40-IJ40)</f>
        <v>-31.208799999999997</v>
      </c>
      <c r="IM40" s="9"/>
      <c r="IN40" s="9"/>
      <c r="IO40" s="9"/>
      <c r="IP40" s="9"/>
      <c r="IQ40" s="9"/>
    </row>
    <row r="41" spans="1:263" ht="15" customHeight="1">
      <c r="A41" s="2">
        <v>102019016</v>
      </c>
      <c r="B41" s="4" t="s">
        <v>1326</v>
      </c>
      <c r="C41" s="4" t="s">
        <v>258</v>
      </c>
      <c r="D41" s="3"/>
      <c r="E41" s="2"/>
      <c r="F41" s="2"/>
      <c r="G41" s="2"/>
      <c r="H41" s="2"/>
      <c r="J41" t="s">
        <v>253</v>
      </c>
      <c r="K41" t="s">
        <v>810</v>
      </c>
      <c r="L41" t="s">
        <v>443</v>
      </c>
      <c r="M41" t="s">
        <v>428</v>
      </c>
      <c r="O41" s="1" t="s">
        <v>258</v>
      </c>
      <c r="T41" s="1"/>
      <c r="AJ41" s="4"/>
      <c r="AK41" s="4"/>
      <c r="AO41" s="4"/>
      <c r="AP41" s="5"/>
      <c r="AS41" s="5"/>
      <c r="AT41" s="5"/>
      <c r="AU41" s="1"/>
      <c r="AV41" s="1"/>
      <c r="AW41" s="1"/>
      <c r="AX41" s="1"/>
      <c r="AY41" s="1"/>
      <c r="AZ41" s="1"/>
      <c r="BA41" s="1"/>
      <c r="BB41" s="1"/>
      <c r="BC41" s="1"/>
      <c r="BD41" s="1"/>
      <c r="BE41" s="1"/>
      <c r="BF41" s="1"/>
      <c r="BG41" s="5"/>
      <c r="BH41" s="16"/>
      <c r="BI41" s="16"/>
      <c r="BJ41" s="4"/>
      <c r="BK41" s="4"/>
      <c r="BL41" s="4"/>
      <c r="BM41" s="6"/>
      <c r="BN41" s="7"/>
      <c r="BO41" s="4"/>
      <c r="BQ41" s="4"/>
      <c r="BR41" s="4"/>
      <c r="BS41" s="6"/>
      <c r="BT41" s="7"/>
      <c r="BU41" s="4"/>
      <c r="BV41" s="4"/>
      <c r="BW41" s="4"/>
      <c r="BX41" s="4"/>
      <c r="BY41" s="6"/>
      <c r="BZ41" s="7"/>
      <c r="CA41" s="4"/>
      <c r="CB41" s="4"/>
      <c r="CC41" s="4"/>
      <c r="CD41" s="4"/>
      <c r="CE41" s="6"/>
      <c r="CF41" s="7"/>
      <c r="CG41" s="4"/>
      <c r="CH41" s="4"/>
      <c r="CI41" s="4"/>
      <c r="CJ41" s="4"/>
      <c r="CK41" s="6"/>
      <c r="CL41" s="7"/>
      <c r="CM41" s="4"/>
      <c r="CN41" s="4"/>
      <c r="CO41" s="4"/>
      <c r="CP41" s="4"/>
      <c r="CQ41" s="6"/>
      <c r="CR41" s="7"/>
      <c r="CS41" s="4"/>
      <c r="CT41" s="4"/>
      <c r="CU41" s="4"/>
      <c r="CV41" s="4"/>
      <c r="CW41" s="6"/>
      <c r="CX41" s="7"/>
      <c r="CY41" s="4"/>
      <c r="CZ41" s="4"/>
      <c r="DA41" s="4"/>
      <c r="DB41" s="4"/>
      <c r="DC41" s="6"/>
      <c r="DD41" s="7"/>
      <c r="DE41" s="4"/>
      <c r="DF41" s="4"/>
      <c r="DG41" s="4"/>
      <c r="DH41" s="14"/>
      <c r="DI41" s="14"/>
      <c r="DJ41" s="4"/>
      <c r="DK41" s="3"/>
      <c r="DL41" s="4"/>
      <c r="DM41" s="234"/>
      <c r="DN41" s="7"/>
      <c r="DO41" s="4"/>
      <c r="DP41" s="4"/>
      <c r="DQ41" s="4"/>
      <c r="DR41" s="4"/>
      <c r="DS41" s="4"/>
      <c r="DT41" s="7"/>
      <c r="DU41" s="8"/>
      <c r="DV41" s="4"/>
      <c r="DW41" s="8"/>
      <c r="DX41" s="4"/>
      <c r="DY41" s="4"/>
      <c r="DZ41" s="7"/>
      <c r="EI41" s="11"/>
      <c r="EO41" s="11"/>
      <c r="EP41" s="11"/>
      <c r="EQ41" s="4"/>
      <c r="ER41" s="4"/>
      <c r="ES41" s="4"/>
      <c r="ET41" s="4"/>
      <c r="EU41" s="4"/>
      <c r="EV41" s="4"/>
      <c r="EW41" s="4"/>
      <c r="EX41" s="4"/>
      <c r="EY41" s="4"/>
      <c r="EZ41" s="4"/>
      <c r="FA41" s="4"/>
      <c r="FB41" s="4"/>
      <c r="FC41" s="4"/>
      <c r="FD41" s="4"/>
      <c r="FE41" s="4"/>
      <c r="FI41" s="9"/>
      <c r="FR41" s="9"/>
      <c r="FX41" s="4"/>
      <c r="GC41" s="10"/>
      <c r="GM41" s="10"/>
      <c r="HB41" s="9"/>
      <c r="IJ41" s="4"/>
      <c r="IK41" s="4"/>
      <c r="IL41" s="27"/>
      <c r="IM41" s="18"/>
      <c r="IN41" s="18" t="s">
        <v>1410</v>
      </c>
      <c r="IO41" s="18" t="s">
        <v>846</v>
      </c>
      <c r="IP41" s="18" t="s">
        <v>386</v>
      </c>
      <c r="IQ41" t="s">
        <v>1411</v>
      </c>
      <c r="IR41" s="18">
        <v>124.49</v>
      </c>
      <c r="IS41" s="14">
        <v>105.5</v>
      </c>
      <c r="IT41" s="14">
        <f>SUM(IJ41-DP41-IR41)</f>
        <v>-124.49</v>
      </c>
      <c r="IU41" s="27">
        <v>43549</v>
      </c>
      <c r="IV41" s="27">
        <v>43565</v>
      </c>
      <c r="IW41" s="27">
        <v>43699</v>
      </c>
      <c r="IX41" s="27">
        <v>43711</v>
      </c>
      <c r="IY41" s="18"/>
      <c r="JB41" s="18"/>
      <c r="JC41" s="18"/>
    </row>
    <row r="42" spans="1:263" ht="15" customHeight="1">
      <c r="A42" s="19">
        <v>102019013</v>
      </c>
      <c r="B42" s="14" t="s">
        <v>1777</v>
      </c>
      <c r="C42" s="20" t="s">
        <v>258</v>
      </c>
      <c r="D42" s="20"/>
      <c r="E42" s="24" t="s">
        <v>1863</v>
      </c>
      <c r="F42" s="19">
        <v>200002796</v>
      </c>
      <c r="G42" s="18"/>
      <c r="H42" s="18"/>
      <c r="I42" s="18"/>
      <c r="J42" s="18" t="s">
        <v>554</v>
      </c>
      <c r="K42" s="18" t="s">
        <v>555</v>
      </c>
      <c r="L42" s="18" t="s">
        <v>556</v>
      </c>
      <c r="M42" s="18" t="s">
        <v>392</v>
      </c>
      <c r="N42" s="18"/>
      <c r="O42" s="13"/>
      <c r="P42" s="18" t="s">
        <v>555</v>
      </c>
      <c r="Q42" s="18" t="s">
        <v>557</v>
      </c>
      <c r="R42" s="18" t="s">
        <v>448</v>
      </c>
      <c r="S42" s="18"/>
      <c r="T42" s="13"/>
      <c r="U42" s="18"/>
      <c r="V42" s="18"/>
      <c r="W42" s="18"/>
      <c r="X42" s="18"/>
      <c r="Y42" s="18"/>
      <c r="Z42" s="18"/>
      <c r="AA42" s="18"/>
      <c r="AB42" s="18"/>
      <c r="AC42" s="18"/>
      <c r="AD42" s="18"/>
      <c r="AE42" s="18"/>
      <c r="AF42" s="18"/>
      <c r="AG42" s="231"/>
      <c r="AH42" s="18"/>
      <c r="AI42" s="18"/>
      <c r="AJ42" s="14"/>
      <c r="AK42" s="14"/>
      <c r="AL42" s="18"/>
      <c r="AM42" s="24"/>
      <c r="AN42" s="24"/>
      <c r="AO42" s="14"/>
      <c r="AP42" s="20"/>
      <c r="AQ42" s="24"/>
      <c r="AR42" s="24"/>
      <c r="AS42" s="20"/>
      <c r="AT42" s="20"/>
      <c r="AU42" s="13"/>
      <c r="AV42" s="13"/>
      <c r="AW42" s="13"/>
      <c r="AX42" s="48"/>
      <c r="AY42" s="48"/>
      <c r="AZ42" s="48"/>
      <c r="BA42" s="48"/>
      <c r="BB42" s="19"/>
      <c r="BC42" s="48"/>
      <c r="BD42" s="48"/>
      <c r="BE42" s="48"/>
      <c r="BF42" s="19"/>
      <c r="BG42" s="20"/>
      <c r="BH42" s="22"/>
      <c r="BI42" s="22"/>
      <c r="BJ42" s="14"/>
      <c r="BK42" s="14"/>
      <c r="BL42" s="14"/>
      <c r="BM42" s="17"/>
      <c r="BN42" s="23"/>
      <c r="BO42" s="14"/>
      <c r="BP42" s="14"/>
      <c r="BQ42" s="14"/>
      <c r="BR42" s="14"/>
      <c r="BS42" s="17"/>
      <c r="BT42" s="23"/>
      <c r="BU42" s="14"/>
      <c r="BV42" s="14"/>
      <c r="BW42" s="14"/>
      <c r="BX42" s="14"/>
      <c r="BY42" s="17"/>
      <c r="BZ42" s="23"/>
      <c r="CA42" s="14"/>
      <c r="CB42" s="14"/>
      <c r="CC42" s="14"/>
      <c r="CD42" s="14"/>
      <c r="CE42" s="17"/>
      <c r="CF42" s="23"/>
      <c r="CG42" s="14"/>
      <c r="CH42" s="14"/>
      <c r="CI42" s="14"/>
      <c r="CJ42" s="14"/>
      <c r="CK42" s="17"/>
      <c r="CL42" s="23"/>
      <c r="CM42" s="14"/>
      <c r="CN42" s="14"/>
      <c r="CO42" s="14"/>
      <c r="CP42" s="14"/>
      <c r="CQ42" s="17"/>
      <c r="CR42" s="23"/>
      <c r="CS42" s="14"/>
      <c r="CT42" s="18"/>
      <c r="CU42" s="14"/>
      <c r="CV42" s="14"/>
      <c r="CW42" s="17"/>
      <c r="CX42" s="23"/>
      <c r="CY42" s="14"/>
      <c r="CZ42" s="14"/>
      <c r="DA42" s="14"/>
      <c r="DB42" s="14"/>
      <c r="DC42" s="14"/>
      <c r="DD42" s="14"/>
      <c r="DE42" s="47"/>
      <c r="DF42" s="24"/>
      <c r="DG42" s="14"/>
      <c r="DH42" s="32"/>
      <c r="DI42" s="14"/>
      <c r="DJ42" s="14"/>
      <c r="DK42" s="14"/>
      <c r="DL42" s="14"/>
      <c r="DM42" s="14"/>
      <c r="DN42" s="14"/>
      <c r="DO42" s="23"/>
      <c r="DP42" s="25"/>
      <c r="DQ42" s="14"/>
      <c r="DR42" s="25"/>
      <c r="DS42" s="25"/>
      <c r="DT42" s="25"/>
      <c r="DU42" s="36"/>
      <c r="DV42" s="18"/>
      <c r="DW42" s="18"/>
      <c r="DX42" s="18"/>
      <c r="DY42" s="18"/>
      <c r="DZ42" s="18"/>
      <c r="EA42" s="18"/>
      <c r="EB42" s="18"/>
      <c r="EC42" s="18"/>
      <c r="ED42" s="30"/>
      <c r="EE42" s="18"/>
      <c r="EF42" s="18"/>
      <c r="EG42" s="18"/>
      <c r="EH42" s="18"/>
      <c r="EI42" s="18"/>
      <c r="EJ42" s="18"/>
      <c r="EK42" s="18"/>
      <c r="EL42" s="18"/>
      <c r="EM42" s="14"/>
      <c r="EN42" s="14"/>
      <c r="EO42" s="14"/>
      <c r="EP42" s="14"/>
      <c r="EQ42" s="14"/>
      <c r="ER42" s="14"/>
      <c r="ES42" s="14"/>
      <c r="ET42" s="14"/>
      <c r="EU42" s="14"/>
      <c r="EV42" s="14"/>
      <c r="EW42" s="14"/>
      <c r="EX42" s="14"/>
      <c r="EY42" s="14"/>
      <c r="EZ42" s="14"/>
      <c r="FA42" s="18"/>
      <c r="FB42" s="18"/>
      <c r="FC42" s="18"/>
      <c r="FD42" s="27"/>
      <c r="FE42" s="18"/>
      <c r="FF42" s="18"/>
      <c r="FG42" s="18"/>
      <c r="FH42" s="18"/>
      <c r="FI42" s="18"/>
      <c r="FJ42" s="18"/>
      <c r="FK42" s="18"/>
      <c r="FL42" s="18"/>
      <c r="FM42" s="27"/>
      <c r="FN42" s="18"/>
      <c r="FO42" s="18"/>
      <c r="FP42" s="18"/>
      <c r="FQ42" s="18"/>
      <c r="FR42" s="18"/>
      <c r="FS42" s="14"/>
      <c r="FT42" s="18"/>
      <c r="FU42" s="18"/>
      <c r="FV42" s="18"/>
      <c r="FW42" s="18"/>
      <c r="FX42" s="28"/>
      <c r="FY42" s="18"/>
      <c r="FZ42" s="27"/>
      <c r="GA42" s="18"/>
      <c r="GB42" s="18"/>
      <c r="GC42" s="18"/>
      <c r="GD42" s="18"/>
      <c r="GE42" s="18"/>
      <c r="GF42" s="18"/>
      <c r="GG42" s="18"/>
      <c r="GH42" s="28"/>
      <c r="GI42" s="18"/>
      <c r="GJ42" s="18"/>
      <c r="GK42" s="18"/>
      <c r="GL42" s="18"/>
      <c r="GM42" s="18"/>
      <c r="GN42" s="18"/>
      <c r="GO42" s="18"/>
      <c r="GP42" s="18"/>
      <c r="GQ42" s="18"/>
      <c r="GR42" s="18"/>
      <c r="GS42" s="18"/>
      <c r="GT42" s="18"/>
      <c r="GU42" s="18"/>
      <c r="GV42" s="18"/>
      <c r="GW42" s="27"/>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27"/>
      <c r="IE42" s="14"/>
      <c r="IF42" s="14"/>
      <c r="IG42" s="27"/>
      <c r="IH42" s="18"/>
      <c r="II42" s="18"/>
      <c r="IJ42" s="18"/>
      <c r="IK42" s="18"/>
      <c r="IL42" s="18"/>
      <c r="IM42" s="18"/>
      <c r="IN42" s="14"/>
      <c r="IO42" s="14"/>
      <c r="IP42" s="18"/>
      <c r="IQ42" s="18"/>
      <c r="IR42" s="18"/>
      <c r="IS42" s="18"/>
      <c r="IT42" s="18"/>
    </row>
    <row r="43" spans="1:263" ht="15" customHeight="1">
      <c r="A43" s="19">
        <v>102019013</v>
      </c>
      <c r="B43" s="14" t="s">
        <v>1777</v>
      </c>
      <c r="C43" s="14"/>
      <c r="D43" s="14"/>
      <c r="E43" s="24" t="s">
        <v>1863</v>
      </c>
      <c r="F43" s="19">
        <v>200002796</v>
      </c>
      <c r="G43" s="19"/>
      <c r="H43" s="19"/>
      <c r="I43" s="19"/>
      <c r="J43" s="18" t="s">
        <v>554</v>
      </c>
      <c r="K43" s="18" t="s">
        <v>555</v>
      </c>
      <c r="L43" s="18" t="s">
        <v>556</v>
      </c>
      <c r="M43" s="18" t="s">
        <v>392</v>
      </c>
      <c r="N43" s="18"/>
      <c r="O43" s="13"/>
      <c r="P43" s="18" t="s">
        <v>555</v>
      </c>
      <c r="Q43" s="18" t="s">
        <v>557</v>
      </c>
      <c r="R43" s="18" t="s">
        <v>448</v>
      </c>
      <c r="S43" s="18"/>
      <c r="T43" s="13"/>
      <c r="U43" s="18"/>
      <c r="V43" s="18"/>
      <c r="W43" s="18"/>
      <c r="X43" s="18"/>
      <c r="Y43" s="18"/>
      <c r="Z43" s="18"/>
      <c r="AA43" s="18"/>
      <c r="AB43" s="18"/>
      <c r="AC43" s="18"/>
      <c r="AD43" s="18"/>
      <c r="AE43" s="18"/>
      <c r="AF43" s="18"/>
      <c r="AG43" s="37"/>
      <c r="AH43" s="18"/>
      <c r="AI43" s="18"/>
      <c r="AJ43" s="14" t="s">
        <v>558</v>
      </c>
      <c r="AK43" s="14" t="s">
        <v>258</v>
      </c>
      <c r="AL43" s="18" t="s">
        <v>438</v>
      </c>
      <c r="AM43" s="18" t="s">
        <v>260</v>
      </c>
      <c r="AN43" s="18" t="s">
        <v>559</v>
      </c>
      <c r="AO43" s="14" t="s">
        <v>560</v>
      </c>
      <c r="AP43" s="20"/>
      <c r="AQ43" s="18" t="s">
        <v>386</v>
      </c>
      <c r="AR43" s="24"/>
      <c r="AS43" s="20"/>
      <c r="AT43" s="20"/>
      <c r="AU43" s="13" t="s">
        <v>258</v>
      </c>
      <c r="AV43" s="13" t="s">
        <v>258</v>
      </c>
      <c r="AW43" s="13" t="s">
        <v>258</v>
      </c>
      <c r="AX43" s="21">
        <v>43972</v>
      </c>
      <c r="AY43" s="21">
        <v>43807</v>
      </c>
      <c r="AZ43" s="21">
        <v>43902</v>
      </c>
      <c r="BA43" s="21">
        <v>44022</v>
      </c>
      <c r="BB43" s="13" t="s">
        <v>1833</v>
      </c>
      <c r="BC43" s="21">
        <v>44008</v>
      </c>
      <c r="BD43" s="21">
        <v>44015</v>
      </c>
      <c r="BE43" s="27">
        <v>44057</v>
      </c>
      <c r="BF43" s="18" t="s">
        <v>319</v>
      </c>
      <c r="BG43" s="20">
        <v>6368.4969113636362</v>
      </c>
      <c r="BH43" s="22">
        <v>-559.89205628410991</v>
      </c>
      <c r="BI43" s="22">
        <v>559.89205628410991</v>
      </c>
      <c r="BJ43" s="14"/>
      <c r="BK43" s="14">
        <v>0</v>
      </c>
      <c r="BL43" s="14">
        <v>0</v>
      </c>
      <c r="BM43" s="17">
        <v>0</v>
      </c>
      <c r="BN43" s="23">
        <v>84</v>
      </c>
      <c r="BO43" s="14">
        <v>0</v>
      </c>
      <c r="BP43" s="14"/>
      <c r="BQ43" s="14">
        <v>0</v>
      </c>
      <c r="BR43" s="14">
        <v>0</v>
      </c>
      <c r="BS43" s="17">
        <v>0</v>
      </c>
      <c r="BT43" s="23">
        <v>72</v>
      </c>
      <c r="BU43" s="14">
        <v>0</v>
      </c>
      <c r="BV43" s="14"/>
      <c r="BW43" s="14">
        <v>0</v>
      </c>
      <c r="BX43" s="14">
        <v>0</v>
      </c>
      <c r="BY43" s="17">
        <v>0</v>
      </c>
      <c r="BZ43" s="23">
        <v>61</v>
      </c>
      <c r="CA43" s="14">
        <v>0</v>
      </c>
      <c r="CB43" s="14">
        <v>81.64</v>
      </c>
      <c r="CC43" s="14">
        <v>8.1639999999999997</v>
      </c>
      <c r="CD43" s="14">
        <v>36.669966666666653</v>
      </c>
      <c r="CE43" s="17">
        <v>0.7483666666666664</v>
      </c>
      <c r="CF43" s="23">
        <v>49</v>
      </c>
      <c r="CG43" s="14">
        <v>126.47396666666666</v>
      </c>
      <c r="CH43" s="14">
        <v>81.64</v>
      </c>
      <c r="CI43" s="14">
        <v>8.1639999999999997</v>
      </c>
      <c r="CJ43" s="14">
        <v>27.689566666666657</v>
      </c>
      <c r="CK43" s="17">
        <v>0.7483666666666664</v>
      </c>
      <c r="CL43" s="23">
        <v>37</v>
      </c>
      <c r="CM43" s="14">
        <v>117.49356666666665</v>
      </c>
      <c r="CN43" s="14">
        <v>81.64</v>
      </c>
      <c r="CO43" s="14">
        <v>8.1639999999999997</v>
      </c>
      <c r="CP43" s="14">
        <v>18.709166666666661</v>
      </c>
      <c r="CQ43" s="17">
        <v>0.7483666666666664</v>
      </c>
      <c r="CR43" s="23">
        <v>25</v>
      </c>
      <c r="CS43" s="14">
        <v>108.51316666666666</v>
      </c>
      <c r="CT43" s="18">
        <v>98.43</v>
      </c>
      <c r="CU43" s="14">
        <v>9.8430000000000017</v>
      </c>
      <c r="CV43" s="14">
        <v>11.729574999999997</v>
      </c>
      <c r="CW43" s="17">
        <v>0.90227499999999972</v>
      </c>
      <c r="CX43" s="23">
        <v>13</v>
      </c>
      <c r="CY43" s="14">
        <v>120.00257500000001</v>
      </c>
      <c r="CZ43" s="14">
        <v>95.679999999999993</v>
      </c>
      <c r="DA43" s="14">
        <v>439.03000000000003</v>
      </c>
      <c r="DB43" s="14">
        <v>34.335000000000001</v>
      </c>
      <c r="DC43" s="14">
        <v>94.798274999999961</v>
      </c>
      <c r="DD43" s="14">
        <v>568.163275</v>
      </c>
      <c r="DE43" s="24" t="s">
        <v>472</v>
      </c>
      <c r="DF43" s="14">
        <v>1363</v>
      </c>
      <c r="DG43" s="32">
        <v>5</v>
      </c>
      <c r="DH43" s="14">
        <v>61.844999999999999</v>
      </c>
      <c r="DI43" s="14">
        <v>150</v>
      </c>
      <c r="DJ43" s="14">
        <v>6161.9969113636362</v>
      </c>
      <c r="DK43" s="14">
        <v>166.875</v>
      </c>
      <c r="DL43" s="14">
        <v>928.41363636363644</v>
      </c>
      <c r="DM43" s="14">
        <v>47.75</v>
      </c>
      <c r="DN43" s="14">
        <v>100</v>
      </c>
      <c r="DO43" s="25">
        <v>305</v>
      </c>
      <c r="DP43" s="14">
        <v>1548.0386363636364</v>
      </c>
      <c r="DQ43" s="25">
        <v>10600</v>
      </c>
      <c r="DR43" s="25">
        <v>7800</v>
      </c>
      <c r="DS43" s="25">
        <v>18400</v>
      </c>
      <c r="DT43" s="36">
        <v>0.53</v>
      </c>
      <c r="DU43" s="18" t="s">
        <v>1773</v>
      </c>
      <c r="DV43" s="18" t="s">
        <v>1774</v>
      </c>
      <c r="DW43" s="18" t="s">
        <v>1775</v>
      </c>
      <c r="DX43" s="18"/>
      <c r="DY43" s="18"/>
      <c r="DZ43" s="18"/>
      <c r="EA43" s="18"/>
      <c r="EB43" s="18"/>
      <c r="EC43" s="18"/>
      <c r="ED43" s="18"/>
      <c r="EE43" s="18"/>
      <c r="EF43" s="18"/>
      <c r="EG43" s="18" t="s">
        <v>1776</v>
      </c>
      <c r="EH43" s="18"/>
      <c r="EI43" t="s">
        <v>1941</v>
      </c>
      <c r="EJ43" t="s">
        <v>1942</v>
      </c>
      <c r="EK43" t="s">
        <v>1943</v>
      </c>
      <c r="EM43" s="18"/>
      <c r="EN43" s="18"/>
      <c r="EO43" s="18"/>
      <c r="EP43" s="14"/>
      <c r="EQ43" s="14"/>
      <c r="ER43" s="14"/>
      <c r="ES43" s="14"/>
      <c r="ET43" s="14"/>
      <c r="EU43" s="14"/>
      <c r="EV43" s="14"/>
      <c r="EW43" s="14"/>
      <c r="EX43" s="14"/>
      <c r="EY43" s="14"/>
      <c r="EZ43" s="18"/>
      <c r="FA43" s="18"/>
      <c r="FB43" s="18"/>
      <c r="FC43" s="27"/>
      <c r="FD43" s="18"/>
      <c r="FE43" s="18"/>
      <c r="FF43" s="18"/>
      <c r="FG43" s="18"/>
      <c r="FH43" s="18"/>
      <c r="FI43" s="18"/>
      <c r="FJ43" s="18"/>
      <c r="FK43" s="18"/>
      <c r="FL43" s="18" t="s">
        <v>473</v>
      </c>
      <c r="FM43" s="18" t="s">
        <v>474</v>
      </c>
      <c r="FN43" s="18" t="s">
        <v>475</v>
      </c>
      <c r="FO43" s="18" t="s">
        <v>438</v>
      </c>
      <c r="FP43" s="18" t="s">
        <v>260</v>
      </c>
      <c r="FQ43" s="14">
        <v>2470.9499999999998</v>
      </c>
      <c r="FR43" s="18" t="s">
        <v>961</v>
      </c>
      <c r="FS43" s="18" t="s">
        <v>962</v>
      </c>
      <c r="FT43" s="18" t="s">
        <v>1900</v>
      </c>
      <c r="FU43" s="18"/>
      <c r="FV43" s="28" t="s">
        <v>1901</v>
      </c>
      <c r="FW43" s="18" t="s">
        <v>750</v>
      </c>
      <c r="FX43" s="27">
        <v>38421</v>
      </c>
      <c r="FY43" s="18" t="s">
        <v>1902</v>
      </c>
      <c r="FZ43" s="18"/>
      <c r="GA43" s="18"/>
      <c r="GB43" s="18"/>
      <c r="GC43" s="18"/>
      <c r="GD43" s="18"/>
      <c r="GE43" s="18"/>
      <c r="GF43" s="28"/>
      <c r="GG43" s="18"/>
      <c r="GH43" s="18"/>
      <c r="GI43" s="18"/>
      <c r="GJ43" s="18"/>
      <c r="GK43" s="18"/>
      <c r="GL43" s="18"/>
      <c r="GM43" s="18"/>
      <c r="GN43" s="18"/>
      <c r="GO43" s="18"/>
      <c r="GP43" s="18"/>
      <c r="GQ43" s="18"/>
      <c r="GR43" s="18"/>
      <c r="GS43" s="18"/>
      <c r="GT43" s="18"/>
      <c r="GU43" s="27"/>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27">
        <v>44128</v>
      </c>
      <c r="IC43" s="14">
        <v>18400</v>
      </c>
      <c r="ID43" s="27">
        <v>44128</v>
      </c>
      <c r="IE43" s="14">
        <v>6300</v>
      </c>
      <c r="IF43" s="14">
        <v>630</v>
      </c>
      <c r="IG43" s="27"/>
      <c r="IH43" s="18" t="s">
        <v>1953</v>
      </c>
      <c r="II43" s="18" t="s">
        <v>1954</v>
      </c>
      <c r="IJ43" s="18" t="s">
        <v>438</v>
      </c>
      <c r="IK43" s="18"/>
      <c r="IL43" s="14"/>
      <c r="IM43" s="14"/>
      <c r="IN43" s="14">
        <v>126.83</v>
      </c>
      <c r="IO43" s="14">
        <v>138.00308863636383</v>
      </c>
      <c r="IP43" s="27">
        <v>44098</v>
      </c>
      <c r="IQ43" s="27">
        <v>44124</v>
      </c>
      <c r="IR43" s="27">
        <v>44131</v>
      </c>
      <c r="IS43" s="27">
        <v>44137</v>
      </c>
      <c r="IT43" s="27">
        <v>44148</v>
      </c>
      <c r="IU43" s="18"/>
      <c r="IV43" s="18"/>
      <c r="IW43" s="18"/>
      <c r="IX43" s="18"/>
      <c r="IY43" s="18"/>
    </row>
    <row r="44" spans="1:263" s="18" customFormat="1" ht="15" customHeight="1">
      <c r="A44" s="19">
        <v>102022214</v>
      </c>
      <c r="B44" t="s">
        <v>2824</v>
      </c>
      <c r="C44" s="10" t="s">
        <v>258</v>
      </c>
      <c r="D44" s="161"/>
      <c r="E44" s="147"/>
      <c r="F44" s="160"/>
      <c r="G44" s="10" t="s">
        <v>3885</v>
      </c>
      <c r="H44" s="10"/>
      <c r="I44" s="10"/>
      <c r="J44" s="10" t="s">
        <v>554</v>
      </c>
      <c r="K44" s="10" t="s">
        <v>740</v>
      </c>
      <c r="L44" s="10" t="s">
        <v>574</v>
      </c>
      <c r="M44" s="10"/>
      <c r="N44" s="10"/>
      <c r="O44" s="147"/>
      <c r="P44" s="10" t="s">
        <v>740</v>
      </c>
      <c r="Q44" s="10" t="s">
        <v>1526</v>
      </c>
      <c r="R44" s="10" t="s">
        <v>256</v>
      </c>
      <c r="S44" s="10"/>
      <c r="T44" s="10"/>
      <c r="U44" s="10"/>
      <c r="V44" s="10"/>
      <c r="W44" s="10"/>
      <c r="X44" s="10"/>
      <c r="Y44" s="10"/>
      <c r="Z44" s="10"/>
      <c r="AA44" s="10"/>
      <c r="AB44" s="10"/>
      <c r="AC44" s="10"/>
      <c r="AD44" s="10"/>
      <c r="AE44" s="10"/>
      <c r="AF44" s="10"/>
      <c r="AG44" s="141"/>
      <c r="AH44" s="10"/>
      <c r="AI44" s="10"/>
      <c r="AJ44" t="s">
        <v>3081</v>
      </c>
      <c r="AK44" s="3" t="s">
        <v>258</v>
      </c>
      <c r="AL44" t="s">
        <v>438</v>
      </c>
      <c r="AM44" t="s">
        <v>260</v>
      </c>
      <c r="AN44"/>
      <c r="AO44" t="s">
        <v>5768</v>
      </c>
      <c r="AP44" s="3" t="s">
        <v>258</v>
      </c>
      <c r="AQ44" t="s">
        <v>5769</v>
      </c>
      <c r="AR44"/>
      <c r="AS44" t="s">
        <v>473</v>
      </c>
      <c r="AT44" t="s">
        <v>474</v>
      </c>
      <c r="AU44" t="s">
        <v>475</v>
      </c>
      <c r="AV44" t="s">
        <v>438</v>
      </c>
      <c r="AW44" s="1" t="s">
        <v>260</v>
      </c>
      <c r="AX44"/>
      <c r="AY44" s="1"/>
      <c r="AZ44" s="1"/>
      <c r="BA44" s="1"/>
      <c r="BB44" s="1"/>
      <c r="BC44" s="70"/>
      <c r="BD44" s="115">
        <v>45415</v>
      </c>
      <c r="BE44" s="144">
        <v>45440</v>
      </c>
      <c r="BF44" s="70"/>
      <c r="BG44" s="2"/>
      <c r="BH44" s="70"/>
      <c r="BI44" s="70"/>
      <c r="BJ44" s="70"/>
      <c r="BK44" s="70"/>
      <c r="BL44" s="20">
        <f ca="1">SUM(EH44)+220</f>
        <v>1136.8165833333333</v>
      </c>
      <c r="BM44" s="22">
        <f ca="1">PMT(10%/12,12,BL44,0,0)</f>
        <v>-99.944238541538141</v>
      </c>
      <c r="BN44" s="22">
        <f ca="1">SUM(BM44*-1)</f>
        <v>99.944238541538141</v>
      </c>
      <c r="BO44" s="14">
        <f>SUM(EP44*0.0052)/12</f>
        <v>13.649999999999999</v>
      </c>
      <c r="BP44" s="22">
        <f ca="1">SUM(BN44+BO44)</f>
        <v>113.59423854153815</v>
      </c>
      <c r="BQ44" s="14"/>
      <c r="BR44" s="14">
        <f>SUM(BQ44*0.1)</f>
        <v>0</v>
      </c>
      <c r="BS44" s="14">
        <f ca="1">SUM(BT44*BU44)</f>
        <v>0</v>
      </c>
      <c r="BT44" s="17">
        <f>SUM((BQ44+BR44)*0.00833333333333333)</f>
        <v>0</v>
      </c>
      <c r="BU44" s="23">
        <f ca="1">MONTH(TODAY())+49</f>
        <v>53</v>
      </c>
      <c r="BV44" s="14">
        <f ca="1">SUM(BQ44,BR44,BS44)</f>
        <v>0</v>
      </c>
      <c r="BW44" s="14">
        <v>0</v>
      </c>
      <c r="BX44" s="14">
        <f>SUM(BW44*0.1)</f>
        <v>0</v>
      </c>
      <c r="BY44" s="14">
        <f ca="1">SUM(BZ44*CA44)</f>
        <v>0</v>
      </c>
      <c r="BZ44" s="17">
        <f>SUM((BW44+BX44)*0.00833333333333333)</f>
        <v>0</v>
      </c>
      <c r="CA44" s="23">
        <f ca="1">MONTH(TODAY())+37</f>
        <v>41</v>
      </c>
      <c r="CB44" s="14">
        <f ca="1">SUM(BW44,BX44,BY44)</f>
        <v>0</v>
      </c>
      <c r="CC44" s="14">
        <v>0</v>
      </c>
      <c r="CD44" s="14">
        <f>SUM(CC44*0.1)</f>
        <v>0</v>
      </c>
      <c r="CE44" s="14">
        <f ca="1">SUM(CF44*CG44)</f>
        <v>0</v>
      </c>
      <c r="CF44" s="17">
        <f>SUM((CC44+CD44)*0.00833333333333333)</f>
        <v>0</v>
      </c>
      <c r="CG44" s="23">
        <f ca="1">MONTH(TODAY())+25</f>
        <v>29</v>
      </c>
      <c r="CH44" s="14">
        <f ca="1">SUM(CC44,CD44,CE44)</f>
        <v>0</v>
      </c>
      <c r="CI44" s="14">
        <f>SUM(EM44*0.0052)/2</f>
        <v>48.099999999999994</v>
      </c>
      <c r="CJ44" s="14">
        <f>SUM(CI44*0.1)</f>
        <v>4.8099999999999996</v>
      </c>
      <c r="CK44" s="14">
        <f>SUM(CL44*CM44)</f>
        <v>10.581999999999995</v>
      </c>
      <c r="CL44" s="17">
        <f>SUM((CI44+CJ44)*0.00833333333333333)</f>
        <v>0.44091666666666646</v>
      </c>
      <c r="CM44" s="23">
        <v>24</v>
      </c>
      <c r="CN44" s="23">
        <f>SUM(CI44,CJ44,CK44)</f>
        <v>63.49199999999999</v>
      </c>
      <c r="CO44" s="14">
        <f>SUM(EM44*0.0052)/2</f>
        <v>48.099999999999994</v>
      </c>
      <c r="CP44" s="14">
        <f>SUM(CO44*0.1)</f>
        <v>4.8099999999999996</v>
      </c>
      <c r="CQ44" s="14">
        <f>SUM(CR44*CS44)</f>
        <v>8.8183333333333298</v>
      </c>
      <c r="CR44" s="17">
        <f>SUM((CO44+CP44)*0.00833333333333333)</f>
        <v>0.44091666666666646</v>
      </c>
      <c r="CS44" s="23">
        <v>20</v>
      </c>
      <c r="CT44" s="14">
        <f>SUM(CO44,CP44,CQ44)</f>
        <v>61.728333333333325</v>
      </c>
      <c r="CU44" s="14">
        <f>SUM(EP44*0.0045)/2</f>
        <v>70.875</v>
      </c>
      <c r="CV44" s="14">
        <f>SUM(CU44*0.1)</f>
        <v>7.0875000000000004</v>
      </c>
      <c r="CW44" s="14">
        <f>SUM(CX44*CY44)</f>
        <v>9.0956249999999965</v>
      </c>
      <c r="CX44" s="17">
        <f>SUM((CU44+CV44)*0.00833333333333333)</f>
        <v>0.64968749999999975</v>
      </c>
      <c r="CY44" s="23">
        <v>14</v>
      </c>
      <c r="CZ44" s="14">
        <f>SUM(CU44,CV44,CW44)</f>
        <v>87.058125000000004</v>
      </c>
      <c r="DA44" s="14">
        <f>SUM(EP44*0.0045)/2</f>
        <v>70.875</v>
      </c>
      <c r="DB44" s="14">
        <f>SUM(DA44*0.1)</f>
        <v>7.0875000000000004</v>
      </c>
      <c r="DC44" s="14">
        <f>SUM(DD44*DE44)</f>
        <v>5.197499999999998</v>
      </c>
      <c r="DD44" s="17">
        <f>SUM((DA44+DB44)*0.00833333333333333)</f>
        <v>0.64968749999999975</v>
      </c>
      <c r="DE44" s="23">
        <v>8</v>
      </c>
      <c r="DF44" s="14">
        <f>SUM(DA44,DB44,DC44)</f>
        <v>83.16</v>
      </c>
      <c r="DG44" s="14">
        <f>SUM(EP44*0.0045)/2</f>
        <v>70.875</v>
      </c>
      <c r="DH44" s="14">
        <f>SUM(DG44*0.1)</f>
        <v>7.0875000000000004</v>
      </c>
      <c r="DI44" s="14">
        <f ca="1">SUM(DJ44*DK44)</f>
        <v>-1.9490624999999993</v>
      </c>
      <c r="DJ44" s="17">
        <f>SUM((DG44+DH44)*0.00833333333333333)</f>
        <v>0.64968749999999975</v>
      </c>
      <c r="DK44" s="23">
        <f ca="1">MONTH(TODAY())-7</f>
        <v>-3</v>
      </c>
      <c r="DL44" s="14">
        <f ca="1">SUM(DG44,DH44,DI44)</f>
        <v>76.013437500000009</v>
      </c>
      <c r="DM44" s="14">
        <f>SUM(EP44*0.0045)/2</f>
        <v>70.875</v>
      </c>
      <c r="DN44" s="14">
        <f>SUM(DM44*0.1)</f>
        <v>7.0875000000000004</v>
      </c>
      <c r="DO44" s="14">
        <f ca="1">SUM(DP44*DQ44)</f>
        <v>-4.5478124999999983</v>
      </c>
      <c r="DP44" s="17">
        <f>SUM((DM44+DN44)*0.00833333333333333)</f>
        <v>0.64968749999999975</v>
      </c>
      <c r="DQ44" s="23">
        <f ca="1">MONTH(TODAY())-11</f>
        <v>-7</v>
      </c>
      <c r="DR44" s="14">
        <f ca="1">SUM(DM44,DN44,DO44)</f>
        <v>73.414687500000014</v>
      </c>
      <c r="DS44" s="14">
        <f>SUM(BQ44, BW44, CC44, CI44,CO44,CU44,DA44,DG44,DM44)</f>
        <v>379.7</v>
      </c>
      <c r="DT44" s="14">
        <f>SUM(BR44,BX44,CD44, CJ44,CP44,CV44,DB44,DH44,DN44)</f>
        <v>37.97</v>
      </c>
      <c r="DU44" s="14">
        <f ca="1">SUM(BS44,BY44,CE44, CK44,CQ44,CW44,DC44,DI44,DO44)</f>
        <v>27.196583333333319</v>
      </c>
      <c r="DV44" s="25">
        <f ca="1">SUM(DS44:DU44)</f>
        <v>444.86658333333327</v>
      </c>
      <c r="DW44" s="47">
        <f ca="1">SUM(DV44/EM44)</f>
        <v>2.4046842342342337E-2</v>
      </c>
      <c r="DX44" s="14">
        <f>20+10+200+40</f>
        <v>270</v>
      </c>
      <c r="DY44" s="32">
        <f>COUNTIF(AO44, "*")+COUNTIF(AJ44, "*")+COUNTIF(AA44, "*")+COUNTIF(FA44, "*")+COUNTIF(FG44, "*")+COUNTIF(FM44, "*")+COUNTIF(FQ44, "*")+COUNTIF(FX44, "*")+COUNTIF(AS44, "*")+COUNTIF(GG44, "*")+COUNTIF(GR44, "*")+COUNTIF(HC44, "*")+COUNTIF(HK44, "*")+COUNTIF(HS44, "*")+COUNTIF(IA44, "*")</f>
        <v>3</v>
      </c>
      <c r="DZ44" s="14">
        <f>1.28+DY44*8</f>
        <v>25.28</v>
      </c>
      <c r="EA44" s="4">
        <v>26.67</v>
      </c>
      <c r="EB44" s="25">
        <v>150</v>
      </c>
      <c r="EC44" s="4"/>
      <c r="ED44" s="4"/>
      <c r="EE44" s="4"/>
      <c r="EF44" s="4"/>
      <c r="EG44" s="14">
        <f>SUM(EA44:EF44)</f>
        <v>176.67000000000002</v>
      </c>
      <c r="EH44" s="14">
        <f ca="1">SUM(DV44,DX44,EG44,DZ44,GD44)</f>
        <v>916.81658333333326</v>
      </c>
      <c r="EI44" s="24" t="s">
        <v>4935</v>
      </c>
      <c r="EJ44" s="7">
        <v>0.1</v>
      </c>
      <c r="EK44" s="4">
        <v>2300</v>
      </c>
      <c r="EL44" s="4">
        <v>16200</v>
      </c>
      <c r="EM44" s="14">
        <f>SUM(EK44+EL44)</f>
        <v>18500</v>
      </c>
      <c r="EN44" s="14">
        <v>8000</v>
      </c>
      <c r="EO44" s="14">
        <v>23500</v>
      </c>
      <c r="EP44" s="14">
        <f>SUM(EN44+EO44)</f>
        <v>31500</v>
      </c>
      <c r="EQ44" s="10" t="s">
        <v>5766</v>
      </c>
      <c r="ER44" s="10" t="s">
        <v>5767</v>
      </c>
      <c r="ES44" s="10" t="s">
        <v>5770</v>
      </c>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9"/>
      <c r="FV44" s="10"/>
      <c r="FW44" s="10"/>
      <c r="FX44" s="10"/>
      <c r="FY44" s="10"/>
      <c r="FZ44" s="10"/>
      <c r="GA44" s="10"/>
      <c r="GB44" s="9"/>
      <c r="GC44" s="10"/>
      <c r="GD44" s="10"/>
      <c r="GE44" s="10"/>
      <c r="GF44" s="10"/>
      <c r="GG44" s="10"/>
      <c r="GH44" s="10"/>
      <c r="GI44" s="10"/>
      <c r="GJ44" s="10"/>
      <c r="GK44" s="9"/>
      <c r="GL44" s="10"/>
      <c r="GM44" s="10"/>
      <c r="GN44" s="10"/>
      <c r="GO44" s="10"/>
      <c r="GP44" s="10"/>
      <c r="GQ44" s="10"/>
      <c r="GR44" s="10"/>
      <c r="GS44" s="10"/>
      <c r="GT44" s="10"/>
      <c r="GU44" s="10"/>
      <c r="GV44" s="9"/>
      <c r="GW44" s="10"/>
      <c r="GX44" s="10"/>
      <c r="GY44" s="10"/>
      <c r="GZ44" s="10"/>
      <c r="HA44" s="10"/>
      <c r="HB44" s="10"/>
      <c r="HC44" s="10"/>
      <c r="HD44" s="10"/>
      <c r="HE44" s="10"/>
      <c r="HF44" s="10"/>
      <c r="HG44" s="9"/>
      <c r="HH44" s="10"/>
      <c r="HI44" s="10"/>
      <c r="HJ44" s="10"/>
      <c r="HK44" s="10"/>
      <c r="HL44" s="10"/>
      <c r="HM44" s="10"/>
      <c r="HN44" s="10"/>
      <c r="HO44" s="9"/>
      <c r="HP44" s="10"/>
      <c r="HQ44" s="10"/>
      <c r="HR44" s="10"/>
      <c r="HS44" s="10"/>
      <c r="HT44" s="10"/>
      <c r="HU44" s="10"/>
      <c r="HV44" s="10"/>
      <c r="HW44" s="9"/>
      <c r="HX44" s="10"/>
      <c r="HY44" s="10"/>
      <c r="HZ44" s="10"/>
      <c r="IA44" s="10"/>
      <c r="IB44" s="10"/>
      <c r="IC44" s="10"/>
      <c r="ID44" s="10"/>
      <c r="IE44" s="9"/>
      <c r="IF44" s="4"/>
      <c r="IG44" s="4"/>
      <c r="IH44" s="10"/>
      <c r="II44" s="10"/>
      <c r="IJ44" s="10"/>
      <c r="IK44" s="10"/>
      <c r="IL44" s="4"/>
      <c r="IM44" s="4"/>
      <c r="IN44" s="4"/>
      <c r="IO44" s="4"/>
      <c r="IP44" s="4"/>
      <c r="IQ44" s="9"/>
      <c r="IR44" s="9"/>
      <c r="IS44" s="9"/>
      <c r="IT44" s="9"/>
      <c r="IU44" s="9"/>
      <c r="IV44" s="27" t="s">
        <v>5913</v>
      </c>
      <c r="IW44"/>
      <c r="IX44"/>
      <c r="IY44"/>
      <c r="IZ44"/>
      <c r="JA44"/>
      <c r="JB44"/>
      <c r="JC44"/>
    </row>
    <row r="45" spans="1:263" ht="15" customHeight="1">
      <c r="A45" s="2">
        <v>102019014</v>
      </c>
      <c r="B45" s="4" t="s">
        <v>561</v>
      </c>
      <c r="C45" s="5" t="s">
        <v>258</v>
      </c>
      <c r="D45" s="5"/>
      <c r="E45" s="5"/>
      <c r="F45" s="3"/>
      <c r="G45" s="2"/>
      <c r="J45" t="s">
        <v>554</v>
      </c>
      <c r="K45" t="s">
        <v>555</v>
      </c>
      <c r="L45" t="s">
        <v>556</v>
      </c>
      <c r="M45" t="s">
        <v>392</v>
      </c>
      <c r="O45" s="1"/>
      <c r="P45" t="s">
        <v>555</v>
      </c>
      <c r="Q45" t="s">
        <v>557</v>
      </c>
      <c r="R45" t="s">
        <v>448</v>
      </c>
      <c r="AC45" s="1"/>
      <c r="AG45"/>
      <c r="AJ45" s="4"/>
      <c r="AK45" s="3"/>
      <c r="AO45" s="4"/>
      <c r="AP45" s="5"/>
      <c r="AS45" s="5"/>
      <c r="AT45" s="5"/>
      <c r="AU45" s="1"/>
      <c r="AV45" s="1"/>
      <c r="AW45" s="1"/>
      <c r="AX45" s="1"/>
      <c r="AY45" s="1"/>
      <c r="AZ45" s="1"/>
      <c r="BA45" s="1"/>
      <c r="BB45" s="1"/>
      <c r="BC45" s="1"/>
      <c r="BD45" s="1"/>
      <c r="BE45" s="1"/>
      <c r="BF45" s="1"/>
      <c r="BG45" s="5"/>
      <c r="BH45" s="16"/>
      <c r="BI45" s="16"/>
      <c r="BK45" s="4"/>
      <c r="BL45" s="4"/>
      <c r="BM45" s="6"/>
      <c r="BN45" s="7"/>
      <c r="BO45" s="4"/>
      <c r="BP45" s="4"/>
      <c r="BQ45" s="4"/>
      <c r="BR45" s="4"/>
      <c r="BS45" s="6"/>
      <c r="BT45" s="7"/>
      <c r="BU45" s="4"/>
      <c r="BV45" s="4"/>
      <c r="BW45" s="4"/>
      <c r="BX45" s="4"/>
      <c r="BY45" s="6"/>
      <c r="BZ45" s="7"/>
      <c r="CA45" s="4"/>
      <c r="CB45" s="4"/>
      <c r="CC45" s="4"/>
      <c r="CD45" s="4"/>
      <c r="CE45" s="6"/>
      <c r="CF45" s="7"/>
      <c r="CG45" s="4"/>
      <c r="CH45" s="4"/>
      <c r="CI45" s="4"/>
      <c r="CJ45" s="4"/>
      <c r="CK45" s="6"/>
      <c r="CL45" s="7"/>
      <c r="CM45" s="4"/>
      <c r="CN45" s="4"/>
      <c r="CO45" s="4"/>
      <c r="CP45" s="4"/>
      <c r="CQ45" s="6"/>
      <c r="CR45" s="7"/>
      <c r="CS45" s="4"/>
      <c r="CT45" s="4"/>
      <c r="CU45" s="4"/>
      <c r="CV45" s="4"/>
      <c r="CW45" s="6"/>
      <c r="CX45" s="7"/>
      <c r="CY45" s="4"/>
      <c r="CZ45" s="4"/>
      <c r="DA45" s="4"/>
      <c r="DB45" s="4"/>
      <c r="DC45" s="6"/>
      <c r="DD45" s="7"/>
      <c r="DE45" s="4"/>
      <c r="DF45" s="4"/>
      <c r="DG45" s="4"/>
      <c r="DH45" s="14"/>
      <c r="DI45" s="14"/>
      <c r="DJ45" s="4"/>
      <c r="DK45" s="3"/>
      <c r="DL45" s="4"/>
      <c r="DM45" s="234"/>
      <c r="DN45" s="4"/>
      <c r="DO45" s="4"/>
      <c r="DP45" s="4"/>
      <c r="DQ45" s="4"/>
      <c r="DR45" s="4"/>
      <c r="DS45" s="4"/>
      <c r="DT45" s="7"/>
      <c r="DU45" s="8"/>
      <c r="DV45" s="4"/>
      <c r="DW45" s="4"/>
      <c r="DX45" s="4"/>
      <c r="DY45" s="4"/>
      <c r="DZ45" s="33"/>
      <c r="EA45" s="251"/>
      <c r="EI45" s="11"/>
      <c r="EO45" s="11"/>
      <c r="EP45" s="11"/>
      <c r="EQ45" s="4"/>
      <c r="ER45" s="4"/>
      <c r="ES45" s="4"/>
      <c r="ET45" s="4"/>
      <c r="EU45" s="4"/>
      <c r="EV45" s="4"/>
      <c r="EW45" s="4"/>
      <c r="EX45" s="4"/>
      <c r="EY45" s="4"/>
      <c r="EZ45" s="4"/>
      <c r="FA45" s="4"/>
      <c r="FB45" s="4"/>
      <c r="FC45" s="4"/>
      <c r="FD45" s="4"/>
      <c r="FE45" s="4"/>
      <c r="FI45" s="9"/>
      <c r="FR45" s="9"/>
      <c r="FX45" s="4"/>
      <c r="GC45" s="10"/>
      <c r="GM45" s="10"/>
      <c r="HB45" s="9"/>
      <c r="II45" s="9"/>
      <c r="IJ45" s="4"/>
      <c r="IK45" s="4"/>
      <c r="IL45" s="27"/>
      <c r="IM45" s="18"/>
      <c r="IN45" s="18" t="s">
        <v>1395</v>
      </c>
      <c r="IO45" s="18" t="s">
        <v>1396</v>
      </c>
      <c r="IP45" s="18" t="s">
        <v>600</v>
      </c>
      <c r="IQ45" s="18"/>
      <c r="IR45" s="18"/>
      <c r="IS45" s="14">
        <v>173</v>
      </c>
      <c r="IT45" s="14">
        <f>SUM(IJ45-DP45-IR45)</f>
        <v>0</v>
      </c>
      <c r="IU45" s="27">
        <v>43643</v>
      </c>
      <c r="IV45" s="27">
        <v>43661</v>
      </c>
      <c r="IW45" s="27">
        <v>43699</v>
      </c>
      <c r="IX45" s="27">
        <v>43711</v>
      </c>
      <c r="IY45" s="18"/>
    </row>
    <row r="46" spans="1:263" ht="15" customHeight="1">
      <c r="A46" s="2">
        <v>102019015</v>
      </c>
      <c r="B46" s="4" t="s">
        <v>562</v>
      </c>
      <c r="C46" s="5" t="s">
        <v>258</v>
      </c>
      <c r="D46" s="5"/>
      <c r="E46" s="5"/>
      <c r="F46" s="3"/>
      <c r="G46" s="2"/>
      <c r="J46" t="s">
        <v>554</v>
      </c>
      <c r="K46" t="s">
        <v>555</v>
      </c>
      <c r="L46" t="s">
        <v>556</v>
      </c>
      <c r="M46" t="s">
        <v>392</v>
      </c>
      <c r="O46" s="1"/>
      <c r="P46" t="s">
        <v>555</v>
      </c>
      <c r="Q46" t="s">
        <v>557</v>
      </c>
      <c r="R46" t="s">
        <v>448</v>
      </c>
      <c r="AC46" s="1"/>
      <c r="AF46" s="4"/>
      <c r="AG46" s="34"/>
      <c r="AK46" s="4"/>
      <c r="AL46" s="5"/>
      <c r="AO46" s="4"/>
      <c r="AP46" s="5"/>
      <c r="AS46" s="1"/>
      <c r="AT46" s="1"/>
      <c r="AU46" s="1"/>
      <c r="AV46" s="1"/>
      <c r="AW46" s="1"/>
      <c r="AX46" s="1"/>
      <c r="AY46" s="1"/>
      <c r="AZ46" s="1"/>
      <c r="BA46" s="1"/>
      <c r="BB46" s="1"/>
      <c r="BC46" s="5"/>
      <c r="BD46" s="16"/>
      <c r="BE46" s="16"/>
      <c r="BG46" s="4"/>
      <c r="BH46" s="4"/>
      <c r="BI46" s="6"/>
      <c r="BJ46" s="7"/>
      <c r="BK46" s="4"/>
      <c r="BL46" s="4"/>
      <c r="BM46" s="4"/>
      <c r="BN46" s="4"/>
      <c r="BO46" s="6"/>
      <c r="BP46" s="7"/>
      <c r="BQ46" s="4"/>
      <c r="BR46" s="4"/>
      <c r="BS46" s="4"/>
      <c r="BT46" s="4"/>
      <c r="BU46" s="6"/>
      <c r="BV46" s="7"/>
      <c r="BW46" s="4"/>
      <c r="BX46" s="4"/>
      <c r="BY46" s="4"/>
      <c r="BZ46" s="4"/>
      <c r="CA46" s="6"/>
      <c r="CB46" s="7"/>
      <c r="CC46" s="4"/>
      <c r="CD46" s="4"/>
      <c r="CE46" s="4"/>
      <c r="CF46" s="4"/>
      <c r="CG46" s="6"/>
      <c r="CH46" s="7"/>
      <c r="CI46" s="4"/>
      <c r="CJ46" s="4"/>
      <c r="CK46" s="4"/>
      <c r="CL46" s="4"/>
      <c r="CM46" s="6"/>
      <c r="CN46" s="7"/>
      <c r="CO46" s="4"/>
      <c r="CP46" s="4"/>
      <c r="CQ46" s="4"/>
      <c r="CR46" s="4"/>
      <c r="CS46" s="6"/>
      <c r="CT46" s="7"/>
      <c r="CU46" s="4"/>
      <c r="CV46" s="4"/>
      <c r="CW46" s="4"/>
      <c r="CX46" s="4"/>
      <c r="CY46" s="6"/>
      <c r="CZ46" s="7"/>
      <c r="DA46" s="4"/>
      <c r="DB46" s="4"/>
      <c r="DC46" s="4"/>
      <c r="DD46" s="14"/>
      <c r="DE46" s="14"/>
      <c r="DF46" s="4"/>
      <c r="DG46" s="3"/>
      <c r="DH46" s="4"/>
      <c r="DI46" s="234"/>
      <c r="DJ46" s="7"/>
      <c r="DK46" s="4"/>
      <c r="DL46" s="4"/>
      <c r="DM46" s="4"/>
      <c r="DN46" s="4"/>
      <c r="DO46" s="4"/>
      <c r="DP46" s="7"/>
      <c r="DQ46" s="8"/>
      <c r="DR46" s="4"/>
      <c r="DS46" s="8"/>
      <c r="DT46" s="4"/>
      <c r="DU46" s="4"/>
      <c r="DV46" s="7"/>
      <c r="EE46" s="11"/>
      <c r="EK46" s="11"/>
      <c r="EL46" s="11"/>
      <c r="EM46" s="4"/>
      <c r="EN46" s="4"/>
      <c r="EO46" s="4"/>
      <c r="EP46" s="4"/>
      <c r="EQ46" s="4"/>
      <c r="ER46" s="4"/>
      <c r="ES46" s="4"/>
      <c r="ET46" s="4"/>
      <c r="EU46" s="4"/>
      <c r="EV46" s="4"/>
      <c r="EW46" s="4"/>
      <c r="EX46" s="4"/>
      <c r="EY46" s="4"/>
      <c r="EZ46" s="4"/>
      <c r="FA46" s="4"/>
      <c r="FE46" s="9"/>
      <c r="FN46" s="9"/>
      <c r="FT46" s="4"/>
      <c r="FY46" s="10"/>
      <c r="GI46" s="10"/>
      <c r="GX46" s="9"/>
      <c r="IF46" s="4"/>
      <c r="IG46" s="4"/>
      <c r="IH46" s="9"/>
      <c r="IL46" s="9"/>
      <c r="IN46" t="s">
        <v>772</v>
      </c>
      <c r="IO46" t="s">
        <v>773</v>
      </c>
      <c r="IP46" t="s">
        <v>386</v>
      </c>
      <c r="IQ46" s="18" t="s">
        <v>373</v>
      </c>
      <c r="IR46" s="18">
        <v>129.81</v>
      </c>
      <c r="IS46" s="14">
        <v>189</v>
      </c>
      <c r="IT46" s="14">
        <f>SUM(IJ46-DP46-IR46)</f>
        <v>-129.81</v>
      </c>
      <c r="IU46" s="27">
        <v>43549</v>
      </c>
      <c r="IV46" s="27">
        <v>43565</v>
      </c>
      <c r="IW46" s="27">
        <v>43699</v>
      </c>
      <c r="IX46" s="27">
        <v>43711</v>
      </c>
      <c r="IY46" s="18"/>
    </row>
    <row r="47" spans="1:263" ht="15" customHeight="1">
      <c r="A47" s="19">
        <v>102023150</v>
      </c>
      <c r="B47" s="4" t="s">
        <v>4862</v>
      </c>
      <c r="C47" s="4"/>
      <c r="G47" s="3"/>
      <c r="J47" t="s">
        <v>434</v>
      </c>
      <c r="K47" t="s">
        <v>2586</v>
      </c>
      <c r="L47" t="s">
        <v>4858</v>
      </c>
      <c r="M47" t="s">
        <v>396</v>
      </c>
      <c r="O47" s="1"/>
      <c r="P47" t="s">
        <v>4956</v>
      </c>
      <c r="Q47" t="s">
        <v>4859</v>
      </c>
      <c r="R47" t="s">
        <v>256</v>
      </c>
      <c r="T47" s="1"/>
      <c r="U47" t="s">
        <v>4957</v>
      </c>
      <c r="V47" t="s">
        <v>4860</v>
      </c>
      <c r="W47" t="s">
        <v>396</v>
      </c>
      <c r="AG47" s="43"/>
      <c r="AJ47" s="18" t="s">
        <v>328</v>
      </c>
      <c r="AL47" s="18" t="s">
        <v>438</v>
      </c>
      <c r="AM47"/>
      <c r="AN47"/>
      <c r="AO47" s="4" t="s">
        <v>4863</v>
      </c>
      <c r="AP47" s="5" t="s">
        <v>258</v>
      </c>
      <c r="AQ47" t="s">
        <v>4864</v>
      </c>
      <c r="AR47" s="3" t="s">
        <v>4865</v>
      </c>
      <c r="AX47" s="1"/>
      <c r="AY47" s="1"/>
      <c r="AZ47" s="1"/>
      <c r="BA47" s="1"/>
      <c r="BB47" s="1"/>
      <c r="BC47" s="2"/>
      <c r="BD47" s="115">
        <v>45060</v>
      </c>
      <c r="BE47" s="115">
        <v>45162</v>
      </c>
      <c r="BF47" s="2"/>
      <c r="BG47" s="2"/>
      <c r="BH47" s="2"/>
      <c r="BI47" s="2"/>
      <c r="BJ47" s="2"/>
      <c r="BK47" s="2"/>
      <c r="BL47" s="20">
        <f ca="1">SUM(EB47)+220</f>
        <v>653.84230000000002</v>
      </c>
      <c r="BM47" s="22">
        <f ca="1">PMT(10%/12,12,BL47,0,0)</f>
        <v>-57.483125913010106</v>
      </c>
      <c r="BN47" s="22">
        <f ca="1">SUM(BM47*-1)</f>
        <v>57.483125913010106</v>
      </c>
      <c r="BO47" s="14">
        <f>SUM(EJ47*0.0052)/12</f>
        <v>4.5066666666666668</v>
      </c>
      <c r="BP47" s="22">
        <f ca="1">SUM(BN47+BO47)</f>
        <v>61.989792579676774</v>
      </c>
      <c r="BQ47" s="14"/>
      <c r="BR47" s="14">
        <f>SUM(BQ47*0.1)</f>
        <v>0</v>
      </c>
      <c r="BS47" s="14">
        <f ca="1">SUM(BT47*BU47)</f>
        <v>0</v>
      </c>
      <c r="BT47" s="17">
        <f>SUM((BQ47+BR47)*0.00833333333333333)</f>
        <v>0</v>
      </c>
      <c r="BU47" s="23">
        <f ca="1">MONTH(TODAY())+49</f>
        <v>53</v>
      </c>
      <c r="BV47" s="14">
        <f ca="1">SUM(BQ47,BR47,BS47)</f>
        <v>0</v>
      </c>
      <c r="BW47" s="14"/>
      <c r="BX47" s="14">
        <f>SUM(BW47*0.1)</f>
        <v>0</v>
      </c>
      <c r="BY47" s="14">
        <f ca="1">SUM(BZ47*CA47)</f>
        <v>0</v>
      </c>
      <c r="BZ47" s="17">
        <f>SUM((BW47+BX47)*0.00833333333333333)</f>
        <v>0</v>
      </c>
      <c r="CA47" s="23">
        <f ca="1">MONTH(TODAY())+37</f>
        <v>41</v>
      </c>
      <c r="CB47" s="14">
        <f ca="1">SUM(BW47,BX47,BY47)</f>
        <v>0</v>
      </c>
      <c r="CC47" s="14">
        <v>0</v>
      </c>
      <c r="CD47" s="14">
        <f>SUM(CC47*0.1)</f>
        <v>0</v>
      </c>
      <c r="CE47" s="14">
        <f ca="1">SUM(CF47*CG47)</f>
        <v>0</v>
      </c>
      <c r="CF47" s="17">
        <f>SUM((CC47+CD47)*0.00833333333333333)</f>
        <v>0</v>
      </c>
      <c r="CG47" s="23">
        <f ca="1">MONTH(TODAY())+25</f>
        <v>29</v>
      </c>
      <c r="CH47" s="14">
        <f ca="1">SUM(CC47,CD47,CE47)</f>
        <v>0</v>
      </c>
      <c r="CI47" s="14">
        <f>SUM(EG47*0.0052)</f>
        <v>27.04</v>
      </c>
      <c r="CJ47" s="14">
        <f>SUM(CI47*0.1)</f>
        <v>2.7040000000000002</v>
      </c>
      <c r="CK47" s="14">
        <f ca="1">SUM(CL47*CM47)</f>
        <v>4.213733333333332</v>
      </c>
      <c r="CL47" s="17">
        <f>SUM((CI47+CJ47)*0.00833333333333333)</f>
        <v>0.24786666666666657</v>
      </c>
      <c r="CM47" s="23">
        <f ca="1">MONTH(TODAY())+13</f>
        <v>17</v>
      </c>
      <c r="CN47" s="14">
        <f ca="1">SUM(CI47,CJ47,CK47)</f>
        <v>33.95773333333333</v>
      </c>
      <c r="CO47" s="14">
        <f>SUM(EG47*0.0052)/2</f>
        <v>13.52</v>
      </c>
      <c r="CP47" s="14">
        <f>SUM(CO47*0.1)</f>
        <v>1.3520000000000001</v>
      </c>
      <c r="CQ47" s="14">
        <f ca="1">SUM(CR47*CS47)</f>
        <v>1.1153999999999995</v>
      </c>
      <c r="CR47" s="17">
        <f>SUM((CO47+CP47)*0.00833333333333333)</f>
        <v>0.12393333333333328</v>
      </c>
      <c r="CS47" s="23">
        <f ca="1">MONTH(TODAY())+5</f>
        <v>9</v>
      </c>
      <c r="CT47" s="23">
        <f ca="1">SUM(CO47,CP47,CQ47)</f>
        <v>15.987399999999999</v>
      </c>
      <c r="CU47" s="14">
        <f>SUM(EG47*0.0052)/2</f>
        <v>13.52</v>
      </c>
      <c r="CV47" s="14">
        <f>SUM(CU47*0.1)</f>
        <v>1.3520000000000001</v>
      </c>
      <c r="CW47" s="14">
        <f ca="1">SUM(CX47*CY47)</f>
        <v>0.61966666666666637</v>
      </c>
      <c r="CX47" s="17">
        <f>SUM((CU47+CV47)*0.00833333333333333)</f>
        <v>0.12393333333333328</v>
      </c>
      <c r="CY47" s="23">
        <f ca="1">MONTH(TODAY())+1</f>
        <v>5</v>
      </c>
      <c r="CZ47" s="23">
        <f ca="1">SUM(CU47,CV47,CW47)</f>
        <v>15.491666666666667</v>
      </c>
      <c r="DA47" s="14">
        <f>SUM(EJ47*0.0045)/2</f>
        <v>23.4</v>
      </c>
      <c r="DB47" s="14">
        <f>SUM(DA47*0.1)</f>
        <v>2.34</v>
      </c>
      <c r="DC47" s="14">
        <f ca="1">SUM(DD47*DE47)</f>
        <v>-0.21449999999999989</v>
      </c>
      <c r="DD47" s="17">
        <f>SUM((DA47+DB47)*0.00833333333333333)</f>
        <v>0.21449999999999989</v>
      </c>
      <c r="DE47" s="23">
        <f ca="1">MONTH(TODAY())-5</f>
        <v>-1</v>
      </c>
      <c r="DF47" s="23">
        <f ca="1">SUM(DA47,DB47,DC47)</f>
        <v>25.525499999999997</v>
      </c>
      <c r="DG47" s="14">
        <f>SUM(EJ47*0.0045)/2</f>
        <v>23.4</v>
      </c>
      <c r="DH47" s="14">
        <v>0</v>
      </c>
      <c r="DI47" s="14">
        <v>0</v>
      </c>
      <c r="DJ47" s="17">
        <f>SUM((DG47+DH47)*0.00833333333333333)</f>
        <v>0.1949999999999999</v>
      </c>
      <c r="DK47" s="23">
        <f ca="1">MONTH(TODAY())+1</f>
        <v>5</v>
      </c>
      <c r="DL47" s="14">
        <f>SUM(DG47,DH47,DI47)</f>
        <v>23.4</v>
      </c>
      <c r="DM47" s="14">
        <f>SUM( BQ47, BW47, CC47, CI47, CO47,CU47,DA47,DG47)</f>
        <v>100.88</v>
      </c>
      <c r="DN47" s="14">
        <f>SUM(BR47,BX47,CD47,CJ47, CP47,CV47,DB47,DH47)</f>
        <v>7.7480000000000002</v>
      </c>
      <c r="DO47" s="14">
        <f ca="1">SUM(BS47,BY47,CE47,CK47, CQ47,CW47,DC47,DI47)</f>
        <v>5.7342999999999975</v>
      </c>
      <c r="DP47" s="25">
        <f ca="1">SUM(DM47:DO47)</f>
        <v>114.3623</v>
      </c>
      <c r="DQ47" s="47">
        <f ca="1">SUM(DP47/EG47)</f>
        <v>2.1992750000000002E-2</v>
      </c>
      <c r="DR47" s="14">
        <f>20+20+100+20</f>
        <v>160</v>
      </c>
      <c r="DS47" s="32">
        <f>COUNTIF(DX47, "*")+COUNTIF(AO47, "*")+COUNTIF(AJ47, "*")+COUNTIF(AA47, "*")+COUNTIF(EY47, "*")+COUNTIF(FE47, "*")+COUNTIF(FK47, "*")+COUNTIF(FO47, "*")+COUNTIF(FV47, "*")+COUNTIF(AT47, "*")+COUNTIF(GE47, "*")+COUNTIF(GP47, "*")+COUNTIF(HA47, "*")+COUNTIF(HI47, "*")+COUNTIF(HQ47, "*")+COUNTIF(HY47, "*")</f>
        <v>2</v>
      </c>
      <c r="DT47" s="14">
        <f>1.2+DS47*7.45</f>
        <v>16.100000000000001</v>
      </c>
      <c r="DU47" s="4">
        <v>125</v>
      </c>
      <c r="DV47" s="4">
        <f>36.76/2</f>
        <v>18.38</v>
      </c>
      <c r="DW47" s="4"/>
      <c r="DX47" s="4"/>
      <c r="DZ47" s="4"/>
      <c r="EA47" s="14">
        <f>SUM(DV47:DZ47)</f>
        <v>18.38</v>
      </c>
      <c r="EB47" s="14">
        <f ca="1">SUM(DP47,DR47,EA47, DU47, DT47,GB47)</f>
        <v>433.84230000000002</v>
      </c>
      <c r="EC47" s="24" t="s">
        <v>3879</v>
      </c>
      <c r="ED47" s="7">
        <f>0.08+0.1+0.11+0.12+0.11</f>
        <v>0.52</v>
      </c>
      <c r="EE47" s="4">
        <f>4400+200+200+200+200</f>
        <v>5200</v>
      </c>
      <c r="EF47" s="4">
        <v>0</v>
      </c>
      <c r="EG47" s="4">
        <f>SUM(EE47+EF47)</f>
        <v>5200</v>
      </c>
      <c r="EH47" s="4">
        <f>9600+200+200+200+200</f>
        <v>10400</v>
      </c>
      <c r="EI47" s="4">
        <v>0</v>
      </c>
      <c r="EJ47" s="4">
        <f>SUM(EH47+EI47)</f>
        <v>10400</v>
      </c>
      <c r="GB47" s="4"/>
      <c r="IE47" s="9"/>
      <c r="IP47" s="14">
        <f ca="1">SUM(IF47-EB47-GB47-IN47)</f>
        <v>-433.84230000000002</v>
      </c>
      <c r="IQ47" s="9"/>
      <c r="IR47" s="9"/>
      <c r="IS47" s="9"/>
      <c r="IT47" s="9"/>
      <c r="IU47" s="9"/>
    </row>
    <row r="48" spans="1:263" ht="15" customHeight="1">
      <c r="A48">
        <v>102024151</v>
      </c>
      <c r="B48" t="s">
        <v>5522</v>
      </c>
      <c r="C48" s="10"/>
      <c r="D48" s="161"/>
      <c r="E48" s="147" t="s">
        <v>5901</v>
      </c>
      <c r="F48" s="160">
        <v>240003248</v>
      </c>
      <c r="G48" s="147"/>
      <c r="H48" s="10"/>
      <c r="I48" s="10"/>
      <c r="J48" s="10" t="s">
        <v>311</v>
      </c>
      <c r="K48" s="10" t="s">
        <v>3185</v>
      </c>
      <c r="L48" s="10" t="s">
        <v>420</v>
      </c>
      <c r="M48" s="10" t="s">
        <v>469</v>
      </c>
      <c r="N48" s="10"/>
      <c r="O48" s="147"/>
      <c r="P48" s="10"/>
      <c r="Q48" s="10"/>
      <c r="R48" s="10"/>
      <c r="S48" s="10"/>
      <c r="T48" s="10"/>
      <c r="U48" s="10"/>
      <c r="V48" s="10"/>
      <c r="W48" s="10"/>
      <c r="X48" s="10"/>
      <c r="Y48" s="10"/>
      <c r="Z48" s="10"/>
      <c r="AA48" s="10"/>
      <c r="AB48" s="10"/>
      <c r="AC48" s="10"/>
      <c r="AD48" s="10"/>
      <c r="AE48" s="10"/>
      <c r="AF48" s="10"/>
      <c r="AG48" s="141"/>
      <c r="AH48" s="213"/>
      <c r="AI48" s="10"/>
      <c r="AJ48" t="s">
        <v>5523</v>
      </c>
      <c r="AK48" s="1" t="s">
        <v>258</v>
      </c>
      <c r="AL48" t="s">
        <v>438</v>
      </c>
      <c r="AM48" t="s">
        <v>260</v>
      </c>
      <c r="AN48"/>
      <c r="AO48" t="s">
        <v>5524</v>
      </c>
      <c r="AP48" s="1" t="s">
        <v>258</v>
      </c>
      <c r="AQ48" s="18" t="s">
        <v>438</v>
      </c>
      <c r="AR48" t="s">
        <v>260</v>
      </c>
      <c r="AS48" t="s">
        <v>473</v>
      </c>
      <c r="AT48" t="s">
        <v>474</v>
      </c>
      <c r="AU48" t="s">
        <v>475</v>
      </c>
      <c r="AV48" t="s">
        <v>438</v>
      </c>
      <c r="AW48" s="1" t="s">
        <v>260</v>
      </c>
      <c r="AX48" s="1" t="s">
        <v>258</v>
      </c>
      <c r="AY48" s="1" t="s">
        <v>258</v>
      </c>
      <c r="AZ48" s="1"/>
      <c r="BA48" s="1"/>
      <c r="BB48" s="1"/>
      <c r="BC48" s="70">
        <v>45481</v>
      </c>
      <c r="BD48" s="115">
        <v>45415</v>
      </c>
      <c r="BE48" s="144">
        <v>45446</v>
      </c>
      <c r="BF48" s="70"/>
      <c r="BG48" s="2"/>
      <c r="BH48" s="70"/>
      <c r="BI48" s="70"/>
      <c r="BJ48" s="70">
        <v>45545</v>
      </c>
      <c r="BK48" s="70" t="s">
        <v>5895</v>
      </c>
      <c r="BL48" s="20">
        <f ca="1">SUM(EH48)+220</f>
        <v>1652.9300666666668</v>
      </c>
      <c r="BM48" s="22">
        <f ca="1">PMT(10%/12,12,BL48,0,0)</f>
        <v>-145.31881334015893</v>
      </c>
      <c r="BN48" s="22">
        <f ca="1">SUM(BM48*-1)</f>
        <v>145.31881334015893</v>
      </c>
      <c r="BO48" s="14">
        <f>SUM(EP48*0.0052)/12</f>
        <v>6.7599999999999989</v>
      </c>
      <c r="BP48" s="22">
        <f ca="1">SUM(BN48+BO48)</f>
        <v>152.07881334015892</v>
      </c>
      <c r="BQ48" s="14"/>
      <c r="BR48" s="14">
        <f>SUM(BQ48*0.1)</f>
        <v>0</v>
      </c>
      <c r="BS48" s="14">
        <f ca="1">SUM(BT48*BU48)</f>
        <v>0</v>
      </c>
      <c r="BT48" s="17">
        <f>SUM((BQ48+BR48)*0.00833333333333333)</f>
        <v>0</v>
      </c>
      <c r="BU48" s="23">
        <f ca="1">MONTH(TODAY())+49</f>
        <v>53</v>
      </c>
      <c r="BV48" s="14">
        <f ca="1">SUM(BQ48,BR48,BS48)</f>
        <v>0</v>
      </c>
      <c r="BW48" s="14">
        <v>0</v>
      </c>
      <c r="BX48" s="14">
        <f>SUM(BW48*0.1)</f>
        <v>0</v>
      </c>
      <c r="BY48" s="14">
        <f ca="1">SUM(BZ48*CA48)</f>
        <v>0</v>
      </c>
      <c r="BZ48" s="17">
        <f>SUM((BW48+BX48)*0.00833333333333333)</f>
        <v>0</v>
      </c>
      <c r="CA48" s="23">
        <f ca="1">MONTH(TODAY())+37</f>
        <v>41</v>
      </c>
      <c r="CB48" s="14">
        <f ca="1">SUM(BW48,BX48,BY48)</f>
        <v>0</v>
      </c>
      <c r="CC48" s="14">
        <f>SUM(EM48*0.0052)</f>
        <v>45.76</v>
      </c>
      <c r="CD48" s="14">
        <f>SUM(CC48*0.1)</f>
        <v>4.5759999999999996</v>
      </c>
      <c r="CE48" s="14">
        <f>SUM(CF48*CG48)</f>
        <v>14.261866666666661</v>
      </c>
      <c r="CF48" s="17">
        <f>SUM((CC48+CD48)*0.00833333333333333)</f>
        <v>0.41946666666666649</v>
      </c>
      <c r="CG48" s="262">
        <v>34</v>
      </c>
      <c r="CH48" s="14">
        <f>SUM(CC48,CD48,CE48)</f>
        <v>64.597866666666661</v>
      </c>
      <c r="CI48" s="14">
        <f>SUM(EM48*0.0052)/2</f>
        <v>22.88</v>
      </c>
      <c r="CJ48" s="14">
        <f>SUM(CI48*0.1)</f>
        <v>2.2879999999999998</v>
      </c>
      <c r="CK48" s="14">
        <f>SUM(CL48*CM48)</f>
        <v>5.4530666666666647</v>
      </c>
      <c r="CL48" s="17">
        <f>SUM((CI48+CJ48)*0.00833333333333333)</f>
        <v>0.20973333333333324</v>
      </c>
      <c r="CM48" s="262">
        <v>26</v>
      </c>
      <c r="CN48" s="23">
        <f>SUM(CI48,CJ48,CK48)</f>
        <v>30.621066666666664</v>
      </c>
      <c r="CO48" s="14">
        <f>SUM(EM48*0.0052)/2</f>
        <v>22.88</v>
      </c>
      <c r="CP48" s="14">
        <f>SUM(CO48*0.1)</f>
        <v>2.2879999999999998</v>
      </c>
      <c r="CQ48" s="14">
        <f>SUM(CR48*CS48)</f>
        <v>4.6141333333333314</v>
      </c>
      <c r="CR48" s="17">
        <f>SUM((CO48+CP48)*0.00833333333333333)</f>
        <v>0.20973333333333324</v>
      </c>
      <c r="CS48" s="262">
        <v>22</v>
      </c>
      <c r="CT48" s="14">
        <f>SUM(CO48,CP48,CQ48)</f>
        <v>29.782133333333331</v>
      </c>
      <c r="CU48" s="14">
        <f>SUM(EP48*0.0045)/2</f>
        <v>35.099999999999994</v>
      </c>
      <c r="CV48" s="14">
        <f>SUM(CU48*0.1)</f>
        <v>3.51</v>
      </c>
      <c r="CW48" s="14">
        <f>SUM(CX48*CY48)</f>
        <v>5.147999999999997</v>
      </c>
      <c r="CX48" s="17">
        <f>SUM((CU48+CV48)*0.00833333333333333)</f>
        <v>0.32174999999999981</v>
      </c>
      <c r="CY48" s="262">
        <v>16</v>
      </c>
      <c r="CZ48" s="14">
        <f>SUM(CU48,CV48,CW48)</f>
        <v>43.757999999999988</v>
      </c>
      <c r="DA48" s="14">
        <f>SUM(EP48*0.0045)/2</f>
        <v>35.099999999999994</v>
      </c>
      <c r="DB48" s="14">
        <f>SUM(DA48*0.1)</f>
        <v>3.51</v>
      </c>
      <c r="DC48" s="14">
        <f>SUM(DD48*DE48)</f>
        <v>3.217499999999998</v>
      </c>
      <c r="DD48" s="17">
        <f>SUM((DA48+DB48)*0.00833333333333333)</f>
        <v>0.32174999999999981</v>
      </c>
      <c r="DE48" s="262">
        <v>10</v>
      </c>
      <c r="DF48" s="14">
        <f>SUM(DA48,DB48,DC48)</f>
        <v>41.827499999999993</v>
      </c>
      <c r="DG48" s="14">
        <f>SUM(EP48*0.0045)/2</f>
        <v>35.099999999999994</v>
      </c>
      <c r="DH48" s="14">
        <f>SUM(DG48*0.1)</f>
        <v>3.51</v>
      </c>
      <c r="DI48" s="14">
        <f>SUM(DJ48*DK48)</f>
        <v>0.64349999999999963</v>
      </c>
      <c r="DJ48" s="17">
        <f>SUM((DG48+DH48)*0.00833333333333333)</f>
        <v>0.32174999999999981</v>
      </c>
      <c r="DK48" s="262">
        <v>2</v>
      </c>
      <c r="DL48" s="14">
        <f>SUM(DG48,DH48,DI48)</f>
        <v>39.253499999999995</v>
      </c>
      <c r="DM48" s="14">
        <f>0</f>
        <v>0</v>
      </c>
      <c r="DN48" s="14">
        <f>0</f>
        <v>0</v>
      </c>
      <c r="DO48" s="14">
        <f ca="1">SUM(DP48*DQ48)</f>
        <v>0</v>
      </c>
      <c r="DP48" s="17">
        <f>SUM((DM48+DN48)*0.00833333333333333)</f>
        <v>0</v>
      </c>
      <c r="DQ48" s="23">
        <f ca="1">MONTH(TODAY())+1</f>
        <v>5</v>
      </c>
      <c r="DR48" s="14">
        <f ca="1">SUM(DM48,DN48,DO48)</f>
        <v>0</v>
      </c>
      <c r="DS48" s="14">
        <f>SUM(BQ48, BW48, CC48, CI48,CO48,CU48,DA48,DG48,DM48)</f>
        <v>196.81999999999996</v>
      </c>
      <c r="DT48" s="14">
        <f>SUM(BR48,BX48,CD48, CJ48,CP48,CV48,DB48,DH48,DN48)</f>
        <v>19.681999999999995</v>
      </c>
      <c r="DU48" s="14">
        <f ca="1">SUM(BS48,BY48,CE48, CK48,CQ48,CW48,DC48,DI48,DO48)</f>
        <v>33.338066666666656</v>
      </c>
      <c r="DV48" s="25">
        <f ca="1">SUM(DS48:DU48)</f>
        <v>249.84006666666662</v>
      </c>
      <c r="DW48" s="47">
        <f ca="1">SUM(DV48/EM48)</f>
        <v>2.8390916666666662E-2</v>
      </c>
      <c r="DX48" s="14">
        <f>20+10+200+40+200+40+40+40+40+100+40</f>
        <v>770</v>
      </c>
      <c r="DY48" s="32">
        <f>COUNTIF(AO48, "*")+COUNTIF(AJ48, "*")+COUNTIF(AA48, "*")+COUNTIF(FA48, "*")+COUNTIF(FG48, "*")+COUNTIF(FM48, "*")+COUNTIF(FQ48, "*")+COUNTIF(FX48, "*")+COUNTIF(AS48, "*")+COUNTIF(GG48, "*")+COUNTIF(GR48, "*")+COUNTIF(HC48, "*")+COUNTIF(HK48, "*")+COUNTIF(HS48, "*")+COUNTIF(IA48, "*")</f>
        <v>8</v>
      </c>
      <c r="DZ48" s="14">
        <f>1.92+DY48*8</f>
        <v>65.92</v>
      </c>
      <c r="EA48" s="4">
        <v>26.67</v>
      </c>
      <c r="EB48" s="25">
        <f>320.5/2</f>
        <v>160.25</v>
      </c>
      <c r="EC48" s="4"/>
      <c r="ED48" s="4"/>
      <c r="EE48" s="4"/>
      <c r="EF48" s="4"/>
      <c r="EG48" s="14">
        <f>SUM(EA48:EF48)</f>
        <v>186.92000000000002</v>
      </c>
      <c r="EH48" s="14">
        <f ca="1">SUM(DV48,DX48,EG48, EB48, DZ48,GD48)</f>
        <v>1432.9300666666668</v>
      </c>
      <c r="EI48" s="24" t="s">
        <v>5892</v>
      </c>
      <c r="EJ48" s="23">
        <v>0.18</v>
      </c>
      <c r="EK48" s="14">
        <v>2300</v>
      </c>
      <c r="EL48" s="14">
        <v>6500</v>
      </c>
      <c r="EM48" s="14">
        <f>SUM(EK48+EL48)</f>
        <v>8800</v>
      </c>
      <c r="EN48" s="14">
        <v>8000</v>
      </c>
      <c r="EO48" s="14">
        <v>7600</v>
      </c>
      <c r="EP48" s="14">
        <f>SUM(EN48+EO48)</f>
        <v>15600</v>
      </c>
      <c r="EQ48" s="10" t="s">
        <v>5831</v>
      </c>
      <c r="ER48" s="10" t="s">
        <v>5832</v>
      </c>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t="s">
        <v>5711</v>
      </c>
      <c r="FQ48" s="10" t="s">
        <v>858</v>
      </c>
      <c r="FR48" s="10"/>
      <c r="FS48" s="10" t="s">
        <v>386</v>
      </c>
      <c r="FT48" s="10" t="s">
        <v>260</v>
      </c>
      <c r="FU48" s="9">
        <v>44358</v>
      </c>
      <c r="FV48" s="10" t="s">
        <v>5834</v>
      </c>
      <c r="FW48" s="10"/>
      <c r="FX48" s="10"/>
      <c r="FY48" s="10"/>
      <c r="FZ48" s="10"/>
      <c r="GA48" s="10"/>
      <c r="GB48" s="9"/>
      <c r="GC48" s="10"/>
      <c r="GD48" s="10"/>
      <c r="GE48" s="10" t="s">
        <v>421</v>
      </c>
      <c r="GF48" s="10" t="s">
        <v>5260</v>
      </c>
      <c r="GG48" s="10" t="s">
        <v>5261</v>
      </c>
      <c r="GH48" s="10"/>
      <c r="GI48" s="10" t="s">
        <v>274</v>
      </c>
      <c r="GJ48" s="10" t="s">
        <v>275</v>
      </c>
      <c r="GK48" s="9">
        <v>44396</v>
      </c>
      <c r="GL48" s="10" t="s">
        <v>5835</v>
      </c>
      <c r="GM48" s="10"/>
      <c r="GN48" s="10"/>
      <c r="GO48" s="10"/>
      <c r="GP48" s="28" t="s">
        <v>382</v>
      </c>
      <c r="GQ48" s="28" t="s">
        <v>383</v>
      </c>
      <c r="GR48" s="28" t="s">
        <v>384</v>
      </c>
      <c r="GS48" s="28" t="s">
        <v>385</v>
      </c>
      <c r="GT48" s="28" t="s">
        <v>386</v>
      </c>
      <c r="GU48" s="28" t="s">
        <v>260</v>
      </c>
      <c r="GV48" s="9">
        <v>44657</v>
      </c>
      <c r="GW48" s="10" t="s">
        <v>5836</v>
      </c>
      <c r="GX48" s="10"/>
      <c r="GY48" s="10"/>
      <c r="GZ48" s="10"/>
      <c r="HA48" s="10" t="s">
        <v>5841</v>
      </c>
      <c r="HB48" s="10" t="s">
        <v>5837</v>
      </c>
      <c r="HC48" s="10" t="s">
        <v>5838</v>
      </c>
      <c r="HD48" s="10"/>
      <c r="HE48" s="10" t="s">
        <v>1883</v>
      </c>
      <c r="HF48" s="10" t="s">
        <v>1485</v>
      </c>
      <c r="HG48" s="9">
        <v>44718</v>
      </c>
      <c r="HH48" s="10" t="s">
        <v>5839</v>
      </c>
      <c r="HI48" s="10" t="s">
        <v>421</v>
      </c>
      <c r="HJ48" s="10" t="s">
        <v>5282</v>
      </c>
      <c r="HK48" s="28" t="s">
        <v>4967</v>
      </c>
      <c r="HL48" s="10"/>
      <c r="HM48" s="10" t="s">
        <v>4966</v>
      </c>
      <c r="HN48" s="10" t="s">
        <v>275</v>
      </c>
      <c r="HO48" s="9">
        <v>44627</v>
      </c>
      <c r="HP48" s="10" t="s">
        <v>5840</v>
      </c>
      <c r="HQ48" s="10"/>
      <c r="HR48" s="10"/>
      <c r="HS48" s="10"/>
      <c r="HT48" s="10"/>
      <c r="HU48" s="10"/>
      <c r="HV48" s="10"/>
      <c r="HW48" s="9"/>
      <c r="HX48" s="10"/>
      <c r="HY48" s="10"/>
      <c r="HZ48" s="10"/>
      <c r="IA48" s="10"/>
      <c r="IB48" s="10"/>
      <c r="IC48" s="10"/>
      <c r="ID48" s="10"/>
      <c r="IE48" s="9"/>
      <c r="IF48" s="4"/>
      <c r="IG48" s="4"/>
      <c r="IH48" s="10"/>
      <c r="II48" s="10"/>
      <c r="IJ48" s="10"/>
      <c r="IK48" s="10"/>
      <c r="IL48" s="4"/>
      <c r="IM48" s="4"/>
      <c r="IN48" s="4"/>
      <c r="IO48" s="4"/>
      <c r="IP48" s="4"/>
      <c r="IQ48" s="9"/>
      <c r="IR48" s="9"/>
      <c r="IS48" s="9"/>
      <c r="IT48" s="9"/>
      <c r="IU48" s="9"/>
      <c r="IV48" s="27" t="s">
        <v>5913</v>
      </c>
    </row>
    <row r="49" spans="1:263" ht="15" customHeight="1">
      <c r="A49">
        <v>102024187</v>
      </c>
      <c r="B49" t="s">
        <v>5828</v>
      </c>
      <c r="C49" s="10"/>
      <c r="D49" s="161"/>
      <c r="E49" s="147" t="s">
        <v>5900</v>
      </c>
      <c r="F49" s="160">
        <v>240003249</v>
      </c>
      <c r="G49" s="147"/>
      <c r="H49" s="10"/>
      <c r="I49" s="10"/>
      <c r="J49" s="10" t="s">
        <v>311</v>
      </c>
      <c r="K49" s="10" t="s">
        <v>3185</v>
      </c>
      <c r="L49" s="10" t="s">
        <v>420</v>
      </c>
      <c r="M49" s="10" t="s">
        <v>469</v>
      </c>
      <c r="N49" s="10"/>
      <c r="O49" s="147"/>
      <c r="P49" s="10"/>
      <c r="Q49" s="10"/>
      <c r="R49" s="10"/>
      <c r="S49" s="10"/>
      <c r="T49" s="10"/>
      <c r="U49" s="10"/>
      <c r="V49" s="10"/>
      <c r="W49" s="10"/>
      <c r="X49" s="10"/>
      <c r="Y49" s="10"/>
      <c r="Z49" s="10"/>
      <c r="AA49" s="10"/>
      <c r="AB49" s="10"/>
      <c r="AC49" s="10"/>
      <c r="AD49" s="10"/>
      <c r="AE49" s="10"/>
      <c r="AF49" s="10"/>
      <c r="AG49" s="141"/>
      <c r="AH49" s="213"/>
      <c r="AI49" s="10"/>
      <c r="AJ49" t="s">
        <v>5829</v>
      </c>
      <c r="AK49" s="1" t="s">
        <v>258</v>
      </c>
      <c r="AL49" t="s">
        <v>438</v>
      </c>
      <c r="AM49" t="s">
        <v>260</v>
      </c>
      <c r="AN49"/>
      <c r="AO49" t="s">
        <v>5524</v>
      </c>
      <c r="AP49" s="1" t="s">
        <v>258</v>
      </c>
      <c r="AQ49" s="18" t="s">
        <v>438</v>
      </c>
      <c r="AR49" t="s">
        <v>260</v>
      </c>
      <c r="AS49" t="s">
        <v>473</v>
      </c>
      <c r="AT49" t="s">
        <v>474</v>
      </c>
      <c r="AU49" t="s">
        <v>475</v>
      </c>
      <c r="AV49" t="s">
        <v>438</v>
      </c>
      <c r="AW49" s="1" t="s">
        <v>260</v>
      </c>
      <c r="AX49" s="1" t="s">
        <v>258</v>
      </c>
      <c r="AY49" s="1" t="s">
        <v>258</v>
      </c>
      <c r="AZ49" s="1"/>
      <c r="BA49" s="1"/>
      <c r="BB49" s="1"/>
      <c r="BC49" s="70">
        <v>45481</v>
      </c>
      <c r="BD49" s="115">
        <v>45450</v>
      </c>
      <c r="BE49" s="144">
        <v>45446</v>
      </c>
      <c r="BF49" s="70"/>
      <c r="BG49" s="2"/>
      <c r="BH49" s="70"/>
      <c r="BI49" s="70"/>
      <c r="BJ49" s="70">
        <v>45545</v>
      </c>
      <c r="BK49" s="70" t="s">
        <v>5895</v>
      </c>
      <c r="BL49" s="20">
        <f ca="1">SUM(EH49)+220</f>
        <v>1686.6616833333333</v>
      </c>
      <c r="BM49" s="22">
        <f ca="1">PMT(10%/12,12,BL49,0,0)</f>
        <v>-148.28435834711146</v>
      </c>
      <c r="BN49" s="22">
        <f ca="1">SUM(BM49*-1)</f>
        <v>148.28435834711146</v>
      </c>
      <c r="BO49" s="14">
        <f>SUM(EP49*0.0052)/12</f>
        <v>6.1966666666666663</v>
      </c>
      <c r="BP49" s="22">
        <f ca="1">SUM(BN49+BO49)</f>
        <v>154.48102501377812</v>
      </c>
      <c r="BQ49" s="14"/>
      <c r="BR49" s="14">
        <f>SUM(BQ49*0.1)</f>
        <v>0</v>
      </c>
      <c r="BS49" s="14">
        <f ca="1">SUM(BT49*BU49)</f>
        <v>0</v>
      </c>
      <c r="BT49" s="17">
        <f>SUM((BQ49+BR49)*0.00833333333333333)</f>
        <v>0</v>
      </c>
      <c r="BU49" s="23">
        <f ca="1">MONTH(TODAY())+49</f>
        <v>53</v>
      </c>
      <c r="BV49" s="14">
        <f ca="1">SUM(BQ49,BR49,BS49)</f>
        <v>0</v>
      </c>
      <c r="BW49" s="14">
        <v>0</v>
      </c>
      <c r="BX49" s="14">
        <f>SUM(BW49*0.1)</f>
        <v>0</v>
      </c>
      <c r="BY49" s="14">
        <f ca="1">SUM(BZ49*CA49)</f>
        <v>0</v>
      </c>
      <c r="BZ49" s="17">
        <f>SUM((BW49+BX49)*0.00833333333333333)</f>
        <v>0</v>
      </c>
      <c r="CA49" s="23">
        <f ca="1">MONTH(TODAY())+37</f>
        <v>41</v>
      </c>
      <c r="CB49" s="14">
        <f ca="1">SUM(BW49,BX49,BY49)</f>
        <v>0</v>
      </c>
      <c r="CC49" s="14">
        <f>SUM(EM49*0.0052)</f>
        <v>40.04</v>
      </c>
      <c r="CD49" s="14">
        <f>SUM(CC49*0.1)</f>
        <v>4.0040000000000004</v>
      </c>
      <c r="CE49" s="14">
        <f>SUM(CF49*CG49)</f>
        <v>12.479133333333328</v>
      </c>
      <c r="CF49" s="17">
        <f>SUM((CC49+CD49)*0.00833333333333333)</f>
        <v>0.36703333333333316</v>
      </c>
      <c r="CG49" s="262">
        <v>34</v>
      </c>
      <c r="CH49" s="14">
        <f>SUM(CC49,CD49,CE49)</f>
        <v>56.523133333333327</v>
      </c>
      <c r="CI49" s="14">
        <f>SUM(EM49*0.0052)/2</f>
        <v>20.02</v>
      </c>
      <c r="CJ49" s="14">
        <f>SUM(CI49*0.1)</f>
        <v>2.0020000000000002</v>
      </c>
      <c r="CK49" s="14">
        <f>SUM(CL49*CM49)</f>
        <v>4.7714333333333308</v>
      </c>
      <c r="CL49" s="17">
        <f>SUM((CI49+CJ49)*0.00833333333333333)</f>
        <v>0.18351666666666658</v>
      </c>
      <c r="CM49" s="262">
        <v>26</v>
      </c>
      <c r="CN49" s="23">
        <f>SUM(CI49,CJ49,CK49)</f>
        <v>26.793433333333329</v>
      </c>
      <c r="CO49" s="14">
        <f>SUM(EM49*0.0052)/2</f>
        <v>20.02</v>
      </c>
      <c r="CP49" s="14">
        <f>SUM(CO49*0.1)</f>
        <v>2.0020000000000002</v>
      </c>
      <c r="CQ49" s="14">
        <f>SUM(CR49*CS49)</f>
        <v>4.0373666666666645</v>
      </c>
      <c r="CR49" s="17">
        <f>SUM((CO49+CP49)*0.00833333333333333)</f>
        <v>0.18351666666666658</v>
      </c>
      <c r="CS49" s="262">
        <v>22</v>
      </c>
      <c r="CT49" s="14">
        <f>SUM(CO49,CP49,CQ49)</f>
        <v>26.059366666666662</v>
      </c>
      <c r="CU49" s="14">
        <f>SUM(EP49*0.0045)/2</f>
        <v>32.174999999999997</v>
      </c>
      <c r="CV49" s="14">
        <f>SUM(CU49*0.1)</f>
        <v>3.2174999999999998</v>
      </c>
      <c r="CW49" s="14">
        <f>SUM(CX49*CY49)</f>
        <v>4.7189999999999976</v>
      </c>
      <c r="CX49" s="17">
        <f>SUM((CU49+CV49)*0.00833333333333333)</f>
        <v>0.29493749999999985</v>
      </c>
      <c r="CY49" s="262">
        <v>16</v>
      </c>
      <c r="CZ49" s="14">
        <f>SUM(CU49,CV49,CW49)</f>
        <v>40.111499999999992</v>
      </c>
      <c r="DA49" s="14">
        <f>SUM(EP49*0.0045)/2</f>
        <v>32.174999999999997</v>
      </c>
      <c r="DB49" s="14">
        <f>SUM(DA49*0.1)</f>
        <v>3.2174999999999998</v>
      </c>
      <c r="DC49" s="14">
        <f>SUM(DD49*DE49)</f>
        <v>2.9493749999999985</v>
      </c>
      <c r="DD49" s="17">
        <f>SUM((DA49+DB49)*0.00833333333333333)</f>
        <v>0.29493749999999985</v>
      </c>
      <c r="DE49" s="262">
        <v>10</v>
      </c>
      <c r="DF49" s="14">
        <f>SUM(DA49,DB49,DC49)</f>
        <v>38.341874999999995</v>
      </c>
      <c r="DG49" s="14">
        <f>SUM(EP49*0.0045)/2</f>
        <v>32.174999999999997</v>
      </c>
      <c r="DH49" s="14">
        <f>SUM(DG49*0.1)</f>
        <v>3.2174999999999998</v>
      </c>
      <c r="DI49" s="14">
        <f>SUM(DJ49*DK49)</f>
        <v>0.58987499999999971</v>
      </c>
      <c r="DJ49" s="17">
        <f>SUM((DG49+DH49)*0.00833333333333333)</f>
        <v>0.29493749999999985</v>
      </c>
      <c r="DK49" s="262">
        <v>2</v>
      </c>
      <c r="DL49" s="14">
        <f>SUM(DG49,DH49,DI49)</f>
        <v>35.982374999999998</v>
      </c>
      <c r="DM49" s="14">
        <f>0</f>
        <v>0</v>
      </c>
      <c r="DN49" s="14">
        <f>0</f>
        <v>0</v>
      </c>
      <c r="DO49" s="14">
        <f ca="1">SUM(DP49*DQ49)</f>
        <v>0</v>
      </c>
      <c r="DP49" s="17">
        <f>SUM((DM49+DN49)*0.00833333333333333)</f>
        <v>0</v>
      </c>
      <c r="DQ49" s="23">
        <f ca="1">MONTH(TODAY())+1</f>
        <v>5</v>
      </c>
      <c r="DR49" s="14">
        <f ca="1">SUM(DM49,DN49,DO49)</f>
        <v>0</v>
      </c>
      <c r="DS49" s="14">
        <f>SUM(BQ49, BW49, CC49, CI49,CO49,CU49,DA49,DG49,DM49)</f>
        <v>176.60500000000002</v>
      </c>
      <c r="DT49" s="14">
        <f>SUM(BR49,BX49,CD49, CJ49,CP49,CV49,DB49,DH49,DN49)</f>
        <v>17.660499999999999</v>
      </c>
      <c r="DU49" s="14">
        <f ca="1">SUM(BS49,BY49,CE49, CK49,CQ49,CW49,DC49,DI49,DO49)</f>
        <v>29.546183333333317</v>
      </c>
      <c r="DV49" s="25">
        <f ca="1">SUM(DS49:DU49)</f>
        <v>223.81168333333335</v>
      </c>
      <c r="DW49" s="47">
        <f ca="1">SUM(DV49/EM49)</f>
        <v>2.9066452380952384E-2</v>
      </c>
      <c r="DX49" s="14">
        <f>20+200+40+200+40+40+40+40+100+40</f>
        <v>760</v>
      </c>
      <c r="DY49" s="32">
        <f>COUNTIF(AO49, "*")+COUNTIF(AJ49, "*")+COUNTIF(AA49, "*")+COUNTIF(FA49, "*")+COUNTIF(FG49, "*")+COUNTIF(FM49, "*")+COUNTIF(FQ49, "*")+COUNTIF(FX49, "*")+COUNTIF(AT49, "*")+COUNTIF(GG49, "*")+COUNTIF(GR49, "*")+COUNTIF(HC49, "*")+COUNTIF(HK49, "*")+COUNTIF(HS49, "*")+COUNTIF(IA49, "*")</f>
        <v>8</v>
      </c>
      <c r="DZ49" s="14">
        <f>DY49*8</f>
        <v>64</v>
      </c>
      <c r="EA49" s="4">
        <v>98.35</v>
      </c>
      <c r="EB49" s="25">
        <f>320.5/2</f>
        <v>160.25</v>
      </c>
      <c r="EC49" s="4"/>
      <c r="ED49" s="4"/>
      <c r="EE49" s="4"/>
      <c r="EF49" s="4"/>
      <c r="EG49" s="14">
        <f>SUM(EA49:EF49)</f>
        <v>258.60000000000002</v>
      </c>
      <c r="EH49" s="14">
        <f ca="1">SUM(DV49,DX49,EG49, EB49, DZ49,GD49)</f>
        <v>1466.6616833333333</v>
      </c>
      <c r="EI49" s="24" t="s">
        <v>5892</v>
      </c>
      <c r="EJ49" s="23">
        <v>0.18</v>
      </c>
      <c r="EK49" s="14">
        <v>2300</v>
      </c>
      <c r="EL49" s="14">
        <v>5400</v>
      </c>
      <c r="EM49" s="14">
        <f>SUM(EK49+EL49)</f>
        <v>7700</v>
      </c>
      <c r="EN49" s="14">
        <v>8000</v>
      </c>
      <c r="EO49" s="14">
        <v>6300</v>
      </c>
      <c r="EP49" s="14">
        <f>SUM(EN49+EO49)</f>
        <v>14300</v>
      </c>
      <c r="EQ49" s="10" t="s">
        <v>5830</v>
      </c>
      <c r="ER49" s="10" t="s">
        <v>5833</v>
      </c>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t="s">
        <v>5711</v>
      </c>
      <c r="FQ49" s="10" t="s">
        <v>858</v>
      </c>
      <c r="FR49" s="10"/>
      <c r="FS49" s="10" t="s">
        <v>386</v>
      </c>
      <c r="FT49" s="10" t="s">
        <v>260</v>
      </c>
      <c r="FU49" s="9">
        <v>44358</v>
      </c>
      <c r="FV49" s="10" t="s">
        <v>5834</v>
      </c>
      <c r="FW49" s="10"/>
      <c r="FX49" s="10"/>
      <c r="FY49" s="10"/>
      <c r="FZ49" s="10"/>
      <c r="GA49" s="10"/>
      <c r="GB49" s="9"/>
      <c r="GC49" s="10"/>
      <c r="GD49" s="10"/>
      <c r="GE49" s="10" t="s">
        <v>421</v>
      </c>
      <c r="GF49" s="10" t="s">
        <v>5260</v>
      </c>
      <c r="GG49" s="10" t="s">
        <v>5261</v>
      </c>
      <c r="GH49" s="10"/>
      <c r="GI49" s="10" t="s">
        <v>274</v>
      </c>
      <c r="GJ49" s="10" t="s">
        <v>275</v>
      </c>
      <c r="GK49" s="9">
        <v>44396</v>
      </c>
      <c r="GL49" s="10" t="s">
        <v>5835</v>
      </c>
      <c r="GM49" s="10"/>
      <c r="GN49" s="10"/>
      <c r="GO49" s="10"/>
      <c r="GP49" s="28" t="s">
        <v>382</v>
      </c>
      <c r="GQ49" s="28" t="s">
        <v>383</v>
      </c>
      <c r="GR49" s="28" t="s">
        <v>384</v>
      </c>
      <c r="GS49" s="28" t="s">
        <v>385</v>
      </c>
      <c r="GT49" s="28" t="s">
        <v>386</v>
      </c>
      <c r="GU49" s="28" t="s">
        <v>260</v>
      </c>
      <c r="GV49" s="9">
        <v>44657</v>
      </c>
      <c r="GW49" s="10" t="s">
        <v>5836</v>
      </c>
      <c r="GX49" s="10"/>
      <c r="GY49" s="10"/>
      <c r="GZ49" s="10"/>
      <c r="HA49" s="10" t="s">
        <v>5841</v>
      </c>
      <c r="HB49" s="10" t="s">
        <v>5837</v>
      </c>
      <c r="HC49" s="10" t="s">
        <v>5838</v>
      </c>
      <c r="HD49" s="10"/>
      <c r="HE49" s="10" t="s">
        <v>1883</v>
      </c>
      <c r="HF49" s="10" t="s">
        <v>1485</v>
      </c>
      <c r="HG49" s="9">
        <v>44718</v>
      </c>
      <c r="HH49" s="10" t="s">
        <v>5839</v>
      </c>
      <c r="HI49" s="10" t="s">
        <v>421</v>
      </c>
      <c r="HJ49" s="10" t="s">
        <v>5282</v>
      </c>
      <c r="HK49" s="28" t="s">
        <v>4967</v>
      </c>
      <c r="HL49" s="10"/>
      <c r="HM49" s="10" t="s">
        <v>4966</v>
      </c>
      <c r="HN49" s="10" t="s">
        <v>275</v>
      </c>
      <c r="HO49" s="9">
        <v>44627</v>
      </c>
      <c r="HP49" s="10" t="s">
        <v>5840</v>
      </c>
      <c r="HQ49" s="10"/>
      <c r="HR49" s="10"/>
      <c r="HS49" s="10"/>
      <c r="HT49" s="10"/>
      <c r="HU49" s="10"/>
      <c r="HV49" s="10"/>
      <c r="HW49" s="9"/>
      <c r="HX49" s="10"/>
      <c r="HY49" s="10"/>
      <c r="HZ49" s="10"/>
      <c r="IA49" s="10"/>
      <c r="IB49" s="10"/>
      <c r="IC49" s="10"/>
      <c r="ID49" s="10"/>
      <c r="IE49" s="9"/>
      <c r="IF49" s="4"/>
      <c r="IG49" s="4"/>
      <c r="IH49" s="10"/>
      <c r="II49" s="10"/>
      <c r="IJ49" s="10"/>
      <c r="IK49" s="10"/>
      <c r="IL49" s="4"/>
      <c r="IM49" s="4"/>
      <c r="IN49" s="4"/>
      <c r="IO49" s="4"/>
      <c r="IP49" s="4"/>
      <c r="IQ49" s="9"/>
      <c r="IR49" s="9"/>
      <c r="IS49" s="9"/>
      <c r="IT49" s="9"/>
      <c r="IU49" s="9"/>
      <c r="IV49" t="s">
        <v>5913</v>
      </c>
    </row>
    <row r="50" spans="1:263" ht="15" customHeight="1">
      <c r="A50" s="211">
        <v>102024136</v>
      </c>
      <c r="B50" s="200" t="s">
        <v>5471</v>
      </c>
      <c r="C50" s="201"/>
      <c r="D50" s="202"/>
      <c r="E50" s="203" t="s">
        <v>5878</v>
      </c>
      <c r="F50" s="204">
        <v>240003056</v>
      </c>
      <c r="G50" s="203"/>
      <c r="H50" s="201"/>
      <c r="I50" s="201"/>
      <c r="J50" s="201" t="s">
        <v>253</v>
      </c>
      <c r="K50" s="201" t="s">
        <v>5472</v>
      </c>
      <c r="L50" s="201" t="s">
        <v>1388</v>
      </c>
      <c r="M50" s="201" t="s">
        <v>598</v>
      </c>
      <c r="N50" s="201"/>
      <c r="O50" s="203"/>
      <c r="P50" s="201"/>
      <c r="Q50" s="201"/>
      <c r="R50" s="201"/>
      <c r="S50" s="201"/>
      <c r="T50" s="201"/>
      <c r="U50" s="201"/>
      <c r="V50" s="201"/>
      <c r="W50" s="201"/>
      <c r="X50" s="201"/>
      <c r="Y50" s="201"/>
      <c r="Z50" s="201"/>
      <c r="AA50" s="201"/>
      <c r="AB50" s="201"/>
      <c r="AC50" s="201"/>
      <c r="AD50" s="201"/>
      <c r="AE50" s="201"/>
      <c r="AF50" s="201"/>
      <c r="AG50" s="205"/>
      <c r="AH50" s="201"/>
      <c r="AI50" s="201"/>
      <c r="AJ50" s="200"/>
      <c r="AK50" s="206"/>
      <c r="AL50" s="200"/>
      <c r="AM50" s="200"/>
      <c r="AN50" s="200"/>
      <c r="AO50" s="200" t="s">
        <v>5473</v>
      </c>
      <c r="AP50" s="206" t="s">
        <v>258</v>
      </c>
      <c r="AQ50" s="96" t="s">
        <v>438</v>
      </c>
      <c r="AR50" s="200" t="s">
        <v>260</v>
      </c>
      <c r="AS50" s="200" t="s">
        <v>473</v>
      </c>
      <c r="AT50" s="200" t="s">
        <v>474</v>
      </c>
      <c r="AU50" s="200" t="s">
        <v>475</v>
      </c>
      <c r="AV50" s="200" t="s">
        <v>438</v>
      </c>
      <c r="AW50" s="206" t="s">
        <v>260</v>
      </c>
      <c r="AX50" s="200"/>
      <c r="AY50" s="206" t="s">
        <v>258</v>
      </c>
      <c r="AZ50" s="206"/>
      <c r="BA50" s="206"/>
      <c r="BB50" s="206"/>
      <c r="BC50" s="229">
        <v>45469</v>
      </c>
      <c r="BD50" s="227">
        <v>45408</v>
      </c>
      <c r="BE50" s="227">
        <v>45426</v>
      </c>
      <c r="BF50" s="289">
        <v>45534</v>
      </c>
      <c r="BG50" s="190" t="s">
        <v>319</v>
      </c>
      <c r="BH50" s="290">
        <v>45520</v>
      </c>
      <c r="BI50" s="290">
        <v>45527</v>
      </c>
      <c r="BJ50" s="207">
        <v>45545</v>
      </c>
      <c r="BK50" s="207" t="s">
        <v>5895</v>
      </c>
      <c r="BL50" s="190">
        <f ca="1">SUM(EB50)+220</f>
        <v>4337.5681999999997</v>
      </c>
      <c r="BM50" s="191">
        <f ca="1">PMT(10%/12,12,BL50,0,0)</f>
        <v>-381.34115672367568</v>
      </c>
      <c r="BN50" s="191">
        <f ca="1">SUM(BM50*-1)</f>
        <v>381.34115672367568</v>
      </c>
      <c r="BO50" s="192">
        <f>SUM(EJ50*0.0052)/12</f>
        <v>35.966666666666661</v>
      </c>
      <c r="BP50" s="191">
        <f ca="1">SUM(BN50+BO50)</f>
        <v>417.30782339034232</v>
      </c>
      <c r="BQ50" s="192">
        <v>0</v>
      </c>
      <c r="BR50" s="192">
        <f>SUM(BQ50*0.1)</f>
        <v>0</v>
      </c>
      <c r="BS50" s="192">
        <f ca="1">SUM(BT50*BU50)</f>
        <v>0</v>
      </c>
      <c r="BT50" s="193">
        <f>SUM((BQ50+BR50)*0.00833333333333333)</f>
        <v>0</v>
      </c>
      <c r="BU50" s="194">
        <f ca="1">MONTH(TODAY())+37</f>
        <v>41</v>
      </c>
      <c r="BV50" s="192">
        <f ca="1">SUM(BQ50,BR50,BS50)</f>
        <v>0</v>
      </c>
      <c r="BW50" s="192">
        <v>0</v>
      </c>
      <c r="BX50" s="192">
        <f>SUM(BW50*0.1)</f>
        <v>0</v>
      </c>
      <c r="BY50" s="192">
        <f ca="1">SUM(BZ50*CA50)</f>
        <v>0</v>
      </c>
      <c r="BZ50" s="193">
        <f>SUM((BW50+BX50)*0.00833333333333333)</f>
        <v>0</v>
      </c>
      <c r="CA50" s="194">
        <f ca="1">MONTH(TODAY())+37</f>
        <v>41</v>
      </c>
      <c r="CB50" s="192">
        <f ca="1">SUM(BW50,BX50,BY50)</f>
        <v>0</v>
      </c>
      <c r="CC50" s="192">
        <f>SUM(EG50*0.0052)/2</f>
        <v>174.72</v>
      </c>
      <c r="CD50" s="192">
        <f>SUM(CC50*0.1)</f>
        <v>17.472000000000001</v>
      </c>
      <c r="CE50" s="192">
        <f ca="1">SUM(CF50*CG50)</f>
        <v>52.852799999999981</v>
      </c>
      <c r="CF50" s="193">
        <f>SUM((CC50+CD50)*0.00833333333333333)</f>
        <v>1.6015999999999995</v>
      </c>
      <c r="CG50" s="194">
        <f ca="1">MONTH(TODAY())+29</f>
        <v>33</v>
      </c>
      <c r="CH50" s="194">
        <f ca="1">SUM(CC50,CD50,CE50)</f>
        <v>245.04479999999998</v>
      </c>
      <c r="CI50" s="192">
        <f>SUM(EG50*0.0052)/2</f>
        <v>174.72</v>
      </c>
      <c r="CJ50" s="192">
        <f>SUM(CI50*0.1)</f>
        <v>17.472000000000001</v>
      </c>
      <c r="CK50" s="192">
        <f ca="1">SUM(CL50*CM50)</f>
        <v>46.446399999999983</v>
      </c>
      <c r="CL50" s="193">
        <f>SUM((CI50+CJ50)*0.00833333333333333)</f>
        <v>1.6015999999999995</v>
      </c>
      <c r="CM50" s="194">
        <f ca="1">MONTH(TODAY())+25</f>
        <v>29</v>
      </c>
      <c r="CN50" s="192">
        <f ca="1">SUM(CI50,CJ50,CK50)</f>
        <v>238.63839999999999</v>
      </c>
      <c r="CO50" s="192">
        <f>SUM(EJ50*0.0045)/2</f>
        <v>186.75</v>
      </c>
      <c r="CP50" s="192">
        <f>SUM(CO50*0.1)</f>
        <v>18.675000000000001</v>
      </c>
      <c r="CQ50" s="192">
        <f ca="1">SUM(CR50*CS50)</f>
        <v>39.373124999999987</v>
      </c>
      <c r="CR50" s="193">
        <f>SUM((CO50+CP50)*0.00833333333333333)</f>
        <v>1.7118749999999994</v>
      </c>
      <c r="CS50" s="194">
        <f ca="1">MONTH(TODAY())+19</f>
        <v>23</v>
      </c>
      <c r="CT50" s="192">
        <f ca="1">SUM(CO50,CP50,CQ50)</f>
        <v>244.798125</v>
      </c>
      <c r="CU50" s="192">
        <f>SUM(EJ50*0.0045)/2</f>
        <v>186.75</v>
      </c>
      <c r="CV50" s="192">
        <f>SUM(CU50*0.1)</f>
        <v>18.675000000000001</v>
      </c>
      <c r="CW50" s="192">
        <f ca="1">SUM(CX50*CY50)</f>
        <v>29.101874999999989</v>
      </c>
      <c r="CX50" s="193">
        <f>SUM((CU50+CV50)*0.00833333333333333)</f>
        <v>1.7118749999999994</v>
      </c>
      <c r="CY50" s="194">
        <f ca="1">MONTH(TODAY())+13</f>
        <v>17</v>
      </c>
      <c r="CZ50" s="192">
        <f ca="1">SUM(CU50,CV50,CW50)</f>
        <v>234.52687499999999</v>
      </c>
      <c r="DA50" s="192">
        <f>SUM(EJ50*0.0045)/2</f>
        <v>186.75</v>
      </c>
      <c r="DB50" s="192">
        <f>SUM(DA50*0.1)</f>
        <v>18.675000000000001</v>
      </c>
      <c r="DC50" s="192">
        <f ca="1">SUM(DD50*DE50)</f>
        <v>18.830624999999994</v>
      </c>
      <c r="DD50" s="193">
        <f>SUM((DA50+DB50)*0.00833333333333333)</f>
        <v>1.7118749999999994</v>
      </c>
      <c r="DE50" s="194">
        <f ca="1">MONTH(TODAY())+7</f>
        <v>11</v>
      </c>
      <c r="DF50" s="192">
        <f ca="1">SUM(DA50,DB50,DC50)</f>
        <v>224.25562500000001</v>
      </c>
      <c r="DG50" s="192">
        <f>SUM(EJ50*0.0045)/2</f>
        <v>186.75</v>
      </c>
      <c r="DH50" s="192">
        <f>SUM(DG50*0.1)</f>
        <v>18.675000000000001</v>
      </c>
      <c r="DI50" s="192">
        <f ca="1">SUM(DJ50*DK50)</f>
        <v>8.5593749999999975</v>
      </c>
      <c r="DJ50" s="193">
        <f>SUM((DG50+DH50)*0.00833333333333333)</f>
        <v>1.7118749999999994</v>
      </c>
      <c r="DK50" s="194">
        <f ca="1">MONTH(TODAY())+1</f>
        <v>5</v>
      </c>
      <c r="DL50" s="192">
        <f ca="1">SUM(DG50,DH50,DI50)</f>
        <v>213.984375</v>
      </c>
      <c r="DM50" s="192">
        <f>SUM(BQ50, BW50, CC50,CI50,CO50,CU50,DA50,DG50)</f>
        <v>1096.44</v>
      </c>
      <c r="DN50" s="192">
        <f>SUM(BR50,BX50, CD50,CJ50,CP50,CV50,DB50,DH50)</f>
        <v>109.64399999999999</v>
      </c>
      <c r="DO50" s="192">
        <f ca="1">SUM(BS50,BY50, CE50,CK50,CQ50,CW50,DC50,DI50)</f>
        <v>195.16419999999991</v>
      </c>
      <c r="DP50" s="195">
        <f ca="1">SUM(DM50:DO50)</f>
        <v>1401.2482</v>
      </c>
      <c r="DQ50" s="196">
        <f ca="1">SUM(DP50/EG50)</f>
        <v>2.0851907738095237E-2</v>
      </c>
      <c r="DR50" s="192">
        <f>20+10+200+200+100</f>
        <v>530</v>
      </c>
      <c r="DS50" s="197">
        <f>COUNTIF(AO50, "*")+COUNTIF(AJ50, "*")+COUNTIF(AA50, "*")+COUNTIF(EU50, "*")+COUNTIF(FA50, "*")+COUNTIF(FG50, "*")+COUNTIF(FK50, "*")+COUNTIF(FR50, "*")+COUNTIF(AS50, "*")+COUNTIF(GA50, "*")+COUNTIF(GL50, "*")+COUNTIF(GW50, "*")+COUNTIF(HE50, "*")+COUNTIF(HM50, "*")+COUNTIF(HU50, "*")</f>
        <v>3</v>
      </c>
      <c r="DT50" s="192">
        <f>1.28+DS50*8</f>
        <v>25.28</v>
      </c>
      <c r="DU50" s="208">
        <f>32.53+867.26</f>
        <v>899.79</v>
      </c>
      <c r="DV50" s="208">
        <v>150</v>
      </c>
      <c r="DW50" s="208">
        <f>93.75+407.5</f>
        <v>501.25</v>
      </c>
      <c r="DX50" s="208"/>
      <c r="DY50" s="192">
        <f>IF(SUM(EE50*0.004)&lt;100, 100, SUM(EE50*0.004))</f>
        <v>100</v>
      </c>
      <c r="DZ50" s="208">
        <v>510</v>
      </c>
      <c r="EA50" s="192">
        <f>SUM(DU50:DZ50)</f>
        <v>2161.04</v>
      </c>
      <c r="EB50" s="192">
        <f ca="1">SUM(DP50,DR50,EA50,DT50,FX50)</f>
        <v>4117.5681999999997</v>
      </c>
      <c r="EC50" s="198" t="s">
        <v>5914</v>
      </c>
      <c r="ED50" s="194">
        <v>0.37</v>
      </c>
      <c r="EE50" s="192">
        <v>8800</v>
      </c>
      <c r="EF50" s="192">
        <v>58400</v>
      </c>
      <c r="EG50" s="192">
        <f>SUM(EE50+EF50)</f>
        <v>67200</v>
      </c>
      <c r="EH50" s="192">
        <v>8800</v>
      </c>
      <c r="EI50" s="192">
        <v>74200</v>
      </c>
      <c r="EJ50" s="192">
        <f>SUM(EH50+EI50)</f>
        <v>83000</v>
      </c>
      <c r="EK50" s="201" t="s">
        <v>5653</v>
      </c>
      <c r="EL50" s="230" t="s">
        <v>5654</v>
      </c>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t="s">
        <v>5658</v>
      </c>
      <c r="FK50" s="201" t="s">
        <v>5655</v>
      </c>
      <c r="FL50" s="201"/>
      <c r="FM50" s="201" t="s">
        <v>5656</v>
      </c>
      <c r="FN50" s="201" t="s">
        <v>544</v>
      </c>
      <c r="FO50" s="209">
        <v>34340</v>
      </c>
      <c r="FP50" s="201" t="s">
        <v>5657</v>
      </c>
      <c r="FQ50" s="201"/>
      <c r="FR50" s="201"/>
      <c r="FS50" s="201"/>
      <c r="FT50" s="201"/>
      <c r="FU50" s="201"/>
      <c r="FV50" s="209"/>
      <c r="FW50" s="201"/>
      <c r="FX50" s="201"/>
      <c r="FY50" s="201"/>
      <c r="FZ50" s="201"/>
      <c r="GA50" s="201"/>
      <c r="GB50" s="201"/>
      <c r="GC50" s="201"/>
      <c r="GD50" s="201"/>
      <c r="GE50" s="209"/>
      <c r="GF50" s="201"/>
      <c r="GG50" s="201"/>
      <c r="GH50" s="201"/>
      <c r="GI50" s="201"/>
      <c r="GJ50" s="201"/>
      <c r="GK50" s="201"/>
      <c r="GL50" s="201"/>
      <c r="GM50" s="201"/>
      <c r="GN50" s="201"/>
      <c r="GO50" s="201"/>
      <c r="GP50" s="209"/>
      <c r="GQ50" s="201"/>
      <c r="GR50" s="201"/>
      <c r="GS50" s="201"/>
      <c r="GT50" s="201"/>
      <c r="GU50" s="201"/>
      <c r="GV50" s="201"/>
      <c r="GW50" s="201"/>
      <c r="GX50" s="201"/>
      <c r="GY50" s="201"/>
      <c r="GZ50" s="201"/>
      <c r="HA50" s="209"/>
      <c r="HB50" s="201"/>
      <c r="HC50" s="201"/>
      <c r="HD50" s="201"/>
      <c r="HE50" s="201"/>
      <c r="HF50" s="201"/>
      <c r="HG50" s="201"/>
      <c r="HH50" s="201"/>
      <c r="HI50" s="209"/>
      <c r="HJ50" s="201"/>
      <c r="HK50" s="201"/>
      <c r="HL50" s="201"/>
      <c r="HM50" s="201"/>
      <c r="HN50" s="201"/>
      <c r="HO50" s="201"/>
      <c r="HP50" s="201"/>
      <c r="HQ50" s="209"/>
      <c r="HR50" s="201"/>
      <c r="HS50" s="201"/>
      <c r="HT50" s="201"/>
      <c r="HU50" s="201"/>
      <c r="HV50" s="201"/>
      <c r="HW50" s="201"/>
      <c r="HX50" s="201"/>
      <c r="HY50" s="209"/>
      <c r="HZ50" s="208"/>
      <c r="IA50" s="208"/>
      <c r="IB50" s="201"/>
      <c r="IC50" s="201"/>
      <c r="ID50" s="201"/>
      <c r="IE50" s="201"/>
      <c r="IF50" s="208"/>
      <c r="IG50" s="208"/>
      <c r="IH50" s="208"/>
      <c r="II50" s="208"/>
      <c r="IJ50" s="208"/>
      <c r="IK50" s="209"/>
      <c r="IL50" s="209"/>
      <c r="IM50" s="209"/>
      <c r="IN50" s="209"/>
      <c r="IO50" s="209"/>
      <c r="IP50" s="229" t="s">
        <v>5913</v>
      </c>
      <c r="IQ50" s="200"/>
      <c r="IR50" s="200"/>
      <c r="IS50" s="200"/>
      <c r="IT50" s="200"/>
      <c r="IU50" s="200"/>
      <c r="IV50" s="200"/>
      <c r="IW50" s="200"/>
      <c r="IX50" s="200"/>
      <c r="IY50" s="200"/>
      <c r="IZ50" s="200"/>
      <c r="JA50" s="200"/>
      <c r="JB50" s="200"/>
      <c r="JC50" s="200"/>
    </row>
    <row r="51" spans="1:263" ht="15" customHeight="1">
      <c r="A51" s="19">
        <v>102017026</v>
      </c>
      <c r="B51" s="18" t="s">
        <v>854</v>
      </c>
      <c r="C51" s="18"/>
      <c r="D51" s="18"/>
      <c r="E51" s="18" t="s">
        <v>855</v>
      </c>
      <c r="F51" s="18">
        <v>170006438</v>
      </c>
      <c r="G51" s="18"/>
      <c r="H51" s="18"/>
      <c r="I51" s="18"/>
      <c r="J51" s="18" t="s">
        <v>253</v>
      </c>
      <c r="K51" s="18" t="s">
        <v>639</v>
      </c>
      <c r="L51" s="18" t="s">
        <v>856</v>
      </c>
      <c r="M51" s="18" t="s">
        <v>403</v>
      </c>
      <c r="N51" s="18"/>
      <c r="O51" s="13"/>
      <c r="P51" s="18"/>
      <c r="Q51" s="18"/>
      <c r="R51" s="18"/>
      <c r="S51" s="18"/>
      <c r="T51" s="13"/>
      <c r="U51" s="18"/>
      <c r="V51" s="18"/>
      <c r="W51" s="18"/>
      <c r="X51" s="18"/>
      <c r="Y51" s="18"/>
      <c r="Z51" s="18"/>
      <c r="AA51" s="18"/>
      <c r="AB51" s="18"/>
      <c r="AC51" s="18"/>
      <c r="AD51" s="18"/>
      <c r="AE51" s="13"/>
      <c r="AF51" s="18"/>
      <c r="AG51" s="24"/>
      <c r="AH51" s="18"/>
      <c r="AI51" s="18"/>
      <c r="AJ51" s="14"/>
      <c r="AK51" s="4"/>
      <c r="AL51" s="14"/>
      <c r="AM51" s="34"/>
      <c r="AN51" s="24"/>
      <c r="AO51" s="18"/>
      <c r="AP51" s="13"/>
      <c r="AQ51" s="34"/>
      <c r="AR51" s="34"/>
      <c r="AS51" s="5"/>
      <c r="AT51" s="13"/>
      <c r="AU51" s="13"/>
      <c r="AV51" s="13"/>
      <c r="AW51" s="13"/>
      <c r="AX51" s="15"/>
      <c r="AY51" s="21"/>
      <c r="AZ51" s="21"/>
      <c r="BA51" s="21"/>
      <c r="BB51" s="13"/>
      <c r="BC51" s="15"/>
      <c r="BD51" s="15"/>
      <c r="BE51" s="15"/>
      <c r="BF51" s="15"/>
      <c r="BG51" s="5"/>
      <c r="BH51" s="16"/>
      <c r="BI51" s="16"/>
      <c r="BJ51" s="18"/>
      <c r="BK51" s="14"/>
      <c r="BL51" s="14"/>
      <c r="BM51" s="17"/>
      <c r="BN51" s="7"/>
      <c r="BO51" s="14"/>
      <c r="BP51" s="18"/>
      <c r="BQ51" s="14"/>
      <c r="BR51" s="14"/>
      <c r="BS51" s="17"/>
      <c r="BT51" s="7"/>
      <c r="BU51" s="14"/>
      <c r="BV51" s="14"/>
      <c r="BW51" s="14"/>
      <c r="BX51" s="14"/>
      <c r="BY51" s="17"/>
      <c r="BZ51" s="7"/>
      <c r="CA51" s="14"/>
      <c r="CB51" s="18"/>
      <c r="CC51" s="14"/>
      <c r="CD51" s="14"/>
      <c r="CE51" s="17"/>
      <c r="CF51" s="7"/>
      <c r="CG51" s="14"/>
      <c r="CH51" s="14"/>
      <c r="CI51" s="14"/>
      <c r="CJ51" s="14"/>
      <c r="CK51" s="17"/>
      <c r="CL51" s="7"/>
      <c r="CM51" s="14"/>
      <c r="CN51" s="14"/>
      <c r="CO51" s="14"/>
      <c r="CP51" s="14"/>
      <c r="CQ51" s="17"/>
      <c r="CR51" s="7"/>
      <c r="CS51" s="4"/>
      <c r="CT51" s="14"/>
      <c r="CU51" s="14"/>
      <c r="CV51" s="14"/>
      <c r="CW51" s="17"/>
      <c r="CX51" s="7"/>
      <c r="CY51" s="4"/>
      <c r="CZ51" s="14"/>
      <c r="DA51" s="14"/>
      <c r="DB51" s="14"/>
      <c r="DC51" s="17"/>
      <c r="DD51" s="7"/>
      <c r="DE51" s="4"/>
      <c r="DF51" s="14"/>
      <c r="DG51" s="14"/>
      <c r="DH51" s="14"/>
      <c r="DI51" s="17"/>
      <c r="DJ51" s="7"/>
      <c r="DK51" s="4"/>
      <c r="DL51" s="14"/>
      <c r="DM51" s="4"/>
      <c r="DN51" s="14"/>
      <c r="DO51" s="14"/>
      <c r="DP51" s="14"/>
      <c r="DQ51" s="3"/>
      <c r="DR51" s="14"/>
      <c r="DS51" s="14"/>
      <c r="DT51" s="14"/>
      <c r="DU51" s="4"/>
      <c r="DV51" s="4"/>
      <c r="DW51" s="4"/>
      <c r="DX51" s="14"/>
      <c r="DY51" s="14"/>
      <c r="DZ51" s="14"/>
      <c r="EA51" s="4"/>
      <c r="EB51" s="14"/>
      <c r="EC51" s="14"/>
      <c r="ED51" s="14"/>
      <c r="EE51" s="26"/>
      <c r="EF51" s="26"/>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27"/>
      <c r="FM51" s="28"/>
      <c r="FN51" s="18"/>
      <c r="FO51" s="18"/>
      <c r="FP51" s="18"/>
      <c r="FQ51" s="18"/>
      <c r="FR51" s="18"/>
      <c r="FS51" s="18"/>
      <c r="FT51" s="28"/>
      <c r="FU51" s="9"/>
      <c r="FV51" s="18"/>
      <c r="FW51" s="18"/>
      <c r="FX51" s="18"/>
      <c r="FY51" s="18"/>
      <c r="FZ51" s="18"/>
      <c r="GA51" s="18"/>
      <c r="GB51" s="18"/>
      <c r="GC51" s="18"/>
      <c r="GD51" s="18"/>
      <c r="GE51" s="18"/>
      <c r="GF51" s="18"/>
      <c r="GG51" s="27"/>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9"/>
    </row>
    <row r="52" spans="1:263" ht="15" customHeight="1">
      <c r="A52" s="2">
        <v>102024063</v>
      </c>
      <c r="B52" t="s">
        <v>5098</v>
      </c>
      <c r="C52" s="10"/>
      <c r="D52" s="161"/>
      <c r="E52" s="10" t="s">
        <v>5793</v>
      </c>
      <c r="F52" s="160">
        <v>240002157</v>
      </c>
      <c r="G52" s="147"/>
      <c r="H52" s="10"/>
      <c r="I52" s="10"/>
      <c r="J52" s="10" t="s">
        <v>554</v>
      </c>
      <c r="K52" s="10" t="s">
        <v>5228</v>
      </c>
      <c r="L52" s="10" t="s">
        <v>1163</v>
      </c>
      <c r="M52" s="10"/>
      <c r="N52" s="10"/>
      <c r="O52" s="147"/>
      <c r="P52" s="10" t="s">
        <v>5228</v>
      </c>
      <c r="Q52" s="10" t="s">
        <v>1145</v>
      </c>
      <c r="R52" s="10"/>
      <c r="S52" s="10"/>
      <c r="T52" s="10"/>
      <c r="U52" s="10"/>
      <c r="V52" s="10"/>
      <c r="W52" s="10"/>
      <c r="X52" s="10"/>
      <c r="Y52" s="10"/>
      <c r="Z52" s="10"/>
      <c r="AA52" s="10"/>
      <c r="AB52" s="10"/>
      <c r="AC52" s="10"/>
      <c r="AD52" s="10"/>
      <c r="AE52" s="10"/>
      <c r="AF52" s="10"/>
      <c r="AG52" s="141"/>
      <c r="AH52" s="10"/>
      <c r="AI52" s="10"/>
      <c r="AJ52" t="s">
        <v>5229</v>
      </c>
      <c r="AK52" s="1" t="s">
        <v>258</v>
      </c>
      <c r="AL52" t="s">
        <v>438</v>
      </c>
      <c r="AM52" t="s">
        <v>260</v>
      </c>
      <c r="AN52"/>
      <c r="AO52" t="s">
        <v>5230</v>
      </c>
      <c r="AQ52" t="s">
        <v>438</v>
      </c>
      <c r="AR52"/>
      <c r="AX52" s="1" t="s">
        <v>258</v>
      </c>
      <c r="AY52" s="1" t="s">
        <v>258</v>
      </c>
      <c r="AZ52" s="1"/>
      <c r="BA52" s="1"/>
      <c r="BB52" s="1"/>
      <c r="BC52" s="9">
        <v>45418</v>
      </c>
      <c r="BD52" s="144">
        <v>45382</v>
      </c>
      <c r="BE52" s="144">
        <v>45387</v>
      </c>
      <c r="BF52" s="70"/>
      <c r="BG52" s="2"/>
      <c r="BH52" s="70"/>
      <c r="BI52" s="70"/>
      <c r="BJ52" s="70">
        <v>45548</v>
      </c>
      <c r="BK52" s="70" t="s">
        <v>319</v>
      </c>
      <c r="BL52" s="20">
        <f ca="1">SUM(EB52)+220</f>
        <v>3377.5897</v>
      </c>
      <c r="BM52" s="22">
        <f ca="1">PMT(10%/12,12,BL52,0,0)</f>
        <v>-296.94379517444196</v>
      </c>
      <c r="BN52" s="22">
        <f ca="1">SUM(BM52*-1)</f>
        <v>296.94379517444196</v>
      </c>
      <c r="BO52" s="14">
        <f>SUM(EJ52*0.0052)/12</f>
        <v>28.73</v>
      </c>
      <c r="BP52" s="22">
        <f ca="1">SUM(BN52+BO52)</f>
        <v>325.67379517444198</v>
      </c>
      <c r="BQ52" s="14">
        <v>0</v>
      </c>
      <c r="BR52" s="14">
        <f>SUM(BQ52*0.1)</f>
        <v>0</v>
      </c>
      <c r="BS52" s="14">
        <f ca="1">SUM(BT52*BU52)</f>
        <v>0</v>
      </c>
      <c r="BT52" s="17">
        <f>SUM((BQ52+BR52)*0.00833333333333333)</f>
        <v>0</v>
      </c>
      <c r="BU52" s="23">
        <f ca="1">MONTH(TODAY())+37</f>
        <v>41</v>
      </c>
      <c r="BV52" s="14">
        <f ca="1">SUM(BQ52,BR52,BS52)</f>
        <v>0</v>
      </c>
      <c r="BW52" s="14">
        <f>SUM(EG52*0.0052)</f>
        <v>198.12</v>
      </c>
      <c r="BX52" s="14">
        <f>SUM(BW52*0.1)</f>
        <v>19.812000000000001</v>
      </c>
      <c r="BY52" s="14">
        <f ca="1">SUM(BZ52*CA52)</f>
        <v>74.460099999999969</v>
      </c>
      <c r="BZ52" s="17">
        <f>SUM((BW52+BX52)*0.00833333333333333)</f>
        <v>1.8160999999999994</v>
      </c>
      <c r="CA52" s="23">
        <f ca="1">MONTH(TODAY())+37</f>
        <v>41</v>
      </c>
      <c r="CB52" s="14">
        <f ca="1">SUM(BW52,BX52,BY52)</f>
        <v>292.39209999999997</v>
      </c>
      <c r="CC52" s="14">
        <f>SUM(EG52*0.0052)/2</f>
        <v>99.06</v>
      </c>
      <c r="CD52" s="14">
        <f>SUM(CC52*0.1)</f>
        <v>9.9060000000000006</v>
      </c>
      <c r="CE52" s="14">
        <f ca="1">SUM(CF52*CG52)</f>
        <v>29.965649999999989</v>
      </c>
      <c r="CF52" s="17">
        <f>SUM((CC52+CD52)*0.00833333333333333)</f>
        <v>0.90804999999999969</v>
      </c>
      <c r="CG52" s="23">
        <f ca="1">MONTH(TODAY())+29</f>
        <v>33</v>
      </c>
      <c r="CH52" s="23">
        <f ca="1">SUM(CC52,CD52,CE52)</f>
        <v>138.93164999999999</v>
      </c>
      <c r="CI52" s="14">
        <f>SUM(EG52*0.0052)/2</f>
        <v>99.06</v>
      </c>
      <c r="CJ52" s="14">
        <f>SUM(CI52*0.1)</f>
        <v>9.9060000000000006</v>
      </c>
      <c r="CK52" s="14">
        <f ca="1">SUM(CL52*CM52)</f>
        <v>26.333449999999992</v>
      </c>
      <c r="CL52" s="17">
        <f>SUM((CI52+CJ52)*0.00833333333333333)</f>
        <v>0.90804999999999969</v>
      </c>
      <c r="CM52" s="23">
        <f ca="1">MONTH(TODAY())+25</f>
        <v>29</v>
      </c>
      <c r="CN52" s="14">
        <f ca="1">SUM(CI52,CJ52,CK52)</f>
        <v>135.29945000000001</v>
      </c>
      <c r="CO52" s="14">
        <f>SUM(EJ52*0.0045)/2</f>
        <v>149.17499999999998</v>
      </c>
      <c r="CP52" s="14">
        <f>SUM(CO52*0.1)</f>
        <v>14.917499999999999</v>
      </c>
      <c r="CQ52" s="14">
        <f ca="1">SUM(CR52*CS52)</f>
        <v>31.451062499999981</v>
      </c>
      <c r="CR52" s="17">
        <f>SUM((CO52+CP52)*0.00833333333333333)</f>
        <v>1.3674374999999992</v>
      </c>
      <c r="CS52" s="23">
        <f ca="1">MONTH(TODAY())+19</f>
        <v>23</v>
      </c>
      <c r="CT52" s="14">
        <f ca="1">SUM(CO52,CP52,CQ52)</f>
        <v>195.54356249999995</v>
      </c>
      <c r="CU52" s="14">
        <f>SUM(EJ52*0.0045)/2</f>
        <v>149.17499999999998</v>
      </c>
      <c r="CV52" s="14">
        <f>SUM(CU52*0.1)</f>
        <v>14.917499999999999</v>
      </c>
      <c r="CW52" s="14">
        <f ca="1">SUM(CX52*CY52)</f>
        <v>23.246437499999985</v>
      </c>
      <c r="CX52" s="17">
        <f>SUM((CU52+CV52)*0.00833333333333333)</f>
        <v>1.3674374999999992</v>
      </c>
      <c r="CY52" s="23">
        <f ca="1">MONTH(TODAY())+13</f>
        <v>17</v>
      </c>
      <c r="CZ52" s="14">
        <f ca="1">SUM(CU52,CV52,CW52)</f>
        <v>187.33893749999996</v>
      </c>
      <c r="DA52" s="14">
        <f>SUM(EJ52*0.0045)/2</f>
        <v>149.17499999999998</v>
      </c>
      <c r="DB52" s="14">
        <f>SUM(DA52*0.1)</f>
        <v>14.917499999999999</v>
      </c>
      <c r="DC52" s="14">
        <f ca="1">SUM(DD52*DE52)</f>
        <v>15.041812499999992</v>
      </c>
      <c r="DD52" s="17">
        <f>SUM((DA52+DB52)*0.00833333333333333)</f>
        <v>1.3674374999999992</v>
      </c>
      <c r="DE52" s="23">
        <f ca="1">MONTH(TODAY())+7</f>
        <v>11</v>
      </c>
      <c r="DF52" s="14">
        <f ca="1">SUM(DA52,DB52,DC52)</f>
        <v>179.13431249999996</v>
      </c>
      <c r="DG52" s="14">
        <f>SUM(EJ52*0.0045)/2</f>
        <v>149.17499999999998</v>
      </c>
      <c r="DH52" s="14">
        <f>SUM(DG52*0.1)</f>
        <v>14.917499999999999</v>
      </c>
      <c r="DI52" s="14">
        <f ca="1">SUM(DJ52*DK52)</f>
        <v>6.8371874999999962</v>
      </c>
      <c r="DJ52" s="17">
        <f>SUM((DG52+DH52)*0.00833333333333333)</f>
        <v>1.3674374999999992</v>
      </c>
      <c r="DK52" s="23">
        <f ca="1">MONTH(TODAY())+1</f>
        <v>5</v>
      </c>
      <c r="DL52" s="14">
        <f ca="1">SUM(DG52,DH52,DI52)</f>
        <v>170.92968749999997</v>
      </c>
      <c r="DM52" s="14">
        <f>SUM(BQ52, BW52, CC52,CI52,CO52,CU52,DA52,DG52)</f>
        <v>992.93999999999983</v>
      </c>
      <c r="DN52" s="14">
        <f>SUM(BR52,BX52, CD52,CJ52,CP52,CV52,DB52,DH52)</f>
        <v>99.294000000000011</v>
      </c>
      <c r="DO52" s="14">
        <f ca="1">SUM(BS52,BY52, CE52,CK52,CQ52,CW52,DC52,DI52)</f>
        <v>207.33569999999992</v>
      </c>
      <c r="DP52" s="25">
        <f ca="1">SUM(DM52:DO52)</f>
        <v>1299.5696999999998</v>
      </c>
      <c r="DQ52" s="47">
        <f ca="1">SUM(DP52/EG52)</f>
        <v>3.4109440944881886E-2</v>
      </c>
      <c r="DR52" s="14">
        <f>40+10+200+200+100+40+100</f>
        <v>690</v>
      </c>
      <c r="DS52" s="32">
        <f>COUNTIF(AO52, "*")+COUNTIF(AJ52, "*")+COUNTIF(AA52, "*")+COUNTIF(EU52, "*")+COUNTIF(FA52, "*")+COUNTIF(FG52, "*")+COUNTIF(FK52, "*")+COUNTIF(FR52, "*")+COUNTIF(AT52, "*")+COUNTIF(GA52, "*")+COUNTIF(GL52, "*")+COUNTIF(GW52, "*")+COUNTIF(HE52, "*")+COUNTIF(HM52, "*")+COUNTIF(HU52, "*")</f>
        <v>4</v>
      </c>
      <c r="DT52" s="14">
        <f>DS52*0.64+DS52*8</f>
        <v>34.56</v>
      </c>
      <c r="DU52" s="4">
        <v>27.96</v>
      </c>
      <c r="DV52" s="4">
        <v>263.5</v>
      </c>
      <c r="DW52" s="4"/>
      <c r="DX52" s="4">
        <v>232</v>
      </c>
      <c r="DY52" s="14">
        <f>IF(SUM(EE52*0.004)&lt;100, 100, SUM(EE52*0.004))</f>
        <v>100</v>
      </c>
      <c r="DZ52" s="4">
        <v>510</v>
      </c>
      <c r="EA52" s="14">
        <f>SUM(DU52:DZ52)</f>
        <v>1133.46</v>
      </c>
      <c r="EB52" s="14">
        <f ca="1">SUM(DP52,DR52,EA52,DT52,FX52)</f>
        <v>3157.5897</v>
      </c>
      <c r="EC52" s="24" t="s">
        <v>5892</v>
      </c>
      <c r="ED52" s="23">
        <f>0.07+0.16+0.04</f>
        <v>0.27</v>
      </c>
      <c r="EE52" s="14">
        <f>300+4400+4400</f>
        <v>9100</v>
      </c>
      <c r="EF52" s="14">
        <v>29000</v>
      </c>
      <c r="EG52" s="14">
        <f>SUM(EE52+EF52)</f>
        <v>38100</v>
      </c>
      <c r="EH52" s="14">
        <f>3000+11000+11000</f>
        <v>25000</v>
      </c>
      <c r="EI52" s="14">
        <v>41300</v>
      </c>
      <c r="EJ52" s="14">
        <f>SUM(EH52+EI52)</f>
        <v>66300</v>
      </c>
      <c r="EK52" s="10" t="s">
        <v>5318</v>
      </c>
      <c r="EL52" s="10" t="s">
        <v>5623</v>
      </c>
      <c r="EM52" s="10" t="s">
        <v>5319</v>
      </c>
      <c r="EN52" s="10"/>
      <c r="EO52" s="10"/>
      <c r="EP52" s="10"/>
      <c r="EQ52" s="10"/>
      <c r="ER52" s="10"/>
      <c r="ES52" s="10"/>
      <c r="ET52" s="10"/>
      <c r="EU52" s="10"/>
      <c r="EV52" s="10"/>
      <c r="EW52" s="10"/>
      <c r="EX52" s="10"/>
      <c r="EY52" s="10"/>
      <c r="EZ52" s="10"/>
      <c r="FA52" s="10"/>
      <c r="FB52" s="10"/>
      <c r="FC52" s="10"/>
      <c r="FD52" s="10"/>
      <c r="FE52" s="10"/>
      <c r="FF52" s="10"/>
      <c r="FG52" s="10"/>
      <c r="FH52" s="10"/>
      <c r="FI52" s="10"/>
      <c r="FJ52" s="10" t="s">
        <v>5316</v>
      </c>
      <c r="FK52" s="10" t="s">
        <v>5146</v>
      </c>
      <c r="FL52" s="10"/>
      <c r="FM52" s="10" t="s">
        <v>386</v>
      </c>
      <c r="FN52" s="10" t="s">
        <v>260</v>
      </c>
      <c r="FO52" s="9">
        <v>42702</v>
      </c>
      <c r="FP52" s="10" t="s">
        <v>5317</v>
      </c>
      <c r="FQ52" s="10"/>
      <c r="FR52" s="10"/>
      <c r="FS52" s="10"/>
      <c r="FT52" s="10"/>
      <c r="FU52" s="10"/>
      <c r="FV52" s="9"/>
      <c r="FW52" s="10"/>
      <c r="FX52" s="10"/>
      <c r="FY52" s="10" t="s">
        <v>439</v>
      </c>
      <c r="FZ52" s="10" t="s">
        <v>3638</v>
      </c>
      <c r="GA52" s="10" t="s">
        <v>4732</v>
      </c>
      <c r="GB52" s="10" t="s">
        <v>440</v>
      </c>
      <c r="GC52" s="10" t="s">
        <v>274</v>
      </c>
      <c r="GD52" s="10" t="s">
        <v>275</v>
      </c>
      <c r="GE52" s="9">
        <v>42611</v>
      </c>
      <c r="GF52" s="10" t="s">
        <v>5315</v>
      </c>
      <c r="GG52" s="10"/>
      <c r="GH52" s="10"/>
      <c r="GI52" s="10"/>
      <c r="GJ52" s="10"/>
      <c r="GK52" s="10" t="s">
        <v>5716</v>
      </c>
      <c r="GL52" s="10"/>
      <c r="GM52" s="10"/>
      <c r="GN52" s="10"/>
      <c r="GO52" s="10"/>
      <c r="GP52" s="9"/>
      <c r="GQ52" s="10"/>
      <c r="GR52" s="10"/>
      <c r="GS52" s="10"/>
      <c r="GT52" s="10"/>
      <c r="GU52" s="10"/>
      <c r="GV52" s="10"/>
      <c r="GW52" s="10"/>
      <c r="GX52" s="10"/>
      <c r="GY52" s="10"/>
      <c r="GZ52" s="10"/>
      <c r="HA52" s="9"/>
      <c r="HB52" s="10"/>
      <c r="HC52" s="10"/>
      <c r="HD52" s="10"/>
      <c r="HE52" s="10"/>
      <c r="HF52" s="10"/>
      <c r="HG52" s="10"/>
      <c r="HH52" s="10"/>
      <c r="HI52" s="9"/>
      <c r="HJ52" s="10"/>
      <c r="HK52" s="10"/>
      <c r="HL52" s="10"/>
      <c r="HM52" s="10"/>
      <c r="HN52" s="10"/>
      <c r="HO52" s="10"/>
      <c r="HP52" s="10"/>
      <c r="HQ52" s="9"/>
      <c r="HR52" s="10"/>
      <c r="HS52" s="10"/>
      <c r="HT52" s="10"/>
      <c r="HU52" s="10"/>
      <c r="HV52" s="10"/>
      <c r="HW52" s="10"/>
      <c r="HX52" s="10"/>
      <c r="HY52" s="9"/>
      <c r="HZ52" s="4"/>
      <c r="IA52" s="4"/>
      <c r="IB52" s="10"/>
      <c r="IC52" s="10"/>
      <c r="ID52" s="10"/>
      <c r="IE52" s="10"/>
      <c r="IF52" s="4"/>
      <c r="IG52" s="4"/>
      <c r="IH52" s="4"/>
      <c r="II52" s="4"/>
      <c r="IJ52" s="4"/>
      <c r="IK52" s="9"/>
      <c r="IL52" s="9"/>
      <c r="IM52" s="9"/>
      <c r="IN52" s="9"/>
      <c r="IO52" s="9"/>
      <c r="IP52" s="27" t="s">
        <v>5913</v>
      </c>
    </row>
    <row r="53" spans="1:263" ht="15" customHeight="1">
      <c r="A53" s="19">
        <v>102022035</v>
      </c>
      <c r="B53" t="s">
        <v>3813</v>
      </c>
      <c r="C53" t="s">
        <v>258</v>
      </c>
      <c r="D53" s="1"/>
      <c r="E53" s="3" t="s">
        <v>3832</v>
      </c>
      <c r="F53" s="3">
        <v>220003052</v>
      </c>
      <c r="J53" t="s">
        <v>253</v>
      </c>
      <c r="K53" t="s">
        <v>1020</v>
      </c>
      <c r="L53" t="s">
        <v>2990</v>
      </c>
      <c r="M53" t="s">
        <v>1220</v>
      </c>
      <c r="AD53" t="s">
        <v>3919</v>
      </c>
      <c r="AE53" t="s">
        <v>253</v>
      </c>
      <c r="AF53" t="s">
        <v>3920</v>
      </c>
      <c r="AG53" s="43" t="s">
        <v>3921</v>
      </c>
      <c r="AH53" t="s">
        <v>3922</v>
      </c>
      <c r="AJ53" t="s">
        <v>328</v>
      </c>
      <c r="AL53" t="s">
        <v>438</v>
      </c>
      <c r="AM53"/>
      <c r="AN53"/>
      <c r="AO53" s="3" t="s">
        <v>2991</v>
      </c>
      <c r="AP53" s="3" t="s">
        <v>258</v>
      </c>
      <c r="AQ53" t="s">
        <v>438</v>
      </c>
      <c r="AR53" t="s">
        <v>260</v>
      </c>
      <c r="AS53" s="1"/>
      <c r="AT53" s="1"/>
      <c r="AU53" s="1" t="s">
        <v>258</v>
      </c>
      <c r="AV53" s="1" t="s">
        <v>258</v>
      </c>
      <c r="AW53" s="1" t="s">
        <v>258</v>
      </c>
      <c r="AX53" s="70">
        <v>44679</v>
      </c>
      <c r="AY53" s="115">
        <v>44647</v>
      </c>
      <c r="AZ53" s="115">
        <v>44635</v>
      </c>
      <c r="BA53" s="70">
        <v>44722</v>
      </c>
      <c r="BB53" s="2" t="s">
        <v>318</v>
      </c>
      <c r="BC53" s="70">
        <v>44708</v>
      </c>
      <c r="BD53" s="70">
        <v>44715</v>
      </c>
      <c r="BE53" s="48">
        <v>44799</v>
      </c>
      <c r="BF53" s="19" t="s">
        <v>319</v>
      </c>
      <c r="BG53" s="20">
        <f ca="1">SUM(DE53)+214.5</f>
        <v>2523.4053333333331</v>
      </c>
      <c r="BH53" s="22">
        <f ca="1">PMT(10%/12,12,BG53,0,0)</f>
        <v>-221.84741872093809</v>
      </c>
      <c r="BI53" s="22">
        <f ca="1">SUM(BH53*-1)</f>
        <v>221.84741872093809</v>
      </c>
      <c r="BJ53" s="14">
        <f>SUM(DO53*0.0052)/12</f>
        <v>0.69333333333333336</v>
      </c>
      <c r="BK53" s="22">
        <f ca="1">SUM(BI53+BJ53)</f>
        <v>222.54075205427142</v>
      </c>
      <c r="BL53" s="14"/>
      <c r="BM53" s="14">
        <f>SUM(BL53*0.1)</f>
        <v>0</v>
      </c>
      <c r="BN53" s="14">
        <f ca="1">SUM(BO53*BP53)</f>
        <v>0</v>
      </c>
      <c r="BO53" s="17">
        <f>SUM((BL53+BM53)*0.00833333333333333)</f>
        <v>0</v>
      </c>
      <c r="BP53" s="23">
        <f ca="1">MONTH(TODAY())+49</f>
        <v>53</v>
      </c>
      <c r="BQ53" s="14">
        <f ca="1">SUM(BL53,BM53,BN53)</f>
        <v>0</v>
      </c>
      <c r="BR53" s="14"/>
      <c r="BS53" s="14">
        <f>SUM(BR53*0.1)</f>
        <v>0</v>
      </c>
      <c r="BT53" s="14">
        <f ca="1">SUM(BU53*BV53)</f>
        <v>0</v>
      </c>
      <c r="BU53" s="17">
        <f>SUM((BR53+BS53)*0.00833333333333333)</f>
        <v>0</v>
      </c>
      <c r="BV53" s="23">
        <f ca="1">MONTH(TODAY())+37</f>
        <v>41</v>
      </c>
      <c r="BW53" s="14">
        <f ca="1">SUM(BR53,BS53,BT53)</f>
        <v>0</v>
      </c>
      <c r="BX53" s="14">
        <f>SUM(DO53*0.0052)</f>
        <v>8.32</v>
      </c>
      <c r="BY53" s="14">
        <f>SUM(BX53*0.1)</f>
        <v>0.83200000000000007</v>
      </c>
      <c r="BZ53" s="14">
        <f ca="1">SUM(CA53*CB53)</f>
        <v>2.2117333333333327</v>
      </c>
      <c r="CA53" s="17">
        <f>SUM((BX53+BY53)*0.00833333333333333)</f>
        <v>7.6266666666666649E-2</v>
      </c>
      <c r="CB53" s="23">
        <f ca="1">MONTH(TODAY())+25</f>
        <v>29</v>
      </c>
      <c r="CC53" s="14">
        <f ca="1">SUM(BX53,BY53,BZ53)</f>
        <v>11.363733333333334</v>
      </c>
      <c r="CD53" s="14">
        <f>SUM(DO53*0.0052)</f>
        <v>8.32</v>
      </c>
      <c r="CE53" s="14">
        <f>SUM(CD53*0.1)</f>
        <v>0.83200000000000007</v>
      </c>
      <c r="CF53" s="14">
        <f ca="1">SUM(CG53*CH53)</f>
        <v>1.2965333333333331</v>
      </c>
      <c r="CG53" s="17">
        <f>SUM((CD53+CE53)*0.00833333333333333)</f>
        <v>7.6266666666666649E-2</v>
      </c>
      <c r="CH53" s="23">
        <f ca="1">MONTH(TODAY())+13</f>
        <v>17</v>
      </c>
      <c r="CI53" s="14">
        <f ca="1">SUM(CD53,CE53,CF53)</f>
        <v>10.448533333333334</v>
      </c>
      <c r="CJ53" s="14">
        <f>SUM(DO53*0.0052)</f>
        <v>8.32</v>
      </c>
      <c r="CK53" s="14">
        <f>SUM(CJ53*0.1)</f>
        <v>0.83200000000000007</v>
      </c>
      <c r="CL53" s="14">
        <f ca="1">SUM(CM53*CN53)</f>
        <v>0.38133333333333325</v>
      </c>
      <c r="CM53" s="17">
        <f>SUM((CJ53+CK53)*0.00833333333333333)</f>
        <v>7.6266666666666649E-2</v>
      </c>
      <c r="CN53" s="23">
        <f ca="1">MONTH(TODAY())+1</f>
        <v>5</v>
      </c>
      <c r="CO53" s="14">
        <f ca="1">SUM(CJ53,CK53,CL53)</f>
        <v>9.533333333333335</v>
      </c>
      <c r="CP53" s="14">
        <f>SUM(DO53*0.0052)/2</f>
        <v>4.16</v>
      </c>
      <c r="CQ53" s="14">
        <f>SUM(CP53*0.1)</f>
        <v>0.41600000000000004</v>
      </c>
      <c r="CR53" s="14">
        <f ca="1">SUM(CS53*CT53)</f>
        <v>-7.6266666666666649E-2</v>
      </c>
      <c r="CS53" s="17">
        <f>SUM((CP53+CQ53)*0.00833333333333333)</f>
        <v>3.8133333333333325E-2</v>
      </c>
      <c r="CT53" s="23">
        <f ca="1">MONTH(TODAY())-6</f>
        <v>-2</v>
      </c>
      <c r="CU53" s="23">
        <f ca="1">SUM(CP53,CQ53,CR53)</f>
        <v>4.4997333333333343</v>
      </c>
      <c r="CV53" s="14">
        <f>SUM(BL53, BR53, BX53, CD53, CJ53, CP53)</f>
        <v>29.12</v>
      </c>
      <c r="CW53" s="14">
        <f>SUM(BM53, BS53,BY53,CE53,CK53, CQ53)</f>
        <v>2.9120000000000004</v>
      </c>
      <c r="CX53" s="14">
        <f ca="1">SUM(BN53, BT53,BZ53,CF53,CL53, CR53)</f>
        <v>3.8133333333333321</v>
      </c>
      <c r="CY53" s="14">
        <f ca="1">SUM(CV53:CX53)</f>
        <v>35.845333333333336</v>
      </c>
      <c r="CZ53" s="47">
        <f ca="1">SUM(CY53/DO53)</f>
        <v>2.2403333333333334E-2</v>
      </c>
      <c r="DA53" s="14">
        <f>19.5+19.5+195+195+39+39+39+39+19.5+58.5+39</f>
        <v>702</v>
      </c>
      <c r="DB53" s="32">
        <f>COUNTIF(DH53, "*")+COUNTIF(AO53, "*")+COUNTIF(AJ53, "*")+COUNTIF(AA53, "*")+COUNTIF(EE53, "*")+COUNTIF(EK53, "*")+COUNTIF(EQ53, "*")+COUNTIF(EU53, "*")+COUNTIF(FB53, "*")+COUNTIF(FI53, "*")+COUNTIF(FP53, "*")+COUNTIF(GA53, "*")+COUNTIF(GL53, "*")+COUNTIF(GT53, "*")+COUNTIF(HB53, "*")+COUNTIF(HJ53, "*")+COUNTIF(HR53, "*")</f>
        <v>5</v>
      </c>
      <c r="DC53" s="14">
        <f>1.06+33.3</f>
        <v>34.36</v>
      </c>
      <c r="DD53" s="4">
        <v>300</v>
      </c>
      <c r="DE53" s="14">
        <f ca="1">SUM(CY53,DA53,DK53, DD53, DC53,FM53)</f>
        <v>2308.9053333333331</v>
      </c>
      <c r="DF53" s="4">
        <f>30.8+868.4</f>
        <v>899.19999999999993</v>
      </c>
      <c r="DG53" s="4">
        <f>93.75+93.75</f>
        <v>187.5</v>
      </c>
      <c r="DJ53" s="4">
        <v>150</v>
      </c>
      <c r="DK53" s="14">
        <f>SUM(DF53:DJ53)</f>
        <v>1236.6999999999998</v>
      </c>
      <c r="DL53" s="24" t="s">
        <v>2770</v>
      </c>
      <c r="DM53" s="4">
        <f>400+400+400+400</f>
        <v>1600</v>
      </c>
      <c r="DN53" s="4">
        <v>0</v>
      </c>
      <c r="DO53" s="25">
        <f>SUM(DM53+DN53)</f>
        <v>1600</v>
      </c>
      <c r="DP53" s="35">
        <v>0.49</v>
      </c>
      <c r="DQ53" t="s">
        <v>3472</v>
      </c>
      <c r="DR53" t="s">
        <v>3473</v>
      </c>
      <c r="ET53" t="s">
        <v>3474</v>
      </c>
      <c r="EU53" t="s">
        <v>3475</v>
      </c>
      <c r="EW53" t="s">
        <v>3476</v>
      </c>
      <c r="EX53" t="s">
        <v>496</v>
      </c>
      <c r="EY53" s="9">
        <v>39066</v>
      </c>
      <c r="EZ53" s="10" t="s">
        <v>3519</v>
      </c>
      <c r="FA53" t="s">
        <v>3477</v>
      </c>
      <c r="FB53" t="s">
        <v>3478</v>
      </c>
      <c r="FD53" t="s">
        <v>3479</v>
      </c>
      <c r="FE53" t="s">
        <v>471</v>
      </c>
      <c r="FF53" s="9">
        <v>39066</v>
      </c>
      <c r="FG53" s="10" t="s">
        <v>3519</v>
      </c>
      <c r="FH53" s="18" t="s">
        <v>473</v>
      </c>
      <c r="FI53" s="18" t="s">
        <v>474</v>
      </c>
      <c r="FJ53" s="18" t="s">
        <v>475</v>
      </c>
      <c r="FK53" s="18" t="s">
        <v>438</v>
      </c>
      <c r="FL53" s="18" t="s">
        <v>260</v>
      </c>
      <c r="II53" s="4"/>
    </row>
    <row r="54" spans="1:263" ht="15" customHeight="1">
      <c r="A54" s="19">
        <v>102023119</v>
      </c>
      <c r="B54" s="18" t="s">
        <v>4373</v>
      </c>
      <c r="C54" s="18" t="s">
        <v>258</v>
      </c>
      <c r="D54" s="1">
        <v>2025</v>
      </c>
      <c r="E54" s="3"/>
      <c r="G54" s="3"/>
      <c r="J54" s="18" t="s">
        <v>311</v>
      </c>
      <c r="K54" s="18" t="s">
        <v>1688</v>
      </c>
      <c r="L54" s="18" t="s">
        <v>1176</v>
      </c>
      <c r="M54" s="18" t="s">
        <v>469</v>
      </c>
      <c r="N54" s="18"/>
      <c r="O54" s="19"/>
      <c r="P54" s="18"/>
      <c r="Q54" s="18"/>
      <c r="R54" s="18"/>
      <c r="S54" s="18"/>
      <c r="AG54" s="43"/>
      <c r="AJ54" s="18" t="s">
        <v>328</v>
      </c>
      <c r="AL54" s="18" t="s">
        <v>438</v>
      </c>
      <c r="AM54"/>
      <c r="AN54"/>
      <c r="AO54" s="18" t="s">
        <v>4449</v>
      </c>
      <c r="AP54" s="3" t="s">
        <v>258</v>
      </c>
      <c r="AQ54" s="18" t="s">
        <v>438</v>
      </c>
      <c r="AR54" s="18" t="s">
        <v>260</v>
      </c>
      <c r="AS54" s="18" t="s">
        <v>473</v>
      </c>
      <c r="AT54" s="18" t="s">
        <v>474</v>
      </c>
      <c r="AU54" s="18" t="s">
        <v>475</v>
      </c>
      <c r="AV54" s="18" t="s">
        <v>438</v>
      </c>
      <c r="AW54" s="18" t="s">
        <v>260</v>
      </c>
      <c r="AX54" s="1"/>
      <c r="AY54" s="1"/>
      <c r="AZ54" s="1"/>
      <c r="BA54" s="1"/>
      <c r="BB54" s="1"/>
      <c r="BC54" s="2"/>
      <c r="BD54" s="116"/>
      <c r="BE54" s="115"/>
      <c r="BF54" s="2"/>
      <c r="BG54" s="2"/>
      <c r="BH54" s="2"/>
      <c r="BI54" s="2"/>
      <c r="BJ54" s="2"/>
      <c r="BK54" s="2"/>
      <c r="BL54" s="20">
        <f ca="1">SUM(EB54)+220</f>
        <v>249.4032</v>
      </c>
      <c r="BM54" s="22">
        <f ca="1">PMT(10%/12,12,BL54,0,0)</f>
        <v>-21.926503606003529</v>
      </c>
      <c r="BN54" s="22">
        <f ca="1">SUM(BM54*-1)</f>
        <v>21.926503606003529</v>
      </c>
      <c r="BO54" s="14">
        <f>SUM(EJ54*0.0052)/12</f>
        <v>0.17333333333333334</v>
      </c>
      <c r="BP54" s="22">
        <f ca="1">SUM(BN54+BO54)</f>
        <v>22.099836939336861</v>
      </c>
      <c r="BQ54" s="14"/>
      <c r="BR54" s="14">
        <f>SUM(BQ54*0.1)</f>
        <v>0</v>
      </c>
      <c r="BS54" s="14">
        <f ca="1">SUM(BT54*BU54)</f>
        <v>0</v>
      </c>
      <c r="BT54" s="17">
        <f>SUM((BQ54+BR54)*0.00833333333333333)</f>
        <v>0</v>
      </c>
      <c r="BU54" s="23">
        <f ca="1">MONTH(TODAY())+61</f>
        <v>65</v>
      </c>
      <c r="BV54" s="14">
        <f ca="1">SUM(BQ54,BR54,BS54)</f>
        <v>0</v>
      </c>
      <c r="BW54" s="14"/>
      <c r="BX54" s="14">
        <f>SUM(BW54*0.1)</f>
        <v>0</v>
      </c>
      <c r="BY54" s="14">
        <f ca="1">SUM(BZ54*CA54)</f>
        <v>0</v>
      </c>
      <c r="BZ54" s="17">
        <f>SUM((BW54+BX54)*0.00833333333333333)</f>
        <v>0</v>
      </c>
      <c r="CA54" s="23">
        <f ca="1">MONTH(TODAY())+49</f>
        <v>53</v>
      </c>
      <c r="CB54" s="14">
        <f ca="1">SUM(BW54,BX54,BY54)</f>
        <v>0</v>
      </c>
      <c r="CC54" s="14">
        <v>0</v>
      </c>
      <c r="CD54" s="14">
        <f>SUM(CC54*0.1)</f>
        <v>0</v>
      </c>
      <c r="CE54" s="14">
        <f ca="1">SUM(CF54*CG54)</f>
        <v>0</v>
      </c>
      <c r="CF54" s="17">
        <f>SUM((CC54+CD54)*0.00833333333333333)</f>
        <v>0</v>
      </c>
      <c r="CG54" s="23">
        <f ca="1">MONTH(TODAY())+37</f>
        <v>41</v>
      </c>
      <c r="CH54" s="14">
        <f ca="1">SUM(CC54,CD54,CE54)</f>
        <v>0</v>
      </c>
      <c r="CI54" s="14">
        <f>SUM(EG54*0.0052)</f>
        <v>2.08</v>
      </c>
      <c r="CJ54" s="14">
        <f>SUM(CI54*0.1)</f>
        <v>0.20800000000000002</v>
      </c>
      <c r="CK54" s="14">
        <f ca="1">SUM(CL54*CM54)</f>
        <v>0.55293333333333317</v>
      </c>
      <c r="CL54" s="17">
        <f>SUM((CI54+CJ54)*0.00833333333333333)</f>
        <v>1.9066666666666662E-2</v>
      </c>
      <c r="CM54" s="23">
        <f ca="1">MONTH(TODAY())+25</f>
        <v>29</v>
      </c>
      <c r="CN54" s="14">
        <f ca="1">SUM(CI54,CJ54,CK54)</f>
        <v>2.8409333333333335</v>
      </c>
      <c r="CO54" s="14">
        <f>SUM(EG54*0.0052)/2</f>
        <v>1.04</v>
      </c>
      <c r="CP54" s="14">
        <f>SUM(CO54*0.1)</f>
        <v>0.10400000000000001</v>
      </c>
      <c r="CQ54" s="14">
        <f ca="1">SUM(CR54*CS54)</f>
        <v>0.20019999999999996</v>
      </c>
      <c r="CR54" s="17">
        <f>SUM((CO54+CP54)*0.00833333333333333)</f>
        <v>9.5333333333333312E-3</v>
      </c>
      <c r="CS54" s="23">
        <f ca="1">MONTH(TODAY())+17</f>
        <v>21</v>
      </c>
      <c r="CT54" s="23">
        <f ca="1">SUM(CO54,CP54,CQ54)</f>
        <v>1.3442000000000001</v>
      </c>
      <c r="CU54" s="14">
        <f>SUM(EG54*0.0052)/2</f>
        <v>1.04</v>
      </c>
      <c r="CV54" s="14">
        <f>SUM(CU54*0.1)</f>
        <v>0.10400000000000001</v>
      </c>
      <c r="CW54" s="14">
        <f ca="1">SUM(CX54*CY54)</f>
        <v>0.16206666666666664</v>
      </c>
      <c r="CX54" s="17">
        <f>SUM((CU54+CV54)*0.00833333333333333)</f>
        <v>9.5333333333333312E-3</v>
      </c>
      <c r="CY54" s="23">
        <f ca="1">MONTH(TODAY())+13</f>
        <v>17</v>
      </c>
      <c r="CZ54" s="23">
        <f ca="1">SUM(CU54,CV54,CW54)</f>
        <v>1.3060666666666667</v>
      </c>
      <c r="DA54" s="14">
        <f>SUM(EJ54*0.0045)/2</f>
        <v>0.89999999999999991</v>
      </c>
      <c r="DB54" s="14">
        <f>SUM(DA54*0.1)</f>
        <v>0.09</v>
      </c>
      <c r="DC54" s="14">
        <f ca="1">SUM(DD54*DE54)</f>
        <v>9.0749999999999942E-2</v>
      </c>
      <c r="DD54" s="17">
        <f>SUM((DA54+DB54)*0.00833333333333333)</f>
        <v>8.2499999999999952E-3</v>
      </c>
      <c r="DE54" s="23">
        <f ca="1">MONTH(TODAY())+7</f>
        <v>11</v>
      </c>
      <c r="DF54" s="23">
        <f ca="1">SUM(DA54,DB54,DC54)</f>
        <v>1.0807499999999999</v>
      </c>
      <c r="DG54" s="14">
        <f>SUM(EJ54*0.0045)/2</f>
        <v>0.89999999999999991</v>
      </c>
      <c r="DH54" s="14">
        <f>SUM(DG54*0.1)</f>
        <v>0.09</v>
      </c>
      <c r="DI54" s="14">
        <f ca="1">SUM(DJ54*DK54)</f>
        <v>4.1249999999999974E-2</v>
      </c>
      <c r="DJ54" s="17">
        <f>SUM((DG54+DH54)*0.00833333333333333)</f>
        <v>8.2499999999999952E-3</v>
      </c>
      <c r="DK54" s="23">
        <f ca="1">MONTH(TODAY())+1</f>
        <v>5</v>
      </c>
      <c r="DL54" s="14">
        <f ca="1">SUM(DG54,DH54,DI54)</f>
        <v>1.0312499999999998</v>
      </c>
      <c r="DM54" s="14">
        <f>SUM( BQ54, BW54, CC54, CI54, CO54,CU54,DA54,DG54)</f>
        <v>5.9600000000000009</v>
      </c>
      <c r="DN54" s="14">
        <f>SUM(BR54,BX54,CD54,CJ54, CP54,CV54,DB54,DH54)</f>
        <v>0.59599999999999997</v>
      </c>
      <c r="DO54" s="14">
        <f ca="1">SUM(BS54,BY54,CE54,CK54, CQ54,CW54,DC54,DI54)</f>
        <v>1.0471999999999997</v>
      </c>
      <c r="DP54" s="25">
        <f ca="1">SUM(DM54:DO54)</f>
        <v>7.6032000000000011</v>
      </c>
      <c r="DQ54" s="47">
        <f ca="1">SUM(DP54/EG54)</f>
        <v>1.9008000000000004E-2</v>
      </c>
      <c r="DR54" s="14">
        <v>20</v>
      </c>
      <c r="DS54" s="32">
        <f>COUNTIF(DX54, "*")+COUNTIF(AO54, "*")+COUNTIF(AJ54, "*")+COUNTIF(AA54, "*")+COUNTIF(EU54, "*")+COUNTIF(FA54, "*")+COUNTIF(FG54, "*")+COUNTIF(FK54, "*")+COUNTIF(FR54, "*")+COUNTIF(AT54, "*")+COUNTIF(GA54, "*")+COUNTIF(GL54, "*")+COUNTIF(GW54, "*")+COUNTIF(HE54, "*")+COUNTIF(HM54, "*")+COUNTIF(HU54, "*")</f>
        <v>3</v>
      </c>
      <c r="DT54" s="14">
        <f>DS54*0.6</f>
        <v>1.7999999999999998</v>
      </c>
      <c r="DU54" s="4"/>
      <c r="DV54" s="4"/>
      <c r="DW54" s="4"/>
      <c r="DX54" s="4"/>
      <c r="DZ54" s="4"/>
      <c r="EA54" s="14">
        <f>SUM(DV54:DZ54)</f>
        <v>0</v>
      </c>
      <c r="EB54" s="14">
        <f ca="1">SUM(DP54,DR54,EA54, DU54, DT54,FX54)</f>
        <v>29.403200000000002</v>
      </c>
      <c r="EC54" s="24" t="s">
        <v>3879</v>
      </c>
      <c r="ED54" s="130">
        <v>0.12</v>
      </c>
      <c r="EE54" s="14">
        <v>400</v>
      </c>
      <c r="EF54" s="14">
        <v>0</v>
      </c>
      <c r="EG54" s="14">
        <f>SUM(EE54+EF54)</f>
        <v>400</v>
      </c>
      <c r="EH54" s="14">
        <v>400</v>
      </c>
      <c r="EI54" s="14">
        <v>0</v>
      </c>
      <c r="EJ54" s="14">
        <f>SUM(EH54+EI54)</f>
        <v>400</v>
      </c>
      <c r="FX54" s="4"/>
      <c r="IA54" s="9"/>
      <c r="IL54" s="14">
        <f ca="1">SUM(IB54-EB54-FX54-IJ54)</f>
        <v>-29.403200000000002</v>
      </c>
      <c r="IM54" s="14"/>
      <c r="IN54" s="14"/>
      <c r="IO54" s="9"/>
      <c r="IP54" s="9"/>
      <c r="IQ54" s="9"/>
      <c r="IR54" s="9"/>
      <c r="IS54" s="9"/>
    </row>
    <row r="55" spans="1:263" ht="15" customHeight="1">
      <c r="A55" s="19">
        <v>102022079</v>
      </c>
      <c r="B55" t="s">
        <v>2825</v>
      </c>
      <c r="C55" s="10" t="s">
        <v>258</v>
      </c>
      <c r="D55" s="161"/>
      <c r="E55" s="147"/>
      <c r="F55" s="160"/>
      <c r="G55" s="147">
        <v>220003113</v>
      </c>
      <c r="H55" s="10"/>
      <c r="I55" s="9"/>
      <c r="J55" s="10" t="s">
        <v>311</v>
      </c>
      <c r="K55" s="10" t="s">
        <v>2114</v>
      </c>
      <c r="L55" s="10" t="s">
        <v>2115</v>
      </c>
      <c r="M55" s="10" t="s">
        <v>396</v>
      </c>
      <c r="N55" s="10"/>
      <c r="O55" s="147"/>
      <c r="P55" s="10"/>
      <c r="Q55" s="10"/>
      <c r="R55" s="10"/>
      <c r="S55" s="10"/>
      <c r="T55" s="10"/>
      <c r="U55" s="10"/>
      <c r="V55" s="10"/>
      <c r="W55" s="10"/>
      <c r="X55" s="10"/>
      <c r="Y55" s="10"/>
      <c r="Z55" s="10"/>
      <c r="AA55" s="10"/>
      <c r="AB55" s="10"/>
      <c r="AC55" s="10"/>
      <c r="AD55" s="10"/>
      <c r="AE55" s="10"/>
      <c r="AF55" s="10"/>
      <c r="AG55" s="141" t="s">
        <v>3356</v>
      </c>
      <c r="AH55" s="10"/>
      <c r="AI55" s="10"/>
      <c r="AJ55" t="s">
        <v>2151</v>
      </c>
      <c r="AK55" s="1" t="s">
        <v>258</v>
      </c>
      <c r="AL55" t="s">
        <v>438</v>
      </c>
      <c r="AM55"/>
      <c r="AN55"/>
      <c r="AO55" t="s">
        <v>3082</v>
      </c>
      <c r="AP55" s="1" t="s">
        <v>258</v>
      </c>
      <c r="AQ55" t="s">
        <v>524</v>
      </c>
      <c r="AR55" t="s">
        <v>268</v>
      </c>
      <c r="AX55" s="1"/>
      <c r="AY55" s="1"/>
      <c r="AZ55" s="1"/>
      <c r="BA55" s="1"/>
      <c r="BB55" s="1"/>
      <c r="BC55" s="70"/>
      <c r="BD55" s="115">
        <v>44647</v>
      </c>
      <c r="BE55" s="144">
        <v>44637</v>
      </c>
      <c r="BF55" s="70"/>
      <c r="BG55" s="2"/>
      <c r="BH55" s="70"/>
      <c r="BI55" s="70"/>
      <c r="BJ55" s="70"/>
      <c r="BK55" s="70"/>
      <c r="BL55" s="20">
        <f ca="1">SUM(EB55)+220</f>
        <v>2114.3380124999994</v>
      </c>
      <c r="BM55" s="22">
        <f ca="1">PMT(10%/12,12,BL55,0,0)</f>
        <v>-185.88390227307258</v>
      </c>
      <c r="BN55" s="22">
        <f ca="1">SUM(BM55*-1)</f>
        <v>185.88390227307258</v>
      </c>
      <c r="BO55" s="14">
        <f>SUM(EJ55*0.0052)/12</f>
        <v>50.396666666666668</v>
      </c>
      <c r="BP55" s="22">
        <f ca="1">SUM(BN55+BO55)</f>
        <v>236.28056893973925</v>
      </c>
      <c r="BQ55" s="14">
        <v>0</v>
      </c>
      <c r="BR55" s="14">
        <f>SUM(BQ55*0.1)</f>
        <v>0</v>
      </c>
      <c r="BS55" s="14">
        <f ca="1">SUM(BT55*BU55)</f>
        <v>0</v>
      </c>
      <c r="BT55" s="17">
        <f>SUM((BQ55+BR55)*0.00833333333333333)</f>
        <v>0</v>
      </c>
      <c r="BU55" s="23">
        <f ca="1">MONTH(TODAY())+37</f>
        <v>41</v>
      </c>
      <c r="BV55" s="14">
        <f ca="1">SUM(BQ55,BR55,BS55)</f>
        <v>0</v>
      </c>
      <c r="BW55" s="14">
        <v>0</v>
      </c>
      <c r="BX55" s="14">
        <f>SUM(BW55*0.1)</f>
        <v>0</v>
      </c>
      <c r="BY55" s="14">
        <f ca="1">SUM(BZ55*CA55)</f>
        <v>0</v>
      </c>
      <c r="BZ55" s="17">
        <f>SUM((BW55+BX55)*0.00833333333333333)</f>
        <v>0</v>
      </c>
      <c r="CA55" s="23">
        <f ca="1">MONTH(TODAY())+37</f>
        <v>41</v>
      </c>
      <c r="CB55" s="14">
        <f ca="1">SUM(BW55,BX55,BY55)</f>
        <v>0</v>
      </c>
      <c r="CC55" s="14">
        <v>0</v>
      </c>
      <c r="CD55" s="14">
        <f>SUM(CC55*0.1)</f>
        <v>0</v>
      </c>
      <c r="CE55" s="14">
        <f ca="1">SUM(CF55*CG55)</f>
        <v>0</v>
      </c>
      <c r="CF55" s="17">
        <f>SUM((CC55+CD55)*0.00833333333333333)</f>
        <v>0</v>
      </c>
      <c r="CG55" s="23">
        <f ca="1">MONTH(TODAY())+29</f>
        <v>33</v>
      </c>
      <c r="CH55" s="23">
        <v>0</v>
      </c>
      <c r="CI55" s="14">
        <v>15.4</v>
      </c>
      <c r="CJ55" s="14">
        <f>SUM(CI55*0.1)</f>
        <v>1.54</v>
      </c>
      <c r="CK55" s="14">
        <f ca="1">SUM(CL55*CM55)</f>
        <v>4.0938333333333317</v>
      </c>
      <c r="CL55" s="17">
        <f>SUM((CI55+CJ55)*0.00833333333333333)</f>
        <v>0.14116666666666661</v>
      </c>
      <c r="CM55" s="23">
        <f ca="1">MONTH(TODAY())+25</f>
        <v>29</v>
      </c>
      <c r="CN55" s="14">
        <f ca="1">SUM(CI55,CJ55,CK55)</f>
        <v>21.033833333333334</v>
      </c>
      <c r="CO55" s="14">
        <v>159.08000000000001</v>
      </c>
      <c r="CP55" s="14">
        <f>SUM(CO55*0.1)</f>
        <v>15.908000000000001</v>
      </c>
      <c r="CQ55" s="14">
        <f ca="1">SUM(CR55*CS55)</f>
        <v>33.539366666666652</v>
      </c>
      <c r="CR55" s="17">
        <f>SUM((CO55+CP55)*0.00833333333333333)</f>
        <v>1.4582333333333326</v>
      </c>
      <c r="CS55" s="23">
        <f ca="1">MONTH(TODAY())+19</f>
        <v>23</v>
      </c>
      <c r="CT55" s="14">
        <f ca="1">SUM(CO55,CP55,CQ55)</f>
        <v>208.52736666666664</v>
      </c>
      <c r="CU55" s="14">
        <f>SUM(EJ55*0.0045)/2</f>
        <v>261.67499999999995</v>
      </c>
      <c r="CV55" s="14">
        <f>SUM(CU55*0.1)</f>
        <v>26.167499999999997</v>
      </c>
      <c r="CW55" s="14">
        <f ca="1">SUM(CX55*CY55)</f>
        <v>40.777687499999978</v>
      </c>
      <c r="CX55" s="17">
        <f>SUM((CU55+CV55)*0.00833333333333333)</f>
        <v>2.3986874999999985</v>
      </c>
      <c r="CY55" s="23">
        <f ca="1">MONTH(TODAY())+13</f>
        <v>17</v>
      </c>
      <c r="CZ55" s="14">
        <f ca="1">SUM(CU55,CV55,CW55)</f>
        <v>328.62018749999993</v>
      </c>
      <c r="DA55" s="14">
        <f>SUM(EJ55*0.0045)/2</f>
        <v>261.67499999999995</v>
      </c>
      <c r="DB55" s="14">
        <f>SUM(DA55*0.1)</f>
        <v>26.167499999999997</v>
      </c>
      <c r="DC55" s="14">
        <f ca="1">SUM(DD55*DE55)</f>
        <v>21.588187499999986</v>
      </c>
      <c r="DD55" s="17">
        <f>SUM((DA55+DB55)*0.00833333333333333)</f>
        <v>2.3986874999999985</v>
      </c>
      <c r="DE55" s="120">
        <f ca="1">MONTH(TODAY())+5</f>
        <v>9</v>
      </c>
      <c r="DF55" s="14">
        <f ca="1">SUM(DA55,DB55,DC55)</f>
        <v>309.43068749999998</v>
      </c>
      <c r="DG55" s="14">
        <f>SUM(EJ55*0.0045)/2</f>
        <v>261.67499999999995</v>
      </c>
      <c r="DH55" s="14">
        <f>SUM(DG55*0.1)</f>
        <v>26.167499999999997</v>
      </c>
      <c r="DI55" s="14">
        <f ca="1">SUM(DJ55*DK55)</f>
        <v>11.993437499999992</v>
      </c>
      <c r="DJ55" s="17">
        <f>SUM((DG55+DH55)*0.00833333333333333)</f>
        <v>2.3986874999999985</v>
      </c>
      <c r="DK55" s="23">
        <f ca="1">MONTH(TODAY())+1</f>
        <v>5</v>
      </c>
      <c r="DL55" s="14">
        <f ca="1">SUM(DG55,DH55,DI55)</f>
        <v>299.83593749999994</v>
      </c>
      <c r="DM55" s="14">
        <f>SUM(BQ55, BW55, CC55,CI55,CO55,CU55,DA55,DG55)</f>
        <v>959.50499999999988</v>
      </c>
      <c r="DN55" s="14">
        <f>SUM(BR55,BX55, CD55,CJ55,CP55,CV55,DB55,DH55)</f>
        <v>95.950499999999977</v>
      </c>
      <c r="DO55" s="14">
        <f ca="1">SUM(BS55,BY55, CE55,CK55,CQ55,CW55,DC55,DI55)</f>
        <v>111.99251249999995</v>
      </c>
      <c r="DP55" s="25">
        <f ca="1">SUM(DM55:DO55)</f>
        <v>1167.4480124999998</v>
      </c>
      <c r="DQ55" s="47">
        <f ca="1">SUM(DP55/EG55)</f>
        <v>1.4929002717391301E-2</v>
      </c>
      <c r="DR55" s="14">
        <f>19.5+19.5+195+156+40+40+40</f>
        <v>510</v>
      </c>
      <c r="DS55" s="32">
        <f>COUNTIF(AO55, "*")+COUNTIF(AJ55, "*")+COUNTIF(AA55, "*")+COUNTIF(EU55, "*")+COUNTIF(FA55, "*")+COUNTIF(FG55, "*")+COUNTIF(FK55, "*")+COUNTIF(FR55, "*")+COUNTIF(AT55, "*")+COUNTIF(GA55, "*")+COUNTIF(GL55, "*")+COUNTIF(GW55, "*")+COUNTIF(HE55, "*")+COUNTIF(HM55, "*")+COUNTIF(HU55, "*")</f>
        <v>4</v>
      </c>
      <c r="DT55" s="14">
        <f>DS55*0.5+DS55*6.66+7.45</f>
        <v>36.090000000000003</v>
      </c>
      <c r="DU55" s="4">
        <v>30.8</v>
      </c>
      <c r="DV55" s="4">
        <v>150</v>
      </c>
      <c r="DW55" s="4"/>
      <c r="DX55" s="4"/>
      <c r="DY55" s="4"/>
      <c r="DZ55" s="4"/>
      <c r="EA55" s="14">
        <f>SUM(DU55:DZ55)</f>
        <v>180.8</v>
      </c>
      <c r="EB55" s="14">
        <f ca="1">SUM(DP55,DR55,EA55,DT55,FX55)</f>
        <v>1894.3380124999996</v>
      </c>
      <c r="EC55" s="24" t="s">
        <v>2773</v>
      </c>
      <c r="ED55" s="7">
        <f>0.13+0.15+0.15</f>
        <v>0.43000000000000005</v>
      </c>
      <c r="EE55" s="4">
        <f>500+9100+500</f>
        <v>10100</v>
      </c>
      <c r="EF55" s="4">
        <v>68100</v>
      </c>
      <c r="EG55" s="14">
        <f>SUM(EE55+EF55)</f>
        <v>78200</v>
      </c>
      <c r="EH55" s="14">
        <f>500+8100+500</f>
        <v>9100</v>
      </c>
      <c r="EI55" s="14">
        <v>107200</v>
      </c>
      <c r="EJ55" s="14">
        <f>SUM(EH55+EI55)</f>
        <v>116300</v>
      </c>
      <c r="EK55" s="10" t="s">
        <v>3514</v>
      </c>
      <c r="EL55" s="10" t="s">
        <v>3515</v>
      </c>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t="s">
        <v>3522</v>
      </c>
      <c r="FK55" s="10" t="s">
        <v>3516</v>
      </c>
      <c r="FL55" s="10"/>
      <c r="FM55" s="10" t="s">
        <v>3517</v>
      </c>
      <c r="FN55" s="10" t="s">
        <v>750</v>
      </c>
      <c r="FO55" s="9">
        <v>42291</v>
      </c>
      <c r="FP55" s="10" t="s">
        <v>3518</v>
      </c>
      <c r="FQ55" s="10" t="s">
        <v>3523</v>
      </c>
      <c r="FR55" s="10" t="s">
        <v>1900</v>
      </c>
      <c r="FS55" s="10"/>
      <c r="FT55" s="10" t="s">
        <v>749</v>
      </c>
      <c r="FU55" s="10" t="s">
        <v>750</v>
      </c>
      <c r="FV55" s="9">
        <v>42291</v>
      </c>
      <c r="FW55" s="10" t="s">
        <v>3518</v>
      </c>
      <c r="FX55" s="10"/>
      <c r="FY55" s="10"/>
      <c r="FZ55" s="10"/>
      <c r="GA55" s="10"/>
      <c r="GB55" s="10"/>
      <c r="GC55" s="10"/>
      <c r="GD55" s="10"/>
      <c r="GE55" s="9"/>
      <c r="GF55" s="10"/>
      <c r="GG55" s="10"/>
      <c r="GH55" s="10"/>
      <c r="GI55" s="10"/>
      <c r="GJ55" s="10"/>
      <c r="GK55" s="10"/>
      <c r="GL55" s="10"/>
      <c r="GM55" s="10"/>
      <c r="GN55" s="10"/>
      <c r="GO55" s="10"/>
      <c r="GP55" s="9"/>
      <c r="GQ55" s="10"/>
      <c r="GR55" s="10"/>
      <c r="GS55" s="10"/>
      <c r="GT55" s="10"/>
      <c r="GU55" s="10"/>
      <c r="GV55" s="10"/>
      <c r="GW55" s="10"/>
      <c r="GX55" s="10"/>
      <c r="GY55" s="10"/>
      <c r="GZ55" s="10"/>
      <c r="HA55" s="9"/>
      <c r="HB55" s="10"/>
      <c r="HC55" s="10"/>
      <c r="HD55" s="10"/>
      <c r="HE55" s="10"/>
      <c r="HF55" s="10"/>
      <c r="HG55" s="10"/>
      <c r="HH55" s="10"/>
      <c r="HI55" s="9"/>
      <c r="HJ55" s="10"/>
      <c r="HK55" s="10"/>
      <c r="HL55" s="10"/>
      <c r="HM55" s="10"/>
      <c r="HN55" s="10"/>
      <c r="HO55" s="10"/>
      <c r="HP55" s="10"/>
      <c r="HQ55" s="9"/>
      <c r="HR55" s="10"/>
      <c r="HS55" s="10"/>
      <c r="HT55" s="10"/>
      <c r="HU55" s="10"/>
      <c r="HV55" s="10"/>
      <c r="HW55" s="10"/>
      <c r="HX55" s="10"/>
      <c r="HY55" s="9"/>
      <c r="HZ55" s="4"/>
      <c r="IA55" s="4"/>
      <c r="IB55" s="10"/>
      <c r="IC55" s="10"/>
      <c r="ID55" s="10"/>
      <c r="IE55" s="10"/>
      <c r="IF55" s="4"/>
      <c r="IG55" s="4"/>
      <c r="IH55" s="14">
        <f ca="1">SUM(HZ55-EB55-FX55-IF55)</f>
        <v>-1894.3380124999996</v>
      </c>
      <c r="II55" s="14"/>
      <c r="IJ55" s="14"/>
      <c r="IK55" s="9"/>
      <c r="IL55" s="9"/>
      <c r="IM55" s="9"/>
      <c r="IN55" s="9"/>
      <c r="IO55" s="9"/>
      <c r="IP55" s="27" t="s">
        <v>5913</v>
      </c>
      <c r="IQ55" s="200"/>
      <c r="IR55" s="200"/>
      <c r="IS55" s="200"/>
      <c r="IT55" s="200"/>
      <c r="IU55" s="200"/>
      <c r="IV55" s="200"/>
      <c r="IW55" s="200"/>
      <c r="IX55" s="200"/>
      <c r="IY55" s="200"/>
      <c r="IZ55" s="200"/>
      <c r="JA55" s="200"/>
      <c r="JB55" s="200"/>
      <c r="JC55" s="200"/>
    </row>
    <row r="56" spans="1:263" ht="15" customHeight="1">
      <c r="A56" s="19">
        <v>102023092</v>
      </c>
      <c r="B56" s="18" t="s">
        <v>4304</v>
      </c>
      <c r="C56" s="18" t="s">
        <v>258</v>
      </c>
      <c r="D56" s="1">
        <v>2025</v>
      </c>
      <c r="E56" s="3"/>
      <c r="F56" s="3"/>
      <c r="J56" s="18" t="s">
        <v>554</v>
      </c>
      <c r="K56" s="18" t="s">
        <v>959</v>
      </c>
      <c r="L56" s="130" t="s">
        <v>4334</v>
      </c>
      <c r="M56" s="130" t="s">
        <v>357</v>
      </c>
      <c r="N56" s="130"/>
      <c r="O56" s="288"/>
      <c r="P56" s="130" t="s">
        <v>959</v>
      </c>
      <c r="Q56" s="130" t="s">
        <v>4335</v>
      </c>
      <c r="R56" s="130" t="s">
        <v>403</v>
      </c>
      <c r="S56" s="130"/>
      <c r="AG56" s="43"/>
      <c r="AJ56" s="18" t="s">
        <v>328</v>
      </c>
      <c r="AL56" s="18" t="s">
        <v>438</v>
      </c>
      <c r="AM56"/>
      <c r="AN56"/>
      <c r="AO56" s="18" t="s">
        <v>4336</v>
      </c>
      <c r="AP56" s="3"/>
      <c r="AQ56" s="18" t="s">
        <v>438</v>
      </c>
      <c r="AR56" s="18" t="s">
        <v>260</v>
      </c>
      <c r="AS56" s="18" t="s">
        <v>473</v>
      </c>
      <c r="AT56" s="18" t="s">
        <v>474</v>
      </c>
      <c r="AU56" s="18" t="s">
        <v>475</v>
      </c>
      <c r="AV56" s="18" t="s">
        <v>438</v>
      </c>
      <c r="AW56" s="18" t="s">
        <v>260</v>
      </c>
      <c r="AX56" s="1"/>
      <c r="AY56" s="1"/>
      <c r="AZ56" s="1"/>
      <c r="BA56" s="1"/>
      <c r="BB56" s="1"/>
      <c r="BC56" s="2"/>
      <c r="BD56" s="116"/>
      <c r="BE56" s="115"/>
      <c r="BF56" s="2"/>
      <c r="BG56" s="2"/>
      <c r="BH56" s="2"/>
      <c r="BI56" s="2"/>
      <c r="BJ56" s="2"/>
      <c r="BK56" s="2"/>
      <c r="BL56" s="20">
        <f ca="1">SUM(DP56)+220</f>
        <v>249.35040000000001</v>
      </c>
      <c r="BM56" s="22">
        <f ca="1">PMT(10%/12,12,BL56,0,0)</f>
        <v>-21.921861647157783</v>
      </c>
      <c r="BN56" s="22">
        <f ca="1">SUM(BM56*-1)</f>
        <v>21.921861647157783</v>
      </c>
      <c r="BO56" s="14">
        <f>SUM(DX56*0.0052)/12</f>
        <v>0.25999999999999995</v>
      </c>
      <c r="BP56" s="22">
        <f ca="1">SUM(BN56+BO56)</f>
        <v>22.181861647157785</v>
      </c>
      <c r="BQ56" s="14"/>
      <c r="BR56" s="14">
        <f>SUM(BQ56*0.1)</f>
        <v>0</v>
      </c>
      <c r="BS56" s="14">
        <f ca="1">SUM(BT56*BU56)</f>
        <v>0</v>
      </c>
      <c r="BT56" s="17">
        <f>SUM((BQ56+BR56)*0.00833333333333333)</f>
        <v>0</v>
      </c>
      <c r="BU56" s="23">
        <f ca="1">MONTH(TODAY())+49</f>
        <v>53</v>
      </c>
      <c r="BV56" s="14">
        <f ca="1">SUM(BQ56,BR56,BS56)</f>
        <v>0</v>
      </c>
      <c r="BW56" s="14"/>
      <c r="BX56" s="14">
        <f>SUM(BW56*0.1)</f>
        <v>0</v>
      </c>
      <c r="BY56" s="14">
        <f ca="1">SUM(BZ56*CA56)</f>
        <v>0</v>
      </c>
      <c r="BZ56" s="17">
        <f>SUM((BW56+BX56)*0.00833333333333333)</f>
        <v>0</v>
      </c>
      <c r="CA56" s="23">
        <f ca="1">MONTH(TODAY())+37</f>
        <v>41</v>
      </c>
      <c r="CB56" s="14">
        <f ca="1">SUM(BW56,BX56,BY56)</f>
        <v>0</v>
      </c>
      <c r="CC56" s="14">
        <v>0</v>
      </c>
      <c r="CD56" s="14">
        <f>SUM(CC56*0.1)</f>
        <v>0</v>
      </c>
      <c r="CE56" s="14">
        <f ca="1">SUM(CF56*CG56)</f>
        <v>0</v>
      </c>
      <c r="CF56" s="17">
        <f>SUM((CC56+CD56)*0.00833333333333333)</f>
        <v>0</v>
      </c>
      <c r="CG56" s="23">
        <f ca="1">MONTH(TODAY())+25</f>
        <v>29</v>
      </c>
      <c r="CH56" s="14">
        <f ca="1">SUM(CC56,CD56,CE56)</f>
        <v>0</v>
      </c>
      <c r="CI56" s="14">
        <f>SUM(DU56*0.0052)</f>
        <v>3.1199999999999997</v>
      </c>
      <c r="CJ56" s="14">
        <f>SUM(CI56*0.1)</f>
        <v>0.312</v>
      </c>
      <c r="CK56" s="14">
        <f ca="1">SUM(CL56*CM56)</f>
        <v>0.48619999999999969</v>
      </c>
      <c r="CL56" s="17">
        <f>SUM((CI56+CJ56)*0.00833333333333333)</f>
        <v>2.8599999999999983E-2</v>
      </c>
      <c r="CM56" s="23">
        <f ca="1">MONTH(TODAY())+13</f>
        <v>17</v>
      </c>
      <c r="CN56" s="14">
        <f ca="1">SUM(CI56,CJ56,CK56)</f>
        <v>3.9181999999999992</v>
      </c>
      <c r="CO56" s="14">
        <f>SUM(DU56*0.0052)/2</f>
        <v>1.5599999999999998</v>
      </c>
      <c r="CP56" s="14">
        <f>SUM(CO56*0.1)</f>
        <v>0.156</v>
      </c>
      <c r="CQ56" s="14">
        <f ca="1">SUM(CR56*CS56)</f>
        <v>0.12869999999999993</v>
      </c>
      <c r="CR56" s="17">
        <f>SUM((CO56+CP56)*0.00833333333333333)</f>
        <v>1.4299999999999992E-2</v>
      </c>
      <c r="CS56" s="23">
        <f ca="1">MONTH(TODAY())+5</f>
        <v>9</v>
      </c>
      <c r="CT56" s="23">
        <f ca="1">SUM(CO56,CP56,CQ56)</f>
        <v>1.8446999999999996</v>
      </c>
      <c r="CU56" s="14">
        <f>SUM(DU56*0.0052)/2</f>
        <v>1.5599999999999998</v>
      </c>
      <c r="CV56" s="14">
        <f>SUM(CU56*0.1)</f>
        <v>0.156</v>
      </c>
      <c r="CW56" s="14">
        <f ca="1">SUM(CX56*CY56)</f>
        <v>7.1499999999999952E-2</v>
      </c>
      <c r="CX56" s="17">
        <f>SUM((CU56+CV56)*0.00833333333333333)</f>
        <v>1.4299999999999992E-2</v>
      </c>
      <c r="CY56" s="23">
        <f ca="1">MONTH(TODAY())+1</f>
        <v>5</v>
      </c>
      <c r="CZ56" s="23">
        <f ca="1">SUM(CU56,CV56,CW56)</f>
        <v>1.7874999999999996</v>
      </c>
      <c r="DA56" s="14">
        <f>SUM( BQ56, BW56, CC56, CI56, CO56,CU56)</f>
        <v>6.2399999999999993</v>
      </c>
      <c r="DB56" s="14">
        <f>SUM(BR56,BX56,CD56,CJ56, CP56,CV56)</f>
        <v>0.624</v>
      </c>
      <c r="DC56" s="14">
        <f ca="1">SUM(BS56,BY56,CE56,CK56, CQ56,CW56)</f>
        <v>0.68639999999999946</v>
      </c>
      <c r="DD56" s="25">
        <f ca="1">SUM(DA56:DC56)</f>
        <v>7.550399999999998</v>
      </c>
      <c r="DE56" s="47">
        <f ca="1">SUM(DD56/DU56)</f>
        <v>1.2583999999999996E-2</v>
      </c>
      <c r="DF56" s="14">
        <v>20</v>
      </c>
      <c r="DG56" s="32">
        <f>COUNTIF(DL56, "*")+COUNTIF(AO56, "*")+COUNTIF(AJ56, "*")+COUNTIF(AA56, "*")+COUNTIF(EM56, "*")+COUNTIF(ES56, "*")+COUNTIF(EY56, "*")+COUNTIF(FC56, "*")+COUNTIF(FJ56, "*")+COUNTIF(AT56, "*")+COUNTIF(FS56, "*")+COUNTIF(GD56, "*")+COUNTIF(GO56, "*")+COUNTIF(GW56, "*")+COUNTIF(HE56, "*")+COUNTIF(HM56, "*")+COUNTIF(HU56, "*")</f>
        <v>3</v>
      </c>
      <c r="DH56" s="14">
        <f>DG56*0.6</f>
        <v>1.7999999999999998</v>
      </c>
      <c r="DI56" s="4"/>
      <c r="DJ56" s="4"/>
      <c r="DK56" s="4"/>
      <c r="DL56" s="4"/>
      <c r="DN56" s="4"/>
      <c r="DO56" s="14">
        <f>SUM(DJ56:DN56)</f>
        <v>0</v>
      </c>
      <c r="DP56" s="14">
        <f ca="1">SUM(DD56,DF56,DO56, DI56, DH56,FP56)</f>
        <v>29.350399999999997</v>
      </c>
      <c r="DQ56" s="24" t="s">
        <v>3879</v>
      </c>
      <c r="DR56" s="130">
        <v>0.17</v>
      </c>
      <c r="DS56" s="14">
        <v>600</v>
      </c>
      <c r="DT56" s="14">
        <v>0</v>
      </c>
      <c r="DU56" s="14">
        <v>600</v>
      </c>
      <c r="DV56" s="14">
        <v>600</v>
      </c>
      <c r="DW56" s="14">
        <v>0</v>
      </c>
      <c r="DX56" s="14">
        <f>SUM(DV56+DW56)</f>
        <v>600</v>
      </c>
      <c r="IA56" s="9"/>
      <c r="IL56" s="14">
        <f ca="1">SUM(IB56-DP56-FP56-IJ56)</f>
        <v>-29.350399999999997</v>
      </c>
      <c r="IM56" s="9"/>
      <c r="IN56" s="9"/>
      <c r="IO56" s="9"/>
      <c r="IP56" s="9"/>
      <c r="IQ56" s="9"/>
    </row>
    <row r="57" spans="1:263" ht="15" customHeight="1">
      <c r="A57" s="2">
        <v>102024062</v>
      </c>
      <c r="B57" t="s">
        <v>5097</v>
      </c>
      <c r="D57" s="1"/>
      <c r="E57" s="3"/>
      <c r="G57" s="3"/>
      <c r="J57" t="s">
        <v>434</v>
      </c>
      <c r="K57" t="s">
        <v>695</v>
      </c>
      <c r="L57" t="s">
        <v>574</v>
      </c>
      <c r="M57" t="s">
        <v>650</v>
      </c>
      <c r="O57" s="3"/>
      <c r="P57" t="s">
        <v>5226</v>
      </c>
      <c r="Q57" t="s">
        <v>5227</v>
      </c>
      <c r="R57" t="s">
        <v>695</v>
      </c>
      <c r="U57" t="s">
        <v>695</v>
      </c>
      <c r="V57" t="s">
        <v>3934</v>
      </c>
      <c r="W57" t="s">
        <v>850</v>
      </c>
      <c r="AG57" s="43"/>
      <c r="AJ57" t="s">
        <v>328</v>
      </c>
      <c r="AK57" s="1"/>
      <c r="AL57" s="18" t="s">
        <v>438</v>
      </c>
      <c r="AM57"/>
      <c r="AN57"/>
      <c r="AO57" t="s">
        <v>5104</v>
      </c>
      <c r="AP57" s="1" t="s">
        <v>258</v>
      </c>
      <c r="AQ57" t="s">
        <v>329</v>
      </c>
      <c r="AR57" t="s">
        <v>260</v>
      </c>
      <c r="AX57" s="1"/>
      <c r="AY57" s="1"/>
      <c r="AZ57" s="1"/>
      <c r="BA57" s="1"/>
      <c r="BB57" s="1"/>
      <c r="BC57" s="2"/>
      <c r="BD57" s="115">
        <v>45382</v>
      </c>
      <c r="BE57" s="115"/>
      <c r="BF57" s="2"/>
      <c r="BG57" s="2"/>
      <c r="BH57" s="2"/>
      <c r="BI57" s="2"/>
      <c r="BJ57" s="2"/>
      <c r="BK57" s="2"/>
      <c r="BL57" s="20">
        <f ca="1">SUM(EB57)+220</f>
        <v>332.50400000000002</v>
      </c>
      <c r="BM57" s="22">
        <f ca="1">PMT(10%/12,12,BL57,0,0)</f>
        <v>-29.232384167527112</v>
      </c>
      <c r="BN57" s="22">
        <f ca="1">SUM(BM57*-1)</f>
        <v>29.232384167527112</v>
      </c>
      <c r="BO57" s="14">
        <f>SUM(EJ57*0.0052)/12</f>
        <v>2.1666666666666665</v>
      </c>
      <c r="BP57" s="22">
        <f ca="1">SUM(BN57+BO57)</f>
        <v>31.39905083419378</v>
      </c>
      <c r="BQ57" s="14"/>
      <c r="BR57" s="14">
        <f>SUM(BQ57*0.1)</f>
        <v>0</v>
      </c>
      <c r="BS57" s="14">
        <f ca="1">SUM(BT57*BU57)</f>
        <v>0</v>
      </c>
      <c r="BT57" s="17">
        <f>SUM((BQ57+BR57)*0.00833333333333333)</f>
        <v>0</v>
      </c>
      <c r="BU57" s="23">
        <f ca="1">MONTH(TODAY())+61</f>
        <v>65</v>
      </c>
      <c r="BV57" s="14">
        <f ca="1">SUM(BQ57,BR57,BS57)</f>
        <v>0</v>
      </c>
      <c r="BW57" s="14"/>
      <c r="BX57" s="14">
        <f>SUM(BW57*0.1)</f>
        <v>0</v>
      </c>
      <c r="BY57" s="14">
        <f ca="1">SUM(BZ57*CA57)</f>
        <v>0</v>
      </c>
      <c r="BZ57" s="17">
        <f>SUM((BW57+BX57)*0.00833333333333333)</f>
        <v>0</v>
      </c>
      <c r="CA57" s="23">
        <f ca="1">MONTH(TODAY())+49</f>
        <v>53</v>
      </c>
      <c r="CB57" s="14">
        <f ca="1">SUM(BW57,BX57,BY57)</f>
        <v>0</v>
      </c>
      <c r="CC57" s="14">
        <v>0</v>
      </c>
      <c r="CD57" s="14">
        <f>SUM(CC57*0.1)</f>
        <v>0</v>
      </c>
      <c r="CE57" s="14">
        <f ca="1">SUM(CF57*CG57)</f>
        <v>0</v>
      </c>
      <c r="CF57" s="17">
        <f>SUM((CC57+CD57)*0.00833333333333333)</f>
        <v>0</v>
      </c>
      <c r="CG57" s="23">
        <f ca="1">MONTH(TODAY())+37</f>
        <v>41</v>
      </c>
      <c r="CH57" s="14">
        <f ca="1">SUM(CC57,CD57,CE57)</f>
        <v>0</v>
      </c>
      <c r="CI57" s="14">
        <f>SUM(EG57*0.0052)</f>
        <v>2.6</v>
      </c>
      <c r="CJ57" s="14">
        <f>SUM(CI57*0.1)</f>
        <v>0.26</v>
      </c>
      <c r="CK57" s="14">
        <f ca="1">SUM(CL57*CM57)</f>
        <v>0.69116666666666637</v>
      </c>
      <c r="CL57" s="17">
        <f>SUM((CI57+CJ57)*0.00833333333333333)</f>
        <v>2.3833333333333324E-2</v>
      </c>
      <c r="CM57" s="23">
        <f ca="1">MONTH(TODAY())+25</f>
        <v>29</v>
      </c>
      <c r="CN57" s="14">
        <f ca="1">SUM(CI57,CJ57,CK57)</f>
        <v>3.5511666666666666</v>
      </c>
      <c r="CO57" s="14">
        <f>SUM(EG57*0.0052)/2</f>
        <v>1.3</v>
      </c>
      <c r="CP57" s="14">
        <f>SUM(CO57*0.1)</f>
        <v>0.13</v>
      </c>
      <c r="CQ57" s="14">
        <f ca="1">SUM(CR57*CS57)</f>
        <v>0.25024999999999992</v>
      </c>
      <c r="CR57" s="17">
        <f>SUM((CO57+CP57)*0.00833333333333333)</f>
        <v>1.1916666666666662E-2</v>
      </c>
      <c r="CS57" s="23">
        <f ca="1">MONTH(TODAY())+17</f>
        <v>21</v>
      </c>
      <c r="CT57" s="23">
        <f ca="1">SUM(CO57,CP57,CQ57)</f>
        <v>1.68025</v>
      </c>
      <c r="CU57" s="14">
        <f>SUM(EG57*0.0052)/2</f>
        <v>1.3</v>
      </c>
      <c r="CV57" s="14">
        <f>SUM(CU57*0.1)</f>
        <v>0.13</v>
      </c>
      <c r="CW57" s="14">
        <f ca="1">SUM(CX57*CY57)</f>
        <v>0.20258333333333325</v>
      </c>
      <c r="CX57" s="17">
        <f>SUM((CU57+CV57)*0.00833333333333333)</f>
        <v>1.1916666666666662E-2</v>
      </c>
      <c r="CY57" s="23">
        <f ca="1">MONTH(TODAY())+13</f>
        <v>17</v>
      </c>
      <c r="CZ57" s="23">
        <f ca="1">SUM(CU57,CV57,CW57)</f>
        <v>1.6325833333333335</v>
      </c>
      <c r="DA57" s="14">
        <f>SUM(EJ57*0.0045)/2</f>
        <v>11.25</v>
      </c>
      <c r="DB57" s="14">
        <f>SUM(DA57*0.1)</f>
        <v>1.125</v>
      </c>
      <c r="DC57" s="14">
        <f ca="1">SUM(DD57*DE57)</f>
        <v>1.1343749999999995</v>
      </c>
      <c r="DD57" s="17">
        <f>SUM((DA57+DB57)*0.00833333333333333)</f>
        <v>0.10312499999999995</v>
      </c>
      <c r="DE57" s="23">
        <f ca="1">MONTH(TODAY())+7</f>
        <v>11</v>
      </c>
      <c r="DF57" s="23">
        <f ca="1">SUM(DA57,DB57,DC57)</f>
        <v>13.509374999999999</v>
      </c>
      <c r="DG57" s="14">
        <f>SUM(EJ57*0.0045)/2</f>
        <v>11.25</v>
      </c>
      <c r="DH57" s="14">
        <f>SUM(DG57*0.1)</f>
        <v>1.125</v>
      </c>
      <c r="DI57" s="14">
        <f ca="1">SUM(DJ57*DK57)</f>
        <v>0.51562499999999978</v>
      </c>
      <c r="DJ57" s="17">
        <f>SUM((DG57+DH57)*0.00833333333333333)</f>
        <v>0.10312499999999995</v>
      </c>
      <c r="DK57" s="23">
        <f ca="1">MONTH(TODAY())+1</f>
        <v>5</v>
      </c>
      <c r="DL57" s="14">
        <f ca="1">SUM(DG57,DH57,DI57)</f>
        <v>12.890625</v>
      </c>
      <c r="DM57" s="14">
        <f>SUM( BQ57, BW57, CC57, CI57, CO57,CU57,DA57,DG57)</f>
        <v>27.7</v>
      </c>
      <c r="DN57" s="14">
        <f>SUM(BR57,BX57,CD57,CJ57, CP57,CV57,DB57,DH57)</f>
        <v>2.77</v>
      </c>
      <c r="DO57" s="14">
        <f ca="1">SUM(BS57,BY57,CE57,CK57, CQ57,CW57,DC57,DI57)</f>
        <v>2.7939999999999987</v>
      </c>
      <c r="DP57" s="25">
        <f ca="1">SUM(DM57:DO57)</f>
        <v>33.263999999999996</v>
      </c>
      <c r="DQ57" s="47">
        <f ca="1">SUM(DP57/EG57)</f>
        <v>6.652799999999999E-2</v>
      </c>
      <c r="DR57" s="14">
        <f>40+10</f>
        <v>50</v>
      </c>
      <c r="DS57" s="32">
        <f>COUNTIF(AO57, "*")+COUNTIF(AJ57, "*")+COUNTIF(AA57, "*")+COUNTIF(EU57, "*")+COUNTIF(FA57, "*")+COUNTIF(FG57, "*")+COUNTIF(FK57, "*")+COUNTIF(FR57, "*")+COUNTIF(AT57, "*")+COUNTIF(GA57, "*")+COUNTIF(GL57, "*")+COUNTIF(GW57, "*")+COUNTIF(HE57, "*")+COUNTIF(HM57, "*")+COUNTIF(HU57, "*")</f>
        <v>2</v>
      </c>
      <c r="DT57" s="14">
        <f>DS57*0.64</f>
        <v>1.28</v>
      </c>
      <c r="DU57" s="4"/>
      <c r="DV57" s="4">
        <v>27.96</v>
      </c>
      <c r="DW57" s="4"/>
      <c r="DX57" s="4"/>
      <c r="DZ57" s="4"/>
      <c r="EA57" s="14">
        <f>SUM(DV57:DZ57)</f>
        <v>27.96</v>
      </c>
      <c r="EB57" s="14">
        <f ca="1">SUM(DP57,DR57,EA57, DU57, DT57,FX57)</f>
        <v>112.50399999999999</v>
      </c>
      <c r="EC57" s="24" t="s">
        <v>4944</v>
      </c>
      <c r="ED57" s="130">
        <v>0.25</v>
      </c>
      <c r="EE57" s="14">
        <v>500</v>
      </c>
      <c r="EF57" s="14">
        <v>0</v>
      </c>
      <c r="EG57" s="14">
        <f>SUM(EE57+EF57)</f>
        <v>500</v>
      </c>
      <c r="EH57" s="14">
        <v>5000</v>
      </c>
      <c r="EI57" s="14">
        <v>0</v>
      </c>
      <c r="EJ57" s="14">
        <f>SUM(EH57+EI57)</f>
        <v>5000</v>
      </c>
      <c r="FX57" s="4"/>
      <c r="HY57" s="9"/>
      <c r="IJ57" s="4"/>
      <c r="IK57" s="4"/>
      <c r="IL57" s="4"/>
      <c r="IM57" s="9"/>
      <c r="IN57" s="9"/>
      <c r="IO57" s="9"/>
      <c r="IP57" s="9"/>
      <c r="IQ57" s="9"/>
    </row>
    <row r="58" spans="1:263" ht="15" customHeight="1">
      <c r="A58" s="2">
        <v>102024150</v>
      </c>
      <c r="B58" t="s">
        <v>5517</v>
      </c>
      <c r="C58" s="10"/>
      <c r="D58" s="161"/>
      <c r="E58" s="147" t="s">
        <v>5885</v>
      </c>
      <c r="F58" s="160">
        <v>240003193</v>
      </c>
      <c r="G58" s="147"/>
      <c r="H58" s="10"/>
      <c r="I58" s="10"/>
      <c r="J58" s="10" t="s">
        <v>311</v>
      </c>
      <c r="K58" s="10" t="s">
        <v>5518</v>
      </c>
      <c r="L58" s="10" t="s">
        <v>5519</v>
      </c>
      <c r="M58" s="10" t="s">
        <v>256</v>
      </c>
      <c r="N58" s="10"/>
      <c r="O58" s="147"/>
      <c r="P58" s="10"/>
      <c r="Q58" s="10"/>
      <c r="R58" s="10"/>
      <c r="S58" s="10"/>
      <c r="T58" s="10"/>
      <c r="U58" s="10"/>
      <c r="V58" s="10"/>
      <c r="W58" s="10"/>
      <c r="X58" s="10"/>
      <c r="Y58" s="10"/>
      <c r="Z58" s="10"/>
      <c r="AA58" s="10"/>
      <c r="AB58" s="10"/>
      <c r="AC58" s="10"/>
      <c r="AD58" s="10"/>
      <c r="AE58" s="10"/>
      <c r="AF58" s="10"/>
      <c r="AG58" s="141"/>
      <c r="AH58" s="10"/>
      <c r="AI58" s="10"/>
      <c r="AJ58" t="s">
        <v>5520</v>
      </c>
      <c r="AK58" s="1" t="s">
        <v>258</v>
      </c>
      <c r="AL58" t="s">
        <v>438</v>
      </c>
      <c r="AM58" t="s">
        <v>260</v>
      </c>
      <c r="AN58"/>
      <c r="AO58" t="s">
        <v>5521</v>
      </c>
      <c r="AP58" s="1" t="s">
        <v>258</v>
      </c>
      <c r="AQ58" s="18" t="s">
        <v>438</v>
      </c>
      <c r="AR58" t="s">
        <v>260</v>
      </c>
      <c r="AS58" t="s">
        <v>473</v>
      </c>
      <c r="AT58" t="s">
        <v>474</v>
      </c>
      <c r="AU58" t="s">
        <v>475</v>
      </c>
      <c r="AV58" t="s">
        <v>438</v>
      </c>
      <c r="AW58" s="1" t="s">
        <v>260</v>
      </c>
      <c r="AX58" s="1" t="s">
        <v>258</v>
      </c>
      <c r="AY58" s="1" t="s">
        <v>258</v>
      </c>
      <c r="AZ58" s="1"/>
      <c r="BA58" s="1"/>
      <c r="BB58" s="1"/>
      <c r="BC58" s="70">
        <v>45474</v>
      </c>
      <c r="BD58" s="115">
        <v>45415</v>
      </c>
      <c r="BE58" s="144">
        <v>45432</v>
      </c>
      <c r="BF58" s="70"/>
      <c r="BG58" s="2"/>
      <c r="BH58" s="70"/>
      <c r="BI58" s="70"/>
      <c r="BJ58" s="70">
        <v>45545</v>
      </c>
      <c r="BK58" s="70" t="s">
        <v>5895</v>
      </c>
      <c r="BL58" s="20">
        <f ca="1">SUM(EB58)+220</f>
        <v>2505.8654833333335</v>
      </c>
      <c r="BM58" s="22">
        <f ca="1">PMT(10%/12,12,BL58,0,0)</f>
        <v>-220.30538724630685</v>
      </c>
      <c r="BN58" s="22">
        <f ca="1">SUM(BM58*-1)</f>
        <v>220.30538724630685</v>
      </c>
      <c r="BO58" s="14">
        <f>SUM(EJ58*0.0052)/12</f>
        <v>21.926666666666666</v>
      </c>
      <c r="BP58" s="22">
        <f ca="1">SUM(BN58+BO58)</f>
        <v>242.23205391297353</v>
      </c>
      <c r="BQ58" s="14">
        <v>0</v>
      </c>
      <c r="BR58" s="14">
        <f>SUM(BQ58*0.1)</f>
        <v>0</v>
      </c>
      <c r="BS58" s="14">
        <f ca="1">SUM(BT58*BU58)</f>
        <v>0</v>
      </c>
      <c r="BT58" s="17">
        <f>SUM((BQ58+BR58)*0.00833333333333333)</f>
        <v>0</v>
      </c>
      <c r="BU58" s="23">
        <f ca="1">MONTH(TODAY())+37</f>
        <v>41</v>
      </c>
      <c r="BV58" s="14">
        <f ca="1">SUM(BQ58,BR58,BS58)</f>
        <v>0</v>
      </c>
      <c r="BW58" s="14">
        <v>0</v>
      </c>
      <c r="BX58" s="14">
        <f>SUM(BW58*0.1)</f>
        <v>0</v>
      </c>
      <c r="BY58" s="14">
        <f ca="1">SUM(BZ58*CA58)</f>
        <v>0</v>
      </c>
      <c r="BZ58" s="17">
        <f>SUM((BW58+BX58)*0.00833333333333333)</f>
        <v>0</v>
      </c>
      <c r="CA58" s="23">
        <f ca="1">MONTH(TODAY())+37</f>
        <v>41</v>
      </c>
      <c r="CB58" s="14">
        <f ca="1">SUM(BW58,BX58,BY58)</f>
        <v>0</v>
      </c>
      <c r="CC58" s="14">
        <v>0</v>
      </c>
      <c r="CD58" s="14">
        <f>SUM(CC58*0.1)</f>
        <v>0</v>
      </c>
      <c r="CE58" s="14">
        <f ca="1">SUM(CF58*CG58)</f>
        <v>0</v>
      </c>
      <c r="CF58" s="17">
        <f>SUM((CC58+CD58)*0.00833333333333333)</f>
        <v>0</v>
      </c>
      <c r="CG58" s="23">
        <f ca="1">MONTH(TODAY())+29</f>
        <v>33</v>
      </c>
      <c r="CH58" s="23">
        <f ca="1">SUM(CC58,CD58,CE58)</f>
        <v>0</v>
      </c>
      <c r="CI58" s="14">
        <f>SUM(EG58*0.0052)/2</f>
        <v>105.82</v>
      </c>
      <c r="CJ58" s="14">
        <f>SUM(CI58*0.1)</f>
        <v>10.582000000000001</v>
      </c>
      <c r="CK58" s="14">
        <f ca="1">SUM(CL58*CM58)</f>
        <v>28.13048333333332</v>
      </c>
      <c r="CL58" s="17">
        <f>SUM((CI58+CJ58)*0.00833333333333333)</f>
        <v>0.97001666666666619</v>
      </c>
      <c r="CM58" s="23">
        <f ca="1">MONTH(TODAY())+25</f>
        <v>29</v>
      </c>
      <c r="CN58" s="14">
        <f ca="1">SUM(CI58,CJ58,CK58)</f>
        <v>144.53248333333332</v>
      </c>
      <c r="CO58" s="14">
        <f>SUM(EJ58*0.0045)/2</f>
        <v>113.85</v>
      </c>
      <c r="CP58" s="14">
        <f>SUM(CO58*0.1)</f>
        <v>11.385</v>
      </c>
      <c r="CQ58" s="14">
        <f ca="1">SUM(CR58*CS58)</f>
        <v>24.003374999999991</v>
      </c>
      <c r="CR58" s="17">
        <f>SUM((CO58+CP58)*0.00833333333333333)</f>
        <v>1.0436249999999996</v>
      </c>
      <c r="CS58" s="23">
        <f ca="1">MONTH(TODAY())+19</f>
        <v>23</v>
      </c>
      <c r="CT58" s="14">
        <f ca="1">SUM(CO58,CP58,CQ58)</f>
        <v>149.23837499999999</v>
      </c>
      <c r="CU58" s="14">
        <f>SUM(EJ58*0.0045)/2</f>
        <v>113.85</v>
      </c>
      <c r="CV58" s="14">
        <f>SUM(CU58*0.1)</f>
        <v>11.385</v>
      </c>
      <c r="CW58" s="14">
        <f ca="1">SUM(CX58*CY58)</f>
        <v>17.741624999999992</v>
      </c>
      <c r="CX58" s="17">
        <f>SUM((CU58+CV58)*0.00833333333333333)</f>
        <v>1.0436249999999996</v>
      </c>
      <c r="CY58" s="23">
        <f ca="1">MONTH(TODAY())+13</f>
        <v>17</v>
      </c>
      <c r="CZ58" s="14">
        <f ca="1">SUM(CU58,CV58,CW58)</f>
        <v>142.97662499999998</v>
      </c>
      <c r="DA58" s="14">
        <f>SUM(EJ58*0.0045)/2</f>
        <v>113.85</v>
      </c>
      <c r="DB58" s="14">
        <f>SUM(DA58*0.1)</f>
        <v>11.385</v>
      </c>
      <c r="DC58" s="14">
        <f ca="1">SUM(DD58*DE58)</f>
        <v>11.479874999999996</v>
      </c>
      <c r="DD58" s="17">
        <f>SUM((DA58+DB58)*0.00833333333333333)</f>
        <v>1.0436249999999996</v>
      </c>
      <c r="DE58" s="23">
        <f ca="1">MONTH(TODAY())+7</f>
        <v>11</v>
      </c>
      <c r="DF58" s="14">
        <f ca="1">SUM(DA58,DB58,DC58)</f>
        <v>136.71487500000001</v>
      </c>
      <c r="DG58" s="14">
        <f>SUM(EJ58*0.0045)/2</f>
        <v>113.85</v>
      </c>
      <c r="DH58" s="14">
        <f>SUM(DG58*0.1)</f>
        <v>11.385</v>
      </c>
      <c r="DI58" s="14">
        <f ca="1">SUM(DJ58*DK58)</f>
        <v>5.2181249999999979</v>
      </c>
      <c r="DJ58" s="17">
        <f>SUM((DG58+DH58)*0.00833333333333333)</f>
        <v>1.0436249999999996</v>
      </c>
      <c r="DK58" s="23">
        <f ca="1">MONTH(TODAY())+1</f>
        <v>5</v>
      </c>
      <c r="DL58" s="14">
        <f ca="1">SUM(DG58,DH58,DI58)</f>
        <v>130.453125</v>
      </c>
      <c r="DM58" s="14">
        <f>SUM(BQ58, BW58, CC58,CI58,CO58,CU58,DA58,DG58)</f>
        <v>561.22</v>
      </c>
      <c r="DN58" s="14">
        <f>SUM(BR58,BX58, CD58,CJ58,CP58,CV58,DB58,DH58)</f>
        <v>56.121999999999993</v>
      </c>
      <c r="DO58" s="14">
        <f ca="1">SUM(BS58,BY58, CE58,CK58,CQ58,CW58,DC58,DI58)</f>
        <v>86.5734833333333</v>
      </c>
      <c r="DP58" s="25">
        <f ca="1">SUM(DM58:DO58)</f>
        <v>703.91548333333333</v>
      </c>
      <c r="DQ58" s="47">
        <f ca="1">SUM(DP58/EG58)</f>
        <v>1.7295220720720719E-2</v>
      </c>
      <c r="DR58" s="25">
        <v>610</v>
      </c>
      <c r="DS58" s="32">
        <f>COUNTIF(AO58, "*")+COUNTIF(AJ58, "*")+COUNTIF(AA58, "*")+COUNTIF(EU58, "*")+COUNTIF(FA58, "*")+COUNTIF(FG58, "*")+COUNTIF(FK58, "*")+COUNTIF(FR58, "*")+COUNTIF(AT58, "*")+COUNTIF(GA58, "*")+COUNTIF(GL58, "*")+COUNTIF(GW58, "*")+COUNTIF(HE58, "*")+COUNTIF(HM58, "*")+COUNTIF(HU58, "*")</f>
        <v>8</v>
      </c>
      <c r="DT58" s="14">
        <f>1.28+DS58*8</f>
        <v>65.28</v>
      </c>
      <c r="DU58" s="4">
        <v>26.67</v>
      </c>
      <c r="DV58" s="4">
        <v>320</v>
      </c>
      <c r="DW58" s="4"/>
      <c r="DX58" s="4"/>
      <c r="DY58" s="14">
        <f>IF(SUM(EE58*0.004)&lt;100, 100, SUM(EE58*0.004))</f>
        <v>100</v>
      </c>
      <c r="DZ58" s="4">
        <v>460</v>
      </c>
      <c r="EA58" s="14">
        <f>SUM(DU58:DZ58)</f>
        <v>906.67000000000007</v>
      </c>
      <c r="EB58" s="14">
        <f ca="1">SUM(DP58,DR58,EA58,DT58,FX58)</f>
        <v>2285.8654833333335</v>
      </c>
      <c r="EC58" s="24" t="s">
        <v>5914</v>
      </c>
      <c r="ED58" s="23">
        <v>0.23</v>
      </c>
      <c r="EE58" s="14">
        <v>4800</v>
      </c>
      <c r="EF58" s="14">
        <v>35900</v>
      </c>
      <c r="EG58" s="14">
        <f>SUM(EE58+EF58)</f>
        <v>40700</v>
      </c>
      <c r="EH58" s="14">
        <v>12000</v>
      </c>
      <c r="EI58" s="14">
        <v>38600</v>
      </c>
      <c r="EJ58" s="14">
        <f>SUM(EH58+EI58)</f>
        <v>50600</v>
      </c>
      <c r="EK58" s="10" t="s">
        <v>5713</v>
      </c>
      <c r="EL58" s="10" t="s">
        <v>5857</v>
      </c>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t="s">
        <v>5711</v>
      </c>
      <c r="FK58" s="10" t="s">
        <v>1854</v>
      </c>
      <c r="FL58" s="10" t="s">
        <v>936</v>
      </c>
      <c r="FM58" s="10" t="s">
        <v>386</v>
      </c>
      <c r="FN58" s="10" t="s">
        <v>260</v>
      </c>
      <c r="FO58" s="9">
        <v>44358</v>
      </c>
      <c r="FP58" s="10" t="s">
        <v>5712</v>
      </c>
      <c r="FQ58" s="10"/>
      <c r="FR58" s="10"/>
      <c r="FS58" s="10"/>
      <c r="FT58" s="10"/>
      <c r="FU58" s="10"/>
      <c r="FV58" s="9"/>
      <c r="FW58" s="10"/>
      <c r="FX58" s="10"/>
      <c r="FY58" s="28" t="s">
        <v>382</v>
      </c>
      <c r="FZ58" s="28" t="s">
        <v>383</v>
      </c>
      <c r="GA58" s="28" t="s">
        <v>384</v>
      </c>
      <c r="GB58" s="28" t="s">
        <v>385</v>
      </c>
      <c r="GC58" s="28" t="s">
        <v>386</v>
      </c>
      <c r="GD58" s="28" t="s">
        <v>260</v>
      </c>
      <c r="GE58" s="9">
        <v>41520</v>
      </c>
      <c r="GF58" s="10" t="s">
        <v>5706</v>
      </c>
      <c r="GG58" s="10"/>
      <c r="GH58" s="10"/>
      <c r="GI58" s="10"/>
      <c r="GJ58" s="10" t="s">
        <v>421</v>
      </c>
      <c r="GK58" s="10" t="s">
        <v>5707</v>
      </c>
      <c r="GL58" s="28" t="s">
        <v>5261</v>
      </c>
      <c r="GM58" s="10"/>
      <c r="GN58" s="10" t="s">
        <v>274</v>
      </c>
      <c r="GO58" s="10" t="s">
        <v>275</v>
      </c>
      <c r="GP58" s="9">
        <v>41597</v>
      </c>
      <c r="GQ58" s="10" t="s">
        <v>5708</v>
      </c>
      <c r="GR58" s="10"/>
      <c r="GS58" s="10"/>
      <c r="GT58" s="10"/>
      <c r="GU58" s="10" t="s">
        <v>4876</v>
      </c>
      <c r="GV58" s="10" t="s">
        <v>834</v>
      </c>
      <c r="GW58" s="10" t="s">
        <v>266</v>
      </c>
      <c r="GX58" s="10"/>
      <c r="GY58" s="10" t="s">
        <v>267</v>
      </c>
      <c r="GZ58" s="10" t="s">
        <v>268</v>
      </c>
      <c r="HA58" s="9">
        <v>41645</v>
      </c>
      <c r="HB58" s="10" t="s">
        <v>5912</v>
      </c>
      <c r="HC58" s="10" t="s">
        <v>5709</v>
      </c>
      <c r="HD58" s="10" t="s">
        <v>375</v>
      </c>
      <c r="HE58" s="10" t="s">
        <v>381</v>
      </c>
      <c r="HF58" s="10"/>
      <c r="HG58" s="10" t="s">
        <v>267</v>
      </c>
      <c r="HH58" s="10" t="s">
        <v>268</v>
      </c>
      <c r="HI58" s="9">
        <v>42754</v>
      </c>
      <c r="HJ58" s="10" t="s">
        <v>5710</v>
      </c>
      <c r="HK58" s="10" t="s">
        <v>5716</v>
      </c>
      <c r="HL58" s="10"/>
      <c r="HM58" s="10"/>
      <c r="HN58" s="10"/>
      <c r="HO58" s="10"/>
      <c r="HP58" s="10"/>
      <c r="HQ58" s="9"/>
      <c r="HR58" s="10"/>
      <c r="HS58" s="10"/>
      <c r="HT58" s="10"/>
      <c r="HU58" s="10"/>
      <c r="HV58" s="10"/>
      <c r="HW58" s="10"/>
      <c r="HX58" s="10"/>
      <c r="HY58" s="9"/>
      <c r="HZ58" s="4"/>
      <c r="IA58" s="4"/>
      <c r="IB58" s="10"/>
      <c r="IC58" s="10"/>
      <c r="ID58" s="10"/>
      <c r="IE58" s="10"/>
      <c r="IF58" s="4"/>
      <c r="IG58" s="4"/>
      <c r="IH58" s="4"/>
      <c r="II58" s="4"/>
      <c r="IJ58" s="4"/>
      <c r="IK58" s="9"/>
      <c r="IL58" s="9"/>
      <c r="IM58" s="9"/>
      <c r="IN58" s="9"/>
      <c r="IO58" s="9"/>
      <c r="IP58" t="s">
        <v>5913</v>
      </c>
    </row>
    <row r="59" spans="1:263" ht="15" customHeight="1">
      <c r="A59" s="19">
        <v>102019009</v>
      </c>
      <c r="B59" s="14" t="s">
        <v>546</v>
      </c>
      <c r="C59" s="20"/>
      <c r="D59" s="13">
        <v>2010</v>
      </c>
      <c r="E59" s="24"/>
      <c r="F59" s="24"/>
      <c r="G59" s="18"/>
      <c r="H59" s="18"/>
      <c r="I59" s="18"/>
      <c r="J59" s="18" t="s">
        <v>510</v>
      </c>
      <c r="K59" s="18" t="s">
        <v>891</v>
      </c>
      <c r="L59" s="18" t="s">
        <v>1054</v>
      </c>
      <c r="M59" s="18" t="s">
        <v>426</v>
      </c>
      <c r="N59" s="18"/>
      <c r="O59" s="13"/>
      <c r="P59" s="18"/>
      <c r="Q59" s="18"/>
      <c r="R59" s="18"/>
      <c r="S59" s="18"/>
      <c r="T59" s="13"/>
      <c r="U59" s="18"/>
      <c r="V59" s="18"/>
      <c r="W59" s="18"/>
      <c r="X59" s="18"/>
      <c r="Y59" s="18"/>
      <c r="Z59" s="18"/>
      <c r="AA59" s="18"/>
      <c r="AB59" s="18"/>
      <c r="AC59" s="18"/>
      <c r="AD59" s="18"/>
      <c r="AE59" s="18"/>
      <c r="AF59" s="18"/>
      <c r="AG59" s="26"/>
      <c r="AH59" s="18"/>
      <c r="AI59" s="18"/>
      <c r="AJ59" s="14" t="s">
        <v>328</v>
      </c>
      <c r="AK59" s="14"/>
      <c r="AL59" s="18" t="s">
        <v>438</v>
      </c>
      <c r="AM59" s="24" t="s">
        <v>260</v>
      </c>
      <c r="AN59" s="18"/>
      <c r="AO59" s="63"/>
      <c r="AP59" s="63"/>
      <c r="AQ59" s="18"/>
      <c r="AR59" s="18"/>
      <c r="AS59" s="20"/>
      <c r="AT59" s="20"/>
      <c r="AU59" s="13" t="s">
        <v>258</v>
      </c>
      <c r="AV59" s="13"/>
      <c r="AW59" s="13"/>
      <c r="AX59" s="19"/>
      <c r="AY59" s="117"/>
      <c r="AZ59" s="114"/>
      <c r="BA59" s="19"/>
      <c r="BB59" s="19"/>
      <c r="BC59" s="19"/>
      <c r="BD59" s="19"/>
      <c r="BE59" s="19"/>
      <c r="BF59" s="19"/>
      <c r="BG59" s="20">
        <f>SUM(DK59)+214.5</f>
        <v>341.92</v>
      </c>
      <c r="BH59" s="22">
        <f>PMT(10%/12,12,BG59,0,0)</f>
        <v>-30.060200161684882</v>
      </c>
      <c r="BI59" s="22">
        <f>SUM(BH59*-1)</f>
        <v>30.060200161684882</v>
      </c>
      <c r="BJ59" s="14">
        <f>SUM(DU59*0.0052)/12</f>
        <v>0.43333333333333335</v>
      </c>
      <c r="BK59" s="22">
        <f>SUM(BI59+BJ59)</f>
        <v>30.493533495018216</v>
      </c>
      <c r="BL59" s="14"/>
      <c r="BM59" s="14">
        <f>SUM(BL59*0.1)</f>
        <v>0</v>
      </c>
      <c r="BN59" s="14">
        <f ca="1">SUM(BO59*BP59)</f>
        <v>0</v>
      </c>
      <c r="BO59" s="17">
        <f>SUM((BL59+BM59)*0.00833333333333333)</f>
        <v>0</v>
      </c>
      <c r="BP59" s="23">
        <f ca="1">MONTH(TODAY())+49</f>
        <v>53</v>
      </c>
      <c r="BQ59" s="14">
        <f ca="1">SUM(BL59,BM59,BN59)</f>
        <v>0</v>
      </c>
      <c r="BR59" s="14"/>
      <c r="BS59" s="14">
        <f>SUM(BR59*0.1)</f>
        <v>0</v>
      </c>
      <c r="BT59" s="14">
        <f ca="1">SUM(BU59*BV59)</f>
        <v>0</v>
      </c>
      <c r="BU59" s="17">
        <f>SUM((BR59+BS59)*0.00833333333333333)</f>
        <v>0</v>
      </c>
      <c r="BV59" s="23">
        <f ca="1">MONTH(TODAY())+37</f>
        <v>41</v>
      </c>
      <c r="BW59" s="14">
        <f ca="1">SUM(BR59,BS59,BT59)</f>
        <v>0</v>
      </c>
      <c r="BX59" s="14">
        <f>SUM(DU59*0.0052)</f>
        <v>5.2</v>
      </c>
      <c r="BY59" s="14">
        <f>SUM(BX59*0.1)</f>
        <v>0.52</v>
      </c>
      <c r="BZ59" s="14">
        <f ca="1">SUM(CA59*CB59)</f>
        <v>1.3823333333333327</v>
      </c>
      <c r="CA59" s="17">
        <f>SUM((BX59+BY59)*0.00833333333333333)</f>
        <v>4.7666666666666649E-2</v>
      </c>
      <c r="CB59" s="23">
        <f ca="1">MONTH(TODAY())+25</f>
        <v>29</v>
      </c>
      <c r="CC59" s="14">
        <f ca="1">SUM(BX59,BY59,BZ59)</f>
        <v>7.1023333333333332</v>
      </c>
      <c r="CD59" s="14">
        <f>SUM(DU59*0.0052)</f>
        <v>5.2</v>
      </c>
      <c r="CE59" s="14">
        <f>SUM(CD59*0.1)</f>
        <v>0.52</v>
      </c>
      <c r="CF59" s="14">
        <f ca="1">SUM(CG59*CH59)</f>
        <v>0.81033333333333302</v>
      </c>
      <c r="CG59" s="17">
        <f>SUM((CD59+CE59)*0.00833333333333333)</f>
        <v>4.7666666666666649E-2</v>
      </c>
      <c r="CH59" s="23">
        <f ca="1">MONTH(TODAY())+13</f>
        <v>17</v>
      </c>
      <c r="CI59" s="14">
        <f ca="1">SUM(CD59,CE59,CF59)</f>
        <v>6.530333333333334</v>
      </c>
      <c r="CJ59" s="14">
        <f>SUM(DU59*0.0052)</f>
        <v>5.2</v>
      </c>
      <c r="CK59" s="14">
        <f>SUM(CJ59*0.1)</f>
        <v>0.52</v>
      </c>
      <c r="CL59" s="14">
        <f ca="1">SUM(CM59*CN59)</f>
        <v>0.23833333333333323</v>
      </c>
      <c r="CM59" s="17">
        <f>SUM((CJ59+CK59)*0.00833333333333333)</f>
        <v>4.7666666666666649E-2</v>
      </c>
      <c r="CN59" s="23">
        <f ca="1">MONTH(TODAY())+1</f>
        <v>5</v>
      </c>
      <c r="CO59" s="14">
        <f ca="1">SUM(CJ59,CK59,CL59)</f>
        <v>5.9583333333333339</v>
      </c>
      <c r="CP59" s="14">
        <f>SUM(DU59*0.0052)/2</f>
        <v>2.6</v>
      </c>
      <c r="CQ59" s="14">
        <f>SUM(CP59*0.1)</f>
        <v>0.26</v>
      </c>
      <c r="CR59" s="14">
        <f ca="1">SUM(CS59*CT59)</f>
        <v>-7.149999999999998E-2</v>
      </c>
      <c r="CS59" s="17">
        <f>SUM((CP59+CQ59)*0.00833333333333333)</f>
        <v>2.3833333333333324E-2</v>
      </c>
      <c r="CT59" s="23">
        <f ca="1">MONTH(TODAY())-7</f>
        <v>-3</v>
      </c>
      <c r="CU59" s="23">
        <f ca="1">SUM(CP59,CQ59,CR59)</f>
        <v>2.7885000000000004</v>
      </c>
      <c r="CV59" s="14">
        <f>SUM(DU59*0.0052)/2</f>
        <v>2.6</v>
      </c>
      <c r="CW59" s="14">
        <v>0</v>
      </c>
      <c r="CX59" s="14">
        <v>0</v>
      </c>
      <c r="CY59" s="17">
        <f>SUM((CV59+CW59)*0.00833333333333333)</f>
        <v>2.1666666666666657E-2</v>
      </c>
      <c r="CZ59" s="23">
        <f ca="1">MONTH(TODAY())-6</f>
        <v>-2</v>
      </c>
      <c r="DA59" s="23">
        <f>SUM(CV59,CW59,CX59)</f>
        <v>2.6</v>
      </c>
      <c r="DB59" s="14">
        <f>SUM(BL59, BR59, BX59, CD59, CJ59, CP59,CV59)</f>
        <v>20.800000000000004</v>
      </c>
      <c r="DC59" s="14">
        <f>SUM(BM59, BS59,BY59,CE59,CK59, CQ59,CW59)</f>
        <v>1.82</v>
      </c>
      <c r="DD59" s="14">
        <f ca="1">SUM(BN59, BT59,BZ59,CF59,CL59, CR59,CX59)</f>
        <v>2.3594999999999993</v>
      </c>
      <c r="DE59" s="14">
        <v>127.42</v>
      </c>
      <c r="DF59" s="47">
        <f>SUM(DE59/DU59)</f>
        <v>0.12742000000000001</v>
      </c>
      <c r="DG59" s="14"/>
      <c r="DH59" s="32">
        <f>COUNTIF(DN59, "*")+COUNTIF(AO59, "*")+COUNTIF(AJ59, "*")+COUNTIF(AA59, "*")+COUNTIF(EK59, "*")+COUNTIF(EQ59, "*")+COUNTIF(EW59, "*")+COUNTIF(FA59, "*")+COUNTIF(FH59, "*")+COUNTIF(FO59, "*")+COUNTIF(FV59, "*")+COUNTIF(GG59, "*")+COUNTIF(GR59, "*")+COUNTIF(GZ59, "*")+COUNTIF(HH59, "*")+COUNTIF(HP59, "*")+COUNTIF(HX59, "*")</f>
        <v>1</v>
      </c>
      <c r="DI59" s="14"/>
      <c r="DJ59" s="14">
        <v>0</v>
      </c>
      <c r="DK59" s="14">
        <f>SUM(DE59,DG59,DQ59, DJ59, DI59,FS59)</f>
        <v>127.42</v>
      </c>
      <c r="DL59" s="14"/>
      <c r="DM59" s="14"/>
      <c r="DN59" s="14"/>
      <c r="DO59" s="14"/>
      <c r="DP59" s="25"/>
      <c r="DQ59" s="14">
        <f>SUM(DL59:DP59)</f>
        <v>0</v>
      </c>
      <c r="DR59" s="24" t="s">
        <v>3830</v>
      </c>
      <c r="DS59" s="25">
        <v>1000</v>
      </c>
      <c r="DT59" s="25">
        <v>0</v>
      </c>
      <c r="DU59" s="25">
        <f>SUM(DS59+DT59)</f>
        <v>1000</v>
      </c>
      <c r="DV59" s="36">
        <v>0.06</v>
      </c>
      <c r="DW59" t="s">
        <v>3932</v>
      </c>
      <c r="DX59" s="18" t="s">
        <v>3933</v>
      </c>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27"/>
      <c r="FF59" s="18"/>
      <c r="FG59" s="18"/>
      <c r="FH59" s="18"/>
      <c r="FI59" s="18"/>
      <c r="FJ59" s="18"/>
      <c r="FK59" s="18"/>
      <c r="FL59" s="18"/>
      <c r="FM59" s="18"/>
      <c r="FN59" s="18"/>
      <c r="FO59" s="18"/>
      <c r="FP59" s="18"/>
      <c r="FQ59" s="18"/>
      <c r="FR59" s="18"/>
      <c r="FS59" s="14"/>
      <c r="FT59" s="18"/>
      <c r="FU59" s="18"/>
      <c r="FV59" s="18"/>
      <c r="FW59" s="18"/>
      <c r="FX59" s="28"/>
      <c r="FY59" s="18"/>
      <c r="FZ59" s="18"/>
      <c r="GA59" s="18"/>
      <c r="GB59" s="18"/>
      <c r="GC59" s="18"/>
      <c r="GD59" s="18"/>
      <c r="GE59" s="18"/>
      <c r="GF59" s="18"/>
      <c r="GG59" s="18"/>
      <c r="GH59" s="28"/>
      <c r="GI59" s="18"/>
      <c r="GJ59" s="18"/>
      <c r="GK59" s="18"/>
      <c r="GL59" s="18"/>
      <c r="GM59" s="18"/>
      <c r="GN59" s="18"/>
      <c r="GO59" s="18"/>
      <c r="GP59" s="18"/>
      <c r="GQ59" s="18"/>
      <c r="GR59" s="18"/>
      <c r="GS59" s="18"/>
      <c r="GT59" s="18"/>
      <c r="GU59" s="18"/>
      <c r="GV59" s="18"/>
      <c r="GW59" s="27"/>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27">
        <v>44863</v>
      </c>
      <c r="IE59" s="14"/>
      <c r="IF59" s="14"/>
      <c r="IG59" s="27"/>
      <c r="IH59" s="18"/>
      <c r="II59" s="18"/>
      <c r="IJ59" s="18"/>
      <c r="IK59" s="18"/>
      <c r="IL59" s="18"/>
      <c r="IM59" s="18"/>
      <c r="IN59" s="14"/>
      <c r="IO59" s="14">
        <f>SUM(IE59-DK59-FS59-IM59)</f>
        <v>-127.42</v>
      </c>
      <c r="IP59" s="27"/>
      <c r="IQ59" s="27"/>
      <c r="IR59" s="27"/>
      <c r="IS59" s="27"/>
      <c r="IT59" s="27"/>
    </row>
    <row r="60" spans="1:263" ht="15" customHeight="1">
      <c r="A60" s="2">
        <v>102017074</v>
      </c>
      <c r="B60" t="s">
        <v>987</v>
      </c>
      <c r="J60" t="s">
        <v>988</v>
      </c>
      <c r="K60" t="s">
        <v>989</v>
      </c>
      <c r="L60" t="s">
        <v>577</v>
      </c>
      <c r="M60" t="s">
        <v>537</v>
      </c>
      <c r="N60" t="s">
        <v>990</v>
      </c>
      <c r="O60" s="1"/>
      <c r="P60" t="s">
        <v>991</v>
      </c>
      <c r="Q60" t="s">
        <v>992</v>
      </c>
      <c r="T60" s="1"/>
      <c r="AG60"/>
      <c r="AI60" s="11"/>
      <c r="AJ60" s="11"/>
      <c r="AL60" s="1"/>
      <c r="AN60" s="34"/>
      <c r="AO60" s="4"/>
      <c r="AP60" s="5"/>
      <c r="AQ60" s="34"/>
      <c r="AR60" s="245"/>
      <c r="AS60" s="1"/>
      <c r="AT60" s="1"/>
      <c r="AU60" s="1"/>
      <c r="AV60" s="1"/>
      <c r="AW60" s="15"/>
      <c r="AX60" s="1"/>
      <c r="AY60" s="1"/>
      <c r="AZ60" s="15"/>
      <c r="BA60" s="1"/>
      <c r="BB60" s="1"/>
      <c r="BC60" s="1"/>
      <c r="BD60" s="15"/>
      <c r="BE60" s="1"/>
      <c r="BF60" s="5"/>
      <c r="BG60" s="16"/>
      <c r="BH60" s="16"/>
      <c r="BI60" s="4"/>
      <c r="BJ60" s="4"/>
      <c r="BK60" s="4"/>
      <c r="BL60" s="6"/>
      <c r="BM60" s="7"/>
      <c r="BN60" s="4"/>
      <c r="BO60" s="4"/>
      <c r="BP60" s="4"/>
      <c r="BQ60" s="4"/>
      <c r="BR60" s="6"/>
      <c r="BS60" s="7"/>
      <c r="BT60" s="4"/>
      <c r="BU60" s="4"/>
      <c r="BV60" s="4"/>
      <c r="BW60" s="4"/>
      <c r="BX60" s="6"/>
      <c r="BY60" s="7"/>
      <c r="BZ60" s="4"/>
      <c r="CA60" s="4"/>
      <c r="CB60" s="4"/>
      <c r="CC60" s="4"/>
      <c r="CD60" s="6"/>
      <c r="CE60" s="7"/>
      <c r="CF60" s="4"/>
      <c r="CG60" s="4"/>
      <c r="CH60" s="4"/>
      <c r="CI60" s="4"/>
      <c r="CJ60" s="6"/>
      <c r="CK60" s="7"/>
      <c r="CL60" s="4"/>
      <c r="CM60" s="4"/>
      <c r="CN60" s="4"/>
      <c r="CO60" s="4"/>
      <c r="CP60" s="6"/>
      <c r="CQ60" s="7"/>
      <c r="CR60" s="4"/>
      <c r="CS60" s="4"/>
      <c r="CT60" s="4"/>
      <c r="CU60" s="4"/>
      <c r="CV60" s="6"/>
      <c r="CW60" s="7"/>
      <c r="CX60" s="4"/>
      <c r="CY60" s="4"/>
      <c r="CZ60" s="4"/>
      <c r="DA60" s="4"/>
      <c r="DB60" s="4"/>
      <c r="DC60" s="3"/>
      <c r="DD60" s="4"/>
      <c r="DE60" s="234"/>
      <c r="DF60" s="7"/>
      <c r="DG60" s="4"/>
      <c r="DH60" s="4"/>
      <c r="DI60" s="4"/>
      <c r="DJ60" s="4"/>
      <c r="DK60" s="4"/>
      <c r="DL60" s="4"/>
      <c r="DM60" s="4"/>
      <c r="DN60" s="4"/>
      <c r="DO60" s="8"/>
      <c r="DP60" s="8"/>
      <c r="DQ60" s="8"/>
      <c r="DR60" s="2"/>
      <c r="DS60" s="4"/>
      <c r="DW60" s="4"/>
      <c r="DX60" s="4"/>
      <c r="DY60" s="4"/>
      <c r="DZ60" s="4"/>
      <c r="EA60" s="4"/>
      <c r="EB60" s="4"/>
      <c r="EC60" s="4"/>
      <c r="ED60" s="4"/>
      <c r="EE60" s="4"/>
      <c r="EF60" s="4"/>
      <c r="EG60" s="4"/>
      <c r="EH60" s="4"/>
      <c r="FC60" s="9"/>
      <c r="FD60" s="10"/>
      <c r="FJ60" s="9"/>
      <c r="FK60" s="10"/>
      <c r="FW60" s="9"/>
      <c r="IK60" s="18"/>
      <c r="IL60" s="9"/>
      <c r="IS60" s="4"/>
      <c r="IT60" s="4"/>
    </row>
    <row r="61" spans="1:263" ht="15" customHeight="1">
      <c r="A61" s="2">
        <v>102018087</v>
      </c>
      <c r="B61" s="4" t="s">
        <v>1265</v>
      </c>
      <c r="C61" s="4"/>
      <c r="D61" s="4"/>
      <c r="E61" s="3" t="s">
        <v>1266</v>
      </c>
      <c r="F61" s="2">
        <v>190000713</v>
      </c>
      <c r="G61">
        <v>180002157</v>
      </c>
      <c r="J61" t="s">
        <v>311</v>
      </c>
      <c r="K61" t="s">
        <v>865</v>
      </c>
      <c r="L61" t="s">
        <v>574</v>
      </c>
      <c r="M61" t="s">
        <v>469</v>
      </c>
      <c r="O61" s="1"/>
      <c r="T61" s="1"/>
      <c r="AJ61" s="4"/>
      <c r="AK61" s="4"/>
      <c r="AO61" s="4"/>
      <c r="AP61" s="5"/>
      <c r="AS61" s="5"/>
      <c r="AT61" s="5"/>
      <c r="AU61" s="1"/>
      <c r="AV61" s="1"/>
      <c r="AW61" s="1"/>
      <c r="AX61" s="15"/>
      <c r="AY61" s="15"/>
      <c r="AZ61" s="15"/>
      <c r="BA61" s="15"/>
      <c r="BB61" s="13"/>
      <c r="BC61" s="15"/>
      <c r="BD61" s="15"/>
      <c r="BE61" s="15"/>
      <c r="BF61" s="249"/>
      <c r="BG61" s="5"/>
      <c r="BH61" s="16"/>
      <c r="BI61" s="16"/>
      <c r="BK61" s="4"/>
      <c r="BL61" s="4"/>
      <c r="BM61" s="6"/>
      <c r="BN61" s="7"/>
      <c r="BO61" s="4"/>
      <c r="BP61" s="4"/>
      <c r="BQ61" s="4"/>
      <c r="BR61" s="4"/>
      <c r="BS61" s="6"/>
      <c r="BT61" s="7"/>
      <c r="BU61" s="4"/>
      <c r="BV61" s="4"/>
      <c r="BW61" s="4"/>
      <c r="BX61" s="4"/>
      <c r="BY61" s="6"/>
      <c r="BZ61" s="7"/>
      <c r="CA61" s="4"/>
      <c r="CB61" s="4"/>
      <c r="CC61" s="4"/>
      <c r="CD61" s="4"/>
      <c r="CE61" s="6"/>
      <c r="CF61" s="7"/>
      <c r="CG61" s="4"/>
      <c r="CH61" s="4"/>
      <c r="CI61" s="4"/>
      <c r="CJ61" s="4"/>
      <c r="CK61" s="6"/>
      <c r="CL61" s="7"/>
      <c r="CM61" s="4"/>
      <c r="CN61" s="4"/>
      <c r="CO61" s="4"/>
      <c r="CP61" s="4"/>
      <c r="CQ61" s="6"/>
      <c r="CR61" s="7"/>
      <c r="CS61" s="4"/>
      <c r="CT61" s="4"/>
      <c r="CU61" s="4"/>
      <c r="CV61" s="4"/>
      <c r="CW61" s="6"/>
      <c r="CX61" s="7"/>
      <c r="CY61" s="4"/>
      <c r="CZ61" s="4"/>
      <c r="DA61" s="4"/>
      <c r="DB61" s="4"/>
      <c r="DC61" s="6"/>
      <c r="DD61" s="7"/>
      <c r="DE61" s="4"/>
      <c r="DF61" s="4"/>
      <c r="DG61" s="4"/>
      <c r="DH61" s="14"/>
      <c r="DI61" s="14"/>
      <c r="DJ61" s="4"/>
      <c r="DK61" s="3"/>
      <c r="DL61" s="4"/>
      <c r="DM61" s="234"/>
      <c r="DN61" s="4"/>
      <c r="DO61" s="4"/>
      <c r="DP61" s="4"/>
      <c r="DQ61" s="4"/>
      <c r="DR61" s="4"/>
      <c r="DS61" s="4"/>
      <c r="DT61" s="7"/>
      <c r="DU61" s="8"/>
      <c r="DV61" s="4"/>
      <c r="DW61" s="8"/>
      <c r="DX61" s="4"/>
      <c r="DY61" s="4"/>
      <c r="DZ61" s="7"/>
      <c r="EI61" s="11"/>
      <c r="EO61" s="11"/>
      <c r="EP61" s="11"/>
      <c r="EQ61" s="4"/>
      <c r="ER61" s="4"/>
      <c r="ES61" s="4"/>
      <c r="ET61" s="4"/>
      <c r="EU61" s="4"/>
      <c r="EV61" s="4"/>
      <c r="EW61" s="4"/>
      <c r="EX61" s="4"/>
      <c r="EY61" s="4"/>
      <c r="EZ61" s="4"/>
      <c r="FA61" s="4"/>
      <c r="FB61" s="4"/>
      <c r="FC61" s="4"/>
      <c r="FD61" s="4"/>
      <c r="FE61" s="4"/>
      <c r="FI61" s="9"/>
      <c r="FR61" s="9"/>
      <c r="FX61" s="4"/>
      <c r="GC61" s="10"/>
      <c r="GM61" s="10"/>
      <c r="HB61" s="9"/>
      <c r="IJ61" s="4"/>
      <c r="IK61" s="4"/>
      <c r="IV61" s="18"/>
      <c r="IW61" s="18"/>
      <c r="IX61" s="18"/>
      <c r="IY61" s="18"/>
    </row>
    <row r="62" spans="1:263" ht="15" customHeight="1">
      <c r="A62" s="2">
        <v>102018087</v>
      </c>
      <c r="B62" t="s">
        <v>1265</v>
      </c>
      <c r="E62" t="s">
        <v>1266</v>
      </c>
      <c r="F62">
        <v>190000713</v>
      </c>
      <c r="G62">
        <v>180002157</v>
      </c>
      <c r="J62" t="s">
        <v>311</v>
      </c>
      <c r="K62" t="s">
        <v>865</v>
      </c>
      <c r="L62" t="s">
        <v>574</v>
      </c>
      <c r="M62" t="s">
        <v>469</v>
      </c>
      <c r="AJ62" s="4"/>
      <c r="AK62" s="4"/>
      <c r="AO62" s="4"/>
      <c r="AP62" s="5"/>
      <c r="AS62" s="5"/>
      <c r="AT62" s="5"/>
      <c r="AU62" s="1"/>
      <c r="AV62" s="1"/>
      <c r="AW62" s="1"/>
      <c r="AX62" s="1"/>
      <c r="AY62" s="1"/>
      <c r="AZ62" s="1"/>
      <c r="BA62" s="1"/>
      <c r="BB62" s="1"/>
      <c r="BC62" s="1"/>
      <c r="BD62" s="1"/>
      <c r="BE62" s="1"/>
      <c r="BF62" s="1"/>
      <c r="BG62" s="5"/>
      <c r="BH62" s="16"/>
      <c r="BI62" s="16"/>
      <c r="BK62" s="4"/>
      <c r="BL62" s="4"/>
      <c r="BM62" s="6"/>
      <c r="BN62" s="7"/>
      <c r="BO62" s="4"/>
      <c r="BP62" s="4"/>
      <c r="BQ62" s="4"/>
      <c r="BR62" s="4"/>
      <c r="BS62" s="6"/>
      <c r="BT62" s="7"/>
      <c r="BU62" s="4"/>
      <c r="BV62" s="4"/>
      <c r="BW62" s="4"/>
      <c r="BX62" s="4"/>
      <c r="BY62" s="6"/>
      <c r="BZ62" s="7"/>
      <c r="CA62" s="4"/>
      <c r="CB62" s="4"/>
      <c r="CC62" s="4"/>
      <c r="CD62" s="4"/>
      <c r="CE62" s="6"/>
      <c r="CF62" s="7"/>
      <c r="CG62" s="4"/>
      <c r="CH62" s="4"/>
      <c r="CI62" s="4"/>
      <c r="CJ62" s="4"/>
      <c r="CK62" s="6"/>
      <c r="CL62" s="7"/>
      <c r="CM62" s="4"/>
      <c r="CN62" s="4"/>
      <c r="CO62" s="4"/>
      <c r="CP62" s="4"/>
      <c r="CQ62" s="6"/>
      <c r="CR62" s="7"/>
      <c r="CS62" s="4"/>
      <c r="CT62" s="4"/>
      <c r="CU62" s="4"/>
      <c r="CV62" s="4"/>
      <c r="CW62" s="6"/>
      <c r="CX62" s="7"/>
      <c r="CY62" s="4"/>
      <c r="CZ62" s="4"/>
      <c r="DA62" s="4"/>
      <c r="DB62" s="4"/>
      <c r="DC62" s="6"/>
      <c r="DD62" s="7"/>
      <c r="DE62" s="4"/>
      <c r="DF62" s="4"/>
      <c r="DG62" s="4"/>
      <c r="DH62" s="14"/>
      <c r="DI62" s="14"/>
      <c r="DJ62" s="4"/>
      <c r="DK62" s="3"/>
      <c r="DL62" s="4"/>
      <c r="DM62" s="234"/>
      <c r="DN62" s="4"/>
      <c r="DO62" s="4"/>
      <c r="DP62" s="4"/>
      <c r="DQ62" s="4"/>
      <c r="DR62" s="4"/>
      <c r="DS62" s="4"/>
      <c r="DT62" s="7"/>
      <c r="DU62" s="8"/>
      <c r="DV62" s="4"/>
      <c r="DW62" s="8"/>
      <c r="DX62" s="4"/>
      <c r="DY62" s="4"/>
      <c r="DZ62" s="7"/>
      <c r="EI62" s="11"/>
      <c r="EO62" s="11"/>
      <c r="EP62" s="11"/>
      <c r="EQ62" s="4"/>
      <c r="ER62" s="4"/>
      <c r="ES62" s="4"/>
      <c r="ET62" s="4"/>
      <c r="EU62" s="4"/>
      <c r="EV62" s="4"/>
      <c r="EW62" s="4"/>
      <c r="EX62" s="4"/>
      <c r="EY62" s="4"/>
      <c r="EZ62" s="4"/>
      <c r="FA62" s="4"/>
      <c r="FB62" s="4"/>
      <c r="FC62" s="4"/>
      <c r="FD62" s="4"/>
      <c r="FE62" s="4"/>
      <c r="FI62" s="9"/>
      <c r="FR62" s="9"/>
      <c r="FX62" s="4"/>
      <c r="GC62" s="10"/>
      <c r="GM62" s="10"/>
      <c r="HB62" s="9"/>
      <c r="IJ62" s="4"/>
      <c r="IK62" s="4"/>
    </row>
    <row r="63" spans="1:263" ht="15" customHeight="1">
      <c r="A63" s="2">
        <v>102020084</v>
      </c>
      <c r="B63" t="s">
        <v>1265</v>
      </c>
      <c r="E63" t="s">
        <v>1266</v>
      </c>
      <c r="F63">
        <v>190000713</v>
      </c>
      <c r="G63">
        <v>180002157</v>
      </c>
      <c r="J63" t="s">
        <v>311</v>
      </c>
      <c r="K63" t="s">
        <v>865</v>
      </c>
      <c r="L63" t="s">
        <v>574</v>
      </c>
      <c r="M63" t="s">
        <v>469</v>
      </c>
      <c r="AG63" s="3" t="s">
        <v>1464</v>
      </c>
      <c r="AJ63" t="s">
        <v>1465</v>
      </c>
      <c r="AK63" t="s">
        <v>258</v>
      </c>
      <c r="AL63" t="s">
        <v>438</v>
      </c>
      <c r="AM63" s="3" t="s">
        <v>260</v>
      </c>
      <c r="AX63" s="70"/>
      <c r="AY63" s="70"/>
      <c r="AZ63" s="70"/>
      <c r="BA63" s="2"/>
      <c r="BB63" s="2"/>
      <c r="BC63" s="2"/>
      <c r="BD63" s="2"/>
      <c r="BE63" s="70"/>
      <c r="BF63" s="2"/>
      <c r="BG63" s="20"/>
      <c r="BH63" s="22"/>
      <c r="BI63" s="22"/>
      <c r="BJ63" s="66"/>
      <c r="BK63" s="66"/>
      <c r="BL63" s="66"/>
      <c r="BO63" s="66"/>
      <c r="BQ63" s="66"/>
      <c r="BR63" s="66"/>
      <c r="BU63" s="66"/>
      <c r="BW63" s="66"/>
      <c r="BX63" s="66"/>
      <c r="CA63" s="66"/>
      <c r="CB63" s="66"/>
      <c r="CC63" s="66"/>
      <c r="CD63" s="66"/>
      <c r="CG63" s="66"/>
      <c r="CH63" s="66"/>
      <c r="CI63" s="66"/>
      <c r="CJ63" s="66"/>
      <c r="CM63" s="66"/>
      <c r="CN63" s="66"/>
      <c r="CO63" s="66"/>
      <c r="CP63" s="66"/>
      <c r="CS63" s="66"/>
      <c r="CT63" s="66"/>
      <c r="CU63" s="66"/>
      <c r="CV63" s="66"/>
      <c r="CY63" s="66"/>
      <c r="CZ63" s="66"/>
      <c r="DA63" s="66"/>
      <c r="DB63" s="66"/>
      <c r="DC63" s="66"/>
      <c r="DE63" s="66"/>
      <c r="DG63" s="66"/>
      <c r="DH63" s="66"/>
      <c r="DI63" s="66"/>
      <c r="DK63" s="66"/>
      <c r="DL63" s="66"/>
      <c r="DP63" s="66"/>
      <c r="DQ63" s="66"/>
      <c r="DR63" s="66">
        <v>6600</v>
      </c>
      <c r="DS63" s="66">
        <v>3400</v>
      </c>
      <c r="DT63" s="66">
        <v>10000</v>
      </c>
      <c r="DU63">
        <v>0.5</v>
      </c>
      <c r="DV63" t="s">
        <v>1467</v>
      </c>
      <c r="DW63" t="s">
        <v>1468</v>
      </c>
      <c r="DX63" t="s">
        <v>1469</v>
      </c>
      <c r="FM63" s="9"/>
      <c r="FS63" s="66"/>
      <c r="FZ63" s="9"/>
      <c r="GK63" s="9"/>
      <c r="ID63" s="9">
        <v>43694</v>
      </c>
      <c r="IE63" s="4">
        <v>3849.08</v>
      </c>
      <c r="IF63" s="66">
        <v>0</v>
      </c>
      <c r="II63" t="s">
        <v>1410</v>
      </c>
      <c r="IJ63" t="s">
        <v>846</v>
      </c>
      <c r="IK63" t="s">
        <v>386</v>
      </c>
      <c r="IL63" s="18"/>
      <c r="IM63" s="18"/>
      <c r="IN63" s="18"/>
      <c r="IO63" s="18"/>
    </row>
    <row r="64" spans="1:263" ht="15" customHeight="1">
      <c r="A64" s="19">
        <v>102022010</v>
      </c>
      <c r="B64" t="s">
        <v>2942</v>
      </c>
      <c r="C64" s="10" t="s">
        <v>258</v>
      </c>
      <c r="D64" s="161">
        <v>2024</v>
      </c>
      <c r="E64" s="147"/>
      <c r="F64" s="160"/>
      <c r="G64" s="147"/>
      <c r="H64" s="10"/>
      <c r="I64" s="10"/>
      <c r="J64" s="10"/>
      <c r="K64" s="10" t="s">
        <v>2943</v>
      </c>
      <c r="L64" s="10"/>
      <c r="M64" s="10"/>
      <c r="N64" s="10"/>
      <c r="O64" s="147"/>
      <c r="P64" s="10"/>
      <c r="Q64" s="10"/>
      <c r="R64" s="10"/>
      <c r="S64" s="10"/>
      <c r="T64" s="10"/>
      <c r="U64" s="10"/>
      <c r="V64" s="10"/>
      <c r="W64" s="10"/>
      <c r="X64" s="10"/>
      <c r="Y64" s="10"/>
      <c r="Z64" s="10"/>
      <c r="AA64" s="10"/>
      <c r="AB64" s="10"/>
      <c r="AC64" s="10"/>
      <c r="AD64" s="10"/>
      <c r="AE64" s="10"/>
      <c r="AF64" s="10"/>
      <c r="AG64" s="141"/>
      <c r="AH64" s="10"/>
      <c r="AI64" s="10"/>
      <c r="AJ64" s="18" t="s">
        <v>328</v>
      </c>
      <c r="AK64" s="1"/>
      <c r="AL64" t="s">
        <v>438</v>
      </c>
      <c r="AM64"/>
      <c r="AN64"/>
      <c r="AO64" t="s">
        <v>2944</v>
      </c>
      <c r="AP64" s="1" t="s">
        <v>258</v>
      </c>
      <c r="AQ64" t="s">
        <v>2945</v>
      </c>
      <c r="AR64"/>
      <c r="AX64" s="1"/>
      <c r="AY64" s="1"/>
      <c r="AZ64" s="1"/>
      <c r="BA64" s="1"/>
      <c r="BB64" s="1"/>
      <c r="BC64" s="70"/>
      <c r="BD64" s="115">
        <v>45060</v>
      </c>
      <c r="BE64" s="144">
        <v>45061</v>
      </c>
      <c r="BF64" s="70"/>
      <c r="BG64" s="2"/>
      <c r="BH64" s="70"/>
      <c r="BI64" s="70"/>
      <c r="BJ64" s="70"/>
      <c r="BK64" s="70"/>
      <c r="BL64" s="20">
        <f ca="1">SUM(EB64)+220</f>
        <v>843.96693333333326</v>
      </c>
      <c r="BM64" s="22">
        <f ca="1">PMT(10%/12,12,BL64,0,0)</f>
        <v>-74.198101736790349</v>
      </c>
      <c r="BN64" s="22">
        <f ca="1">SUM(BM64*-1)</f>
        <v>74.198101736790349</v>
      </c>
      <c r="BO64" s="14">
        <f>SUM(EJ64*0.0052)/12</f>
        <v>7.1499999999999995</v>
      </c>
      <c r="BP64" s="22">
        <f ca="1">SUM(BN64+BO64)</f>
        <v>81.348101736790355</v>
      </c>
      <c r="BQ64" s="14">
        <f>SUM(EG64*0.0052)</f>
        <v>50.44</v>
      </c>
      <c r="BR64" s="14">
        <f>SUM(BQ64*0.1)</f>
        <v>5.0440000000000005</v>
      </c>
      <c r="BS64" s="14">
        <f ca="1">SUM(BT64*BU64)</f>
        <v>18.957033333333325</v>
      </c>
      <c r="BT64" s="17">
        <f>SUM((BQ64+BR64)*0.00833333333333333)</f>
        <v>0.46236666666666643</v>
      </c>
      <c r="BU64" s="23">
        <f ca="1">MONTH(TODAY())+37</f>
        <v>41</v>
      </c>
      <c r="BV64" s="14">
        <f ca="1">SUM(BQ64,BR64,BS64)</f>
        <v>74.441033333333323</v>
      </c>
      <c r="BW64" s="14">
        <f>SUM(EG64*0.0052)</f>
        <v>50.44</v>
      </c>
      <c r="BX64" s="14">
        <f>SUM(BW64*0.1)</f>
        <v>5.0440000000000005</v>
      </c>
      <c r="BY64" s="14">
        <f ca="1">SUM(BZ64*CA64)</f>
        <v>18.957033333333325</v>
      </c>
      <c r="BZ64" s="17">
        <f>SUM((BW64+BX64)*0.00833333333333333)</f>
        <v>0.46236666666666643</v>
      </c>
      <c r="CA64" s="23">
        <f ca="1">MONTH(TODAY())+37</f>
        <v>41</v>
      </c>
      <c r="CB64" s="14">
        <f ca="1">SUM(BW64,BX64,BY64)</f>
        <v>74.441033333333323</v>
      </c>
      <c r="CC64" s="14">
        <f>SUM(EG64*0.0052)/2</f>
        <v>25.22</v>
      </c>
      <c r="CD64" s="14">
        <f>SUM(CC64*0.1)</f>
        <v>2.5220000000000002</v>
      </c>
      <c r="CE64" s="14">
        <f ca="1">SUM(CF64*CG64)</f>
        <v>7.6290499999999959</v>
      </c>
      <c r="CF64" s="17">
        <f>SUM((CC64+CD64)*0.00833333333333333)</f>
        <v>0.23118333333333321</v>
      </c>
      <c r="CG64" s="23">
        <f ca="1">MONTH(TODAY())+29</f>
        <v>33</v>
      </c>
      <c r="CH64" s="23">
        <f ca="1">SUM(CC64,CD64,CE64)</f>
        <v>35.371049999999997</v>
      </c>
      <c r="CI64" s="14">
        <f>SUM(EG64*0.0052)/2</f>
        <v>25.22</v>
      </c>
      <c r="CJ64" s="14">
        <f>SUM(CI64*0.1)</f>
        <v>2.5220000000000002</v>
      </c>
      <c r="CK64" s="14">
        <f ca="1">SUM(CL64*CM64)</f>
        <v>6.7043166666666636</v>
      </c>
      <c r="CL64" s="17">
        <f>SUM((CI64+CJ64)*0.00833333333333333)</f>
        <v>0.23118333333333321</v>
      </c>
      <c r="CM64" s="23">
        <f ca="1">MONTH(TODAY())+25</f>
        <v>29</v>
      </c>
      <c r="CN64" s="14">
        <f ca="1">SUM(CI64,CJ64,CK64)</f>
        <v>34.446316666666661</v>
      </c>
      <c r="CO64" s="14">
        <f>SUM(EJ64*0.0045)/2</f>
        <v>37.125</v>
      </c>
      <c r="CP64" s="14">
        <f>SUM(CO64*0.1)</f>
        <v>3.7125000000000004</v>
      </c>
      <c r="CQ64" s="14">
        <f ca="1">SUM(CR64*CS64)</f>
        <v>7.8271874999999964</v>
      </c>
      <c r="CR64" s="17">
        <f>SUM((CO64+CP64)*0.00833333333333333)</f>
        <v>0.34031249999999985</v>
      </c>
      <c r="CS64" s="23">
        <f ca="1">MONTH(TODAY())+19</f>
        <v>23</v>
      </c>
      <c r="CT64" s="14">
        <f ca="1">SUM(CO64,CP64,CQ64)</f>
        <v>48.664687499999992</v>
      </c>
      <c r="CU64" s="14">
        <f>SUM(EJ64*0.0045)/2</f>
        <v>37.125</v>
      </c>
      <c r="CV64" s="14">
        <f>SUM(CU64*0.1)</f>
        <v>3.7125000000000004</v>
      </c>
      <c r="CW64" s="14">
        <f ca="1">SUM(CX64*CY64)</f>
        <v>5.7853124999999972</v>
      </c>
      <c r="CX64" s="17">
        <f>SUM((CU64+CV64)*0.00833333333333333)</f>
        <v>0.34031249999999985</v>
      </c>
      <c r="CY64" s="23">
        <f ca="1">MONTH(TODAY())+13</f>
        <v>17</v>
      </c>
      <c r="CZ64" s="14">
        <f ca="1">SUM(CU64,CV64,CW64)</f>
        <v>46.622812499999995</v>
      </c>
      <c r="DA64" s="14">
        <f>SUM(EJ64*0.0045)/2</f>
        <v>37.125</v>
      </c>
      <c r="DB64" s="14">
        <f>SUM(DA64*0.1)</f>
        <v>3.7125000000000004</v>
      </c>
      <c r="DC64" s="14">
        <f ca="1">SUM(DD64*DE64)</f>
        <v>3.7434374999999984</v>
      </c>
      <c r="DD64" s="17">
        <f>SUM((DA64+DB64)*0.00833333333333333)</f>
        <v>0.34031249999999985</v>
      </c>
      <c r="DE64" s="23">
        <f ca="1">MONTH(TODAY())+7</f>
        <v>11</v>
      </c>
      <c r="DF64" s="14">
        <f ca="1">SUM(DA64,DB64,DC64)</f>
        <v>44.580937499999997</v>
      </c>
      <c r="DG64" s="14">
        <f>SUM(EJ64*0.0045)/2</f>
        <v>37.125</v>
      </c>
      <c r="DH64" s="14">
        <f>SUM(DG64*0.1)</f>
        <v>3.7125000000000004</v>
      </c>
      <c r="DI64" s="14">
        <f ca="1">SUM(DJ64*DK64)</f>
        <v>1.7015624999999992</v>
      </c>
      <c r="DJ64" s="17">
        <f>SUM((DG64+DH64)*0.00833333333333333)</f>
        <v>0.34031249999999985</v>
      </c>
      <c r="DK64" s="23">
        <f ca="1">MONTH(TODAY())+1</f>
        <v>5</v>
      </c>
      <c r="DL64" s="14">
        <f ca="1">SUM(DG64,DH64,DI64)</f>
        <v>42.5390625</v>
      </c>
      <c r="DM64" s="14">
        <f>SUM(BQ64, BW64, CC64,CI64,CO64,CU64,DA64,DG64)</f>
        <v>299.82</v>
      </c>
      <c r="DN64" s="14">
        <f>SUM(BR64,BX64, CD64,CJ64,CP64,CV64,DB64,DH64)</f>
        <v>29.981999999999999</v>
      </c>
      <c r="DO64" s="14">
        <f ca="1">SUM(BS64,BY64, CE64,CK64,CQ64,CW64,DC64,DI64)</f>
        <v>71.304933333333295</v>
      </c>
      <c r="DP64" s="25">
        <f ca="1">SUM(DM64:DO64)</f>
        <v>401.1069333333333</v>
      </c>
      <c r="DQ64" s="47">
        <f ca="1">SUM(DP64/EG64)</f>
        <v>4.1351230240549826E-2</v>
      </c>
      <c r="DR64" s="14">
        <f>20+50</f>
        <v>70</v>
      </c>
      <c r="DS64" s="32">
        <f>COUNTIF(AO64, "*")+COUNTIF(AJ64, "*")+COUNTIF(AA64, "*")+COUNTIF(EU64, "*")+COUNTIF(FA64, "*")+COUNTIF(FG64, "*")+COUNTIF(FK64, "*")+COUNTIF(FR64, "*")+COUNTIF(AT64, "*")+COUNTIF(GA64, "*")+COUNTIF(GL64, "*")+COUNTIF(GW64, "*")+COUNTIF(HE64, "*")+COUNTIF(HM64, "*")+COUNTIF(HU64, "*")</f>
        <v>2</v>
      </c>
      <c r="DT64" s="14">
        <f>1.2+DS64*7.45</f>
        <v>16.100000000000001</v>
      </c>
      <c r="DU64" s="4">
        <v>36.76</v>
      </c>
      <c r="DV64" s="4">
        <v>100</v>
      </c>
      <c r="DW64" s="4"/>
      <c r="DX64" s="4"/>
      <c r="DY64" s="4"/>
      <c r="DZ64" s="4"/>
      <c r="EA64" s="14">
        <f>SUM(DU64:DZ64)</f>
        <v>136.76</v>
      </c>
      <c r="EB64" s="14">
        <f ca="1">SUM(DP64,DR64,EA64,DT64,FX64)</f>
        <v>623.96693333333326</v>
      </c>
      <c r="EC64" s="24" t="s">
        <v>5940</v>
      </c>
      <c r="ED64" s="7">
        <f>0.12+0.1+0.1+0.09</f>
        <v>0.41000000000000003</v>
      </c>
      <c r="EE64" s="4">
        <f>2800+500+500+5900</f>
        <v>9700</v>
      </c>
      <c r="EF64" s="4">
        <v>0</v>
      </c>
      <c r="EG64" s="14">
        <f>SUM(EE64+EF64)</f>
        <v>9700</v>
      </c>
      <c r="EH64" s="14">
        <f>5900+500+500+9600</f>
        <v>16500</v>
      </c>
      <c r="EI64" s="14">
        <f>0</f>
        <v>0</v>
      </c>
      <c r="EJ64" s="14">
        <f>SUM(EH64+EI64)</f>
        <v>16500</v>
      </c>
      <c r="EK64" s="10" t="s">
        <v>5934</v>
      </c>
      <c r="EL64" s="10" t="s">
        <v>5933</v>
      </c>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9"/>
      <c r="FP64" s="10"/>
      <c r="FQ64" s="10"/>
      <c r="FR64" s="10"/>
      <c r="FS64" s="10"/>
      <c r="FT64" s="10"/>
      <c r="FU64" s="10"/>
      <c r="FV64" s="9"/>
      <c r="FW64" s="10"/>
      <c r="FX64" s="10"/>
      <c r="FY64" s="10"/>
      <c r="FZ64" s="10"/>
      <c r="GA64" s="10"/>
      <c r="GB64" s="10"/>
      <c r="GC64" s="10"/>
      <c r="GD64" s="10"/>
      <c r="GE64" s="9"/>
      <c r="GF64" s="10"/>
      <c r="GG64" s="10"/>
      <c r="GH64" s="10"/>
      <c r="GI64" s="10"/>
      <c r="GJ64" s="10"/>
      <c r="GK64" s="10"/>
      <c r="GL64" s="10"/>
      <c r="GM64" s="10"/>
      <c r="GN64" s="10"/>
      <c r="GO64" s="10"/>
      <c r="GP64" s="9"/>
      <c r="GQ64" s="10"/>
      <c r="GR64" s="10"/>
      <c r="GS64" s="10"/>
      <c r="GT64" s="10"/>
      <c r="GU64" s="10"/>
      <c r="GV64" s="10"/>
      <c r="GW64" s="10"/>
      <c r="GX64" s="10"/>
      <c r="GY64" s="10"/>
      <c r="GZ64" s="10"/>
      <c r="HA64" s="9"/>
      <c r="HB64" s="10"/>
      <c r="HC64" s="10"/>
      <c r="HD64" s="10"/>
      <c r="HE64" s="10"/>
      <c r="HF64" s="10"/>
      <c r="HG64" s="10"/>
      <c r="HH64" s="10"/>
      <c r="HI64" s="9"/>
      <c r="HJ64" s="10"/>
      <c r="HK64" s="10"/>
      <c r="HL64" s="10"/>
      <c r="HM64" s="10"/>
      <c r="HN64" s="10"/>
      <c r="HO64" s="10"/>
      <c r="HP64" s="10"/>
      <c r="HQ64" s="9"/>
      <c r="HR64" s="10"/>
      <c r="HS64" s="10"/>
      <c r="HT64" s="10"/>
      <c r="HU64" s="10"/>
      <c r="HV64" s="10"/>
      <c r="HW64" s="10"/>
      <c r="HX64" s="10"/>
      <c r="HY64" s="9"/>
      <c r="HZ64" s="4"/>
      <c r="IA64" s="4"/>
      <c r="IB64" s="10"/>
      <c r="IC64" s="10"/>
      <c r="ID64" s="10"/>
      <c r="IE64" s="10"/>
      <c r="IF64" s="4"/>
      <c r="IG64" s="4"/>
      <c r="IH64" s="14">
        <f ca="1">SUM(HZ64-EB64-FX64-IF64)</f>
        <v>-623.96693333333326</v>
      </c>
      <c r="II64" s="14"/>
      <c r="IJ64" s="14"/>
      <c r="IK64" s="9"/>
      <c r="IL64" s="9"/>
      <c r="IM64" s="9"/>
      <c r="IN64" s="9"/>
      <c r="IO64" s="9"/>
      <c r="IP64" t="s">
        <v>5913</v>
      </c>
    </row>
    <row r="65" spans="1:263" ht="15" customHeight="1">
      <c r="A65" s="18">
        <v>102018096</v>
      </c>
      <c r="B65" s="18" t="s">
        <v>466</v>
      </c>
      <c r="C65" s="28"/>
      <c r="D65" s="159"/>
      <c r="E65" s="147" t="s">
        <v>5877</v>
      </c>
      <c r="F65" s="149">
        <v>240003059</v>
      </c>
      <c r="G65" s="28"/>
      <c r="H65" s="28"/>
      <c r="I65" s="28"/>
      <c r="J65" s="28" t="s">
        <v>311</v>
      </c>
      <c r="K65" s="28" t="s">
        <v>467</v>
      </c>
      <c r="L65" s="28" t="s">
        <v>468</v>
      </c>
      <c r="M65" s="28" t="s">
        <v>469</v>
      </c>
      <c r="N65" s="28" t="s">
        <v>470</v>
      </c>
      <c r="O65" s="159"/>
      <c r="P65" s="28"/>
      <c r="Q65" s="28"/>
      <c r="R65" s="28"/>
      <c r="S65" s="28"/>
      <c r="T65" s="159"/>
      <c r="U65" s="28"/>
      <c r="V65" s="28"/>
      <c r="W65" s="28"/>
      <c r="X65" s="28"/>
      <c r="Y65" s="28"/>
      <c r="Z65" s="28"/>
      <c r="AA65" s="28"/>
      <c r="AB65" s="28"/>
      <c r="AC65" s="28"/>
      <c r="AD65" s="28"/>
      <c r="AE65" s="28"/>
      <c r="AF65" s="28"/>
      <c r="AG65" s="250"/>
      <c r="AH65" s="28"/>
      <c r="AI65" s="28"/>
      <c r="AJ65" s="18" t="s">
        <v>5346</v>
      </c>
      <c r="AK65" s="18" t="s">
        <v>258</v>
      </c>
      <c r="AL65" s="18" t="s">
        <v>438</v>
      </c>
      <c r="AM65" s="24" t="s">
        <v>260</v>
      </c>
      <c r="AN65" s="24"/>
      <c r="AO65" s="18" t="s">
        <v>5347</v>
      </c>
      <c r="AP65" s="13" t="s">
        <v>258</v>
      </c>
      <c r="AQ65" s="24" t="s">
        <v>5348</v>
      </c>
      <c r="AR65" s="24" t="s">
        <v>4324</v>
      </c>
      <c r="AS65" t="s">
        <v>473</v>
      </c>
      <c r="AT65" t="s">
        <v>474</v>
      </c>
      <c r="AU65" t="s">
        <v>475</v>
      </c>
      <c r="AV65" t="s">
        <v>438</v>
      </c>
      <c r="AW65" s="1" t="s">
        <v>260</v>
      </c>
      <c r="AY65" s="19"/>
      <c r="AZ65" s="13" t="s">
        <v>258</v>
      </c>
      <c r="BA65" s="13" t="s">
        <v>258</v>
      </c>
      <c r="BB65" s="13" t="s">
        <v>258</v>
      </c>
      <c r="BC65" s="48">
        <v>45469</v>
      </c>
      <c r="BD65" s="115">
        <v>45408</v>
      </c>
      <c r="BE65" s="27">
        <v>45425</v>
      </c>
      <c r="BF65" s="48">
        <v>45534</v>
      </c>
      <c r="BG65" s="20" t="s">
        <v>319</v>
      </c>
      <c r="BH65" s="21">
        <v>45520</v>
      </c>
      <c r="BI65" s="21">
        <v>45527</v>
      </c>
      <c r="BJ65" s="70">
        <v>45548</v>
      </c>
      <c r="BK65" s="70" t="s">
        <v>319</v>
      </c>
      <c r="BL65" s="20">
        <f ca="1">SUM(EH65)+220</f>
        <v>3495.3758916666661</v>
      </c>
      <c r="BM65" s="22">
        <f ca="1">PMT(10%/12,12,BL65,0,0)</f>
        <v>-307.29907271826085</v>
      </c>
      <c r="BN65" s="22">
        <f ca="1">SUM(BM65*-1)</f>
        <v>307.29907271826085</v>
      </c>
      <c r="BO65" s="14">
        <f>SUM(EP65*0.0052)/12</f>
        <v>29.206666666666663</v>
      </c>
      <c r="BP65" s="22">
        <f ca="1">SUM(BN65+BO65)</f>
        <v>336.50573938492749</v>
      </c>
      <c r="BQ65" s="14"/>
      <c r="BR65" s="14">
        <f>SUM(BQ65*0.1)</f>
        <v>0</v>
      </c>
      <c r="BS65" s="14">
        <f ca="1">SUM(BT65*BU65)</f>
        <v>0</v>
      </c>
      <c r="BT65" s="17">
        <f>SUM((BQ65+BR65)*0.00833333333333333)</f>
        <v>0</v>
      </c>
      <c r="BU65" s="23">
        <f ca="1">MONTH(TODAY())+49</f>
        <v>53</v>
      </c>
      <c r="BV65" s="14">
        <f ca="1">SUM(BQ65,BR65,BS65)</f>
        <v>0</v>
      </c>
      <c r="BW65" s="14">
        <v>0</v>
      </c>
      <c r="BX65" s="14">
        <f>SUM(BW65*0.1)</f>
        <v>0</v>
      </c>
      <c r="BY65" s="14">
        <f ca="1">SUM(BZ65*CA65)</f>
        <v>0</v>
      </c>
      <c r="BZ65" s="17">
        <f>SUM((BW65+BX65)*0.00833333333333333)</f>
        <v>0</v>
      </c>
      <c r="CA65" s="23">
        <f ca="1">MONTH(TODAY())+37</f>
        <v>41</v>
      </c>
      <c r="CB65" s="14">
        <f ca="1">SUM(BW65,BX65,BY65)</f>
        <v>0</v>
      </c>
      <c r="CC65" s="14">
        <v>0</v>
      </c>
      <c r="CD65" s="14">
        <f>SUM(CC65*0.1)</f>
        <v>0</v>
      </c>
      <c r="CE65" s="14">
        <f ca="1">SUM(CF65*CG65)</f>
        <v>0</v>
      </c>
      <c r="CF65" s="17">
        <f>SUM((CC65+CD65)*0.00833333333333333)</f>
        <v>0</v>
      </c>
      <c r="CG65" s="23">
        <f ca="1">MONTH(TODAY())+25</f>
        <v>29</v>
      </c>
      <c r="CH65" s="14">
        <f ca="1">SUM(CC65,CD65,CE65)</f>
        <v>0</v>
      </c>
      <c r="CI65" s="14">
        <f>SUM(EM65*0.0052)/2</f>
        <v>289.64</v>
      </c>
      <c r="CJ65" s="14">
        <f>SUM(CI65*0.1)</f>
        <v>28.963999999999999</v>
      </c>
      <c r="CK65" s="14">
        <f ca="1">SUM(CL65*CM65)</f>
        <v>55.755699999999976</v>
      </c>
      <c r="CL65" s="17">
        <f>SUM((CI65+CJ65)*0.00833333333333333)</f>
        <v>2.655033333333332</v>
      </c>
      <c r="CM65" s="23">
        <f ca="1">MONTH(TODAY())+17</f>
        <v>21</v>
      </c>
      <c r="CN65" s="23">
        <f ca="1">SUM(CI65,CJ65,CK65)</f>
        <v>374.35969999999998</v>
      </c>
      <c r="CO65" s="14">
        <f>SUM(EM65*0.0052)/2</f>
        <v>289.64</v>
      </c>
      <c r="CP65" s="14">
        <f>SUM(CO65*0.1)</f>
        <v>28.963999999999999</v>
      </c>
      <c r="CQ65" s="14">
        <f ca="1">SUM(CR65*CS65)</f>
        <v>45.135566666666648</v>
      </c>
      <c r="CR65" s="17">
        <f>SUM((CO65+CP65)*0.00833333333333333)</f>
        <v>2.655033333333332</v>
      </c>
      <c r="CS65" s="23">
        <f ca="1">MONTH(TODAY())+13</f>
        <v>17</v>
      </c>
      <c r="CT65" s="14">
        <f ca="1">SUM(CO65,CP65,CQ65)</f>
        <v>363.73956666666663</v>
      </c>
      <c r="CU65" s="14">
        <f>SUM(EP65*0.0045)/2</f>
        <v>151.64999999999998</v>
      </c>
      <c r="CV65" s="14">
        <f>SUM(CU65*0.1)</f>
        <v>15.164999999999999</v>
      </c>
      <c r="CW65" s="14">
        <f ca="1">SUM(CX65*CY65)</f>
        <v>15.291374999999992</v>
      </c>
      <c r="CX65" s="17">
        <f>SUM((CU65+CV65)*0.00833333333333333)</f>
        <v>1.3901249999999992</v>
      </c>
      <c r="CY65" s="23">
        <f ca="1">MONTH(TODAY())+7</f>
        <v>11</v>
      </c>
      <c r="CZ65" s="14">
        <f ca="1">SUM(CU65,CV65,CW65)</f>
        <v>182.10637499999996</v>
      </c>
      <c r="DA65" s="14">
        <f>SUM(EP65*0.0045)/2</f>
        <v>151.64999999999998</v>
      </c>
      <c r="DB65" s="14">
        <f>SUM(DA65*0.1)</f>
        <v>15.164999999999999</v>
      </c>
      <c r="DC65" s="14">
        <f ca="1">SUM(DD65*DE65)</f>
        <v>6.9506249999999961</v>
      </c>
      <c r="DD65" s="17">
        <f>SUM((DA65+DB65)*0.00833333333333333)</f>
        <v>1.3901249999999992</v>
      </c>
      <c r="DE65" s="23">
        <f ca="1">MONTH(TODAY())+1</f>
        <v>5</v>
      </c>
      <c r="DF65" s="14">
        <f ca="1">SUM(DA65,DB65,DC65)</f>
        <v>173.76562499999997</v>
      </c>
      <c r="DG65" s="14">
        <f>SUM(EP65*0.0045)/2</f>
        <v>151.64999999999998</v>
      </c>
      <c r="DH65" s="14">
        <f>SUM(DG65*0.1)</f>
        <v>15.164999999999999</v>
      </c>
      <c r="DI65" s="14">
        <f ca="1">SUM(DJ65*DK65)</f>
        <v>-4.1703749999999973</v>
      </c>
      <c r="DJ65" s="17">
        <f>SUM((DG65+DH65)*0.00833333333333333)</f>
        <v>1.3901249999999992</v>
      </c>
      <c r="DK65" s="23">
        <f ca="1">MONTH(TODAY())-7</f>
        <v>-3</v>
      </c>
      <c r="DL65" s="14">
        <f ca="1">SUM(DG65,DH65,DI65)</f>
        <v>162.64462499999996</v>
      </c>
      <c r="DM65" s="14">
        <f>0</f>
        <v>0</v>
      </c>
      <c r="DN65" s="14">
        <f>0</f>
        <v>0</v>
      </c>
      <c r="DO65" s="14">
        <f ca="1">SUM(DP65*DQ65)</f>
        <v>0</v>
      </c>
      <c r="DP65" s="17">
        <f>SUM((DM65+DN65)*0.00833333333333333)</f>
        <v>0</v>
      </c>
      <c r="DQ65" s="23">
        <f ca="1">MONTH(TODAY())+1</f>
        <v>5</v>
      </c>
      <c r="DR65" s="14">
        <f ca="1">SUM(DM65,DN65,DO65)</f>
        <v>0</v>
      </c>
      <c r="DS65" s="14">
        <f>SUM(BQ65, BW65, CC65, CI65,CO65,CU65,DA65,DG65,DM65)</f>
        <v>1034.23</v>
      </c>
      <c r="DT65" s="14">
        <f>SUM(BR65,BX65,CD65, CJ65,CP65,CV65,DB65,DH65,DN65)</f>
        <v>103.42299999999997</v>
      </c>
      <c r="DU65" s="14">
        <f ca="1">SUM(BS65,BY65,CE65, CK65,CQ65,CW65,DC65,DI65,DO65)</f>
        <v>118.96289166666662</v>
      </c>
      <c r="DV65" s="25">
        <f ca="1">SUM(DS65:DU65)</f>
        <v>1256.6158916666666</v>
      </c>
      <c r="DW65" s="47">
        <f ca="1">SUM(DV65/EM65)</f>
        <v>1.1280214467384799E-2</v>
      </c>
      <c r="DX65" s="14">
        <f>20+10+200+200+40+40+40</f>
        <v>550</v>
      </c>
      <c r="DY65" s="32">
        <f>COUNTIF(AO65, "*")+COUNTIF(AJ65, "*")+COUNTIF(AA65, "*")+COUNTIF(FA65, "*")+COUNTIF(FG65, "*")+COUNTIF(FM65, "*")+COUNTIF(FQ65, "*")+COUNTIF(FX65, "*")+COUNTIF(AS65, "*")+COUNTIF(GG65, "*")+COUNTIF(GR65, "*")+COUNTIF(HC65, "*")+COUNTIF(HK65, "*")+COUNTIF(HS65, "*")+COUNTIF(IA65, "*")</f>
        <v>4</v>
      </c>
      <c r="DZ65" s="14">
        <f>2.56+DY65*8</f>
        <v>34.56</v>
      </c>
      <c r="EA65" s="4">
        <f>32.53+807.92</f>
        <v>840.44999999999993</v>
      </c>
      <c r="EB65" s="25">
        <v>200</v>
      </c>
      <c r="EC65" s="4">
        <v>93.75</v>
      </c>
      <c r="ED65" s="14"/>
      <c r="EE65" s="14"/>
      <c r="EF65" s="14">
        <v>100</v>
      </c>
      <c r="EG65" s="14">
        <f>SUM(EA65:EF65)</f>
        <v>1234.1999999999998</v>
      </c>
      <c r="EH65" s="14">
        <f ca="1">SUM(DV65,DX65,EG65, EB65, DZ65,GD65)</f>
        <v>3275.3758916666661</v>
      </c>
      <c r="EI65" s="24" t="s">
        <v>4935</v>
      </c>
      <c r="EJ65" s="23">
        <v>0.51</v>
      </c>
      <c r="EK65" s="14">
        <v>12000</v>
      </c>
      <c r="EL65" s="14">
        <v>99400</v>
      </c>
      <c r="EM65" s="14">
        <f>SUM(EK65+EL65)</f>
        <v>111400</v>
      </c>
      <c r="EN65" s="14">
        <v>13500</v>
      </c>
      <c r="EO65" s="14">
        <v>53900</v>
      </c>
      <c r="EP65" s="14">
        <f>SUM(EN65+EO65)</f>
        <v>67400</v>
      </c>
      <c r="EQ65" s="28" t="s">
        <v>5624</v>
      </c>
      <c r="ER65" s="28" t="s">
        <v>5625</v>
      </c>
      <c r="ES65" s="28" t="s">
        <v>5626</v>
      </c>
      <c r="ET65" s="28"/>
      <c r="EU65" s="28"/>
      <c r="EV65" s="28"/>
      <c r="EW65" s="28"/>
      <c r="EX65" s="28"/>
      <c r="EY65" s="28"/>
      <c r="EZ65" s="28"/>
      <c r="FA65" s="28"/>
      <c r="FB65" s="28"/>
      <c r="FC65" s="28"/>
      <c r="FD65" s="28"/>
      <c r="FE65" s="28"/>
      <c r="FF65" s="28"/>
      <c r="FG65" s="28"/>
      <c r="FH65" s="28"/>
      <c r="FI65" s="28"/>
      <c r="FJ65" s="28"/>
      <c r="FK65" s="28"/>
      <c r="FL65" s="28"/>
      <c r="FM65" s="28"/>
      <c r="FN65" s="28"/>
      <c r="FO65" s="28"/>
      <c r="FP65" s="28" t="s">
        <v>5627</v>
      </c>
      <c r="FQ65" s="28" t="s">
        <v>5628</v>
      </c>
      <c r="FR65" s="28"/>
      <c r="FS65" s="28" t="s">
        <v>5629</v>
      </c>
      <c r="FT65" s="28"/>
      <c r="FU65" s="27">
        <v>37023</v>
      </c>
      <c r="FV65" s="28" t="s">
        <v>5630</v>
      </c>
      <c r="FW65" s="28"/>
      <c r="FX65" s="28"/>
      <c r="FY65" s="28"/>
      <c r="FZ65" s="28"/>
      <c r="GA65" s="28"/>
      <c r="GB65" s="27"/>
      <c r="GC65" s="28"/>
      <c r="GD65" s="28"/>
      <c r="GE65" s="28"/>
      <c r="GF65" s="28"/>
      <c r="GG65" s="28"/>
      <c r="GH65" s="28"/>
      <c r="GI65" s="28"/>
      <c r="GJ65" s="28"/>
      <c r="GK65" s="27"/>
      <c r="GL65" s="28"/>
      <c r="GM65" s="28"/>
      <c r="GN65" s="28"/>
      <c r="GO65" s="28"/>
      <c r="GP65" s="28"/>
      <c r="GQ65" s="28"/>
      <c r="GR65" s="28"/>
      <c r="GS65" s="28"/>
      <c r="GT65" s="28"/>
      <c r="GU65" s="28"/>
      <c r="GV65" s="27"/>
      <c r="GW65" s="28"/>
      <c r="GX65" s="28"/>
      <c r="GY65" s="28"/>
      <c r="GZ65" s="28"/>
      <c r="HA65" s="28"/>
      <c r="HB65" s="28"/>
      <c r="HC65" s="28"/>
      <c r="HD65" s="28"/>
      <c r="HE65" s="28"/>
      <c r="HF65" s="28"/>
      <c r="HG65" s="27"/>
      <c r="HH65" s="28"/>
      <c r="HI65" s="28"/>
      <c r="HJ65" s="28"/>
      <c r="HK65" s="28"/>
      <c r="HL65" s="28"/>
      <c r="HM65" s="28"/>
      <c r="HN65" s="28"/>
      <c r="HO65" s="27"/>
      <c r="HP65" s="28"/>
      <c r="HQ65" s="28"/>
      <c r="HR65" s="28"/>
      <c r="HS65" s="28"/>
      <c r="HT65" s="28"/>
      <c r="HU65" s="28"/>
      <c r="HV65" s="28"/>
      <c r="HW65" s="27"/>
      <c r="HX65" s="28"/>
      <c r="HY65" s="28"/>
      <c r="HZ65" s="28"/>
      <c r="IA65" s="28"/>
      <c r="IB65" s="28"/>
      <c r="IC65" s="28"/>
      <c r="ID65" s="28"/>
      <c r="IE65" s="27"/>
      <c r="IF65" s="14"/>
      <c r="IG65" s="14"/>
      <c r="IH65" s="28"/>
      <c r="II65" s="28"/>
      <c r="IJ65" s="28"/>
      <c r="IK65" s="28"/>
      <c r="IL65" s="14"/>
      <c r="IM65" s="14"/>
      <c r="IN65" s="14"/>
      <c r="IO65" s="14"/>
      <c r="IP65" s="4"/>
      <c r="IQ65" s="9"/>
      <c r="IR65" s="9"/>
      <c r="IS65" s="9"/>
      <c r="IT65" s="9"/>
      <c r="IU65" s="9"/>
      <c r="IV65" s="27" t="s">
        <v>5913</v>
      </c>
    </row>
    <row r="66" spans="1:263" ht="15" customHeight="1">
      <c r="A66" s="177">
        <v>102024060</v>
      </c>
      <c r="B66" s="127" t="s">
        <v>5100</v>
      </c>
      <c r="C66" s="169"/>
      <c r="D66" s="212"/>
      <c r="E66" s="169"/>
      <c r="F66" s="171"/>
      <c r="G66" s="170"/>
      <c r="H66" s="169"/>
      <c r="I66" s="188"/>
      <c r="J66" s="169" t="s">
        <v>554</v>
      </c>
      <c r="K66" s="169" t="s">
        <v>564</v>
      </c>
      <c r="L66" s="169" t="s">
        <v>395</v>
      </c>
      <c r="M66" s="169"/>
      <c r="N66" s="169"/>
      <c r="O66" s="170"/>
      <c r="P66" s="169" t="s">
        <v>564</v>
      </c>
      <c r="Q66" s="169" t="s">
        <v>3015</v>
      </c>
      <c r="R66" s="169"/>
      <c r="S66" s="169"/>
      <c r="T66" s="169"/>
      <c r="U66" s="169"/>
      <c r="V66" s="169"/>
      <c r="W66" s="169"/>
      <c r="X66" s="169"/>
      <c r="Y66" s="169"/>
      <c r="Z66" s="169"/>
      <c r="AA66" s="169"/>
      <c r="AB66" s="169"/>
      <c r="AC66" s="169"/>
      <c r="AD66" s="169"/>
      <c r="AE66" s="169"/>
      <c r="AF66" s="169"/>
      <c r="AG66" s="172"/>
      <c r="AH66" s="169"/>
      <c r="AI66" s="169"/>
      <c r="AJ66" s="127"/>
      <c r="AK66" s="173"/>
      <c r="AL66" s="127"/>
      <c r="AM66" s="127"/>
      <c r="AN66" s="127"/>
      <c r="AO66" s="127" t="s">
        <v>3016</v>
      </c>
      <c r="AP66" s="173" t="s">
        <v>258</v>
      </c>
      <c r="AQ66" s="127" t="s">
        <v>438</v>
      </c>
      <c r="AR66" s="127" t="s">
        <v>260</v>
      </c>
      <c r="AS66" s="127"/>
      <c r="AT66" s="127"/>
      <c r="AU66" s="127"/>
      <c r="AV66" s="127"/>
      <c r="AW66" s="127"/>
      <c r="AX66" s="173"/>
      <c r="AY66" s="173" t="s">
        <v>258</v>
      </c>
      <c r="AZ66" s="173"/>
      <c r="BA66" s="173"/>
      <c r="BB66" s="173"/>
      <c r="BC66" s="174"/>
      <c r="BD66" s="175">
        <v>45382</v>
      </c>
      <c r="BE66" s="176">
        <v>45391</v>
      </c>
      <c r="BF66" s="174"/>
      <c r="BG66" s="177"/>
      <c r="BH66" s="174"/>
      <c r="BI66" s="174"/>
      <c r="BJ66" s="174"/>
      <c r="BK66" s="174"/>
      <c r="BL66" s="178">
        <f ca="1">SUM(EB66)+220</f>
        <v>894.6343250000001</v>
      </c>
      <c r="BM66" s="179">
        <f ca="1">PMT(10%/12,12,BL66,0,0)</f>
        <v>-78.652570428795769</v>
      </c>
      <c r="BN66" s="179">
        <f ca="1">SUM(BM66*-1)</f>
        <v>78.652570428795769</v>
      </c>
      <c r="BO66" s="180">
        <f>SUM(EJ66*0.0052)/12</f>
        <v>0.47666666666666663</v>
      </c>
      <c r="BP66" s="179">
        <f ca="1">SUM(BN66+BO66)</f>
        <v>79.129237095462443</v>
      </c>
      <c r="BQ66" s="180">
        <v>0</v>
      </c>
      <c r="BR66" s="180">
        <f>SUM(BQ66*0.1)</f>
        <v>0</v>
      </c>
      <c r="BS66" s="180">
        <f ca="1">SUM(BT66*BU66)</f>
        <v>0</v>
      </c>
      <c r="BT66" s="181">
        <f>SUM((BQ66+BR66)*0.00833333333333333)</f>
        <v>0</v>
      </c>
      <c r="BU66" s="182">
        <f ca="1">MONTH(TODAY())+37</f>
        <v>41</v>
      </c>
      <c r="BV66" s="180">
        <f ca="1">SUM(BQ66,BR66,BS66)</f>
        <v>0</v>
      </c>
      <c r="BW66" s="180">
        <f>SUM(EG66*0.0052)</f>
        <v>5.72</v>
      </c>
      <c r="BX66" s="180">
        <f>SUM(BW66*0.1)</f>
        <v>0.57199999999999995</v>
      </c>
      <c r="BY66" s="180">
        <f ca="1">SUM(BZ66*CA66)</f>
        <v>2.1497666666666659</v>
      </c>
      <c r="BZ66" s="181">
        <f>SUM((BW66+BX66)*0.00833333333333333)</f>
        <v>5.2433333333333311E-2</v>
      </c>
      <c r="CA66" s="182">
        <f ca="1">MONTH(TODAY())+37</f>
        <v>41</v>
      </c>
      <c r="CB66" s="180">
        <f ca="1">SUM(BW66,BX66,BY66)</f>
        <v>8.4417666666666662</v>
      </c>
      <c r="CC66" s="180">
        <f>SUM(EG66*0.0052)/2</f>
        <v>2.86</v>
      </c>
      <c r="CD66" s="180">
        <f>SUM(CC66*0.1)</f>
        <v>0.28599999999999998</v>
      </c>
      <c r="CE66" s="180">
        <f ca="1">SUM(CF66*CG66)</f>
        <v>0.86514999999999964</v>
      </c>
      <c r="CF66" s="181">
        <f>SUM((CC66+CD66)*0.00833333333333333)</f>
        <v>2.6216666666666655E-2</v>
      </c>
      <c r="CG66" s="182">
        <f ca="1">MONTH(TODAY())+29</f>
        <v>33</v>
      </c>
      <c r="CH66" s="182">
        <f ca="1">SUM(CC66,CD66,CE66)</f>
        <v>4.0111499999999998</v>
      </c>
      <c r="CI66" s="180">
        <f>SUM(EG66*0.0052)/2</f>
        <v>2.86</v>
      </c>
      <c r="CJ66" s="180">
        <f>SUM(CI66*0.1)</f>
        <v>0.28599999999999998</v>
      </c>
      <c r="CK66" s="180">
        <f ca="1">SUM(CL66*CM66)</f>
        <v>0.76028333333333298</v>
      </c>
      <c r="CL66" s="181">
        <f>SUM((CI66+CJ66)*0.00833333333333333)</f>
        <v>2.6216666666666655E-2</v>
      </c>
      <c r="CM66" s="182">
        <f ca="1">MONTH(TODAY())+25</f>
        <v>29</v>
      </c>
      <c r="CN66" s="180">
        <f ca="1">SUM(CI66,CJ66,CK66)</f>
        <v>3.9062833333333327</v>
      </c>
      <c r="CO66" s="180">
        <f>SUM(EJ66*0.0045)/2</f>
        <v>2.4749999999999996</v>
      </c>
      <c r="CP66" s="180">
        <f>SUM(CO66*0.1)</f>
        <v>0.24749999999999997</v>
      </c>
      <c r="CQ66" s="180">
        <f ca="1">SUM(CR66*CS66)</f>
        <v>0.52181249999999979</v>
      </c>
      <c r="CR66" s="181">
        <f>SUM((CO66+CP66)*0.00833333333333333)</f>
        <v>2.2687499999999989E-2</v>
      </c>
      <c r="CS66" s="182">
        <f ca="1">MONTH(TODAY())+19</f>
        <v>23</v>
      </c>
      <c r="CT66" s="180">
        <f ca="1">SUM(CO66,CP66,CQ66)</f>
        <v>3.2443124999999995</v>
      </c>
      <c r="CU66" s="180">
        <f>SUM(EJ66*0.0045)/2</f>
        <v>2.4749999999999996</v>
      </c>
      <c r="CV66" s="180">
        <f>SUM(CU66*0.1)</f>
        <v>0.24749999999999997</v>
      </c>
      <c r="CW66" s="180">
        <f ca="1">SUM(CX66*CY66)</f>
        <v>0.38568749999999979</v>
      </c>
      <c r="CX66" s="181">
        <f>SUM((CU66+CV66)*0.00833333333333333)</f>
        <v>2.2687499999999989E-2</v>
      </c>
      <c r="CY66" s="182">
        <f ca="1">MONTH(TODAY())+13</f>
        <v>17</v>
      </c>
      <c r="CZ66" s="180">
        <f ca="1">SUM(CU66,CV66,CW66)</f>
        <v>3.1081874999999997</v>
      </c>
      <c r="DA66" s="180">
        <f>SUM(EJ66*0.0045)/2</f>
        <v>2.4749999999999996</v>
      </c>
      <c r="DB66" s="180">
        <f>SUM(DA66*0.1)</f>
        <v>0.24749999999999997</v>
      </c>
      <c r="DC66" s="180">
        <f ca="1">SUM(DD66*DE66)</f>
        <v>0.20418749999999991</v>
      </c>
      <c r="DD66" s="181">
        <f>SUM((DA66+DB66)*0.00833333333333333)</f>
        <v>2.2687499999999989E-2</v>
      </c>
      <c r="DE66" s="120">
        <f ca="1">MONTH(TODAY())+5</f>
        <v>9</v>
      </c>
      <c r="DF66" s="180">
        <f ca="1">SUM(DA66,DB66,DC66)</f>
        <v>2.9266874999999994</v>
      </c>
      <c r="DG66" s="180">
        <f>SUM(EJ66*0.0045)/2</f>
        <v>2.4749999999999996</v>
      </c>
      <c r="DH66" s="180">
        <f>SUM(DG66*0.1)</f>
        <v>0.24749999999999997</v>
      </c>
      <c r="DI66" s="180">
        <f ca="1">SUM(DJ66*DK66)</f>
        <v>0.11343749999999994</v>
      </c>
      <c r="DJ66" s="181">
        <f>SUM((DG66+DH66)*0.00833333333333333)</f>
        <v>2.2687499999999989E-2</v>
      </c>
      <c r="DK66" s="182">
        <f ca="1">MONTH(TODAY())+1</f>
        <v>5</v>
      </c>
      <c r="DL66" s="180">
        <f ca="1">SUM(DG66,DH66,DI66)</f>
        <v>2.8359374999999996</v>
      </c>
      <c r="DM66" s="180">
        <f>SUM(BQ66, BW66, CC66,CI66,CO66,CU66,DA66,DG66)</f>
        <v>21.340000000000003</v>
      </c>
      <c r="DN66" s="180">
        <f>SUM(BR66,BX66, CD66,CJ66,CP66,CV66,DB66,DH66)</f>
        <v>2.1339999999999999</v>
      </c>
      <c r="DO66" s="180">
        <f ca="1">SUM(BS66,BY66, CE66,CK66,CQ66,CW66,DC66,DI66)</f>
        <v>5.0003249999999966</v>
      </c>
      <c r="DP66" s="183">
        <f ca="1">SUM(DM66:DO66)</f>
        <v>28.474325</v>
      </c>
      <c r="DQ66" s="184">
        <f ca="1">SUM(DP66/EG66)</f>
        <v>2.5885749999999999E-2</v>
      </c>
      <c r="DR66" s="180">
        <f>40+10+200+200</f>
        <v>450</v>
      </c>
      <c r="DS66" s="185">
        <f>COUNTIF(AO66, "*")+COUNTIF(AJ66, "*")+COUNTIF(AA66, "*")+COUNTIF(EU66, "*")+COUNTIF(FA66, "*")+COUNTIF(FG66, "*")+COUNTIF(FK66, "*")+COUNTIF(FR66, "*")+COUNTIF(AT66, "*")+COUNTIF(GA66, "*")+COUNTIF(GL66, "*")+COUNTIF(GW66, "*")+COUNTIF(HE66, "*")+COUNTIF(HM66, "*")+COUNTIF(HU66, "*")</f>
        <v>5</v>
      </c>
      <c r="DT66" s="180">
        <f>DS66*0.64+DS66*8</f>
        <v>43.2</v>
      </c>
      <c r="DU66" s="186">
        <v>27.96</v>
      </c>
      <c r="DV66" s="186">
        <v>125</v>
      </c>
      <c r="DW66" s="186"/>
      <c r="DX66" s="186"/>
      <c r="DY66" s="186"/>
      <c r="DZ66" s="186"/>
      <c r="EA66" s="180">
        <f>SUM(DU66:DZ66)</f>
        <v>152.96</v>
      </c>
      <c r="EB66" s="180">
        <f ca="1">SUM(DP66,DR66,EA66,DT66,FX66)</f>
        <v>674.6343250000001</v>
      </c>
      <c r="EC66" s="187" t="s">
        <v>5892</v>
      </c>
      <c r="ED66" s="182">
        <f>0.04+0.09+0.07</f>
        <v>0.2</v>
      </c>
      <c r="EE66" s="180">
        <f>500+500+100</f>
        <v>1100</v>
      </c>
      <c r="EF66" s="180">
        <v>0</v>
      </c>
      <c r="EG66" s="180">
        <f>SUM(EE66+EF66)</f>
        <v>1100</v>
      </c>
      <c r="EH66" s="180">
        <f>500+500+100</f>
        <v>1100</v>
      </c>
      <c r="EI66" s="180">
        <v>0</v>
      </c>
      <c r="EJ66" s="180">
        <f>SUM(EH66+EI66)</f>
        <v>1100</v>
      </c>
      <c r="EK66" s="169" t="s">
        <v>3641</v>
      </c>
      <c r="EL66" s="169" t="s">
        <v>3642</v>
      </c>
      <c r="EM66" s="169" t="s">
        <v>3643</v>
      </c>
      <c r="EN66" s="169" t="s">
        <v>3644</v>
      </c>
      <c r="EO66" s="169" t="s">
        <v>3645</v>
      </c>
      <c r="EP66" s="169" t="s">
        <v>5342</v>
      </c>
      <c r="EQ66" s="169"/>
      <c r="ER66" s="169"/>
      <c r="ES66" s="169"/>
      <c r="ET66" s="169"/>
      <c r="EU66" s="169"/>
      <c r="EV66" s="169"/>
      <c r="EW66" s="169"/>
      <c r="EX66" s="169"/>
      <c r="EY66" s="169"/>
      <c r="EZ66" s="169"/>
      <c r="FA66" s="169"/>
      <c r="FB66" s="169"/>
      <c r="FC66" s="169"/>
      <c r="FD66" s="169"/>
      <c r="FE66" s="169"/>
      <c r="FF66" s="169"/>
      <c r="FG66" s="169"/>
      <c r="FH66" s="169"/>
      <c r="FI66" s="169"/>
      <c r="FJ66" s="169" t="s">
        <v>3634</v>
      </c>
      <c r="FK66" s="169" t="s">
        <v>3635</v>
      </c>
      <c r="FL66" s="169" t="s">
        <v>3636</v>
      </c>
      <c r="FM66" s="169" t="s">
        <v>1883</v>
      </c>
      <c r="FN66" s="169" t="s">
        <v>1485</v>
      </c>
      <c r="FO66" s="188">
        <v>39766</v>
      </c>
      <c r="FP66" s="169" t="s">
        <v>3637</v>
      </c>
      <c r="FQ66" s="169"/>
      <c r="FR66" s="169"/>
      <c r="FS66" s="169"/>
      <c r="FT66" s="169"/>
      <c r="FU66" s="169"/>
      <c r="FV66" s="188"/>
      <c r="FW66" s="169"/>
      <c r="FX66" s="169"/>
      <c r="FY66" s="169" t="s">
        <v>2223</v>
      </c>
      <c r="FZ66" s="169" t="s">
        <v>783</v>
      </c>
      <c r="GA66" s="169" t="s">
        <v>1030</v>
      </c>
      <c r="GB66" s="169"/>
      <c r="GC66" s="169" t="s">
        <v>259</v>
      </c>
      <c r="GD66" s="169" t="s">
        <v>260</v>
      </c>
      <c r="GE66" s="188">
        <v>41478</v>
      </c>
      <c r="GF66" s="169" t="s">
        <v>5344</v>
      </c>
      <c r="GG66" s="169"/>
      <c r="GH66" s="169"/>
      <c r="GI66" s="169"/>
      <c r="GJ66" s="169" t="s">
        <v>439</v>
      </c>
      <c r="GK66" s="169" t="s">
        <v>3638</v>
      </c>
      <c r="GL66" s="169" t="s">
        <v>298</v>
      </c>
      <c r="GM66" s="169" t="s">
        <v>440</v>
      </c>
      <c r="GN66" s="169" t="s">
        <v>274</v>
      </c>
      <c r="GO66" s="169" t="s">
        <v>275</v>
      </c>
      <c r="GP66" s="188">
        <v>42464</v>
      </c>
      <c r="GQ66" s="169" t="s">
        <v>3639</v>
      </c>
      <c r="GR66" s="169"/>
      <c r="GS66" s="169"/>
      <c r="GT66" s="169"/>
      <c r="GU66" s="169" t="s">
        <v>5343</v>
      </c>
      <c r="GV66" s="169" t="s">
        <v>3647</v>
      </c>
      <c r="GW66" s="169" t="s">
        <v>3649</v>
      </c>
      <c r="GX66" s="169"/>
      <c r="GY66" s="169" t="s">
        <v>267</v>
      </c>
      <c r="GZ66" s="169" t="s">
        <v>268</v>
      </c>
      <c r="HA66" s="188">
        <v>39556</v>
      </c>
      <c r="HB66" s="169" t="s">
        <v>3650</v>
      </c>
      <c r="HC66" s="169"/>
      <c r="HD66" s="169"/>
      <c r="HE66" s="169"/>
      <c r="HF66" s="169"/>
      <c r="HG66" s="169"/>
      <c r="HH66" s="169"/>
      <c r="HI66" s="188"/>
      <c r="HJ66" s="169"/>
      <c r="HK66" s="169"/>
      <c r="HL66" s="169"/>
      <c r="HM66" s="169"/>
      <c r="HN66" s="169"/>
      <c r="HO66" s="169"/>
      <c r="HP66" s="169"/>
      <c r="HQ66" s="188"/>
      <c r="HR66" s="169"/>
      <c r="HS66" s="169"/>
      <c r="HT66" s="169"/>
      <c r="HU66" s="169"/>
      <c r="HV66" s="169"/>
      <c r="HW66" s="169"/>
      <c r="HX66" s="169"/>
      <c r="HY66" s="188"/>
      <c r="HZ66" s="186"/>
      <c r="IA66" s="186"/>
      <c r="IB66" s="169"/>
      <c r="IC66" s="169"/>
      <c r="ID66" s="169"/>
      <c r="IE66" s="169"/>
      <c r="IF66" s="186"/>
      <c r="IG66" s="186"/>
      <c r="IH66" s="186"/>
      <c r="II66" s="186"/>
      <c r="IJ66" s="186"/>
      <c r="IK66" s="188"/>
      <c r="IL66" s="188"/>
      <c r="IM66" s="188"/>
      <c r="IN66" s="188"/>
      <c r="IO66" s="188"/>
      <c r="IP66" s="127" t="s">
        <v>5913</v>
      </c>
      <c r="IQ66" s="168"/>
      <c r="IR66" s="168"/>
      <c r="IS66" s="168"/>
      <c r="IT66" s="168"/>
      <c r="IU66" s="168"/>
      <c r="IV66" s="168"/>
      <c r="IW66" s="168"/>
      <c r="IX66" s="168"/>
      <c r="IY66" s="168"/>
      <c r="IZ66" s="168"/>
      <c r="JA66" s="168"/>
      <c r="JB66" s="168"/>
      <c r="JC66" s="168"/>
    </row>
    <row r="67" spans="1:263" ht="15" customHeight="1">
      <c r="A67" s="19">
        <v>102022046</v>
      </c>
      <c r="B67" t="s">
        <v>2797</v>
      </c>
      <c r="D67" s="1"/>
      <c r="E67" s="3" t="s">
        <v>4806</v>
      </c>
      <c r="F67">
        <v>220003483</v>
      </c>
      <c r="G67" s="3"/>
      <c r="H67" t="s">
        <v>4804</v>
      </c>
      <c r="J67" t="s">
        <v>554</v>
      </c>
      <c r="K67" t="s">
        <v>564</v>
      </c>
      <c r="L67" t="s">
        <v>395</v>
      </c>
      <c r="O67" s="3"/>
      <c r="P67" t="s">
        <v>564</v>
      </c>
      <c r="Q67" t="s">
        <v>3015</v>
      </c>
      <c r="AG67" s="43" t="s">
        <v>3864</v>
      </c>
      <c r="AM67"/>
      <c r="AN67"/>
      <c r="AO67" t="s">
        <v>3016</v>
      </c>
      <c r="AP67" s="3" t="s">
        <v>258</v>
      </c>
      <c r="AQ67" t="s">
        <v>438</v>
      </c>
      <c r="AR67" t="s">
        <v>260</v>
      </c>
      <c r="AS67" s="18" t="s">
        <v>473</v>
      </c>
      <c r="AT67" s="18" t="s">
        <v>474</v>
      </c>
      <c r="AU67" s="18" t="s">
        <v>475</v>
      </c>
      <c r="AV67" s="18" t="s">
        <v>438</v>
      </c>
      <c r="AW67" s="18" t="s">
        <v>260</v>
      </c>
      <c r="AX67" s="1"/>
      <c r="AY67" s="1" t="s">
        <v>258</v>
      </c>
      <c r="AZ67" s="1"/>
      <c r="BA67" s="1"/>
      <c r="BB67" s="1"/>
      <c r="BC67" s="70">
        <v>44693</v>
      </c>
      <c r="BD67" s="115">
        <v>44661</v>
      </c>
      <c r="BE67" s="115">
        <v>44649</v>
      </c>
      <c r="BF67" s="70"/>
      <c r="BG67" s="2"/>
      <c r="BH67" s="2"/>
      <c r="BI67" s="2"/>
      <c r="BJ67" s="21">
        <v>45163</v>
      </c>
      <c r="BK67" s="19" t="s">
        <v>319</v>
      </c>
      <c r="BL67" s="20">
        <f ca="1">SUM(EB67)+220</f>
        <v>4885.0665666666664</v>
      </c>
      <c r="BM67" s="22">
        <f ca="1">PMT(10%/12,12,BL67,0,0)</f>
        <v>-429.47496138615679</v>
      </c>
      <c r="BN67" s="22">
        <f ca="1">SUM(BM67*-1)</f>
        <v>429.47496138615679</v>
      </c>
      <c r="BO67" s="14">
        <f>SUM(EJ67*0.0052)/12</f>
        <v>50.006666666666661</v>
      </c>
      <c r="BP67" s="22">
        <f ca="1">SUM(BN67+BO67)</f>
        <v>479.48162805282345</v>
      </c>
      <c r="BQ67" s="14"/>
      <c r="BR67" s="14">
        <f>SUM(BQ67*0.1)</f>
        <v>0</v>
      </c>
      <c r="BS67" s="14">
        <f ca="1">SUM(BT67*BU67)</f>
        <v>0</v>
      </c>
      <c r="BT67" s="17">
        <f>SUM((BQ67+BR67)*0.00833333333333333)</f>
        <v>0</v>
      </c>
      <c r="BU67" s="23">
        <f ca="1">MONTH(TODAY())+49</f>
        <v>53</v>
      </c>
      <c r="BV67" s="14">
        <f ca="1">SUM(BQ67,BR67,BS67)</f>
        <v>0</v>
      </c>
      <c r="BW67" s="14"/>
      <c r="BX67" s="14">
        <f>SUM(BW67*0.1)</f>
        <v>0</v>
      </c>
      <c r="BY67" s="14">
        <f ca="1">SUM(BZ67*CA67)</f>
        <v>0</v>
      </c>
      <c r="BZ67" s="17">
        <f>SUM((BW67+BX67)*0.00833333333333333)</f>
        <v>0</v>
      </c>
      <c r="CA67" s="23">
        <f ca="1">MONTH(TODAY())+37</f>
        <v>41</v>
      </c>
      <c r="CB67" s="14">
        <f ca="1">SUM(BW67,BX67,BY67)</f>
        <v>0</v>
      </c>
      <c r="CC67" s="14">
        <v>151.49</v>
      </c>
      <c r="CD67" s="14">
        <f>SUM(CC67*0.1)</f>
        <v>15.149000000000001</v>
      </c>
      <c r="CE67" s="14">
        <f ca="1">SUM(CF67*CG67)</f>
        <v>40.271091666666656</v>
      </c>
      <c r="CF67" s="17">
        <f>SUM((CC67+CD67)*0.00833333333333333)</f>
        <v>1.3886583333333329</v>
      </c>
      <c r="CG67" s="23">
        <f ca="1">MONTH(TODAY())+25</f>
        <v>29</v>
      </c>
      <c r="CH67" s="14">
        <f ca="1">SUM(CC67,CD67,CE67)</f>
        <v>206.91009166666666</v>
      </c>
      <c r="CI67" s="14">
        <f>SUM(EG67*0.0052)</f>
        <v>441.47999999999996</v>
      </c>
      <c r="CJ67" s="14">
        <f>SUM(CI67*0.1)</f>
        <v>44.147999999999996</v>
      </c>
      <c r="CK67" s="14">
        <f ca="1">SUM(CL67*CM67)</f>
        <v>68.79729999999995</v>
      </c>
      <c r="CL67" s="17">
        <f>SUM((CI67+CJ67)*0.00833333333333333)</f>
        <v>4.0468999999999973</v>
      </c>
      <c r="CM67" s="23">
        <f ca="1">MONTH(TODAY())+13</f>
        <v>17</v>
      </c>
      <c r="CN67" s="14">
        <f ca="1">SUM(CI67,CJ67,CK67)</f>
        <v>554.42529999999988</v>
      </c>
      <c r="CO67" s="14">
        <f>SUM(EG67*0.0052)/2</f>
        <v>220.73999999999998</v>
      </c>
      <c r="CP67" s="14">
        <f>SUM(CO67*0.1)</f>
        <v>22.073999999999998</v>
      </c>
      <c r="CQ67" s="14">
        <f ca="1">SUM(CR67*CS67)</f>
        <v>18.211049999999986</v>
      </c>
      <c r="CR67" s="17">
        <f>SUM((CO67+CP67)*0.00833333333333333)</f>
        <v>2.0234499999999986</v>
      </c>
      <c r="CS67" s="23">
        <f ca="1">MONTH(TODAY())+5</f>
        <v>9</v>
      </c>
      <c r="CT67" s="23">
        <f ca="1">SUM(CO67,CP67,CQ67)</f>
        <v>261.02504999999996</v>
      </c>
      <c r="CU67" s="14">
        <f>SUM(EG67*0.0052)/2</f>
        <v>220.73999999999998</v>
      </c>
      <c r="CV67" s="14">
        <f>SUM(CU67*0.1)</f>
        <v>22.073999999999998</v>
      </c>
      <c r="CW67" s="14">
        <f ca="1">SUM(CX67*CY67)</f>
        <v>10.117249999999993</v>
      </c>
      <c r="CX67" s="17">
        <f>SUM((CU67+CV67)*0.00833333333333333)</f>
        <v>2.0234499999999986</v>
      </c>
      <c r="CY67" s="23">
        <f ca="1">MONTH(TODAY())+1</f>
        <v>5</v>
      </c>
      <c r="CZ67" s="23">
        <f ca="1">SUM(CU67,CV67,CW67)</f>
        <v>252.93124999999995</v>
      </c>
      <c r="DA67" s="14">
        <f>SUM(EJ67*0.0045)/2</f>
        <v>259.64999999999998</v>
      </c>
      <c r="DB67" s="14">
        <f>SUM(DA67*0.1)</f>
        <v>25.965</v>
      </c>
      <c r="DC67" s="14">
        <f ca="1">SUM(DD67*DE67)</f>
        <v>-2.3801249999999987</v>
      </c>
      <c r="DD67" s="17">
        <f>SUM((DA67+DB67)*0.00833333333333333)</f>
        <v>2.3801249999999987</v>
      </c>
      <c r="DE67" s="23">
        <f ca="1">MONTH(TODAY())-5</f>
        <v>-1</v>
      </c>
      <c r="DF67" s="23">
        <f ca="1">SUM(DA67,DB67,DC67)</f>
        <v>283.23487499999993</v>
      </c>
      <c r="DG67" s="14">
        <f>SUM(EJ67*0.0045)/2</f>
        <v>259.64999999999998</v>
      </c>
      <c r="DH67" s="14">
        <v>0</v>
      </c>
      <c r="DI67" s="14">
        <v>0</v>
      </c>
      <c r="DJ67" s="17">
        <f>SUM((DG67+DH67)*0.00833333333333333)</f>
        <v>2.163749999999999</v>
      </c>
      <c r="DK67" s="23">
        <f ca="1">MONTH(TODAY())+1</f>
        <v>5</v>
      </c>
      <c r="DL67" s="14">
        <f>SUM(DG67,DH67,DI67)</f>
        <v>259.64999999999998</v>
      </c>
      <c r="DM67" s="14">
        <f>SUM( BQ67, BW67, CC67, CI67, CO67,CU67,DA67,DG67)</f>
        <v>1553.75</v>
      </c>
      <c r="DN67" s="14">
        <f>SUM(BR67,BX67,CD67,CJ67, CP67,CV67,DB67,DH67)</f>
        <v>129.41</v>
      </c>
      <c r="DO67" s="14">
        <f ca="1">SUM(BS67,BY67,CE67,CK67, CQ67,CW67,DC67,DI67)</f>
        <v>135.01656666666659</v>
      </c>
      <c r="DP67" s="25">
        <f ca="1">SUM(DM67:DO67)</f>
        <v>1818.1765666666668</v>
      </c>
      <c r="DQ67" s="47">
        <f ca="1">SUM(DP67/EG67)</f>
        <v>2.1415507263447195E-2</v>
      </c>
      <c r="DR67" s="14">
        <f>19.5+19.5+195+195+58.5+39+156+58.5+60+40+60+40+60+80+100+60+40+40+40+40+20+40+40+40</f>
        <v>1541</v>
      </c>
      <c r="DS67" s="32">
        <f>COUNTIF(DX67, "*")+COUNTIF(AO67, "*")+COUNTIF(AJ67, "*")+COUNTIF(AA67, "*")+COUNTIF(EY67, "*")+COUNTIF(FE67, "*")+COUNTIF(FK67, "*")+COUNTIF(FO67, "*")+COUNTIF(FV67, "*")+COUNTIF(AT67, "*")+COUNTIF(GE67, "*")+COUNTIF(GP67, "*")+COUNTIF(HA67, "*")+COUNTIF(HI67, "*")+COUNTIF(HQ67, "*")+COUNTIF(HY67, "*")</f>
        <v>7</v>
      </c>
      <c r="DT67" s="14">
        <f>0.53+46.62+55.17</f>
        <v>102.32</v>
      </c>
      <c r="DU67" s="4">
        <v>250</v>
      </c>
      <c r="DV67" s="14">
        <f>30.08+246.49</f>
        <v>276.57</v>
      </c>
      <c r="DW67" s="4"/>
      <c r="DX67" s="4">
        <v>117</v>
      </c>
      <c r="DY67" s="14">
        <v>100</v>
      </c>
      <c r="DZ67" s="4">
        <v>460</v>
      </c>
      <c r="EA67" s="14">
        <f>SUM(DV67:DZ67)</f>
        <v>953.56999999999994</v>
      </c>
      <c r="EB67" s="14">
        <f ca="1">SUM(DP67,DR67,EA67, DU67, DT67,GB67)</f>
        <v>4665.0665666666664</v>
      </c>
      <c r="EC67" s="24" t="s">
        <v>4920</v>
      </c>
      <c r="ED67" s="7">
        <v>0.13</v>
      </c>
      <c r="EE67" s="4">
        <v>8600</v>
      </c>
      <c r="EF67" s="4">
        <v>76300</v>
      </c>
      <c r="EG67" s="14">
        <f>SUM(EE67+EF67)</f>
        <v>84900</v>
      </c>
      <c r="EH67" s="14">
        <v>7700</v>
      </c>
      <c r="EI67" s="14">
        <v>107700</v>
      </c>
      <c r="EJ67" s="14">
        <f>SUM(EH67+EI67)</f>
        <v>115400</v>
      </c>
      <c r="EK67" t="s">
        <v>3641</v>
      </c>
      <c r="EL67" t="s">
        <v>3642</v>
      </c>
      <c r="EM67" t="s">
        <v>3643</v>
      </c>
      <c r="EN67" t="s">
        <v>3644</v>
      </c>
      <c r="EO67" t="s">
        <v>3645</v>
      </c>
      <c r="EP67" t="s">
        <v>3646</v>
      </c>
      <c r="FN67" t="s">
        <v>3634</v>
      </c>
      <c r="FO67" t="s">
        <v>3635</v>
      </c>
      <c r="FP67" t="s">
        <v>3636</v>
      </c>
      <c r="FQ67" t="s">
        <v>1883</v>
      </c>
      <c r="FR67" t="s">
        <v>1485</v>
      </c>
      <c r="FS67" s="9">
        <v>39766</v>
      </c>
      <c r="FT67" t="s">
        <v>3637</v>
      </c>
      <c r="GB67" s="4"/>
      <c r="GC67" t="s">
        <v>2223</v>
      </c>
      <c r="GD67" t="s">
        <v>783</v>
      </c>
      <c r="GE67" t="s">
        <v>1030</v>
      </c>
      <c r="GG67" t="s">
        <v>259</v>
      </c>
      <c r="GH67" t="s">
        <v>260</v>
      </c>
      <c r="GI67" s="9">
        <v>41478</v>
      </c>
      <c r="GJ67" t="s">
        <v>3651</v>
      </c>
      <c r="GN67" t="s">
        <v>439</v>
      </c>
      <c r="GO67" t="s">
        <v>3638</v>
      </c>
      <c r="GP67" t="s">
        <v>298</v>
      </c>
      <c r="GQ67" t="s">
        <v>440</v>
      </c>
      <c r="GR67" t="s">
        <v>274</v>
      </c>
      <c r="GS67" t="s">
        <v>275</v>
      </c>
      <c r="GT67" s="9">
        <v>42464</v>
      </c>
      <c r="GU67" t="s">
        <v>3639</v>
      </c>
      <c r="GY67" t="s">
        <v>2223</v>
      </c>
      <c r="GZ67" t="s">
        <v>783</v>
      </c>
      <c r="HA67" t="s">
        <v>1030</v>
      </c>
      <c r="HC67" t="s">
        <v>259</v>
      </c>
      <c r="HD67" t="s">
        <v>260</v>
      </c>
      <c r="HE67" s="9">
        <v>41449</v>
      </c>
      <c r="HF67" t="s">
        <v>3640</v>
      </c>
      <c r="HG67" t="s">
        <v>3648</v>
      </c>
      <c r="HH67" t="s">
        <v>3647</v>
      </c>
      <c r="HI67" t="s">
        <v>3649</v>
      </c>
      <c r="HK67" t="s">
        <v>267</v>
      </c>
      <c r="HL67" t="s">
        <v>268</v>
      </c>
      <c r="HM67" s="9">
        <v>39556</v>
      </c>
      <c r="HN67" t="s">
        <v>3650</v>
      </c>
      <c r="IE67" s="9">
        <v>45227</v>
      </c>
      <c r="IM67" t="s">
        <v>1530</v>
      </c>
      <c r="IN67" s="4">
        <v>1383.9</v>
      </c>
      <c r="IP67" s="14">
        <f ca="1">SUM(IF67-EB67-GB67-IN67)</f>
        <v>-6048.966566666666</v>
      </c>
      <c r="IQ67" s="9">
        <v>45182</v>
      </c>
      <c r="IR67" s="9"/>
      <c r="IS67" s="9"/>
      <c r="IT67" s="9"/>
      <c r="IU67" s="9"/>
    </row>
    <row r="68" spans="1:263" ht="15" customHeight="1">
      <c r="A68" s="19">
        <v>102023124</v>
      </c>
      <c r="B68" s="18" t="s">
        <v>4377</v>
      </c>
      <c r="C68" t="s">
        <v>258</v>
      </c>
      <c r="D68" s="1">
        <v>2025</v>
      </c>
      <c r="E68" s="3"/>
      <c r="F68" s="3"/>
      <c r="G68" s="18"/>
      <c r="J68" s="18" t="s">
        <v>554</v>
      </c>
      <c r="K68" s="18" t="s">
        <v>4458</v>
      </c>
      <c r="L68" s="130" t="s">
        <v>2058</v>
      </c>
      <c r="M68" s="130" t="s">
        <v>850</v>
      </c>
      <c r="N68" s="130" t="s">
        <v>341</v>
      </c>
      <c r="O68" s="288"/>
      <c r="P68" s="130" t="s">
        <v>4458</v>
      </c>
      <c r="Q68" s="130" t="s">
        <v>4459</v>
      </c>
      <c r="R68" s="130" t="s">
        <v>396</v>
      </c>
      <c r="S68" s="130"/>
      <c r="AG68" s="43"/>
      <c r="AJ68" s="18" t="s">
        <v>328</v>
      </c>
      <c r="AL68" s="18" t="s">
        <v>438</v>
      </c>
      <c r="AM68"/>
      <c r="AN68"/>
      <c r="AO68" s="18" t="s">
        <v>4460</v>
      </c>
      <c r="AP68" s="3" t="s">
        <v>258</v>
      </c>
      <c r="AQ68" s="18" t="s">
        <v>438</v>
      </c>
      <c r="AR68" t="s">
        <v>260</v>
      </c>
      <c r="AS68" s="18" t="s">
        <v>473</v>
      </c>
      <c r="AT68" s="18" t="s">
        <v>474</v>
      </c>
      <c r="AU68" s="18" t="s">
        <v>475</v>
      </c>
      <c r="AV68" s="18" t="s">
        <v>438</v>
      </c>
      <c r="AW68" s="18" t="s">
        <v>260</v>
      </c>
      <c r="AX68" s="1"/>
      <c r="AY68" s="1"/>
      <c r="AZ68" s="1"/>
      <c r="BA68" s="1"/>
      <c r="BB68" s="1"/>
      <c r="BC68" s="2"/>
      <c r="BD68" s="116"/>
      <c r="BE68" s="115"/>
      <c r="BF68" s="2"/>
      <c r="BG68" s="2"/>
      <c r="BH68" s="2"/>
      <c r="BI68" s="2"/>
      <c r="BJ68" s="2"/>
      <c r="BK68" s="2"/>
      <c r="BL68" s="20">
        <f ca="1">SUM(DP68)+220</f>
        <v>244.3168</v>
      </c>
      <c r="BM68" s="22">
        <f ca="1">PMT(10%/12,12,BL68,0,0)</f>
        <v>-21.479328237196807</v>
      </c>
      <c r="BN68" s="22">
        <f ca="1">SUM(BM68*-1)</f>
        <v>21.479328237196807</v>
      </c>
      <c r="BO68" s="14">
        <f>SUM(DX68*0.0052)/12</f>
        <v>8.666666666666667E-2</v>
      </c>
      <c r="BP68" s="22">
        <f ca="1">SUM(BN68+BO68)</f>
        <v>21.565994903863473</v>
      </c>
      <c r="BQ68" s="14"/>
      <c r="BR68" s="14">
        <f>SUM(BQ68*0.1)</f>
        <v>0</v>
      </c>
      <c r="BS68" s="14">
        <f ca="1">SUM(BT68*BU68)</f>
        <v>0</v>
      </c>
      <c r="BT68" s="17">
        <f>SUM((BQ68+BR68)*0.00833333333333333)</f>
        <v>0</v>
      </c>
      <c r="BU68" s="23">
        <f ca="1">MONTH(TODAY())+49</f>
        <v>53</v>
      </c>
      <c r="BV68" s="14">
        <f ca="1">SUM(BQ68,BR68,BS68)</f>
        <v>0</v>
      </c>
      <c r="BW68" s="14"/>
      <c r="BX68" s="14">
        <f>SUM(BW68*0.1)</f>
        <v>0</v>
      </c>
      <c r="BY68" s="14">
        <f ca="1">SUM(BZ68*CA68)</f>
        <v>0</v>
      </c>
      <c r="BZ68" s="17">
        <f>SUM((BW68+BX68)*0.00833333333333333)</f>
        <v>0</v>
      </c>
      <c r="CA68" s="23">
        <f ca="1">MONTH(TODAY())+37</f>
        <v>41</v>
      </c>
      <c r="CB68" s="14">
        <f ca="1">SUM(BW68,BX68,BY68)</f>
        <v>0</v>
      </c>
      <c r="CC68" s="14">
        <v>0</v>
      </c>
      <c r="CD68" s="14">
        <f>SUM(CC68*0.1)</f>
        <v>0</v>
      </c>
      <c r="CE68" s="14">
        <f ca="1">SUM(CF68*CG68)</f>
        <v>0</v>
      </c>
      <c r="CF68" s="17">
        <f>SUM((CC68+CD68)*0.00833333333333333)</f>
        <v>0</v>
      </c>
      <c r="CG68" s="23">
        <f ca="1">MONTH(TODAY())+25</f>
        <v>29</v>
      </c>
      <c r="CH68" s="14">
        <f ca="1">SUM(CC68,CD68,CE68)</f>
        <v>0</v>
      </c>
      <c r="CI68" s="14">
        <f>SUM(DU68*0.0052)</f>
        <v>1.04</v>
      </c>
      <c r="CJ68" s="14">
        <f>SUM(CI68*0.1)</f>
        <v>0.10400000000000001</v>
      </c>
      <c r="CK68" s="14">
        <f ca="1">SUM(CL68*CM68)</f>
        <v>0.16206666666666664</v>
      </c>
      <c r="CL68" s="17">
        <f>SUM((CI68+CJ68)*0.00833333333333333)</f>
        <v>9.5333333333333312E-3</v>
      </c>
      <c r="CM68" s="23">
        <f ca="1">MONTH(TODAY())+13</f>
        <v>17</v>
      </c>
      <c r="CN68" s="14">
        <f ca="1">SUM(CI68,CJ68,CK68)</f>
        <v>1.3060666666666667</v>
      </c>
      <c r="CO68" s="14">
        <f>SUM(DU68*0.0052)/2</f>
        <v>0.52</v>
      </c>
      <c r="CP68" s="14">
        <f>SUM(CO68*0.1)</f>
        <v>5.2000000000000005E-2</v>
      </c>
      <c r="CQ68" s="14">
        <f ca="1">SUM(CR68*CS68)</f>
        <v>4.2899999999999994E-2</v>
      </c>
      <c r="CR68" s="17">
        <f>SUM((CO68+CP68)*0.00833333333333333)</f>
        <v>4.7666666666666656E-3</v>
      </c>
      <c r="CS68" s="23">
        <f ca="1">MONTH(TODAY())+5</f>
        <v>9</v>
      </c>
      <c r="CT68" s="23">
        <f ca="1">SUM(CO68,CP68,CQ68)</f>
        <v>0.6149</v>
      </c>
      <c r="CU68" s="14">
        <f>SUM(DU68*0.0052)/2</f>
        <v>0.52</v>
      </c>
      <c r="CV68" s="14">
        <f>SUM(CU68*0.1)</f>
        <v>5.2000000000000005E-2</v>
      </c>
      <c r="CW68" s="14">
        <f ca="1">SUM(CX68*CY68)</f>
        <v>2.3833333333333328E-2</v>
      </c>
      <c r="CX68" s="17">
        <f>SUM((CU68+CV68)*0.00833333333333333)</f>
        <v>4.7666666666666656E-3</v>
      </c>
      <c r="CY68" s="23">
        <f ca="1">MONTH(TODAY())+1</f>
        <v>5</v>
      </c>
      <c r="CZ68" s="23">
        <f ca="1">SUM(CU68,CV68,CW68)</f>
        <v>0.59583333333333344</v>
      </c>
      <c r="DA68" s="14">
        <f>SUM( BQ68, BW68, CC68, CI68, CO68,CU68)</f>
        <v>2.08</v>
      </c>
      <c r="DB68" s="14">
        <f>SUM(BR68,BX68,CD68,CJ68, CP68,CV68)</f>
        <v>0.20800000000000002</v>
      </c>
      <c r="DC68" s="14">
        <f ca="1">SUM(BS68,BY68,CE68,CK68, CQ68,CW68)</f>
        <v>0.22879999999999995</v>
      </c>
      <c r="DD68" s="25">
        <f ca="1">SUM(DA68:DC68)</f>
        <v>2.5168000000000004</v>
      </c>
      <c r="DE68" s="47">
        <f ca="1">SUM(DD68/DU68)</f>
        <v>1.2584000000000001E-2</v>
      </c>
      <c r="DF68" s="14">
        <v>20</v>
      </c>
      <c r="DG68" s="32">
        <f>COUNTIF(DL68, "*")+COUNTIF(AO68, "*")+COUNTIF(AJ68, "*")+COUNTIF(AA68, "*")+COUNTIF(EM68, "*")+COUNTIF(ES68, "*")+COUNTIF(EY68, "*")+COUNTIF(FC68, "*")+COUNTIF(FJ68, "*")+COUNTIF(AT68, "*")+COUNTIF(FS68, "*")+COUNTIF(GD68, "*")+COUNTIF(GO68, "*")+COUNTIF(GW68, "*")+COUNTIF(HE68, "*")+COUNTIF(HM68, "*")+COUNTIF(HU68, "*")</f>
        <v>3</v>
      </c>
      <c r="DH68" s="14">
        <f>DG68*0.6</f>
        <v>1.7999999999999998</v>
      </c>
      <c r="DI68" s="4"/>
      <c r="DJ68" s="4"/>
      <c r="DK68" s="4"/>
      <c r="DL68" s="4"/>
      <c r="DN68" s="4"/>
      <c r="DO68" s="14">
        <f>SUM(DJ68:DN68)</f>
        <v>0</v>
      </c>
      <c r="DP68" s="14">
        <f ca="1">SUM(DD68,DF68,DO68, DI68, DH68,FP68)</f>
        <v>24.316800000000001</v>
      </c>
      <c r="DQ68" s="24" t="s">
        <v>3879</v>
      </c>
      <c r="DR68" s="130">
        <v>0.12</v>
      </c>
      <c r="DS68" s="14">
        <v>200</v>
      </c>
      <c r="DT68" s="14">
        <v>0</v>
      </c>
      <c r="DU68" s="14">
        <v>200</v>
      </c>
      <c r="DV68" s="14">
        <v>200</v>
      </c>
      <c r="DW68" s="14">
        <v>0</v>
      </c>
      <c r="DX68" s="14">
        <f>SUM(DV68+DW68)</f>
        <v>200</v>
      </c>
      <c r="IA68" s="9"/>
      <c r="IL68" s="14">
        <f ca="1">SUM(IB68-DP68-FP68-IJ68)</f>
        <v>-24.316800000000001</v>
      </c>
      <c r="IM68" s="9"/>
      <c r="IN68" s="9"/>
      <c r="IO68" s="9"/>
      <c r="IP68" s="9"/>
      <c r="IQ68" s="9"/>
    </row>
    <row r="69" spans="1:263" ht="15" customHeight="1">
      <c r="A69" s="19">
        <v>102022172</v>
      </c>
      <c r="B69" t="s">
        <v>2900</v>
      </c>
      <c r="C69" t="s">
        <v>258</v>
      </c>
      <c r="D69" s="1">
        <v>2025</v>
      </c>
      <c r="E69" s="3" t="s">
        <v>3888</v>
      </c>
      <c r="F69" s="3">
        <v>220004200</v>
      </c>
      <c r="J69" t="s">
        <v>311</v>
      </c>
      <c r="K69" t="s">
        <v>3219</v>
      </c>
      <c r="L69" t="s">
        <v>776</v>
      </c>
      <c r="M69" t="s">
        <v>396</v>
      </c>
      <c r="AG69" s="43"/>
      <c r="AM69"/>
      <c r="AN69"/>
      <c r="AO69" s="3" t="s">
        <v>3220</v>
      </c>
      <c r="AP69" s="3" t="s">
        <v>258</v>
      </c>
      <c r="AQ69" t="s">
        <v>438</v>
      </c>
      <c r="AR69" t="s">
        <v>260</v>
      </c>
      <c r="AS69" s="1"/>
      <c r="AT69" s="1" t="s">
        <v>258</v>
      </c>
      <c r="AU69" s="1"/>
      <c r="AV69" s="1"/>
      <c r="AW69" s="1"/>
      <c r="AX69" s="48">
        <v>44728</v>
      </c>
      <c r="AY69" s="115">
        <v>44696</v>
      </c>
      <c r="AZ69" s="115">
        <v>44655</v>
      </c>
      <c r="BA69" s="70"/>
      <c r="BB69" s="2"/>
      <c r="BC69" s="48"/>
      <c r="BD69" s="48"/>
      <c r="BE69" s="70">
        <v>44813</v>
      </c>
      <c r="BF69" s="19" t="s">
        <v>319</v>
      </c>
      <c r="BG69" s="20">
        <f ca="1">SUM(DK69)+214.5</f>
        <v>2156.9628666666667</v>
      </c>
      <c r="BH69" s="22">
        <f ca="1">PMT(10%/12,12,BG69,0,0)</f>
        <v>-189.63130414518488</v>
      </c>
      <c r="BI69" s="22">
        <f ca="1">SUM(BH69*-1)</f>
        <v>189.63130414518488</v>
      </c>
      <c r="BJ69" s="14">
        <f>SUM(DU69*0.0052)/12</f>
        <v>10.573333333333332</v>
      </c>
      <c r="BK69" s="22">
        <f ca="1">SUM(BI69+BJ69)</f>
        <v>200.20463747851821</v>
      </c>
      <c r="BL69" s="14"/>
      <c r="BM69" s="14">
        <f>SUM(BL69*0.1)</f>
        <v>0</v>
      </c>
      <c r="BN69" s="14">
        <f ca="1">SUM(BO69*BP69)</f>
        <v>0</v>
      </c>
      <c r="BO69" s="17">
        <f>SUM((BL69+BM69)*0.00833333333333333)</f>
        <v>0</v>
      </c>
      <c r="BP69" s="23">
        <f ca="1">MONTH(TODAY())+49</f>
        <v>53</v>
      </c>
      <c r="BQ69" s="14">
        <f ca="1">SUM(BL69,BM69,BN69)</f>
        <v>0</v>
      </c>
      <c r="BR69" s="14"/>
      <c r="BS69" s="14">
        <f>SUM(BR69*0.1)</f>
        <v>0</v>
      </c>
      <c r="BT69" s="14">
        <f ca="1">SUM(BU69*BV69)</f>
        <v>0</v>
      </c>
      <c r="BU69" s="17">
        <f>SUM((BR69+BS69)*0.00833333333333333)</f>
        <v>0</v>
      </c>
      <c r="BV69" s="23">
        <f ca="1">MONTH(TODAY())+37</f>
        <v>41</v>
      </c>
      <c r="BW69" s="14">
        <f ca="1">SUM(BR69,BS69,BT69)</f>
        <v>0</v>
      </c>
      <c r="BX69" s="14"/>
      <c r="BY69" s="14">
        <f>SUM(BX69*0.1)</f>
        <v>0</v>
      </c>
      <c r="BZ69" s="14">
        <f ca="1">SUM(CA69*CB69)</f>
        <v>0</v>
      </c>
      <c r="CA69" s="17">
        <f>SUM((BX69+BY69)*0.00833333333333333)</f>
        <v>0</v>
      </c>
      <c r="CB69" s="23">
        <f ca="1">MONTH(TODAY())+25</f>
        <v>29</v>
      </c>
      <c r="CC69" s="14">
        <f ca="1">SUM(BX69,BY69,BZ69)</f>
        <v>0</v>
      </c>
      <c r="CD69" s="14">
        <f>SUM(DU69*0.0052)</f>
        <v>126.88</v>
      </c>
      <c r="CE69" s="14">
        <f>SUM(CD69*0.1)</f>
        <v>12.688000000000001</v>
      </c>
      <c r="CF69" s="14">
        <f ca="1">SUM(CG69*CH69)</f>
        <v>19.772133333333322</v>
      </c>
      <c r="CG69" s="17">
        <f>SUM((CD69+CE69)*0.00833333333333333)</f>
        <v>1.163066666666666</v>
      </c>
      <c r="CH69" s="23">
        <f ca="1">MONTH(TODAY())+13</f>
        <v>17</v>
      </c>
      <c r="CI69" s="14">
        <f ca="1">SUM(CD69,CE69,CF69)</f>
        <v>159.34013333333331</v>
      </c>
      <c r="CJ69" s="14">
        <f>SUM(DU69*0.0052)</f>
        <v>126.88</v>
      </c>
      <c r="CK69" s="14">
        <f>SUM(CJ69*0.1)</f>
        <v>12.688000000000001</v>
      </c>
      <c r="CL69" s="14">
        <f ca="1">SUM(CM69*CN69)</f>
        <v>5.8153333333333297</v>
      </c>
      <c r="CM69" s="17">
        <f>SUM((CJ69+CK69)*0.00833333333333333)</f>
        <v>1.163066666666666</v>
      </c>
      <c r="CN69" s="23">
        <f ca="1">MONTH(TODAY())+1</f>
        <v>5</v>
      </c>
      <c r="CO69" s="14">
        <f ca="1">SUM(CJ69,CK69,CL69)</f>
        <v>145.38333333333333</v>
      </c>
      <c r="CP69" s="14">
        <f>SUM(DU69*0.0052)/2</f>
        <v>63.44</v>
      </c>
      <c r="CQ69" s="14">
        <f>SUM(CP69*0.1)</f>
        <v>6.3440000000000003</v>
      </c>
      <c r="CR69" s="14">
        <f ca="1">SUM(CS69*CT69)</f>
        <v>-1.744599999999999</v>
      </c>
      <c r="CS69" s="17">
        <f>SUM((CP69+CQ69)*0.00833333333333333)</f>
        <v>0.58153333333333301</v>
      </c>
      <c r="CT69" s="23">
        <f ca="1">MONTH(TODAY())-7</f>
        <v>-3</v>
      </c>
      <c r="CU69" s="262">
        <v>70.94</v>
      </c>
      <c r="CV69" s="14">
        <f>SUM(DU69*0.0052)/2</f>
        <v>63.44</v>
      </c>
      <c r="CW69" s="14">
        <v>0</v>
      </c>
      <c r="CX69" s="14">
        <v>0</v>
      </c>
      <c r="CY69" s="17">
        <f>SUM((CV69+CW69)*0.00833333333333333)</f>
        <v>0.5286666666666664</v>
      </c>
      <c r="CZ69" s="23">
        <f ca="1">MONTH(TODAY())-7</f>
        <v>-3</v>
      </c>
      <c r="DA69" s="262">
        <v>70.94</v>
      </c>
      <c r="DB69" s="14">
        <f>SUM(BL69, BR69, BX69, CD69, CJ69, CP69,CV69)</f>
        <v>380.64</v>
      </c>
      <c r="DC69" s="14">
        <f>SUM(BM69, BS69,BY69,CE69,CK69, CQ69,CW69)</f>
        <v>31.720000000000002</v>
      </c>
      <c r="DD69" s="14">
        <f ca="1">SUM(BN69, BT69,BZ69,CF69,CL69, CR69,CX69)</f>
        <v>23.842866666666652</v>
      </c>
      <c r="DE69" s="14">
        <f ca="1">SUM(DB69:DD69)</f>
        <v>436.20286666666664</v>
      </c>
      <c r="DF69" s="47">
        <f ca="1">SUM(DE69/DU69)</f>
        <v>1.7877166666666666E-2</v>
      </c>
      <c r="DG69" s="14">
        <f>19.5+19.5+117+117+39+39+58.5+58.5</f>
        <v>468</v>
      </c>
      <c r="DH69" s="32">
        <f>COUNTIF(DN69, "*")+COUNTIF(AO69, "*")+COUNTIF(AJ69, "*")+COUNTIF(AA69, "*")+COUNTIF(EK69, "*")+COUNTIF(EQ69, "*")+COUNTIF(EW69, "*")+COUNTIF(FA69, "*")+COUNTIF(FH69, "*")+COUNTIF(FO69, "*")+COUNTIF(FV69, "*")+COUNTIF(GG69, "*")+COUNTIF(GR69, "*")+COUNTIF(GZ69, "*")+COUNTIF(HH69, "*")+COUNTIF(HP69, "*")+COUNTIF(HX69, "*")</f>
        <v>4</v>
      </c>
      <c r="DI69" s="14">
        <f>DH69*0.53+DH69*6.66</f>
        <v>28.76</v>
      </c>
      <c r="DJ69" s="4">
        <v>300</v>
      </c>
      <c r="DK69" s="14">
        <f ca="1">SUM(DE69,DG69,DQ69, DJ69, DI69,FS69)</f>
        <v>1942.4628666666665</v>
      </c>
      <c r="DL69" s="4">
        <v>32</v>
      </c>
      <c r="DM69" s="4"/>
      <c r="DN69" s="4">
        <v>67.5</v>
      </c>
      <c r="DO69" s="14">
        <v>100</v>
      </c>
      <c r="DP69" s="4">
        <v>510</v>
      </c>
      <c r="DQ69" s="14">
        <f>SUM(DL69:DP69)</f>
        <v>709.5</v>
      </c>
      <c r="DR69" s="24" t="s">
        <v>2773</v>
      </c>
      <c r="DS69" s="4">
        <v>8800</v>
      </c>
      <c r="DT69" s="4">
        <v>15600</v>
      </c>
      <c r="DU69" s="25">
        <f>SUM(DS69+DT69)</f>
        <v>24400</v>
      </c>
      <c r="DV69" s="35">
        <v>0.28000000000000003</v>
      </c>
      <c r="DW69" t="s">
        <v>3760</v>
      </c>
      <c r="DX69" t="s">
        <v>3761</v>
      </c>
      <c r="FN69" s="18" t="s">
        <v>473</v>
      </c>
      <c r="FO69" s="18" t="s">
        <v>474</v>
      </c>
      <c r="FP69" s="18" t="s">
        <v>475</v>
      </c>
      <c r="FQ69" s="18" t="s">
        <v>438</v>
      </c>
      <c r="FR69" s="18" t="s">
        <v>260</v>
      </c>
      <c r="FT69" t="s">
        <v>3762</v>
      </c>
      <c r="FU69" t="s">
        <v>3763</v>
      </c>
      <c r="FV69" t="s">
        <v>3764</v>
      </c>
      <c r="FX69" t="s">
        <v>438</v>
      </c>
      <c r="FY69" t="s">
        <v>1410</v>
      </c>
      <c r="FZ69" s="9">
        <v>43455</v>
      </c>
      <c r="GA69" t="s">
        <v>3765</v>
      </c>
      <c r="GE69" t="s">
        <v>3766</v>
      </c>
      <c r="GF69" t="s">
        <v>3767</v>
      </c>
      <c r="GG69" t="s">
        <v>3768</v>
      </c>
      <c r="GI69" t="s">
        <v>386</v>
      </c>
      <c r="GJ69" t="s">
        <v>260</v>
      </c>
      <c r="GK69" s="9">
        <v>44501</v>
      </c>
      <c r="GL69" t="s">
        <v>3769</v>
      </c>
      <c r="ID69" s="9">
        <v>44863</v>
      </c>
      <c r="IO69" s="4"/>
      <c r="IP69" s="9">
        <v>44823</v>
      </c>
    </row>
    <row r="70" spans="1:263" ht="15" customHeight="1">
      <c r="A70" s="19">
        <v>102022058</v>
      </c>
      <c r="B70" t="s">
        <v>2806</v>
      </c>
      <c r="C70" s="10" t="s">
        <v>258</v>
      </c>
      <c r="D70" s="161" t="s">
        <v>5932</v>
      </c>
      <c r="E70" s="147"/>
      <c r="F70" s="160"/>
      <c r="G70" s="147"/>
      <c r="H70" s="10"/>
      <c r="I70" s="10"/>
      <c r="J70" s="10"/>
      <c r="K70" s="10" t="s">
        <v>2943</v>
      </c>
      <c r="L70" s="10"/>
      <c r="M70" s="10"/>
      <c r="N70" s="10"/>
      <c r="O70" s="147"/>
      <c r="P70" s="10"/>
      <c r="Q70" s="10"/>
      <c r="R70" s="10"/>
      <c r="S70" s="10"/>
      <c r="T70" s="10"/>
      <c r="U70" s="10"/>
      <c r="V70" s="10"/>
      <c r="W70" s="10"/>
      <c r="X70" s="10"/>
      <c r="Y70" s="10"/>
      <c r="Z70" s="10"/>
      <c r="AA70" s="10"/>
      <c r="AB70" s="10"/>
      <c r="AC70" s="10"/>
      <c r="AD70" s="10"/>
      <c r="AE70" s="10"/>
      <c r="AF70" s="10"/>
      <c r="AG70" s="141"/>
      <c r="AH70" s="10"/>
      <c r="AI70" s="10"/>
      <c r="AJ70" s="18" t="s">
        <v>328</v>
      </c>
      <c r="AK70" s="1"/>
      <c r="AL70" t="s">
        <v>438</v>
      </c>
      <c r="AM70"/>
      <c r="AN70"/>
      <c r="AO70" t="s">
        <v>2944</v>
      </c>
      <c r="AP70" s="1" t="s">
        <v>258</v>
      </c>
      <c r="AQ70" t="s">
        <v>2945</v>
      </c>
      <c r="AR70"/>
      <c r="AX70" s="1"/>
      <c r="AY70" s="1"/>
      <c r="AZ70" s="1"/>
      <c r="BA70" s="1"/>
      <c r="BB70" s="1"/>
      <c r="BC70" s="70"/>
      <c r="BD70" s="115">
        <v>45060</v>
      </c>
      <c r="BE70" s="144">
        <v>45061</v>
      </c>
      <c r="BF70" s="70"/>
      <c r="BG70" s="2"/>
      <c r="BH70" s="70"/>
      <c r="BI70" s="70"/>
      <c r="BJ70" s="70"/>
      <c r="BK70" s="70"/>
      <c r="BL70" s="20">
        <f ca="1">SUM(EB70)+220</f>
        <v>509.40816666666666</v>
      </c>
      <c r="BM70" s="22">
        <f ca="1">PMT(10%/12,12,BL70,0,0)</f>
        <v>-44.7850709347126</v>
      </c>
      <c r="BN70" s="22">
        <f ca="1">SUM(BM70*-1)</f>
        <v>44.7850709347126</v>
      </c>
      <c r="BO70" s="14">
        <f>SUM(EJ70*0.0052)/12</f>
        <v>2.1666666666666665</v>
      </c>
      <c r="BP70" s="22">
        <f ca="1">SUM(BN70+BO70)</f>
        <v>46.951737601379264</v>
      </c>
      <c r="BQ70" s="14">
        <f>SUM(EG70*0.0052)</f>
        <v>2.6</v>
      </c>
      <c r="BR70" s="14">
        <f>SUM(BQ70*0.1)</f>
        <v>0.26</v>
      </c>
      <c r="BS70" s="14">
        <f ca="1">SUM(BT70*BU70)</f>
        <v>0.97716666666666629</v>
      </c>
      <c r="BT70" s="17">
        <f>SUM((BQ70+BR70)*0.00833333333333333)</f>
        <v>2.3833333333333324E-2</v>
      </c>
      <c r="BU70" s="23">
        <f ca="1">MONTH(TODAY())+37</f>
        <v>41</v>
      </c>
      <c r="BV70" s="14">
        <f ca="1">SUM(BQ70,BR70,BS70)</f>
        <v>3.8371666666666666</v>
      </c>
      <c r="BW70" s="14">
        <f>SUM(EG70*0.0052)</f>
        <v>2.6</v>
      </c>
      <c r="BX70" s="14">
        <f>SUM(BW70*0.1)</f>
        <v>0.26</v>
      </c>
      <c r="BY70" s="14">
        <f ca="1">SUM(BZ70*CA70)</f>
        <v>0.97716666666666629</v>
      </c>
      <c r="BZ70" s="17">
        <f>SUM((BW70+BX70)*0.00833333333333333)</f>
        <v>2.3833333333333324E-2</v>
      </c>
      <c r="CA70" s="23">
        <f ca="1">MONTH(TODAY())+37</f>
        <v>41</v>
      </c>
      <c r="CB70" s="14">
        <f ca="1">SUM(BW70,BX70,BY70)</f>
        <v>3.8371666666666666</v>
      </c>
      <c r="CC70" s="14">
        <f>SUM(EG70*0.0052)/2</f>
        <v>1.3</v>
      </c>
      <c r="CD70" s="14">
        <f>SUM(CC70*0.1)</f>
        <v>0.13</v>
      </c>
      <c r="CE70" s="14">
        <f ca="1">SUM(CF70*CG70)</f>
        <v>0.39324999999999988</v>
      </c>
      <c r="CF70" s="17">
        <f>SUM((CC70+CD70)*0.00833333333333333)</f>
        <v>1.1916666666666662E-2</v>
      </c>
      <c r="CG70" s="23">
        <f ca="1">MONTH(TODAY())+29</f>
        <v>33</v>
      </c>
      <c r="CH70" s="23">
        <f ca="1">SUM(CC70,CD70,CE70)</f>
        <v>1.82325</v>
      </c>
      <c r="CI70" s="14">
        <f>SUM(EG70*0.0052)/2</f>
        <v>1.3</v>
      </c>
      <c r="CJ70" s="14">
        <f>SUM(CI70*0.1)</f>
        <v>0.13</v>
      </c>
      <c r="CK70" s="14">
        <f ca="1">SUM(CL70*CM70)</f>
        <v>0.34558333333333319</v>
      </c>
      <c r="CL70" s="17">
        <f>SUM((CI70+CJ70)*0.00833333333333333)</f>
        <v>1.1916666666666662E-2</v>
      </c>
      <c r="CM70" s="23">
        <f ca="1">MONTH(TODAY())+25</f>
        <v>29</v>
      </c>
      <c r="CN70" s="14">
        <f ca="1">SUM(CI70,CJ70,CK70)</f>
        <v>1.7755833333333333</v>
      </c>
      <c r="CO70" s="14">
        <f>SUM(EJ70*0.0045)/2</f>
        <v>11.25</v>
      </c>
      <c r="CP70" s="14">
        <f>SUM(CO70*0.1)</f>
        <v>1.125</v>
      </c>
      <c r="CQ70" s="14">
        <f ca="1">SUM(CR70*CS70)</f>
        <v>2.3718749999999988</v>
      </c>
      <c r="CR70" s="17">
        <f>SUM((CO70+CP70)*0.00833333333333333)</f>
        <v>0.10312499999999995</v>
      </c>
      <c r="CS70" s="23">
        <f ca="1">MONTH(TODAY())+19</f>
        <v>23</v>
      </c>
      <c r="CT70" s="14">
        <f ca="1">SUM(CO70,CP70,CQ70)</f>
        <v>14.746874999999999</v>
      </c>
      <c r="CU70" s="14">
        <f>SUM(EJ70*0.0045)/2</f>
        <v>11.25</v>
      </c>
      <c r="CV70" s="14">
        <f>SUM(CU70*0.1)</f>
        <v>1.125</v>
      </c>
      <c r="CW70" s="14">
        <f ca="1">SUM(CX70*CY70)</f>
        <v>1.7531249999999992</v>
      </c>
      <c r="CX70" s="17">
        <f>SUM((CU70+CV70)*0.00833333333333333)</f>
        <v>0.10312499999999995</v>
      </c>
      <c r="CY70" s="23">
        <f ca="1">MONTH(TODAY())+13</f>
        <v>17</v>
      </c>
      <c r="CZ70" s="14">
        <f ca="1">SUM(CU70,CV70,CW70)</f>
        <v>14.128124999999999</v>
      </c>
      <c r="DA70" s="14">
        <f>SUM(EJ70*0.0045)/2</f>
        <v>11.25</v>
      </c>
      <c r="DB70" s="14">
        <f>SUM(DA70*0.1)</f>
        <v>1.125</v>
      </c>
      <c r="DC70" s="14">
        <f ca="1">SUM(DD70*DE70)</f>
        <v>1.1343749999999995</v>
      </c>
      <c r="DD70" s="17">
        <f>SUM((DA70+DB70)*0.00833333333333333)</f>
        <v>0.10312499999999995</v>
      </c>
      <c r="DE70" s="23">
        <f ca="1">MONTH(TODAY())+7</f>
        <v>11</v>
      </c>
      <c r="DF70" s="14">
        <f ca="1">SUM(DA70,DB70,DC70)</f>
        <v>13.509374999999999</v>
      </c>
      <c r="DG70" s="14">
        <f>SUM(EJ70*0.0045)/2</f>
        <v>11.25</v>
      </c>
      <c r="DH70" s="14">
        <f>SUM(DG70*0.1)</f>
        <v>1.125</v>
      </c>
      <c r="DI70" s="14">
        <f ca="1">SUM(DJ70*DK70)</f>
        <v>0.51562499999999978</v>
      </c>
      <c r="DJ70" s="17">
        <f>SUM((DG70+DH70)*0.00833333333333333)</f>
        <v>0.10312499999999995</v>
      </c>
      <c r="DK70" s="23">
        <f ca="1">MONTH(TODAY())+1</f>
        <v>5</v>
      </c>
      <c r="DL70" s="14">
        <f ca="1">SUM(DG70,DH70,DI70)</f>
        <v>12.890625</v>
      </c>
      <c r="DM70" s="14">
        <f>SUM(BQ70, BW70, CC70,CI70,CO70,CU70,DA70,DG70)</f>
        <v>52.8</v>
      </c>
      <c r="DN70" s="14">
        <f>SUM(BR70,BX70, CD70,CJ70,CP70,CV70,DB70,DH70)</f>
        <v>5.28</v>
      </c>
      <c r="DO70" s="14">
        <f ca="1">SUM(BS70,BY70, CE70,CK70,CQ70,CW70,DC70,DI70)</f>
        <v>8.4681666666666633</v>
      </c>
      <c r="DP70" s="25">
        <f ca="1">SUM(DM70:DO70)</f>
        <v>66.54816666666666</v>
      </c>
      <c r="DQ70" s="47">
        <f ca="1">SUM(DP70/EG70)</f>
        <v>0.13309633333333332</v>
      </c>
      <c r="DR70" s="14">
        <f>20+50</f>
        <v>70</v>
      </c>
      <c r="DS70" s="32">
        <f>COUNTIF(AO70, "*")+COUNTIF(AJ70, "*")+COUNTIF(AA70, "*")+COUNTIF(EU70, "*")+COUNTIF(FA70, "*")+COUNTIF(FG70, "*")+COUNTIF(FK70, "*")+COUNTIF(FR70, "*")+COUNTIF(AT70, "*")+COUNTIF(GA70, "*")+COUNTIF(GL70, "*")+COUNTIF(GW70, "*")+COUNTIF(HE70, "*")+COUNTIF(HM70, "*")+COUNTIF(HU70, "*")</f>
        <v>2</v>
      </c>
      <c r="DT70" s="14">
        <f>1.2+DS70*7.45</f>
        <v>16.100000000000001</v>
      </c>
      <c r="DU70" s="4">
        <v>36.76</v>
      </c>
      <c r="DV70" s="4">
        <v>100</v>
      </c>
      <c r="DW70" s="4"/>
      <c r="DX70" s="4"/>
      <c r="DY70" s="4"/>
      <c r="DZ70" s="4"/>
      <c r="EA70" s="14">
        <f>SUM(DU70:DZ70)</f>
        <v>136.76</v>
      </c>
      <c r="EB70" s="14">
        <f ca="1">SUM(DP70,DR70,EA70,DT70,FX70)</f>
        <v>289.40816666666666</v>
      </c>
      <c r="EC70" s="24" t="s">
        <v>5940</v>
      </c>
      <c r="ED70" s="7">
        <v>0.18</v>
      </c>
      <c r="EE70" s="4">
        <v>500</v>
      </c>
      <c r="EF70" s="4">
        <v>0</v>
      </c>
      <c r="EG70" s="14">
        <f>SUM(EE70+EF70)</f>
        <v>500</v>
      </c>
      <c r="EH70" s="14">
        <v>5000</v>
      </c>
      <c r="EI70" s="14">
        <v>0</v>
      </c>
      <c r="EJ70" s="14">
        <f>SUM(EH70+EI70)</f>
        <v>5000</v>
      </c>
      <c r="EK70" s="10" t="s">
        <v>5936</v>
      </c>
      <c r="EL70" s="10" t="s">
        <v>5933</v>
      </c>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9"/>
      <c r="FP70" s="10"/>
      <c r="FQ70" s="10"/>
      <c r="FR70" s="10"/>
      <c r="FS70" s="10"/>
      <c r="FT70" s="10"/>
      <c r="FU70" s="10"/>
      <c r="FV70" s="9"/>
      <c r="FW70" s="10"/>
      <c r="FX70" s="10"/>
      <c r="FY70" s="10"/>
      <c r="FZ70" s="10"/>
      <c r="GA70" s="10"/>
      <c r="GB70" s="10"/>
      <c r="GC70" s="10"/>
      <c r="GD70" s="10"/>
      <c r="GE70" s="9"/>
      <c r="GF70" s="10"/>
      <c r="GG70" s="10"/>
      <c r="GH70" s="10"/>
      <c r="GI70" s="10"/>
      <c r="GJ70" s="10"/>
      <c r="GK70" s="10"/>
      <c r="GL70" s="10"/>
      <c r="GM70" s="10"/>
      <c r="GN70" s="10"/>
      <c r="GO70" s="10"/>
      <c r="GP70" s="9"/>
      <c r="GQ70" s="10"/>
      <c r="GR70" s="10"/>
      <c r="GS70" s="10"/>
      <c r="GT70" s="10"/>
      <c r="GU70" s="10"/>
      <c r="GV70" s="10"/>
      <c r="GW70" s="10"/>
      <c r="GX70" s="10"/>
      <c r="GY70" s="10"/>
      <c r="GZ70" s="10"/>
      <c r="HA70" s="9"/>
      <c r="HB70" s="10"/>
      <c r="HC70" s="10"/>
      <c r="HD70" s="10"/>
      <c r="HE70" s="10"/>
      <c r="HF70" s="10"/>
      <c r="HG70" s="10"/>
      <c r="HH70" s="10"/>
      <c r="HI70" s="9"/>
      <c r="HJ70" s="10"/>
      <c r="HK70" s="10"/>
      <c r="HL70" s="10"/>
      <c r="HM70" s="10"/>
      <c r="HN70" s="10"/>
      <c r="HO70" s="10"/>
      <c r="HP70" s="10"/>
      <c r="HQ70" s="9"/>
      <c r="HR70" s="10"/>
      <c r="HS70" s="10"/>
      <c r="HT70" s="10"/>
      <c r="HU70" s="10"/>
      <c r="HV70" s="10"/>
      <c r="HW70" s="10"/>
      <c r="HX70" s="10"/>
      <c r="HY70" s="9"/>
      <c r="HZ70" s="4"/>
      <c r="IA70" s="4"/>
      <c r="IB70" s="10"/>
      <c r="IC70" s="10"/>
      <c r="ID70" s="10"/>
      <c r="IE70" s="10"/>
      <c r="IF70" s="4"/>
      <c r="IG70" s="4"/>
      <c r="IH70" s="14">
        <f ca="1">SUM(HZ70-EB70-FX70-IF70)</f>
        <v>-289.40816666666666</v>
      </c>
      <c r="II70" s="14"/>
      <c r="IJ70" s="14"/>
      <c r="IK70" s="9"/>
      <c r="IL70" s="9"/>
      <c r="IM70" s="9"/>
      <c r="IN70" s="9"/>
      <c r="IO70" s="9"/>
      <c r="IP70" t="s">
        <v>5913</v>
      </c>
    </row>
    <row r="71" spans="1:263" ht="15" customHeight="1">
      <c r="A71" s="2">
        <v>102018062</v>
      </c>
      <c r="B71" s="4" t="s">
        <v>1208</v>
      </c>
      <c r="C71" s="4"/>
      <c r="D71" s="3"/>
      <c r="E71" s="3"/>
      <c r="F71" s="2"/>
      <c r="G71">
        <v>180000382</v>
      </c>
      <c r="J71" t="s">
        <v>253</v>
      </c>
      <c r="K71" t="s">
        <v>1209</v>
      </c>
      <c r="L71" t="s">
        <v>817</v>
      </c>
      <c r="O71" s="1"/>
      <c r="T71" s="1"/>
      <c r="AH71" s="3"/>
      <c r="AJ71" s="4"/>
      <c r="AK71" s="4"/>
      <c r="AO71" s="4"/>
      <c r="AP71" s="5"/>
      <c r="AQ71" s="34"/>
      <c r="AS71" s="5"/>
      <c r="AT71" s="5"/>
      <c r="AU71" s="1"/>
      <c r="AV71" s="1"/>
      <c r="AW71" s="1"/>
      <c r="AX71" s="1"/>
      <c r="AY71" s="1"/>
      <c r="AZ71" s="1"/>
      <c r="BA71" s="1"/>
      <c r="BB71" s="1"/>
      <c r="BC71" s="1"/>
      <c r="BD71" s="1"/>
      <c r="BE71" s="5"/>
      <c r="BF71" s="16"/>
      <c r="BG71" s="16"/>
      <c r="BI71" s="4"/>
      <c r="BJ71" s="4"/>
      <c r="BK71" s="6"/>
      <c r="BL71" s="7"/>
      <c r="BM71" s="4"/>
      <c r="BO71" s="4"/>
      <c r="BP71" s="4"/>
      <c r="BQ71" s="6"/>
      <c r="BR71" s="7"/>
      <c r="BS71" s="4"/>
      <c r="BU71" s="4"/>
      <c r="BV71" s="4"/>
      <c r="BW71" s="6"/>
      <c r="BX71" s="7"/>
      <c r="BY71" s="4"/>
      <c r="BZ71" s="4"/>
      <c r="CA71" s="4"/>
      <c r="CB71" s="4"/>
      <c r="CC71" s="6"/>
      <c r="CD71" s="7"/>
      <c r="CE71" s="4"/>
      <c r="CF71" s="6"/>
      <c r="CG71" s="4"/>
      <c r="CH71" s="4"/>
      <c r="CI71" s="6"/>
      <c r="CJ71" s="7"/>
      <c r="CK71" s="4"/>
      <c r="CL71" s="4"/>
      <c r="CM71" s="4"/>
      <c r="CN71" s="4"/>
      <c r="CO71" s="6"/>
      <c r="CP71" s="7"/>
      <c r="CQ71" s="4"/>
      <c r="CR71" s="4"/>
      <c r="CS71" s="4"/>
      <c r="CT71" s="4"/>
      <c r="CU71" s="6"/>
      <c r="CV71" s="7"/>
      <c r="CW71" s="4"/>
      <c r="CX71" s="4"/>
      <c r="CY71" s="4"/>
      <c r="CZ71" s="4"/>
      <c r="DA71" s="6"/>
      <c r="DB71" s="7"/>
      <c r="DC71" s="4"/>
      <c r="DD71" s="4"/>
      <c r="DE71" s="4"/>
      <c r="DF71" s="4"/>
      <c r="DG71" s="6"/>
      <c r="DH71" s="7"/>
      <c r="DI71" s="4"/>
      <c r="DJ71" s="4"/>
      <c r="DK71" s="4"/>
      <c r="DL71" s="4"/>
      <c r="DM71" s="4"/>
      <c r="DO71" s="4"/>
      <c r="DQ71" s="4"/>
      <c r="DR71" s="4"/>
      <c r="DS71" s="4"/>
      <c r="DT71" s="4"/>
      <c r="DU71" s="4"/>
      <c r="DV71" s="4"/>
      <c r="DW71" s="4"/>
      <c r="DX71" s="4"/>
      <c r="DY71" s="4"/>
      <c r="DZ71" s="4"/>
      <c r="EA71" s="7"/>
      <c r="EB71" s="4"/>
      <c r="EC71" s="4"/>
      <c r="ED71" s="3"/>
      <c r="EE71" s="11"/>
      <c r="EF71" s="11"/>
      <c r="EO71" s="11"/>
      <c r="EU71" s="11"/>
      <c r="EV71" s="4"/>
      <c r="EW71" s="4"/>
      <c r="EX71" s="4"/>
      <c r="EY71" s="4"/>
      <c r="EZ71" s="4"/>
      <c r="FA71" s="4"/>
      <c r="FB71" s="4"/>
      <c r="FC71" s="4"/>
      <c r="FD71" s="4"/>
      <c r="FE71" s="4"/>
      <c r="FF71" s="4"/>
      <c r="FG71" s="4"/>
      <c r="FH71" s="4"/>
      <c r="FI71" s="4"/>
      <c r="FM71" s="9"/>
      <c r="GE71" s="10"/>
      <c r="GO71" s="10"/>
      <c r="HD71" s="9"/>
      <c r="IP71" s="4"/>
      <c r="IV71" s="9">
        <v>42696</v>
      </c>
    </row>
    <row r="72" spans="1:263" s="18" customFormat="1" ht="15" customHeight="1">
      <c r="A72" s="2">
        <v>102024061</v>
      </c>
      <c r="B72" t="s">
        <v>5101</v>
      </c>
      <c r="C72"/>
      <c r="D72" s="1"/>
      <c r="E72" s="3"/>
      <c r="F72"/>
      <c r="G72" s="3"/>
      <c r="H72"/>
      <c r="I72"/>
      <c r="J72" t="s">
        <v>434</v>
      </c>
      <c r="K72" t="s">
        <v>695</v>
      </c>
      <c r="L72" t="s">
        <v>574</v>
      </c>
      <c r="M72" t="s">
        <v>650</v>
      </c>
      <c r="N72"/>
      <c r="O72" s="3"/>
      <c r="P72" t="s">
        <v>5226</v>
      </c>
      <c r="Q72" t="s">
        <v>5227</v>
      </c>
      <c r="R72" t="s">
        <v>695</v>
      </c>
      <c r="S72"/>
      <c r="T72"/>
      <c r="U72" t="s">
        <v>695</v>
      </c>
      <c r="V72" t="s">
        <v>3934</v>
      </c>
      <c r="W72" t="s">
        <v>850</v>
      </c>
      <c r="X72"/>
      <c r="Y72"/>
      <c r="Z72"/>
      <c r="AA72"/>
      <c r="AB72"/>
      <c r="AC72"/>
      <c r="AD72"/>
      <c r="AE72"/>
      <c r="AF72"/>
      <c r="AG72" s="43"/>
      <c r="AH72"/>
      <c r="AI72"/>
      <c r="AJ72" t="s">
        <v>328</v>
      </c>
      <c r="AK72" s="1"/>
      <c r="AL72" s="18" t="s">
        <v>438</v>
      </c>
      <c r="AM72"/>
      <c r="AN72"/>
      <c r="AO72" t="s">
        <v>5104</v>
      </c>
      <c r="AP72" s="1" t="s">
        <v>258</v>
      </c>
      <c r="AQ72" t="s">
        <v>329</v>
      </c>
      <c r="AR72" t="s">
        <v>260</v>
      </c>
      <c r="AS72"/>
      <c r="AT72"/>
      <c r="AU72"/>
      <c r="AV72"/>
      <c r="AW72"/>
      <c r="AX72" s="1"/>
      <c r="AY72" s="1"/>
      <c r="AZ72" s="1"/>
      <c r="BA72" s="1"/>
      <c r="BB72" s="1"/>
      <c r="BC72" s="2"/>
      <c r="BD72" s="115">
        <v>45382</v>
      </c>
      <c r="BE72" s="115"/>
      <c r="BF72" s="2"/>
      <c r="BG72" s="2"/>
      <c r="BH72" s="2"/>
      <c r="BI72" s="2"/>
      <c r="BJ72" s="2"/>
      <c r="BK72" s="2"/>
      <c r="BL72" s="20">
        <f ca="1">SUM(EB72)+220</f>
        <v>379.28480000000002</v>
      </c>
      <c r="BM72" s="22">
        <f ca="1">PMT(10%/12,12,BL72,0,0)</f>
        <v>-33.345159704856748</v>
      </c>
      <c r="BN72" s="22">
        <f ca="1">SUM(BM72*-1)</f>
        <v>33.345159704856748</v>
      </c>
      <c r="BO72" s="14">
        <f>SUM(EJ72*0.0052)/12</f>
        <v>4.7666666666666666</v>
      </c>
      <c r="BP72" s="22">
        <f ca="1">SUM(BN72+BO72)</f>
        <v>38.111826371523414</v>
      </c>
      <c r="BQ72" s="14"/>
      <c r="BR72" s="14">
        <f>SUM(BQ72*0.1)</f>
        <v>0</v>
      </c>
      <c r="BS72" s="14">
        <f ca="1">SUM(BT72*BU72)</f>
        <v>0</v>
      </c>
      <c r="BT72" s="17">
        <f>SUM((BQ72+BR72)*0.00833333333333333)</f>
        <v>0</v>
      </c>
      <c r="BU72" s="23">
        <f ca="1">MONTH(TODAY())+61</f>
        <v>65</v>
      </c>
      <c r="BV72" s="14">
        <f ca="1">SUM(BQ72,BR72,BS72)</f>
        <v>0</v>
      </c>
      <c r="BW72" s="14"/>
      <c r="BX72" s="14">
        <f>SUM(BW72*0.1)</f>
        <v>0</v>
      </c>
      <c r="BY72" s="14">
        <f ca="1">SUM(BZ72*CA72)</f>
        <v>0</v>
      </c>
      <c r="BZ72" s="17">
        <f>SUM((BW72+BX72)*0.00833333333333333)</f>
        <v>0</v>
      </c>
      <c r="CA72" s="23">
        <f ca="1">MONTH(TODAY())+49</f>
        <v>53</v>
      </c>
      <c r="CB72" s="14">
        <f ca="1">SUM(BW72,BX72,BY72)</f>
        <v>0</v>
      </c>
      <c r="CC72" s="14">
        <v>0</v>
      </c>
      <c r="CD72" s="14">
        <f>SUM(CC72*0.1)</f>
        <v>0</v>
      </c>
      <c r="CE72" s="14">
        <f ca="1">SUM(CF72*CG72)</f>
        <v>0</v>
      </c>
      <c r="CF72" s="17">
        <f>SUM((CC72+CD72)*0.00833333333333333)</f>
        <v>0</v>
      </c>
      <c r="CG72" s="23">
        <f ca="1">MONTH(TODAY())+37</f>
        <v>41</v>
      </c>
      <c r="CH72" s="14">
        <f ca="1">SUM(CC72,CD72,CE72)</f>
        <v>0</v>
      </c>
      <c r="CI72" s="14">
        <f>SUM(EG72*0.0052)</f>
        <v>8.32</v>
      </c>
      <c r="CJ72" s="14">
        <f>SUM(CI72*0.1)</f>
        <v>0.83200000000000007</v>
      </c>
      <c r="CK72" s="14">
        <f ca="1">SUM(CL72*CM72)</f>
        <v>2.2117333333333327</v>
      </c>
      <c r="CL72" s="17">
        <f>SUM((CI72+CJ72)*0.00833333333333333)</f>
        <v>7.6266666666666649E-2</v>
      </c>
      <c r="CM72" s="23">
        <f ca="1">MONTH(TODAY())+25</f>
        <v>29</v>
      </c>
      <c r="CN72" s="14">
        <f ca="1">SUM(CI72,CJ72,CK72)</f>
        <v>11.363733333333334</v>
      </c>
      <c r="CO72" s="14">
        <f>SUM(EG72*0.0052)/2</f>
        <v>4.16</v>
      </c>
      <c r="CP72" s="14">
        <f>SUM(CO72*0.1)</f>
        <v>0.41600000000000004</v>
      </c>
      <c r="CQ72" s="14">
        <f ca="1">SUM(CR72*CS72)</f>
        <v>0.80079999999999985</v>
      </c>
      <c r="CR72" s="17">
        <f>SUM((CO72+CP72)*0.00833333333333333)</f>
        <v>3.8133333333333325E-2</v>
      </c>
      <c r="CS72" s="23">
        <f ca="1">MONTH(TODAY())+17</f>
        <v>21</v>
      </c>
      <c r="CT72" s="23">
        <f ca="1">SUM(CO72,CP72,CQ72)</f>
        <v>5.3768000000000002</v>
      </c>
      <c r="CU72" s="14">
        <f>SUM(EG72*0.0052)/2</f>
        <v>4.16</v>
      </c>
      <c r="CV72" s="14">
        <f>SUM(CU72*0.1)</f>
        <v>0.41600000000000004</v>
      </c>
      <c r="CW72" s="14">
        <f ca="1">SUM(CX72*CY72)</f>
        <v>0.64826666666666655</v>
      </c>
      <c r="CX72" s="17">
        <f>SUM((CU72+CV72)*0.00833333333333333)</f>
        <v>3.8133333333333325E-2</v>
      </c>
      <c r="CY72" s="23">
        <f ca="1">MONTH(TODAY())+13</f>
        <v>17</v>
      </c>
      <c r="CZ72" s="23">
        <f ca="1">SUM(CU72,CV72,CW72)</f>
        <v>5.2242666666666668</v>
      </c>
      <c r="DA72" s="14">
        <f>SUM(EJ72*0.0045)/2</f>
        <v>24.749999999999996</v>
      </c>
      <c r="DB72" s="14">
        <f>SUM(DA72*0.1)</f>
        <v>2.4749999999999996</v>
      </c>
      <c r="DC72" s="14">
        <f ca="1">SUM(DD72*DE72)</f>
        <v>2.4956249999999982</v>
      </c>
      <c r="DD72" s="17">
        <f>SUM((DA72+DB72)*0.00833333333333333)</f>
        <v>0.22687499999999985</v>
      </c>
      <c r="DE72" s="23">
        <f ca="1">MONTH(TODAY())+7</f>
        <v>11</v>
      </c>
      <c r="DF72" s="23">
        <f ca="1">SUM(DA72,DB72,DC72)</f>
        <v>29.720624999999991</v>
      </c>
      <c r="DG72" s="14">
        <f>SUM(EJ72*0.0045)/2</f>
        <v>24.749999999999996</v>
      </c>
      <c r="DH72" s="14">
        <f>SUM(DG72*0.1)</f>
        <v>2.4749999999999996</v>
      </c>
      <c r="DI72" s="14">
        <f ca="1">SUM(DJ72*DK72)</f>
        <v>1.1343749999999992</v>
      </c>
      <c r="DJ72" s="17">
        <f>SUM((DG72+DH72)*0.00833333333333333)</f>
        <v>0.22687499999999985</v>
      </c>
      <c r="DK72" s="23">
        <f ca="1">MONTH(TODAY())+1</f>
        <v>5</v>
      </c>
      <c r="DL72" s="14">
        <f ca="1">SUM(DG72,DH72,DI72)</f>
        <v>28.359374999999993</v>
      </c>
      <c r="DM72" s="14">
        <f>SUM( BQ72, BW72, CC72, CI72, CO72,CU72,DA72,DG72)</f>
        <v>66.14</v>
      </c>
      <c r="DN72" s="14">
        <f>SUM(BR72,BX72,CD72,CJ72, CP72,CV72,DB72,DH72)</f>
        <v>6.613999999999999</v>
      </c>
      <c r="DO72" s="14">
        <f ca="1">SUM(BS72,BY72,CE72,CK72, CQ72,CW72,DC72,DI72)</f>
        <v>7.2907999999999964</v>
      </c>
      <c r="DP72" s="25">
        <f ca="1">SUM(DM72:DO72)</f>
        <v>80.044799999999995</v>
      </c>
      <c r="DQ72" s="47">
        <f ca="1">SUM(DP72/EG72)</f>
        <v>5.0027999999999996E-2</v>
      </c>
      <c r="DR72" s="14">
        <f>40+10</f>
        <v>50</v>
      </c>
      <c r="DS72" s="32">
        <f>COUNTIF(AO72, "*")+COUNTIF(AJ72, "*")+COUNTIF(AA72, "*")+COUNTIF(EU72, "*")+COUNTIF(FA72, "*")+COUNTIF(FG72, "*")+COUNTIF(FK72, "*")+COUNTIF(FR72, "*")+COUNTIF(AT72, "*")+COUNTIF(GA72, "*")+COUNTIF(GL72, "*")+COUNTIF(GW72, "*")+COUNTIF(HE72, "*")+COUNTIF(HM72, "*")+COUNTIF(HU72, "*")</f>
        <v>2</v>
      </c>
      <c r="DT72" s="14">
        <f>DS72*0.64</f>
        <v>1.28</v>
      </c>
      <c r="DU72" s="4"/>
      <c r="DV72" s="4">
        <v>27.96</v>
      </c>
      <c r="DW72" s="4"/>
      <c r="DX72" s="4"/>
      <c r="DY72"/>
      <c r="DZ72" s="4"/>
      <c r="EA72" s="14">
        <f>SUM(DV72:DZ72)</f>
        <v>27.96</v>
      </c>
      <c r="EB72" s="14">
        <f ca="1">SUM(DP72,DR72,EA72, DU72, DT72,FX72)</f>
        <v>159.28480000000002</v>
      </c>
      <c r="EC72" s="24" t="s">
        <v>4944</v>
      </c>
      <c r="ED72" s="130">
        <f>0.25+1</f>
        <v>1.25</v>
      </c>
      <c r="EE72" s="14">
        <f>1100+500</f>
        <v>1600</v>
      </c>
      <c r="EF72" s="14">
        <v>0</v>
      </c>
      <c r="EG72" s="14">
        <f>SUM(EE72+EF72)</f>
        <v>1600</v>
      </c>
      <c r="EH72" s="14">
        <f>6000+5000</f>
        <v>11000</v>
      </c>
      <c r="EI72" s="14">
        <v>0</v>
      </c>
      <c r="EJ72" s="14">
        <f>SUM(EH72+EI72)</f>
        <v>11000</v>
      </c>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s="4"/>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s="9"/>
      <c r="HZ72"/>
      <c r="IA72"/>
      <c r="IB72"/>
      <c r="IC72"/>
      <c r="ID72"/>
      <c r="IE72"/>
      <c r="IF72"/>
      <c r="IG72"/>
      <c r="IH72"/>
      <c r="II72"/>
      <c r="IJ72" s="4"/>
      <c r="IK72" s="4"/>
      <c r="IL72" s="4"/>
      <c r="IM72" s="9"/>
      <c r="IN72" s="9"/>
      <c r="IO72" s="9"/>
      <c r="IP72" s="9"/>
      <c r="IQ72" s="9"/>
      <c r="IR72"/>
      <c r="IS72"/>
      <c r="IT72"/>
      <c r="IU72"/>
      <c r="IV72"/>
      <c r="IW72"/>
      <c r="IX72"/>
      <c r="IY72"/>
      <c r="IZ72"/>
      <c r="JA72"/>
      <c r="JB72"/>
      <c r="JC72"/>
    </row>
    <row r="73" spans="1:263" ht="15" customHeight="1">
      <c r="A73" s="2">
        <v>102018038</v>
      </c>
      <c r="B73" s="4" t="s">
        <v>1154</v>
      </c>
      <c r="J73" t="s">
        <v>796</v>
      </c>
      <c r="K73" t="s">
        <v>1155</v>
      </c>
      <c r="L73" t="s">
        <v>1156</v>
      </c>
      <c r="M73" t="s">
        <v>650</v>
      </c>
      <c r="O73" s="1"/>
      <c r="T73" s="1"/>
      <c r="AJ73" s="4"/>
      <c r="AK73" s="4"/>
      <c r="AM73" s="34"/>
      <c r="AO73" s="4"/>
      <c r="AP73" s="5"/>
      <c r="AQ73" s="34"/>
      <c r="AS73" s="1"/>
      <c r="AT73" s="1"/>
      <c r="AU73" s="29"/>
      <c r="AV73" s="1"/>
      <c r="AW73" s="1"/>
      <c r="AX73" s="1"/>
      <c r="AY73" s="1"/>
      <c r="AZ73" s="1"/>
      <c r="BA73" s="1"/>
      <c r="BB73" s="1"/>
      <c r="BC73" s="1"/>
      <c r="BD73" s="1"/>
      <c r="BE73" s="1"/>
      <c r="BF73" s="1"/>
      <c r="BG73" s="5"/>
      <c r="BH73" s="16"/>
      <c r="BI73" s="16"/>
      <c r="BJ73" s="4"/>
      <c r="BK73" s="4"/>
      <c r="BL73" s="4"/>
      <c r="BM73" s="6"/>
      <c r="BN73" s="7"/>
      <c r="BO73" s="4"/>
      <c r="BP73" s="6"/>
      <c r="BQ73" s="4"/>
      <c r="BR73" s="4"/>
      <c r="BS73" s="6"/>
      <c r="BT73" s="7"/>
      <c r="BU73" s="4"/>
      <c r="BV73" s="4"/>
      <c r="BW73" s="4"/>
      <c r="BX73" s="4"/>
      <c r="BY73" s="6"/>
      <c r="BZ73" s="7"/>
      <c r="CA73" s="4"/>
      <c r="CB73" s="4"/>
      <c r="CC73" s="4"/>
      <c r="CD73" s="4"/>
      <c r="CE73" s="6"/>
      <c r="CF73" s="7"/>
      <c r="CG73" s="4"/>
      <c r="CH73" s="4"/>
      <c r="CI73" s="4"/>
      <c r="CJ73" s="4"/>
      <c r="CK73" s="6"/>
      <c r="CL73" s="7"/>
      <c r="CM73" s="4"/>
      <c r="CN73" s="4"/>
      <c r="CO73" s="4"/>
      <c r="CP73" s="4"/>
      <c r="CQ73" s="6"/>
      <c r="CR73" s="7"/>
      <c r="CS73" s="4"/>
      <c r="CT73" s="4"/>
      <c r="CU73" s="4"/>
      <c r="CV73" s="4"/>
      <c r="CW73" s="6"/>
      <c r="CX73" s="7"/>
      <c r="CY73" s="4"/>
      <c r="CZ73" s="4"/>
      <c r="DA73" s="4"/>
      <c r="DB73" s="4"/>
      <c r="DC73" s="6"/>
      <c r="DD73" s="7"/>
      <c r="DE73" s="4"/>
      <c r="DF73" s="4"/>
      <c r="DG73" s="14"/>
      <c r="DH73" s="14"/>
      <c r="DI73" s="4"/>
      <c r="DK73" s="4"/>
      <c r="DL73" s="234"/>
      <c r="DM73" s="4"/>
      <c r="DN73" s="4"/>
      <c r="DO73" s="4"/>
      <c r="DP73" s="7"/>
      <c r="DQ73" s="7"/>
      <c r="DR73" s="4"/>
      <c r="DS73" s="4"/>
      <c r="DT73" s="8"/>
      <c r="DU73" s="4"/>
      <c r="DV73" s="8"/>
      <c r="DW73" s="4"/>
      <c r="DX73" s="4"/>
      <c r="EE73" s="11"/>
      <c r="EK73" s="11"/>
      <c r="EL73" s="4"/>
      <c r="EM73" s="4"/>
      <c r="EN73" s="4"/>
      <c r="EO73" s="4"/>
      <c r="EP73" s="4"/>
      <c r="EQ73" s="4"/>
      <c r="ER73" s="4"/>
      <c r="ES73" s="4"/>
      <c r="ET73" s="4"/>
      <c r="EU73" s="4"/>
      <c r="EV73" s="4"/>
      <c r="EW73" s="4"/>
      <c r="EX73" s="4"/>
      <c r="EY73" s="4"/>
      <c r="EZ73" s="4"/>
      <c r="FA73" s="4"/>
      <c r="FG73" s="9"/>
      <c r="FP73" s="9"/>
      <c r="FX73" s="10"/>
      <c r="GH73" s="10"/>
      <c r="GW73" s="9"/>
      <c r="IK73" s="4"/>
      <c r="IL73" s="18"/>
      <c r="IM73" s="18"/>
      <c r="IN73" s="18"/>
      <c r="IO73" s="18"/>
      <c r="IP73" s="18"/>
      <c r="IQ73" s="18"/>
      <c r="IR73" s="18"/>
      <c r="IS73" s="18"/>
      <c r="IT73" s="18"/>
      <c r="IU73" s="18"/>
      <c r="IV73" s="18"/>
      <c r="IW73" s="18"/>
    </row>
    <row r="74" spans="1:263" ht="15" customHeight="1">
      <c r="A74" s="19">
        <v>102018038</v>
      </c>
      <c r="B74" s="18" t="s">
        <v>1154</v>
      </c>
      <c r="C74" s="18" t="s">
        <v>258</v>
      </c>
      <c r="D74" s="13"/>
      <c r="E74" s="18" t="s">
        <v>2434</v>
      </c>
      <c r="F74" s="18">
        <v>210002346</v>
      </c>
      <c r="G74" s="18"/>
      <c r="H74" s="18"/>
      <c r="I74" s="18"/>
      <c r="J74" s="18" t="s">
        <v>311</v>
      </c>
      <c r="K74" s="18" t="s">
        <v>1155</v>
      </c>
      <c r="L74" s="18" t="s">
        <v>1156</v>
      </c>
      <c r="M74" s="18" t="s">
        <v>650</v>
      </c>
      <c r="N74" s="18"/>
      <c r="O74" s="13"/>
      <c r="P74" s="18"/>
      <c r="Q74" s="18"/>
      <c r="R74" s="18"/>
      <c r="S74" s="18"/>
      <c r="T74" s="13"/>
      <c r="U74" s="18"/>
      <c r="V74" s="18"/>
      <c r="W74" s="18"/>
      <c r="X74" s="18"/>
      <c r="Y74" s="18"/>
      <c r="Z74" s="18"/>
      <c r="AA74" s="18"/>
      <c r="AB74" s="18"/>
      <c r="AC74" s="18"/>
      <c r="AD74" s="18"/>
      <c r="AE74" s="13"/>
      <c r="AF74" s="18"/>
      <c r="AG74" s="24"/>
      <c r="AH74" s="18"/>
      <c r="AI74" s="18"/>
      <c r="AJ74" s="14"/>
      <c r="AK74" s="18"/>
      <c r="AL74" s="14"/>
      <c r="AM74" s="24"/>
      <c r="AN74" s="24"/>
      <c r="AO74" s="18"/>
      <c r="AP74" s="13"/>
      <c r="AQ74" s="63"/>
      <c r="AR74" s="63"/>
      <c r="AS74" s="13"/>
      <c r="AT74" s="13"/>
      <c r="AU74" s="13"/>
      <c r="AV74" s="13"/>
      <c r="AW74" s="13"/>
      <c r="AX74" s="48"/>
      <c r="AY74" s="48"/>
      <c r="AZ74" s="48"/>
      <c r="BA74" s="48"/>
      <c r="BB74" s="19"/>
      <c r="BC74" s="48"/>
      <c r="BD74" s="48"/>
      <c r="BE74" s="48"/>
      <c r="BF74" s="19"/>
      <c r="BG74" s="20"/>
      <c r="BH74" s="22"/>
      <c r="BI74" s="22"/>
      <c r="BJ74" s="14"/>
      <c r="BK74" s="22"/>
      <c r="BL74" s="14"/>
      <c r="BM74" s="14"/>
      <c r="BN74" s="14"/>
      <c r="BO74" s="17"/>
      <c r="BP74" s="23"/>
      <c r="BQ74" s="14"/>
      <c r="BR74" s="14"/>
      <c r="BS74" s="14"/>
      <c r="BT74" s="14"/>
      <c r="BU74" s="17"/>
      <c r="BV74" s="23"/>
      <c r="BW74" s="14"/>
      <c r="BX74" s="14"/>
      <c r="BY74" s="14"/>
      <c r="BZ74" s="14"/>
      <c r="CA74" s="17"/>
      <c r="CB74" s="23"/>
      <c r="CC74" s="14"/>
      <c r="CD74" s="14"/>
      <c r="CE74" s="14"/>
      <c r="CF74" s="14"/>
      <c r="CG74" s="17"/>
      <c r="CH74" s="23"/>
      <c r="CI74" s="14"/>
      <c r="CJ74" s="14"/>
      <c r="CK74" s="14"/>
      <c r="CL74" s="14"/>
      <c r="CM74" s="17"/>
      <c r="CN74" s="23"/>
      <c r="CO74" s="14"/>
      <c r="CP74" s="14"/>
      <c r="CQ74" s="14"/>
      <c r="CR74" s="14"/>
      <c r="CS74" s="17"/>
      <c r="CT74" s="23"/>
      <c r="CU74" s="14"/>
      <c r="CV74" s="14"/>
      <c r="CW74" s="14"/>
      <c r="CX74" s="14"/>
      <c r="CY74" s="14"/>
      <c r="CZ74" s="47"/>
      <c r="DA74" s="14"/>
      <c r="DB74" s="32"/>
      <c r="DC74" s="14"/>
      <c r="DD74" s="14"/>
      <c r="DE74" s="14"/>
      <c r="DF74" s="14"/>
      <c r="DG74" s="14"/>
      <c r="DH74" s="14"/>
      <c r="DI74" s="14"/>
      <c r="DJ74" s="25"/>
      <c r="DK74" s="14"/>
      <c r="DL74" s="24"/>
      <c r="DM74" s="25"/>
      <c r="DN74" s="25"/>
      <c r="DO74" s="25"/>
      <c r="DP74" s="36"/>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row>
    <row r="75" spans="1:263" ht="15" customHeight="1">
      <c r="A75" s="19">
        <v>102018038</v>
      </c>
      <c r="B75" s="18" t="s">
        <v>1154</v>
      </c>
      <c r="D75" s="1"/>
      <c r="E75" t="s">
        <v>4932</v>
      </c>
      <c r="F75">
        <v>230003194</v>
      </c>
      <c r="G75" s="3"/>
      <c r="J75" s="18" t="s">
        <v>311</v>
      </c>
      <c r="K75" s="18" t="s">
        <v>1155</v>
      </c>
      <c r="L75" s="18" t="s">
        <v>1156</v>
      </c>
      <c r="M75" s="18" t="s">
        <v>650</v>
      </c>
      <c r="N75" s="18"/>
      <c r="O75" s="24"/>
      <c r="P75" s="18"/>
      <c r="Q75" s="18"/>
      <c r="R75" s="18"/>
      <c r="S75" s="18"/>
      <c r="AG75" s="43"/>
      <c r="AJ75" s="18" t="s">
        <v>4125</v>
      </c>
      <c r="AK75" s="18" t="s">
        <v>258</v>
      </c>
      <c r="AL75" s="18" t="s">
        <v>438</v>
      </c>
      <c r="AM75" s="18" t="s">
        <v>260</v>
      </c>
      <c r="AN75" s="18"/>
      <c r="AO75" s="18" t="s">
        <v>4126</v>
      </c>
      <c r="AP75" s="18"/>
      <c r="AQ75" s="18" t="s">
        <v>4127</v>
      </c>
      <c r="AR75" s="18"/>
      <c r="AS75" s="18" t="s">
        <v>473</v>
      </c>
      <c r="AT75" s="18" t="s">
        <v>474</v>
      </c>
      <c r="AU75" s="18" t="s">
        <v>475</v>
      </c>
      <c r="AV75" s="18" t="s">
        <v>438</v>
      </c>
      <c r="AW75" s="18" t="s">
        <v>260</v>
      </c>
      <c r="AX75" s="1"/>
      <c r="AY75" s="1"/>
      <c r="AZ75" s="1" t="s">
        <v>258</v>
      </c>
      <c r="BA75" s="1" t="s">
        <v>258</v>
      </c>
      <c r="BB75" s="1" t="s">
        <v>258</v>
      </c>
      <c r="BC75" s="9">
        <v>45096</v>
      </c>
      <c r="BD75" s="115">
        <v>45060</v>
      </c>
      <c r="BE75" s="115">
        <v>45054</v>
      </c>
      <c r="BF75" s="70">
        <v>45156</v>
      </c>
      <c r="BG75" t="s">
        <v>4902</v>
      </c>
      <c r="BH75" s="9">
        <v>45142</v>
      </c>
      <c r="BI75" s="9">
        <v>45149</v>
      </c>
      <c r="BJ75" s="70">
        <v>45181</v>
      </c>
      <c r="BK75" s="2" t="s">
        <v>319</v>
      </c>
      <c r="BL75" s="20">
        <f ca="1">SUM(EB75)+220</f>
        <v>2526.9893124999999</v>
      </c>
      <c r="BM75" s="22">
        <f ca="1">PMT(10%/12,12,BL75,0,0)</f>
        <v>-222.16250742918945</v>
      </c>
      <c r="BN75" s="22">
        <f ca="1">SUM(BM75*-1)</f>
        <v>222.16250742918945</v>
      </c>
      <c r="BO75" s="14">
        <f>SUM(EJ75*0.0052)/12</f>
        <v>23.01</v>
      </c>
      <c r="BP75" s="22">
        <f ca="1">SUM(BN75+BO75)</f>
        <v>245.17250742918944</v>
      </c>
      <c r="BQ75" s="14"/>
      <c r="BR75" s="14">
        <f>SUM(BQ75*0.1)</f>
        <v>0</v>
      </c>
      <c r="BS75" s="14">
        <f ca="1">SUM(BT75*BU75)</f>
        <v>0</v>
      </c>
      <c r="BT75" s="17">
        <f>SUM((BQ75+BR75)*0.00833333333333333)</f>
        <v>0</v>
      </c>
      <c r="BU75" s="23">
        <f ca="1">MONTH(TODAY())+49</f>
        <v>53</v>
      </c>
      <c r="BV75" s="14">
        <f ca="1">SUM(BQ75,BR75,BS75)</f>
        <v>0</v>
      </c>
      <c r="BW75" s="14"/>
      <c r="BX75" s="14">
        <f>SUM(BW75*0.1)</f>
        <v>0</v>
      </c>
      <c r="BY75" s="14">
        <f ca="1">SUM(BZ75*CA75)</f>
        <v>0</v>
      </c>
      <c r="BZ75" s="17">
        <f>SUM((BW75+BX75)*0.00833333333333333)</f>
        <v>0</v>
      </c>
      <c r="CA75" s="23">
        <f ca="1">MONTH(TODAY())+37</f>
        <v>41</v>
      </c>
      <c r="CB75" s="14">
        <f ca="1">SUM(BW75,BX75,BY75)</f>
        <v>0</v>
      </c>
      <c r="CC75" s="14">
        <v>0</v>
      </c>
      <c r="CD75" s="14">
        <f>SUM(CC75*0.1)</f>
        <v>0</v>
      </c>
      <c r="CE75" s="14">
        <f ca="1">SUM(CF75*CG75)</f>
        <v>0</v>
      </c>
      <c r="CF75" s="17">
        <f>SUM((CC75+CD75)*0.00833333333333333)</f>
        <v>0</v>
      </c>
      <c r="CG75" s="23">
        <f ca="1">MONTH(TODAY())+25</f>
        <v>29</v>
      </c>
      <c r="CH75" s="14">
        <f ca="1">SUM(CC75,CD75,CE75)</f>
        <v>0</v>
      </c>
      <c r="CI75" s="14">
        <f>SUM(EG75*0.0052)</f>
        <v>275.59999999999997</v>
      </c>
      <c r="CJ75" s="14">
        <f>SUM(CI75*0.1)</f>
        <v>27.56</v>
      </c>
      <c r="CK75" s="14">
        <f ca="1">SUM(CL75*CM75)</f>
        <v>42.947666666666642</v>
      </c>
      <c r="CL75" s="17">
        <f>SUM((CI75+CJ75)*0.00833333333333333)</f>
        <v>2.5263333333333318</v>
      </c>
      <c r="CM75" s="23">
        <f ca="1">MONTH(TODAY())+13</f>
        <v>17</v>
      </c>
      <c r="CN75" s="14">
        <f ca="1">SUM(CI75,CJ75,CK75)</f>
        <v>346.1076666666666</v>
      </c>
      <c r="CO75" s="14">
        <f>SUM(EG75*0.0052)/2</f>
        <v>137.79999999999998</v>
      </c>
      <c r="CP75" s="14">
        <f>SUM(CO75*0.1)</f>
        <v>13.78</v>
      </c>
      <c r="CQ75" s="14">
        <f ca="1">SUM(CR75*CS75)</f>
        <v>11.368499999999994</v>
      </c>
      <c r="CR75" s="17">
        <f>SUM((CO75+CP75)*0.00833333333333333)</f>
        <v>1.2631666666666659</v>
      </c>
      <c r="CS75" s="23">
        <f ca="1">MONTH(TODAY())+5</f>
        <v>9</v>
      </c>
      <c r="CT75" s="23">
        <f ca="1">SUM(CO75,CP75,CQ75)</f>
        <v>162.94849999999997</v>
      </c>
      <c r="CU75" s="14">
        <f>SUM(EG75*0.0052)/2</f>
        <v>137.79999999999998</v>
      </c>
      <c r="CV75" s="14">
        <f>SUM(CU75*0.1)</f>
        <v>13.78</v>
      </c>
      <c r="CW75" s="14">
        <f ca="1">SUM(CX75*CY75)</f>
        <v>6.3158333333333294</v>
      </c>
      <c r="CX75" s="17">
        <f>SUM((CU75+CV75)*0.00833333333333333)</f>
        <v>1.2631666666666659</v>
      </c>
      <c r="CY75" s="23">
        <f ca="1">MONTH(TODAY())+1</f>
        <v>5</v>
      </c>
      <c r="CZ75" s="23">
        <f ca="1">SUM(CU75,CV75,CW75)</f>
        <v>157.89583333333331</v>
      </c>
      <c r="DA75" s="14">
        <f>SUM(EJ75*0.0045)/2</f>
        <v>119.47499999999999</v>
      </c>
      <c r="DB75" s="14">
        <f>SUM(DA75*0.1)</f>
        <v>11.9475</v>
      </c>
      <c r="DC75" s="14">
        <f ca="1">SUM(DD75*DE75)</f>
        <v>-1.0951874999999993</v>
      </c>
      <c r="DD75" s="17">
        <f>SUM((DA75+DB75)*0.00833333333333333)</f>
        <v>1.0951874999999993</v>
      </c>
      <c r="DE75" s="23">
        <f ca="1">MONTH(TODAY())-5</f>
        <v>-1</v>
      </c>
      <c r="DF75" s="23">
        <f ca="1">SUM(DA75,DB75,DC75)</f>
        <v>130.32731249999998</v>
      </c>
      <c r="DG75" s="14">
        <v>0</v>
      </c>
      <c r="DH75" s="14">
        <v>0</v>
      </c>
      <c r="DI75" s="14">
        <v>0</v>
      </c>
      <c r="DJ75" s="17">
        <f>SUM((DG75+DH75)*0.00833333333333333)</f>
        <v>0</v>
      </c>
      <c r="DK75" s="23">
        <f ca="1">MONTH(TODAY())+1</f>
        <v>5</v>
      </c>
      <c r="DL75" s="23">
        <f>SUM(DG75,DH75,DI75)</f>
        <v>0</v>
      </c>
      <c r="DM75" s="14">
        <f>SUM( BQ75, BW75, CC75, CI75, CO75,CU75,DA75,DG75)</f>
        <v>670.67499999999995</v>
      </c>
      <c r="DN75" s="14">
        <f>SUM(BR75,BX75,CD75,CJ75, CP75,CV75,DB75,DH75)</f>
        <v>67.067499999999995</v>
      </c>
      <c r="DO75" s="14">
        <f ca="1">SUM(BS75,BY75,CE75,CK75, CQ75,CW75,DC75,DI75)</f>
        <v>59.536812499999961</v>
      </c>
      <c r="DP75" s="25">
        <f ca="1">SUM(DM75:DO75)</f>
        <v>797.27931249999995</v>
      </c>
      <c r="DQ75" s="47">
        <f ca="1">SUM(DP75/EG75)</f>
        <v>1.5043005896226414E-2</v>
      </c>
      <c r="DR75" s="14">
        <f>20+200+20+200</f>
        <v>440</v>
      </c>
      <c r="DS75" s="32">
        <f>COUNTIF(DX75, "*")+COUNTIF(AO75, "*")+COUNTIF(AJ75, "*")+COUNTIF(AA75, "*")+COUNTIF(EY75, "*")+COUNTIF(FE75, "*")+COUNTIF(FK75, "*")+COUNTIF(FO75, "*")+COUNTIF(FV75, "*")+COUNTIF(AT75, "*")+COUNTIF(GE75, "*")+COUNTIF(GP75, "*")+COUNTIF(HA75, "*")+COUNTIF(HI75, "*")+COUNTIF(HQ75, "*")+COUNTIF(HY75, "*")+COUNTIF(IG75, "*")</f>
        <v>3</v>
      </c>
      <c r="DT75" s="14">
        <f>0.6+DS75*7.45</f>
        <v>22.950000000000003</v>
      </c>
      <c r="DU75" s="4">
        <v>250</v>
      </c>
      <c r="DV75" s="4">
        <f>36.76+760</f>
        <v>796.76</v>
      </c>
      <c r="DW75" s="4"/>
      <c r="DX75" s="4"/>
      <c r="DZ75" s="4"/>
      <c r="EA75" s="14">
        <f>SUM(DV75:DZ75)</f>
        <v>796.76</v>
      </c>
      <c r="EB75" s="14">
        <f ca="1">SUM(DP75,DR75,EA75, DU75, DT75,GB75)</f>
        <v>2306.9893124999999</v>
      </c>
      <c r="EC75" s="24" t="s">
        <v>3879</v>
      </c>
      <c r="ED75" s="23">
        <v>0.48</v>
      </c>
      <c r="EE75" s="14">
        <v>2900</v>
      </c>
      <c r="EF75" s="14">
        <v>50100</v>
      </c>
      <c r="EG75" s="14">
        <v>53000</v>
      </c>
      <c r="EH75" s="14">
        <v>2900</v>
      </c>
      <c r="EI75" s="14">
        <v>50200</v>
      </c>
      <c r="EJ75" s="14">
        <f>SUM(EH75+EI75)</f>
        <v>53100</v>
      </c>
      <c r="EK75" t="s">
        <v>4763</v>
      </c>
      <c r="EL75" t="s">
        <v>4764</v>
      </c>
      <c r="IM75" s="9"/>
      <c r="IX75" s="4"/>
      <c r="IY75" s="9"/>
      <c r="IZ75" s="9"/>
      <c r="JA75" s="9"/>
      <c r="JB75" s="9"/>
      <c r="JC75" s="9"/>
    </row>
    <row r="76" spans="1:263" ht="15" customHeight="1">
      <c r="A76" s="19">
        <v>102019089</v>
      </c>
      <c r="B76" s="14" t="s">
        <v>759</v>
      </c>
      <c r="C76" s="13" t="s">
        <v>258</v>
      </c>
      <c r="D76" s="13"/>
      <c r="E76" s="24"/>
      <c r="F76" s="19"/>
      <c r="G76" s="18"/>
      <c r="H76" s="18"/>
      <c r="I76" s="18"/>
      <c r="J76" s="18"/>
      <c r="K76" s="18" t="s">
        <v>760</v>
      </c>
      <c r="L76" s="18"/>
      <c r="M76" s="18"/>
      <c r="N76" s="18"/>
      <c r="O76" s="13"/>
      <c r="P76" s="18"/>
      <c r="Q76" s="18"/>
      <c r="R76" s="18"/>
      <c r="S76" s="18"/>
      <c r="T76" s="13"/>
      <c r="U76" s="18"/>
      <c r="V76" s="18"/>
      <c r="W76" s="18"/>
      <c r="X76" s="18"/>
      <c r="Y76" s="18"/>
      <c r="Z76" s="18"/>
      <c r="AA76" s="18"/>
      <c r="AB76" s="18"/>
      <c r="AC76" s="18"/>
      <c r="AD76" s="18"/>
      <c r="AE76" s="18"/>
      <c r="AF76" s="18"/>
      <c r="AG76" s="231"/>
      <c r="AH76" s="18"/>
      <c r="AI76" s="18"/>
      <c r="AJ76" s="14"/>
      <c r="AK76" s="14"/>
      <c r="AL76" s="18"/>
      <c r="AM76" s="24"/>
      <c r="AN76" s="24"/>
      <c r="AO76" s="14"/>
      <c r="AP76" s="20"/>
      <c r="AQ76" s="24"/>
      <c r="AR76" s="24"/>
      <c r="AS76" s="20"/>
      <c r="AT76" s="20"/>
      <c r="AU76" s="13"/>
      <c r="AV76" s="13"/>
      <c r="AW76" s="13"/>
      <c r="AX76" s="19"/>
      <c r="AY76" s="48"/>
      <c r="AZ76" s="48"/>
      <c r="BA76" s="19"/>
      <c r="BB76" s="19"/>
      <c r="BC76" s="19"/>
      <c r="BD76" s="19"/>
      <c r="BE76" s="19"/>
      <c r="BF76" s="19"/>
      <c r="BG76" s="20"/>
      <c r="BH76" s="22"/>
      <c r="BI76" s="22"/>
      <c r="BJ76" s="14"/>
      <c r="BK76" s="22"/>
      <c r="BL76" s="14"/>
      <c r="BM76" s="14"/>
      <c r="BN76" s="14"/>
      <c r="BO76" s="17"/>
      <c r="BP76" s="23"/>
      <c r="BQ76" s="14"/>
      <c r="BR76" s="14"/>
      <c r="BS76" s="14"/>
      <c r="BT76" s="14"/>
      <c r="BU76" s="17"/>
      <c r="BV76" s="23"/>
      <c r="BW76" s="14"/>
      <c r="BX76" s="14"/>
      <c r="BY76" s="14"/>
      <c r="BZ76" s="14"/>
      <c r="CA76" s="17"/>
      <c r="CB76" s="23"/>
      <c r="CC76" s="14"/>
      <c r="CD76" s="14"/>
      <c r="CE76" s="14"/>
      <c r="CF76" s="14"/>
      <c r="CG76" s="17"/>
      <c r="CH76" s="23"/>
      <c r="CI76" s="14"/>
      <c r="CJ76" s="14"/>
      <c r="CK76" s="14"/>
      <c r="CL76" s="14"/>
      <c r="CM76" s="17"/>
      <c r="CN76" s="23"/>
      <c r="CO76" s="14"/>
      <c r="CP76" s="14"/>
      <c r="CQ76" s="14"/>
      <c r="CR76" s="14"/>
      <c r="CS76" s="17"/>
      <c r="CT76" s="23"/>
      <c r="CU76" s="14"/>
      <c r="CV76" s="14"/>
      <c r="CW76" s="14"/>
      <c r="CX76" s="14"/>
      <c r="CY76" s="14"/>
      <c r="CZ76" s="47"/>
      <c r="DA76" s="14"/>
      <c r="DB76" s="32"/>
      <c r="DC76" s="14"/>
      <c r="DD76" s="14"/>
      <c r="DE76" s="14"/>
      <c r="DF76" s="14"/>
      <c r="DG76" s="14"/>
      <c r="DH76" s="14"/>
      <c r="DI76" s="23"/>
      <c r="DJ76" s="25"/>
      <c r="DK76" s="14"/>
      <c r="DL76" s="24"/>
      <c r="DM76" s="25"/>
      <c r="DN76" s="25"/>
      <c r="DO76" s="25"/>
      <c r="DP76" s="36"/>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27"/>
      <c r="EZ76" s="18"/>
      <c r="FA76" s="18"/>
      <c r="FB76" s="18"/>
      <c r="FC76" s="18"/>
      <c r="FD76" s="18"/>
      <c r="FE76" s="18"/>
      <c r="FF76" s="18"/>
      <c r="FG76" s="18"/>
      <c r="FH76" s="27"/>
      <c r="FI76" s="18"/>
      <c r="FJ76" s="18"/>
      <c r="FK76" s="18"/>
      <c r="FL76" s="18"/>
      <c r="FM76" s="18"/>
      <c r="FN76" s="14"/>
      <c r="FO76" s="18"/>
      <c r="FP76" s="18"/>
      <c r="FQ76" s="18"/>
      <c r="FR76" s="18"/>
      <c r="FS76" s="28"/>
      <c r="FT76" s="18"/>
      <c r="FU76" s="18"/>
      <c r="FV76" s="18"/>
      <c r="FW76" s="18"/>
      <c r="FX76" s="18"/>
      <c r="FY76" s="18"/>
      <c r="FZ76" s="18"/>
      <c r="GA76" s="18"/>
      <c r="GB76" s="18"/>
      <c r="GC76" s="28"/>
      <c r="GD76" s="18"/>
      <c r="GE76" s="18"/>
      <c r="GF76" s="18"/>
      <c r="GG76" s="18"/>
      <c r="GH76" s="18"/>
      <c r="GI76" s="18"/>
      <c r="GJ76" s="18"/>
      <c r="GK76" s="18"/>
      <c r="GL76" s="18"/>
      <c r="GM76" s="18"/>
      <c r="GN76" s="18"/>
      <c r="GO76" s="18"/>
      <c r="GP76" s="18"/>
      <c r="GQ76" s="18"/>
      <c r="GR76" s="27"/>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4"/>
      <c r="IA76" s="14"/>
      <c r="IB76" s="27"/>
      <c r="IC76" s="18"/>
      <c r="ID76" s="18"/>
      <c r="IE76" s="18"/>
      <c r="IF76" s="18"/>
      <c r="IG76" s="18"/>
      <c r="IH76" s="18"/>
      <c r="II76" s="14"/>
      <c r="IJ76" s="14"/>
      <c r="IK76" s="18"/>
      <c r="IL76" s="18"/>
      <c r="IM76" s="18"/>
      <c r="IN76" s="18"/>
      <c r="IO76" s="18"/>
      <c r="IP76" s="18"/>
      <c r="IQ76" s="18"/>
      <c r="IR76" s="18"/>
      <c r="IS76" s="18"/>
      <c r="IT76" s="18"/>
      <c r="IU76" s="18"/>
      <c r="IV76" s="18"/>
    </row>
    <row r="77" spans="1:263" ht="15" customHeight="1">
      <c r="A77" s="19">
        <v>102020006</v>
      </c>
      <c r="B77" s="14" t="s">
        <v>1545</v>
      </c>
      <c r="C77" s="18"/>
      <c r="D77" s="13"/>
      <c r="E77" s="18" t="s">
        <v>2414</v>
      </c>
      <c r="F77" s="18">
        <v>210000904</v>
      </c>
      <c r="G77" s="18">
        <v>200004643</v>
      </c>
      <c r="H77" s="18"/>
      <c r="I77" s="18"/>
      <c r="J77" s="18" t="s">
        <v>311</v>
      </c>
      <c r="K77" s="18" t="s">
        <v>1546</v>
      </c>
      <c r="L77" s="18" t="s">
        <v>1547</v>
      </c>
      <c r="M77" s="18" t="s">
        <v>392</v>
      </c>
      <c r="N77" s="18"/>
      <c r="O77" s="18"/>
      <c r="P77" s="18"/>
      <c r="Q77" s="18"/>
      <c r="R77" s="18"/>
      <c r="S77" s="18"/>
      <c r="T77" s="18"/>
      <c r="U77" s="18"/>
      <c r="V77" s="18"/>
      <c r="W77" s="18"/>
      <c r="X77" s="18"/>
      <c r="Y77" s="18"/>
      <c r="Z77" s="18"/>
      <c r="AA77" s="18"/>
      <c r="AB77" s="18"/>
      <c r="AC77" s="18"/>
      <c r="AD77" s="18" t="s">
        <v>1884</v>
      </c>
      <c r="AE77" s="18" t="s">
        <v>311</v>
      </c>
      <c r="AF77" s="18" t="s">
        <v>1546</v>
      </c>
      <c r="AG77" s="231" t="s">
        <v>1881</v>
      </c>
      <c r="AH77" s="18" t="s">
        <v>1882</v>
      </c>
      <c r="AI77" s="18" t="s">
        <v>1883</v>
      </c>
      <c r="AJ77" s="14" t="s">
        <v>1548</v>
      </c>
      <c r="AK77" s="18" t="s">
        <v>258</v>
      </c>
      <c r="AL77" s="18" t="s">
        <v>438</v>
      </c>
      <c r="AM77" s="24" t="s">
        <v>260</v>
      </c>
      <c r="AN77" s="24"/>
      <c r="AO77" s="14" t="s">
        <v>1549</v>
      </c>
      <c r="AP77" s="13" t="s">
        <v>258</v>
      </c>
      <c r="AQ77" s="24" t="s">
        <v>798</v>
      </c>
      <c r="AR77" s="24" t="s">
        <v>750</v>
      </c>
      <c r="AS77" s="13"/>
      <c r="AT77" s="13"/>
      <c r="AU77" s="13"/>
      <c r="AV77" s="13"/>
      <c r="AW77" s="13"/>
      <c r="AX77" s="48"/>
      <c r="AY77" s="48"/>
      <c r="AZ77" s="48"/>
      <c r="BA77" s="48"/>
      <c r="BB77" s="2"/>
      <c r="BC77" s="48"/>
      <c r="BD77" s="48"/>
      <c r="BE77" s="48"/>
      <c r="BF77" s="19"/>
      <c r="BG77" s="20"/>
      <c r="BH77" s="22"/>
      <c r="BI77" s="22"/>
      <c r="BJ77" s="14"/>
      <c r="BK77" s="22"/>
      <c r="BL77" s="14"/>
      <c r="BM77" s="14"/>
      <c r="BN77" s="14"/>
      <c r="BO77" s="17"/>
      <c r="BP77" s="23"/>
      <c r="BQ77" s="14"/>
      <c r="BR77" s="14"/>
      <c r="BS77" s="14"/>
      <c r="BT77" s="14"/>
      <c r="BU77" s="17"/>
      <c r="BV77" s="23"/>
      <c r="BW77" s="14"/>
      <c r="BX77" s="14"/>
      <c r="BY77" s="14"/>
      <c r="BZ77" s="14"/>
      <c r="CA77" s="17"/>
      <c r="CB77" s="23"/>
      <c r="CC77" s="14"/>
      <c r="CD77" s="14"/>
      <c r="CE77" s="14"/>
      <c r="CF77" s="14"/>
      <c r="CG77" s="17"/>
      <c r="CH77" s="23"/>
      <c r="CI77" s="14"/>
      <c r="CJ77" s="14"/>
      <c r="CK77" s="14"/>
      <c r="CL77" s="14"/>
      <c r="CM77" s="17"/>
      <c r="CN77" s="23"/>
      <c r="CO77" s="14"/>
      <c r="CP77" s="14"/>
      <c r="CQ77" s="14"/>
      <c r="CR77" s="14"/>
      <c r="CS77" s="17"/>
      <c r="CT77" s="23"/>
      <c r="CU77" s="14"/>
      <c r="CV77" s="14"/>
      <c r="CW77" s="14"/>
      <c r="CX77" s="14"/>
      <c r="CY77" s="14"/>
      <c r="CZ77" s="14"/>
      <c r="DA77" s="14"/>
      <c r="DB77" s="14"/>
      <c r="DC77" s="14"/>
      <c r="DD77" s="14"/>
      <c r="DE77" s="14"/>
      <c r="DF77" s="47"/>
      <c r="DG77" s="14"/>
      <c r="DH77" s="32"/>
      <c r="DI77" s="14"/>
      <c r="DJ77" s="14">
        <v>150</v>
      </c>
      <c r="DK77" s="14">
        <f>SUM(DE77,DG77,DQ77, DJ77, DI77,FS77)</f>
        <v>886</v>
      </c>
      <c r="DL77" s="14">
        <f>37.25</f>
        <v>37.25</v>
      </c>
      <c r="DM77" s="14"/>
      <c r="DN77" s="14">
        <v>88.75</v>
      </c>
      <c r="DO77" s="23"/>
      <c r="DP77" s="25">
        <v>610</v>
      </c>
      <c r="DQ77" s="14">
        <f>SUM(DL77:DP77)</f>
        <v>736</v>
      </c>
      <c r="DR77" s="24" t="s">
        <v>418</v>
      </c>
      <c r="DS77" s="25">
        <v>2000</v>
      </c>
      <c r="DT77" s="25">
        <v>10200</v>
      </c>
      <c r="DU77" s="25">
        <f>SUM(DS77+DT77)</f>
        <v>12200</v>
      </c>
      <c r="DV77" s="36">
        <v>0.02</v>
      </c>
      <c r="DW77" s="26" t="s">
        <v>1850</v>
      </c>
      <c r="DX77" s="18" t="s">
        <v>1851</v>
      </c>
      <c r="DY77" s="18" t="s">
        <v>1852</v>
      </c>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t="s">
        <v>1853</v>
      </c>
      <c r="FA77" s="18" t="s">
        <v>1854</v>
      </c>
      <c r="FB77" s="18" t="s">
        <v>936</v>
      </c>
      <c r="FC77" s="18" t="s">
        <v>386</v>
      </c>
      <c r="FD77" s="18" t="s">
        <v>260</v>
      </c>
      <c r="FE77" s="27">
        <v>40331</v>
      </c>
      <c r="FF77" s="18" t="s">
        <v>1855</v>
      </c>
      <c r="FG77" s="18"/>
      <c r="FH77" s="18"/>
      <c r="FI77" s="18"/>
      <c r="FJ77" s="18"/>
      <c r="FK77" s="18"/>
      <c r="FL77" s="18"/>
      <c r="FM77" s="18"/>
      <c r="FN77" s="18" t="s">
        <v>473</v>
      </c>
      <c r="FO77" s="18" t="s">
        <v>474</v>
      </c>
      <c r="FP77" s="18" t="s">
        <v>475</v>
      </c>
      <c r="FQ77" s="18" t="s">
        <v>438</v>
      </c>
      <c r="FR77" s="18" t="s">
        <v>260</v>
      </c>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row>
    <row r="78" spans="1:263" ht="15" customHeight="1">
      <c r="A78" s="19">
        <v>102020006</v>
      </c>
      <c r="B78" s="14" t="s">
        <v>1545</v>
      </c>
      <c r="C78" s="13" t="s">
        <v>258</v>
      </c>
      <c r="D78" s="13"/>
      <c r="E78" s="18" t="s">
        <v>2414</v>
      </c>
      <c r="F78" s="18">
        <v>210000904</v>
      </c>
      <c r="G78" s="18"/>
      <c r="H78" s="18"/>
      <c r="I78" s="18"/>
      <c r="J78" s="18" t="s">
        <v>311</v>
      </c>
      <c r="K78" s="18" t="s">
        <v>1546</v>
      </c>
      <c r="L78" s="18" t="s">
        <v>1547</v>
      </c>
      <c r="M78" s="18" t="s">
        <v>392</v>
      </c>
      <c r="N78" s="18"/>
      <c r="O78" s="18"/>
      <c r="P78" s="18"/>
      <c r="Q78" s="18"/>
      <c r="R78" s="18"/>
      <c r="S78" s="18"/>
      <c r="T78" s="18"/>
      <c r="U78" s="18"/>
      <c r="V78" s="18"/>
      <c r="W78" s="18"/>
      <c r="X78" s="18"/>
      <c r="Y78" s="18"/>
      <c r="Z78" s="18"/>
      <c r="AA78" s="18"/>
      <c r="AB78" s="18"/>
      <c r="AC78" s="18"/>
      <c r="AD78" s="18" t="s">
        <v>1884</v>
      </c>
      <c r="AE78" s="18" t="s">
        <v>311</v>
      </c>
      <c r="AF78" s="18" t="s">
        <v>1546</v>
      </c>
      <c r="AG78" s="37" t="s">
        <v>1881</v>
      </c>
      <c r="AH78" s="18" t="s">
        <v>1882</v>
      </c>
      <c r="AI78" s="18" t="s">
        <v>1883</v>
      </c>
      <c r="AJ78" s="14" t="s">
        <v>1548</v>
      </c>
      <c r="AK78" s="18" t="s">
        <v>258</v>
      </c>
      <c r="AL78" s="18" t="s">
        <v>438</v>
      </c>
      <c r="AM78" s="18" t="s">
        <v>260</v>
      </c>
      <c r="AN78" s="18"/>
      <c r="AO78" s="63" t="s">
        <v>1549</v>
      </c>
      <c r="AP78" s="24" t="s">
        <v>258</v>
      </c>
      <c r="AQ78" s="24" t="s">
        <v>798</v>
      </c>
      <c r="AR78" s="18" t="s">
        <v>750</v>
      </c>
      <c r="AS78" s="13" t="s">
        <v>258</v>
      </c>
      <c r="AT78" s="13" t="s">
        <v>258</v>
      </c>
      <c r="AU78" s="13"/>
      <c r="AV78" s="13"/>
      <c r="AW78" s="13"/>
      <c r="AX78" s="48">
        <v>44230</v>
      </c>
      <c r="AY78" s="48">
        <v>43982</v>
      </c>
      <c r="AZ78" s="48">
        <v>43978</v>
      </c>
      <c r="BA78" s="48"/>
      <c r="BB78" s="19"/>
      <c r="BC78" s="48"/>
      <c r="BD78" s="48"/>
      <c r="BE78" s="48">
        <v>44428</v>
      </c>
      <c r="BF78" s="19" t="s">
        <v>319</v>
      </c>
      <c r="BG78" s="20">
        <v>2263.81</v>
      </c>
      <c r="BH78" s="22">
        <v>-199.02486467016803</v>
      </c>
      <c r="BI78" s="22">
        <v>199.02486467016803</v>
      </c>
      <c r="BJ78" s="14">
        <v>5.2866666666666662</v>
      </c>
      <c r="BK78" s="22">
        <v>204.31153133683469</v>
      </c>
      <c r="BL78" s="14"/>
      <c r="BM78" s="14">
        <v>0</v>
      </c>
      <c r="BN78" s="14">
        <v>0</v>
      </c>
      <c r="BO78" s="17">
        <v>0</v>
      </c>
      <c r="BP78" s="23">
        <v>70</v>
      </c>
      <c r="BQ78" s="14">
        <v>0</v>
      </c>
      <c r="BR78" s="14"/>
      <c r="BS78" s="14">
        <v>0</v>
      </c>
      <c r="BT78" s="14">
        <f>SUM(BU78*BV78)</f>
        <v>0</v>
      </c>
      <c r="BU78" s="17">
        <v>0</v>
      </c>
      <c r="BV78" s="23">
        <v>58</v>
      </c>
      <c r="BW78" s="14">
        <f>SUM(BR78,BS78,BT78)</f>
        <v>0</v>
      </c>
      <c r="BX78" s="14">
        <v>0</v>
      </c>
      <c r="BY78" s="14">
        <f>SUM(BX78*0.1)</f>
        <v>0</v>
      </c>
      <c r="BZ78" s="14">
        <f>SUM(CA78*CB78)</f>
        <v>0</v>
      </c>
      <c r="CA78" s="17">
        <f>SUM((BX78+BY78)*0.00833333333333333)</f>
        <v>0</v>
      </c>
      <c r="CB78" s="23">
        <v>49</v>
      </c>
      <c r="CC78" s="14">
        <f>SUM(BX78,BY78,BZ78)</f>
        <v>0</v>
      </c>
      <c r="CD78" s="14">
        <v>18.940000000000001</v>
      </c>
      <c r="CE78" s="14">
        <f>SUM(CD78*0.1)</f>
        <v>1.8940000000000001</v>
      </c>
      <c r="CF78" s="14">
        <f>SUM(CG78*CH78)</f>
        <v>6.4238166666666645</v>
      </c>
      <c r="CG78" s="17">
        <f>SUM((CD78+CE78)*0.00833333333333333)</f>
        <v>0.17361666666666661</v>
      </c>
      <c r="CH78" s="23">
        <v>37</v>
      </c>
      <c r="CI78" s="14">
        <f>SUM(CD78,CE78,CF78)</f>
        <v>27.257816666666667</v>
      </c>
      <c r="CJ78" s="14">
        <v>63.44</v>
      </c>
      <c r="CK78" s="14">
        <v>6.3440000000000003</v>
      </c>
      <c r="CL78" s="14">
        <f>SUM(CM78*CN78)</f>
        <v>14.538333333333325</v>
      </c>
      <c r="CM78" s="17">
        <f>SUM((CJ78+CK78)*0.00833333333333333)</f>
        <v>0.58153333333333301</v>
      </c>
      <c r="CN78" s="23">
        <v>25</v>
      </c>
      <c r="CO78" s="14">
        <f>SUM(CJ78,CK78,CL78)</f>
        <v>84.322333333333319</v>
      </c>
      <c r="CP78" s="14">
        <v>63.44</v>
      </c>
      <c r="CQ78" s="14">
        <v>6.3440000000000003</v>
      </c>
      <c r="CR78" s="14">
        <f>SUM(CS78*CT78)</f>
        <v>7.559933333333329</v>
      </c>
      <c r="CS78" s="17">
        <f>SUM((CP78+CQ78)*0.00833333333333333)</f>
        <v>0.58153333333333301</v>
      </c>
      <c r="CT78" s="23">
        <v>13</v>
      </c>
      <c r="CU78" s="14">
        <f>SUM(CP78,CQ78,CR78)</f>
        <v>77.343933333333325</v>
      </c>
      <c r="CV78" s="14">
        <f>SUM(DP78*0.0052)</f>
        <v>63.44</v>
      </c>
      <c r="CW78" s="14">
        <f>SUM(BL78, BR78, BX78, CD78,CJ78,CP78, CV78)</f>
        <v>209.26</v>
      </c>
      <c r="CX78" s="14">
        <f>SUM(BM78, BS78, BY78, CE78,CK78,CQ78)</f>
        <v>14.582000000000001</v>
      </c>
      <c r="CY78" s="14">
        <f>SUM(BN78, BT78, BZ78, CF78,CL78,CR78)</f>
        <v>28.52208333333332</v>
      </c>
      <c r="CZ78" s="14">
        <f>SUM(CW78:CY78)</f>
        <v>252.3640833333333</v>
      </c>
      <c r="DA78" s="47">
        <v>1.5045901639344262E-2</v>
      </c>
      <c r="DB78" s="14">
        <v>1612</v>
      </c>
      <c r="DC78" s="32">
        <v>4</v>
      </c>
      <c r="DD78" s="14">
        <f>32.25+25.03</f>
        <v>57.28</v>
      </c>
      <c r="DE78" s="14">
        <v>150</v>
      </c>
      <c r="DF78" s="18"/>
      <c r="DG78" s="14">
        <f>37.25+182.42</f>
        <v>219.67</v>
      </c>
      <c r="DH78" s="14"/>
      <c r="DI78" s="14">
        <v>88.75</v>
      </c>
      <c r="DJ78" s="14">
        <v>100</v>
      </c>
      <c r="DK78" s="25">
        <v>610</v>
      </c>
      <c r="DL78" s="14">
        <f>SUM(DG78:DK78)</f>
        <v>1018.42</v>
      </c>
      <c r="DM78" s="24" t="s">
        <v>2299</v>
      </c>
      <c r="DN78" s="25">
        <v>2000</v>
      </c>
      <c r="DO78" s="25">
        <v>10200</v>
      </c>
      <c r="DP78" s="25">
        <v>12200</v>
      </c>
      <c r="DQ78" s="36">
        <v>0.02</v>
      </c>
      <c r="DR78" s="26" t="s">
        <v>1850</v>
      </c>
      <c r="DS78" s="18" t="s">
        <v>1851</v>
      </c>
      <c r="DT78" s="18" t="s">
        <v>1852</v>
      </c>
      <c r="DU78" s="18"/>
      <c r="DV78" s="18"/>
      <c r="DW78" s="18"/>
      <c r="DX78" s="18"/>
      <c r="DY78" s="18"/>
      <c r="DZ78" s="18"/>
      <c r="EA78" s="18"/>
      <c r="EB78" s="14">
        <f>SUM(CZ78,DB78,DL78, DE78, DD78,FK78)</f>
        <v>4034.3840833333338</v>
      </c>
      <c r="EC78" s="18"/>
      <c r="ED78" s="18"/>
      <c r="EE78" s="18"/>
      <c r="EF78" s="18"/>
      <c r="EG78" s="18"/>
      <c r="EH78" s="18"/>
      <c r="EI78" s="18"/>
      <c r="EJ78" s="18"/>
      <c r="EK78" s="18"/>
      <c r="EL78" s="18"/>
      <c r="EM78" s="18"/>
      <c r="EN78" s="18"/>
      <c r="EO78" s="18"/>
      <c r="EP78" s="18"/>
      <c r="EQ78" s="18"/>
      <c r="ER78" s="18"/>
      <c r="ES78" s="18" t="s">
        <v>936</v>
      </c>
      <c r="ET78" s="18" t="s">
        <v>386</v>
      </c>
      <c r="EU78" s="18" t="s">
        <v>260</v>
      </c>
      <c r="EV78" s="27">
        <v>40331</v>
      </c>
      <c r="EW78" s="18" t="s">
        <v>1855</v>
      </c>
      <c r="EX78" s="18"/>
      <c r="EY78" s="18"/>
      <c r="EZ78" s="18"/>
      <c r="FA78" s="18"/>
      <c r="FB78" s="18"/>
      <c r="FC78" s="18"/>
      <c r="FD78" s="18"/>
      <c r="FE78" s="18"/>
      <c r="FF78" s="18" t="s">
        <v>473</v>
      </c>
      <c r="FG78" s="18" t="s">
        <v>474</v>
      </c>
      <c r="FH78" s="18" t="s">
        <v>475</v>
      </c>
      <c r="FI78" s="18" t="s">
        <v>438</v>
      </c>
      <c r="FJ78" s="18" t="s">
        <v>260</v>
      </c>
      <c r="FK78" s="14">
        <f>944.32</f>
        <v>944.32</v>
      </c>
      <c r="FL78" s="18" t="s">
        <v>473</v>
      </c>
      <c r="FM78" s="18" t="s">
        <v>474</v>
      </c>
      <c r="FN78" s="18"/>
      <c r="FO78" s="18" t="s">
        <v>475</v>
      </c>
      <c r="FP78" s="18" t="s">
        <v>438</v>
      </c>
      <c r="FQ78" s="18" t="s">
        <v>260</v>
      </c>
      <c r="FR78" s="27">
        <v>40331</v>
      </c>
      <c r="FS78" s="18" t="s">
        <v>1855</v>
      </c>
      <c r="FT78" s="18"/>
      <c r="FU78" s="18"/>
      <c r="FV78" s="18"/>
      <c r="FW78" s="18"/>
      <c r="FX78" s="18">
        <v>944.32</v>
      </c>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27">
        <v>44499</v>
      </c>
      <c r="IB78" s="18">
        <v>8500</v>
      </c>
      <c r="IC78" s="14">
        <v>10000</v>
      </c>
      <c r="ID78" s="18"/>
      <c r="IE78" s="18"/>
      <c r="IF78" s="18" t="s">
        <v>2720</v>
      </c>
      <c r="IG78" s="18" t="s">
        <v>2721</v>
      </c>
      <c r="IH78" s="18" t="s">
        <v>2722</v>
      </c>
      <c r="II78" s="18"/>
      <c r="IJ78" s="18">
        <v>4083.37</v>
      </c>
      <c r="IK78" s="14">
        <v>100.17</v>
      </c>
      <c r="IL78" s="14">
        <f>SUM(IB78-EB78-IJ78)</f>
        <v>382.24591666666583</v>
      </c>
      <c r="IM78" s="14">
        <f>SUM(IL78-IN78)</f>
        <v>292.77439968397255</v>
      </c>
      <c r="IN78" s="14">
        <f>SUM((FX78/EB78)*IL78)</f>
        <v>89.471516982693302</v>
      </c>
      <c r="IO78" s="27">
        <v>44434</v>
      </c>
      <c r="IP78" s="27">
        <v>44453</v>
      </c>
      <c r="IQ78" s="27">
        <v>44501</v>
      </c>
      <c r="IR78" s="18"/>
      <c r="IS78" s="18"/>
      <c r="IT78" s="18"/>
      <c r="IU78" s="18"/>
      <c r="IV78" s="18"/>
      <c r="IW78" s="18"/>
      <c r="IX78" s="18"/>
      <c r="IY78" s="18"/>
      <c r="IZ78" s="18"/>
      <c r="JA78" s="18"/>
      <c r="JB78" s="18"/>
      <c r="JC78" s="18"/>
    </row>
    <row r="79" spans="1:263" ht="15" customHeight="1">
      <c r="A79" s="2">
        <v>102024132</v>
      </c>
      <c r="B79" t="s">
        <v>5460</v>
      </c>
      <c r="D79" s="1"/>
      <c r="E79" s="3"/>
      <c r="G79" s="3"/>
      <c r="J79" t="s">
        <v>554</v>
      </c>
      <c r="K79" t="s">
        <v>1700</v>
      </c>
      <c r="L79" t="s">
        <v>1006</v>
      </c>
      <c r="O79" s="3"/>
      <c r="P79" t="s">
        <v>1700</v>
      </c>
      <c r="Q79" t="s">
        <v>5461</v>
      </c>
      <c r="AG79" s="43"/>
      <c r="AJ79" s="18" t="s">
        <v>5462</v>
      </c>
      <c r="AK79" s="1" t="s">
        <v>258</v>
      </c>
      <c r="AL79" t="s">
        <v>438</v>
      </c>
      <c r="AM79" t="s">
        <v>260</v>
      </c>
      <c r="AN79"/>
      <c r="AO79" t="s">
        <v>5463</v>
      </c>
      <c r="AP79" s="1" t="s">
        <v>258</v>
      </c>
      <c r="AQ79" s="18" t="s">
        <v>5464</v>
      </c>
      <c r="AR79"/>
      <c r="AS79" t="s">
        <v>473</v>
      </c>
      <c r="AT79" t="s">
        <v>474</v>
      </c>
      <c r="AU79" t="s">
        <v>475</v>
      </c>
      <c r="AV79" t="s">
        <v>438</v>
      </c>
      <c r="AW79" s="1" t="s">
        <v>260</v>
      </c>
      <c r="AY79" s="1"/>
      <c r="AZ79" s="1"/>
      <c r="BA79" s="1"/>
      <c r="BB79" s="1"/>
      <c r="BC79" s="2"/>
      <c r="BD79" s="115">
        <v>45415</v>
      </c>
      <c r="BE79" s="115"/>
      <c r="BF79" s="2"/>
      <c r="BG79" s="2"/>
      <c r="BH79" s="2"/>
      <c r="BI79" s="2"/>
      <c r="BJ79" s="2"/>
      <c r="BK79" s="2"/>
      <c r="BL79" s="20">
        <f ca="1">SUM(EN79)+220</f>
        <v>848.36433333333309</v>
      </c>
      <c r="BM79" s="22">
        <f ca="1">PMT(10%/12,12,BL79,0,0)</f>
        <v>-74.584703059295592</v>
      </c>
      <c r="BN79" s="22">
        <f ca="1">SUM(BM79*-1)</f>
        <v>74.584703059295592</v>
      </c>
      <c r="BO79" s="14">
        <f>SUM(EV79*0.0052)/12</f>
        <v>32.413333333333334</v>
      </c>
      <c r="BP79" s="22">
        <f ca="1">SUM(BN79+BO79)</f>
        <v>106.99803639262893</v>
      </c>
      <c r="BQ79" s="14"/>
      <c r="BR79" s="14">
        <f>SUM(BQ79*0.1)</f>
        <v>0</v>
      </c>
      <c r="BS79" s="14">
        <f ca="1">SUM(BT79*BU79)</f>
        <v>0</v>
      </c>
      <c r="BT79" s="17">
        <f>SUM((BQ79+BR79)*0.00833333333333333)</f>
        <v>0</v>
      </c>
      <c r="BU79" s="23">
        <f ca="1">MONTH(TODAY())+61</f>
        <v>65</v>
      </c>
      <c r="BV79" s="14">
        <f ca="1">SUM(BQ79,BR79,BS79)</f>
        <v>0</v>
      </c>
      <c r="BW79" s="14"/>
      <c r="BX79" s="14">
        <f>SUM(BW79*0.1)</f>
        <v>0</v>
      </c>
      <c r="BY79" s="14">
        <f ca="1">SUM(BZ79*CA79)</f>
        <v>0</v>
      </c>
      <c r="BZ79" s="17">
        <f>SUM((BW79+BX79)*0.00833333333333333)</f>
        <v>0</v>
      </c>
      <c r="CA79" s="23">
        <f ca="1">MONTH(TODAY())+49</f>
        <v>53</v>
      </c>
      <c r="CB79" s="14">
        <f ca="1">SUM(BW79,BX79,BY79)</f>
        <v>0</v>
      </c>
      <c r="CC79" s="14">
        <v>0</v>
      </c>
      <c r="CD79" s="14">
        <f>SUM(CC79*0.1)</f>
        <v>0</v>
      </c>
      <c r="CE79" s="14">
        <f ca="1">SUM(CF79*CG79)</f>
        <v>0</v>
      </c>
      <c r="CF79" s="17">
        <f>SUM((CC79+CD79)*0.00833333333333333)</f>
        <v>0</v>
      </c>
      <c r="CG79" s="23">
        <f ca="1">MONTH(TODAY())+37</f>
        <v>41</v>
      </c>
      <c r="CH79" s="14">
        <f ca="1">SUM(CC79,CD79,CE79)</f>
        <v>0</v>
      </c>
      <c r="CI79" s="14">
        <v>0</v>
      </c>
      <c r="CJ79" s="14">
        <f>SUM(CI79*0.1)</f>
        <v>0</v>
      </c>
      <c r="CK79" s="14">
        <f ca="1">SUM(CL79*CM79)</f>
        <v>0</v>
      </c>
      <c r="CL79" s="17">
        <f>SUM((CI79+CJ79)*0.00833333333333333)</f>
        <v>0</v>
      </c>
      <c r="CM79" s="23">
        <f ca="1">MONTH(TODAY())+25</f>
        <v>29</v>
      </c>
      <c r="CN79" s="14">
        <f ca="1">SUM(CI79,CJ79,CK79)</f>
        <v>0</v>
      </c>
      <c r="CO79" s="14">
        <v>0</v>
      </c>
      <c r="CP79" s="14">
        <f>SUM(CO79*0.1)</f>
        <v>0</v>
      </c>
      <c r="CQ79" s="14">
        <f ca="1">SUM(CR79*CS79)</f>
        <v>0</v>
      </c>
      <c r="CR79" s="17">
        <f>SUM((CO79+CP79)*0.00833333333333333)</f>
        <v>0</v>
      </c>
      <c r="CS79" s="23">
        <f ca="1">MONTH(TODAY())+17</f>
        <v>21</v>
      </c>
      <c r="CT79" s="23">
        <f ca="1">SUM(CO79,CP79,CQ79)</f>
        <v>0</v>
      </c>
      <c r="CU79" s="14">
        <f>SUM(ES79*0.0052)/2-119.08</f>
        <v>5.2000000000000028</v>
      </c>
      <c r="CV79" s="14">
        <f>SUM(CU79*0.1)</f>
        <v>0.52000000000000035</v>
      </c>
      <c r="CW79" s="14">
        <f ca="1">SUM(CX79*CY79)</f>
        <v>0.81033333333333346</v>
      </c>
      <c r="CX79" s="17">
        <f>SUM((CU79+CV79)*0.00833333333333333)</f>
        <v>4.7666666666666677E-2</v>
      </c>
      <c r="CY79" s="23">
        <f ca="1">MONTH(TODAY())+13</f>
        <v>17</v>
      </c>
      <c r="CZ79" s="23">
        <f ca="1">SUM(CU79,CV79,CW79)</f>
        <v>6.5303333333333367</v>
      </c>
      <c r="DA79" s="14">
        <f>SUM(EV79*0.0045)/2</f>
        <v>168.29999999999998</v>
      </c>
      <c r="DB79" s="14">
        <f>SUM(DA79*0.1)</f>
        <v>16.829999999999998</v>
      </c>
      <c r="DC79" s="14">
        <f ca="1">SUM(DD79*DE79)</f>
        <v>16.970249999999993</v>
      </c>
      <c r="DD79" s="17">
        <f>SUM((DA79+DB79)*0.00833333333333333)</f>
        <v>1.5427499999999994</v>
      </c>
      <c r="DE79" s="23">
        <f ca="1">MONTH(TODAY())+7</f>
        <v>11</v>
      </c>
      <c r="DF79" s="23">
        <f ca="1">SUM(DA79,DB79,DC79)</f>
        <v>202.10024999999999</v>
      </c>
      <c r="DG79" s="14">
        <f>SUM(EV79*0.0045)/2</f>
        <v>168.29999999999998</v>
      </c>
      <c r="DH79" s="14">
        <f>SUM(DG79*0.1)</f>
        <v>16.829999999999998</v>
      </c>
      <c r="DI79" s="14">
        <f ca="1">SUM(DJ79*DK79)</f>
        <v>7.7137499999999974</v>
      </c>
      <c r="DJ79" s="17">
        <f>SUM((DG79+DH79)*0.00833333333333333)</f>
        <v>1.5427499999999994</v>
      </c>
      <c r="DK79" s="23">
        <f ca="1">MONTH(TODAY())+1</f>
        <v>5</v>
      </c>
      <c r="DL79" s="14">
        <f ca="1">SUM(DG79,DH79,DI79)</f>
        <v>192.84375</v>
      </c>
      <c r="DM79" s="14">
        <f>SUM(EV79*0.0045)/2</f>
        <v>168.29999999999998</v>
      </c>
      <c r="DN79" s="14">
        <f>0</f>
        <v>0</v>
      </c>
      <c r="DO79" s="14">
        <f>0</f>
        <v>0</v>
      </c>
      <c r="DP79" s="17">
        <f>SUM((DM79+DN79)*0.00833333333333333)</f>
        <v>1.4024999999999992</v>
      </c>
      <c r="DQ79" s="23">
        <f ca="1">MONTH(TODAY())+7</f>
        <v>11</v>
      </c>
      <c r="DR79" s="23">
        <f>SUM(DM79,DN79,DO79)</f>
        <v>168.29999999999998</v>
      </c>
      <c r="DS79" s="14">
        <f>0</f>
        <v>0</v>
      </c>
      <c r="DT79" s="14">
        <f>0</f>
        <v>0</v>
      </c>
      <c r="DU79" s="14">
        <f ca="1">SUM(DV79*DW79)</f>
        <v>0</v>
      </c>
      <c r="DV79" s="17">
        <f>SUM((DS79+DT79)*0.00833333333333333)</f>
        <v>0</v>
      </c>
      <c r="DW79" s="23">
        <f ca="1">MONTH(TODAY())+1</f>
        <v>5</v>
      </c>
      <c r="DX79" s="14">
        <f ca="1">SUM(DS79,DT79,DU79)</f>
        <v>0</v>
      </c>
      <c r="DY79" s="14">
        <f>SUM( BQ79, BW79, CC79, CI79, CO79,CU79,DA79,DG79,DM79,DS79)</f>
        <v>510.09999999999991</v>
      </c>
      <c r="DZ79" s="14">
        <f>SUM(BR79,BX79,CD79,CJ79, CP79,CV79,DB79,DH79,DN79,DT79)</f>
        <v>34.179999999999993</v>
      </c>
      <c r="EA79" s="14">
        <f ca="1">SUM(BS79,BY79,CE79,CK79, CQ79,CW79,DC79,DI79,DO79,DU79)</f>
        <v>25.494333333333323</v>
      </c>
      <c r="EB79" s="25">
        <f ca="1">SUM(DY79:EA79)</f>
        <v>569.77433333333317</v>
      </c>
      <c r="EC79" s="47">
        <f ca="1">SUM(EB79/ES79)</f>
        <v>1.191996513249651E-2</v>
      </c>
      <c r="ED79" s="14">
        <f>20+10</f>
        <v>30</v>
      </c>
      <c r="EE79" s="32">
        <f>COUNTIF(AO79, "*")+COUNTIF(AJ79, "*")+COUNTIF(AA79, "*")+COUNTIF(FG79, "*")+COUNTIF(FM79, "*")+COUNTIF(FS79, "*")+COUNTIF(FW79, "*")+COUNTIF(GD79, "*")+COUNTIF(AS79, "*")+COUNTIF(GM79, "*")+COUNTIF(GX79, "*")+COUNTIF(HI79, "*")+COUNTIF(HQ79, "*")+COUNTIF(HY79, "*")+COUNTIF(IG79, "*")</f>
        <v>3</v>
      </c>
      <c r="EF79" s="14">
        <f>EE79*0.64</f>
        <v>1.92</v>
      </c>
      <c r="EG79" s="4"/>
      <c r="EH79" s="4">
        <v>26.67</v>
      </c>
      <c r="EI79" s="4"/>
      <c r="EJ79" s="4"/>
      <c r="EL79" s="4"/>
      <c r="EM79" s="14">
        <f>SUM(EH79:EL79)</f>
        <v>26.67</v>
      </c>
      <c r="EN79" s="14">
        <f ca="1">SUM(EB79,ED79,EM79, EG79, EF79,GJ79)</f>
        <v>628.36433333333309</v>
      </c>
      <c r="EO79" s="24" t="s">
        <v>4935</v>
      </c>
      <c r="EP79" s="23">
        <v>7.0000000000000007E-2</v>
      </c>
      <c r="EQ79" s="14">
        <v>7100</v>
      </c>
      <c r="ER79" s="14">
        <v>40700</v>
      </c>
      <c r="ES79" s="14">
        <f>SUM(EQ79+ER79)</f>
        <v>47800</v>
      </c>
      <c r="ET79" s="14">
        <v>7200</v>
      </c>
      <c r="EU79" s="14">
        <v>67600</v>
      </c>
      <c r="EV79" s="14">
        <f>SUM(ET79+EU79)</f>
        <v>74800</v>
      </c>
      <c r="EW79" s="10"/>
      <c r="EX79" s="10"/>
      <c r="EY79" s="10"/>
      <c r="EZ79" s="10"/>
      <c r="FA79" s="10"/>
      <c r="FB79" s="10"/>
      <c r="FC79" s="10"/>
      <c r="FD79" s="10"/>
      <c r="GJ79" s="4"/>
      <c r="IK79" s="9"/>
      <c r="IV79" s="4"/>
      <c r="IW79" s="4"/>
      <c r="IX79" s="4"/>
      <c r="IY79" s="9"/>
      <c r="IZ79" s="9"/>
      <c r="JA79" s="9"/>
      <c r="JB79" s="9"/>
      <c r="JC79" s="9"/>
    </row>
    <row r="80" spans="1:263" ht="15" customHeight="1">
      <c r="A80" s="2">
        <v>102024129</v>
      </c>
      <c r="B80" t="s">
        <v>5453</v>
      </c>
      <c r="D80" s="1"/>
      <c r="E80" s="3"/>
      <c r="G80" s="3"/>
      <c r="J80" t="s">
        <v>554</v>
      </c>
      <c r="K80" t="s">
        <v>435</v>
      </c>
      <c r="L80" t="s">
        <v>574</v>
      </c>
      <c r="M80" t="s">
        <v>256</v>
      </c>
      <c r="O80" s="3"/>
      <c r="P80" t="s">
        <v>435</v>
      </c>
      <c r="Q80" t="s">
        <v>5454</v>
      </c>
      <c r="R80" t="s">
        <v>537</v>
      </c>
      <c r="AG80" s="43"/>
      <c r="AK80" s="1"/>
      <c r="AM80"/>
      <c r="AN80"/>
      <c r="AO80" t="s">
        <v>5455</v>
      </c>
      <c r="AP80" s="1" t="s">
        <v>258</v>
      </c>
      <c r="AQ80" s="18" t="s">
        <v>438</v>
      </c>
      <c r="AR80" t="s">
        <v>260</v>
      </c>
      <c r="AS80" t="s">
        <v>473</v>
      </c>
      <c r="AT80" t="s">
        <v>474</v>
      </c>
      <c r="AU80" t="s">
        <v>475</v>
      </c>
      <c r="AV80" t="s">
        <v>438</v>
      </c>
      <c r="AW80" s="1" t="s">
        <v>260</v>
      </c>
      <c r="AY80" s="1"/>
      <c r="AZ80" s="1"/>
      <c r="BA80" s="1"/>
      <c r="BB80" s="1"/>
      <c r="BC80" s="2"/>
      <c r="BD80" s="115">
        <v>45408</v>
      </c>
      <c r="BE80" s="144">
        <v>45428</v>
      </c>
      <c r="BF80" s="2"/>
      <c r="BG80" s="2"/>
      <c r="BH80" s="2"/>
      <c r="BI80" s="2"/>
      <c r="BJ80" s="2"/>
      <c r="BK80" s="2"/>
      <c r="BL80" s="20">
        <f ca="1">SUM(EN80)+220</f>
        <v>1365.6793999999998</v>
      </c>
      <c r="BM80" s="22">
        <f ca="1">PMT(10%/12,12,BL80,0,0)</f>
        <v>-120.06491612274714</v>
      </c>
      <c r="BN80" s="22">
        <f ca="1">SUM(BM80*-1)</f>
        <v>120.06491612274714</v>
      </c>
      <c r="BO80" s="14">
        <f>SUM(EV80*0.0052)/12</f>
        <v>25.176666666666666</v>
      </c>
      <c r="BP80" s="22">
        <f ca="1">SUM(BN80+BO80)</f>
        <v>145.2415827894138</v>
      </c>
      <c r="BQ80" s="14"/>
      <c r="BR80" s="14">
        <f>SUM(BQ80*0.1)</f>
        <v>0</v>
      </c>
      <c r="BS80" s="14">
        <f ca="1">SUM(BT80*BU80)</f>
        <v>0</v>
      </c>
      <c r="BT80" s="17">
        <f>SUM((BQ80+BR80)*0.00833333333333333)</f>
        <v>0</v>
      </c>
      <c r="BU80" s="23">
        <f ca="1">MONTH(TODAY())+61</f>
        <v>65</v>
      </c>
      <c r="BV80" s="14">
        <f ca="1">SUM(BQ80,BR80,BS80)</f>
        <v>0</v>
      </c>
      <c r="BW80" s="14"/>
      <c r="BX80" s="14">
        <f>SUM(BW80*0.1)</f>
        <v>0</v>
      </c>
      <c r="BY80" s="14">
        <f ca="1">SUM(BZ80*CA80)</f>
        <v>0</v>
      </c>
      <c r="BZ80" s="17">
        <f>SUM((BW80+BX80)*0.00833333333333333)</f>
        <v>0</v>
      </c>
      <c r="CA80" s="23">
        <f ca="1">MONTH(TODAY())+49</f>
        <v>53</v>
      </c>
      <c r="CB80" s="14">
        <f ca="1">SUM(BW80,BX80,BY80)</f>
        <v>0</v>
      </c>
      <c r="CC80" s="14">
        <v>0</v>
      </c>
      <c r="CD80" s="14">
        <f>SUM(CC80*0.1)</f>
        <v>0</v>
      </c>
      <c r="CE80" s="14">
        <f ca="1">SUM(CF80*CG80)</f>
        <v>0</v>
      </c>
      <c r="CF80" s="17">
        <f>SUM((CC80+CD80)*0.00833333333333333)</f>
        <v>0</v>
      </c>
      <c r="CG80" s="23">
        <f ca="1">MONTH(TODAY())+37</f>
        <v>41</v>
      </c>
      <c r="CH80" s="14">
        <f ca="1">SUM(CC80,CD80,CE80)</f>
        <v>0</v>
      </c>
      <c r="CI80" s="14">
        <v>0</v>
      </c>
      <c r="CJ80" s="14">
        <f>SUM(CI80*0.1)</f>
        <v>0</v>
      </c>
      <c r="CK80" s="14">
        <f ca="1">SUM(CL80*CM80)</f>
        <v>0</v>
      </c>
      <c r="CL80" s="17">
        <f>SUM((CI80+CJ80)*0.00833333333333333)</f>
        <v>0</v>
      </c>
      <c r="CM80" s="23">
        <f ca="1">MONTH(TODAY())+25</f>
        <v>29</v>
      </c>
      <c r="CN80" s="14">
        <f ca="1">SUM(CI80,CJ80,CK80)</f>
        <v>0</v>
      </c>
      <c r="CO80" s="14">
        <f>SUM(ES80*0.0052)/2</f>
        <v>102.96</v>
      </c>
      <c r="CP80" s="14">
        <f>SUM(CO80*0.1)</f>
        <v>10.295999999999999</v>
      </c>
      <c r="CQ80" s="14">
        <f ca="1">SUM(CR80*CS80)</f>
        <v>19.819799999999994</v>
      </c>
      <c r="CR80" s="17">
        <f>SUM((CO80+CP80)*0.00833333333333333)</f>
        <v>0.94379999999999964</v>
      </c>
      <c r="CS80" s="23">
        <f ca="1">MONTH(TODAY())+17</f>
        <v>21</v>
      </c>
      <c r="CT80" s="23">
        <f ca="1">SUM(CO80,CP80,CQ80)</f>
        <v>133.07579999999999</v>
      </c>
      <c r="CU80" s="14">
        <f>SUM(ES80*0.0052)/2</f>
        <v>102.96</v>
      </c>
      <c r="CV80" s="14">
        <f>SUM(CU80*0.1)</f>
        <v>10.295999999999999</v>
      </c>
      <c r="CW80" s="14">
        <f ca="1">SUM(CX80*CY80)</f>
        <v>16.044599999999996</v>
      </c>
      <c r="CX80" s="17">
        <f>SUM((CU80+CV80)*0.00833333333333333)</f>
        <v>0.94379999999999964</v>
      </c>
      <c r="CY80" s="23">
        <f ca="1">MONTH(TODAY())+13</f>
        <v>17</v>
      </c>
      <c r="CZ80" s="23">
        <f ca="1">SUM(CU80,CV80,CW80)</f>
        <v>129.3006</v>
      </c>
      <c r="DA80" s="14">
        <f>SUM(EV80*0.0045)/2</f>
        <v>130.72499999999999</v>
      </c>
      <c r="DB80" s="14">
        <f>SUM(DA80*0.1)</f>
        <v>13.0725</v>
      </c>
      <c r="DC80" s="14">
        <f ca="1">SUM(DD80*DE80)</f>
        <v>13.181437499999994</v>
      </c>
      <c r="DD80" s="17">
        <f>SUM((DA80+DB80)*0.00833333333333333)</f>
        <v>1.1983124999999994</v>
      </c>
      <c r="DE80" s="23">
        <f ca="1">MONTH(TODAY())+7</f>
        <v>11</v>
      </c>
      <c r="DF80" s="23">
        <f ca="1">SUM(DA80,DB80,DC80)</f>
        <v>156.97893749999997</v>
      </c>
      <c r="DG80" s="14">
        <f>SUM(EV80*0.0045)/2</f>
        <v>130.72499999999999</v>
      </c>
      <c r="DH80" s="14">
        <f>SUM(DG80*0.1)</f>
        <v>13.0725</v>
      </c>
      <c r="DI80" s="14">
        <f ca="1">SUM(DJ80*DK80)</f>
        <v>5.991562499999997</v>
      </c>
      <c r="DJ80" s="17">
        <f>SUM((DG80+DH80)*0.00833333333333333)</f>
        <v>1.1983124999999994</v>
      </c>
      <c r="DK80" s="23">
        <f ca="1">MONTH(TODAY())+1</f>
        <v>5</v>
      </c>
      <c r="DL80" s="14">
        <f ca="1">SUM(DG80,DH80,DI80)</f>
        <v>149.78906249999997</v>
      </c>
      <c r="DM80" s="14">
        <f>SUM(EV80*0.0045)/2</f>
        <v>130.72499999999999</v>
      </c>
      <c r="DN80" s="14">
        <f>0</f>
        <v>0</v>
      </c>
      <c r="DO80" s="14">
        <f>0</f>
        <v>0</v>
      </c>
      <c r="DP80" s="17">
        <f>SUM((DM80+DN80)*0.00833333333333333)</f>
        <v>1.0893749999999995</v>
      </c>
      <c r="DQ80" s="23">
        <f ca="1">MONTH(TODAY())+7</f>
        <v>11</v>
      </c>
      <c r="DR80" s="23">
        <f>SUM(DM80,DN80,DO80)</f>
        <v>130.72499999999999</v>
      </c>
      <c r="DS80" s="14">
        <f>0</f>
        <v>0</v>
      </c>
      <c r="DT80" s="14">
        <f>0</f>
        <v>0</v>
      </c>
      <c r="DU80" s="14">
        <f ca="1">SUM(DV80*DW80)</f>
        <v>0</v>
      </c>
      <c r="DV80" s="17">
        <f>SUM((DS80+DT80)*0.00833333333333333)</f>
        <v>0</v>
      </c>
      <c r="DW80" s="23">
        <f ca="1">MONTH(TODAY())+1</f>
        <v>5</v>
      </c>
      <c r="DX80" s="14">
        <f ca="1">SUM(DS80,DT80,DU80)</f>
        <v>0</v>
      </c>
      <c r="DY80" s="14">
        <f>SUM( BQ80, BW80, CC80, CI80, CO80,CU80,DA80,DG80,DM80,DS80)</f>
        <v>598.09500000000003</v>
      </c>
      <c r="DZ80" s="14">
        <f>SUM(BR80,BX80,CD80,CJ80, CP80,CV80,DB80,DH80,DN80,DT80)</f>
        <v>46.736999999999995</v>
      </c>
      <c r="EA80" s="14">
        <f ca="1">SUM(BS80,BY80,CE80,CK80, CQ80,CW80,DC80,DI80,DO80,DU80)</f>
        <v>55.037399999999977</v>
      </c>
      <c r="EB80" s="25">
        <f ca="1">SUM(DY80:EA80)</f>
        <v>699.86939999999993</v>
      </c>
      <c r="EC80" s="47">
        <f ca="1">SUM(EB80/ES80)</f>
        <v>1.7673469696969694E-2</v>
      </c>
      <c r="ED80" s="14">
        <f>20+10+200</f>
        <v>230</v>
      </c>
      <c r="EE80" s="32">
        <f>COUNTIF(AO80, "*")+COUNTIF(AJ80, "*")+COUNTIF(AA80, "*")+COUNTIF(FG80, "*")+COUNTIF(FM80, "*")+COUNTIF(FS80, "*")+COUNTIF(FW80, "*")+COUNTIF(GD80, "*")+COUNTIF(AS80, "*")+COUNTIF(GM80, "*")+COUNTIF(GX80, "*")+COUNTIF(HI80, "*")+COUNTIF(HQ80, "*")+COUNTIF(HY80, "*")+COUNTIF(IG80, "*")</f>
        <v>4</v>
      </c>
      <c r="EF80" s="14">
        <f>1.28+EE80*8</f>
        <v>33.28</v>
      </c>
      <c r="EG80" s="4">
        <v>150</v>
      </c>
      <c r="EH80" s="4">
        <v>32.53</v>
      </c>
      <c r="EI80" s="4"/>
      <c r="EJ80" s="4"/>
      <c r="EL80" s="4"/>
      <c r="EM80" s="14">
        <f>SUM(EH80:EL80)</f>
        <v>32.53</v>
      </c>
      <c r="EN80" s="14">
        <f ca="1">SUM(EB80,ED80,EM80, EG80, EF80,GJ80)</f>
        <v>1145.6793999999998</v>
      </c>
      <c r="EO80" s="24" t="s">
        <v>4935</v>
      </c>
      <c r="EP80" s="23">
        <f>0.08+0.11</f>
        <v>0.19</v>
      </c>
      <c r="EQ80" s="14">
        <f>7100+400</f>
        <v>7500</v>
      </c>
      <c r="ER80" s="14">
        <v>32100</v>
      </c>
      <c r="ES80" s="14">
        <f>SUM(EQ80+ER80)</f>
        <v>39600</v>
      </c>
      <c r="ET80" s="14">
        <f>7200+400</f>
        <v>7600</v>
      </c>
      <c r="EU80" s="14">
        <v>50500</v>
      </c>
      <c r="EV80" s="14">
        <f>SUM(ET80+EU80)</f>
        <v>58100</v>
      </c>
      <c r="EW80" s="10" t="s">
        <v>5686</v>
      </c>
      <c r="EX80" s="10" t="s">
        <v>5687</v>
      </c>
      <c r="EY80" s="10"/>
      <c r="EZ80" s="10"/>
      <c r="FA80" s="10"/>
      <c r="FB80" s="10"/>
      <c r="FC80" s="10"/>
      <c r="FD80" s="10"/>
      <c r="FV80" t="s">
        <v>5688</v>
      </c>
      <c r="FW80" t="s">
        <v>5689</v>
      </c>
      <c r="FX80" t="s">
        <v>5690</v>
      </c>
      <c r="FY80" t="s">
        <v>267</v>
      </c>
      <c r="FZ80" t="s">
        <v>268</v>
      </c>
      <c r="GA80" s="9">
        <v>35124</v>
      </c>
      <c r="GB80" t="s">
        <v>5691</v>
      </c>
      <c r="GC80" t="s">
        <v>5694</v>
      </c>
      <c r="GD80" t="s">
        <v>5692</v>
      </c>
      <c r="GF80" t="s">
        <v>5693</v>
      </c>
      <c r="GG80" t="s">
        <v>544</v>
      </c>
      <c r="GH80" s="9">
        <v>37256</v>
      </c>
      <c r="GI80" t="s">
        <v>5695</v>
      </c>
      <c r="GJ80" s="4"/>
      <c r="IK80" s="9"/>
      <c r="IV80" s="4"/>
      <c r="IW80" s="4"/>
      <c r="IX80" s="4"/>
      <c r="IY80" s="9"/>
      <c r="IZ80" s="9"/>
      <c r="JA80" s="9"/>
      <c r="JB80" s="9"/>
      <c r="JC80" s="9"/>
    </row>
    <row r="81" spans="1:263" ht="15" customHeight="1">
      <c r="A81" s="19">
        <v>102021060</v>
      </c>
      <c r="B81" t="s">
        <v>2116</v>
      </c>
      <c r="J81" t="s">
        <v>311</v>
      </c>
      <c r="K81" t="s">
        <v>695</v>
      </c>
      <c r="L81" t="s">
        <v>1283</v>
      </c>
      <c r="N81" t="s">
        <v>341</v>
      </c>
      <c r="AF81" s="3"/>
      <c r="AG81" s="272"/>
      <c r="AI81" s="18" t="s">
        <v>328</v>
      </c>
      <c r="AK81" s="24" t="s">
        <v>438</v>
      </c>
      <c r="AL81" s="3"/>
      <c r="AN81" t="s">
        <v>2186</v>
      </c>
      <c r="AO81" s="1" t="s">
        <v>258</v>
      </c>
      <c r="AP81" s="3" t="s">
        <v>1750</v>
      </c>
      <c r="AQ81"/>
      <c r="AR81"/>
      <c r="AW81" s="2"/>
      <c r="AX81" s="2"/>
      <c r="AY81" s="70"/>
      <c r="AZ81" s="2"/>
      <c r="BA81" s="2"/>
      <c r="BB81" s="2"/>
      <c r="BC81" s="2"/>
      <c r="BD81" s="2"/>
      <c r="BE81" s="2"/>
      <c r="BF81" s="20"/>
      <c r="BG81" s="22"/>
      <c r="BH81" s="22"/>
      <c r="BI81" s="14"/>
      <c r="BJ81" s="22"/>
      <c r="BK81" s="14"/>
      <c r="BL81" s="14"/>
      <c r="BM81" s="14"/>
      <c r="BN81" s="17"/>
      <c r="BO81" s="23"/>
      <c r="BP81" s="14"/>
      <c r="BQ81" s="14"/>
      <c r="BR81" s="14"/>
      <c r="BS81" s="14"/>
      <c r="BT81" s="17"/>
      <c r="BU81" s="23"/>
      <c r="BV81" s="14"/>
      <c r="BW81" s="14"/>
      <c r="BX81" s="14"/>
      <c r="BY81" s="14"/>
      <c r="BZ81" s="17"/>
      <c r="CA81" s="23"/>
      <c r="CB81" s="14"/>
      <c r="CC81" s="14"/>
      <c r="CD81" s="14"/>
      <c r="CE81" s="14"/>
      <c r="CF81" s="17"/>
      <c r="CG81" s="23"/>
      <c r="CH81" s="14"/>
      <c r="CI81" s="14"/>
      <c r="CJ81" s="14"/>
      <c r="CK81" s="14"/>
      <c r="CL81" s="17"/>
      <c r="CM81" s="23"/>
      <c r="CN81" s="14"/>
      <c r="CO81" s="14"/>
      <c r="CP81" s="14"/>
      <c r="CQ81" s="14"/>
      <c r="CR81" s="17"/>
      <c r="CS81" s="23"/>
      <c r="CT81" s="14"/>
      <c r="CU81" s="14"/>
      <c r="CV81" s="14"/>
      <c r="CW81" s="14"/>
      <c r="CX81" s="17"/>
      <c r="CY81" s="23"/>
      <c r="CZ81" s="14"/>
      <c r="DA81" s="14"/>
      <c r="DB81" s="14"/>
      <c r="DC81" s="14"/>
      <c r="DD81" s="17"/>
      <c r="DE81" s="23"/>
      <c r="DF81" s="14"/>
      <c r="DG81" s="14"/>
      <c r="DH81" s="14">
        <f>SUM(BL81, BR81, BX81, CD81, CJ81, CP81,CV81,DB81)</f>
        <v>0</v>
      </c>
      <c r="DI81" s="14">
        <f>SUM(BM81, BS81, BY81, CE81, CK81, CQ81,CW81,DC81)</f>
        <v>0</v>
      </c>
      <c r="DJ81" s="14">
        <f>SUM(DG81:DI81)</f>
        <v>0</v>
      </c>
      <c r="DK81" s="47">
        <f>SUM(DJ81/DZ81)</f>
        <v>0</v>
      </c>
      <c r="DL81" s="14">
        <f>39+195</f>
        <v>234</v>
      </c>
      <c r="DM81" s="32">
        <f>COUNTIF(DS81, "*")+COUNTIF(AN81, "*")+COUNTIF(AI81, "*")+COUNTIF(AA81, "*")+COUNTIF(EP81, "*")+COUNTIF(EV81, "*")+COUNTIF(FB81, "*")+COUNTIF(FF81, "*")+COUNTIF(FM81, "*")+COUNTIF(FU81, "*")+COUNTIF(GB81, "*")+COUNTIF(GM81, "*")+COUNTIF(GX81, "*")+COUNTIF(HF81, "*")+COUNTIF(HN81, "*")+COUNTIF(HV81, "*")+COUNTIF(ID81, "*")</f>
        <v>6</v>
      </c>
      <c r="DN81" s="14">
        <f>DM81*0.5+DM81*6.36</f>
        <v>41.160000000000004</v>
      </c>
      <c r="DO81" s="14"/>
      <c r="DP81" s="14">
        <f>SUM(DJ81,DL81,DV81, DO81, DN81,FY81)</f>
        <v>275.16000000000003</v>
      </c>
      <c r="DQ81" s="14"/>
      <c r="DR81" s="14"/>
      <c r="DS81" s="14"/>
      <c r="DT81" s="23"/>
      <c r="DU81" s="25"/>
      <c r="DV81" s="14">
        <f>SUM(DQ81:DU81)</f>
        <v>0</v>
      </c>
      <c r="DW81" s="24" t="s">
        <v>1997</v>
      </c>
      <c r="DX81" s="25">
        <v>14000</v>
      </c>
      <c r="DY81" s="25">
        <v>1000</v>
      </c>
      <c r="DZ81" s="25">
        <f>SUM(DX81+DY81)</f>
        <v>15000</v>
      </c>
      <c r="EA81" s="36">
        <v>0.23</v>
      </c>
      <c r="EB81" s="18" t="s">
        <v>2398</v>
      </c>
      <c r="EC81" t="s">
        <v>2399</v>
      </c>
      <c r="EN81" t="s">
        <v>2387</v>
      </c>
      <c r="EP81" t="s">
        <v>2388</v>
      </c>
      <c r="ER81" t="s">
        <v>329</v>
      </c>
      <c r="ES81" t="s">
        <v>260</v>
      </c>
      <c r="ET81" t="s">
        <v>2389</v>
      </c>
      <c r="EV81" t="s">
        <v>2390</v>
      </c>
      <c r="EW81" t="s">
        <v>2391</v>
      </c>
      <c r="EX81" t="s">
        <v>1750</v>
      </c>
      <c r="EY81" t="s">
        <v>544</v>
      </c>
      <c r="EZ81" t="s">
        <v>2392</v>
      </c>
      <c r="FB81" t="s">
        <v>2393</v>
      </c>
      <c r="FC81" t="s">
        <v>2394</v>
      </c>
      <c r="FD81" t="s">
        <v>275</v>
      </c>
      <c r="FE81" t="s">
        <v>2396</v>
      </c>
      <c r="FF81" t="s">
        <v>858</v>
      </c>
      <c r="FH81" t="s">
        <v>386</v>
      </c>
      <c r="FI81" t="s">
        <v>1410</v>
      </c>
      <c r="FJ81" s="9">
        <v>40688</v>
      </c>
      <c r="FK81" t="s">
        <v>2397</v>
      </c>
      <c r="IJ81" s="18"/>
      <c r="IK81" s="18"/>
      <c r="IL81" s="18"/>
      <c r="IM81" s="14"/>
      <c r="IN81" s="27">
        <v>44377</v>
      </c>
      <c r="IO81" s="18"/>
      <c r="IP81" s="18"/>
      <c r="IQ81" s="18"/>
      <c r="IR81" s="18"/>
    </row>
    <row r="82" spans="1:263" s="18" customFormat="1" ht="15" customHeight="1">
      <c r="A82" s="19">
        <v>102022112</v>
      </c>
      <c r="B82" t="s">
        <v>2852</v>
      </c>
      <c r="C82"/>
      <c r="D82" s="1">
        <v>2025</v>
      </c>
      <c r="E82" s="3"/>
      <c r="F82" s="3"/>
      <c r="G82" s="3"/>
      <c r="H82"/>
      <c r="I82"/>
      <c r="J82"/>
      <c r="K82" t="s">
        <v>3110</v>
      </c>
      <c r="L82"/>
      <c r="M82"/>
      <c r="N82"/>
      <c r="O82" s="3"/>
      <c r="P82"/>
      <c r="Q82"/>
      <c r="R82"/>
      <c r="S82"/>
      <c r="T82"/>
      <c r="U82"/>
      <c r="V82"/>
      <c r="W82"/>
      <c r="X82"/>
      <c r="Y82"/>
      <c r="Z82"/>
      <c r="AA82"/>
      <c r="AB82"/>
      <c r="AC82"/>
      <c r="AD82"/>
      <c r="AE82"/>
      <c r="AF82"/>
      <c r="AG82" s="43"/>
      <c r="AH82"/>
      <c r="AI82"/>
      <c r="AJ82" s="18" t="s">
        <v>328</v>
      </c>
      <c r="AK82"/>
      <c r="AL82" t="s">
        <v>438</v>
      </c>
      <c r="AM82"/>
      <c r="AN82"/>
      <c r="AO82" t="s">
        <v>3111</v>
      </c>
      <c r="AP82" s="3" t="s">
        <v>258</v>
      </c>
      <c r="AQ82" t="s">
        <v>438</v>
      </c>
      <c r="AR82" t="s">
        <v>260</v>
      </c>
      <c r="AS82" t="s">
        <v>473</v>
      </c>
      <c r="AT82" t="s">
        <v>474</v>
      </c>
      <c r="AU82" t="s">
        <v>475</v>
      </c>
      <c r="AV82" t="s">
        <v>438</v>
      </c>
      <c r="AW82" s="1" t="s">
        <v>260</v>
      </c>
      <c r="AX82"/>
      <c r="AY82" s="48"/>
      <c r="AZ82" s="1"/>
      <c r="BA82" s="1"/>
      <c r="BB82" s="1"/>
      <c r="BC82" s="2"/>
      <c r="BD82" s="116"/>
      <c r="BE82" s="115"/>
      <c r="BF82" s="2"/>
      <c r="BG82" s="2"/>
      <c r="BH82" s="2"/>
      <c r="BI82" s="2"/>
      <c r="BJ82" s="2"/>
      <c r="BK82" s="2"/>
      <c r="BL82" s="20">
        <f ca="1">SUM(EB82)+220</f>
        <v>256.4864</v>
      </c>
      <c r="BM82" s="22">
        <f ca="1">PMT(10%/12,12,BL82,0,0)</f>
        <v>-22.549229418431135</v>
      </c>
      <c r="BN82" s="22">
        <f ca="1">SUM(BM82*-1)</f>
        <v>22.549229418431135</v>
      </c>
      <c r="BO82" s="14">
        <f>SUM(EJ82*0.0052)/12</f>
        <v>0.34666666666666668</v>
      </c>
      <c r="BP82" s="22">
        <f ca="1">SUM(BN82+BO82)</f>
        <v>22.895896085097803</v>
      </c>
      <c r="BQ82" s="14"/>
      <c r="BR82" s="14">
        <f>SUM(BQ82*0.1)</f>
        <v>0</v>
      </c>
      <c r="BS82" s="14">
        <f ca="1">SUM(BT82*BU82)</f>
        <v>0</v>
      </c>
      <c r="BT82" s="17">
        <f>SUM((BQ82+BR82)*0.00833333333333333)</f>
        <v>0</v>
      </c>
      <c r="BU82" s="23">
        <f ca="1">MONTH(TODAY())+61</f>
        <v>65</v>
      </c>
      <c r="BV82" s="14">
        <f ca="1">SUM(BQ82,BR82,BS82)</f>
        <v>0</v>
      </c>
      <c r="BW82" s="14"/>
      <c r="BX82" s="14">
        <f>SUM(BW82*0.1)</f>
        <v>0</v>
      </c>
      <c r="BY82" s="14">
        <f ca="1">SUM(BZ82*CA82)</f>
        <v>0</v>
      </c>
      <c r="BZ82" s="17">
        <f>SUM((BW82+BX82)*0.00833333333333333)</f>
        <v>0</v>
      </c>
      <c r="CA82" s="23">
        <f ca="1">MONTH(TODAY())+49</f>
        <v>53</v>
      </c>
      <c r="CB82" s="14">
        <f ca="1">SUM(BW82,BX82,BY82)</f>
        <v>0</v>
      </c>
      <c r="CC82" s="14">
        <v>0</v>
      </c>
      <c r="CD82" s="14">
        <f>SUM(CC82*0.1)</f>
        <v>0</v>
      </c>
      <c r="CE82" s="14">
        <f ca="1">SUM(CF82*CG82)</f>
        <v>0</v>
      </c>
      <c r="CF82" s="17">
        <f>SUM((CC82+CD82)*0.00833333333333333)</f>
        <v>0</v>
      </c>
      <c r="CG82" s="23">
        <f ca="1">MONTH(TODAY())+37</f>
        <v>41</v>
      </c>
      <c r="CH82" s="14">
        <f ca="1">SUM(CC82,CD82,CE82)</f>
        <v>0</v>
      </c>
      <c r="CI82" s="14">
        <f>SUM(EG82*0.0052)</f>
        <v>4.16</v>
      </c>
      <c r="CJ82" s="14">
        <f>SUM(CI82*0.1)</f>
        <v>0.41600000000000004</v>
      </c>
      <c r="CK82" s="14">
        <f ca="1">SUM(CL82*CM82)</f>
        <v>1.1058666666666663</v>
      </c>
      <c r="CL82" s="17">
        <f>SUM((CI82+CJ82)*0.00833333333333333)</f>
        <v>3.8133333333333325E-2</v>
      </c>
      <c r="CM82" s="23">
        <f ca="1">MONTH(TODAY())+25</f>
        <v>29</v>
      </c>
      <c r="CN82" s="14">
        <f ca="1">SUM(CI82,CJ82,CK82)</f>
        <v>5.6818666666666671</v>
      </c>
      <c r="CO82" s="14">
        <f>SUM(EG82*0.0052)/2</f>
        <v>2.08</v>
      </c>
      <c r="CP82" s="14">
        <f>SUM(CO82*0.1)</f>
        <v>0.20800000000000002</v>
      </c>
      <c r="CQ82" s="14">
        <f ca="1">SUM(CR82*CS82)</f>
        <v>0.40039999999999992</v>
      </c>
      <c r="CR82" s="17">
        <f>SUM((CO82+CP82)*0.00833333333333333)</f>
        <v>1.9066666666666662E-2</v>
      </c>
      <c r="CS82" s="23">
        <f ca="1">MONTH(TODAY())+17</f>
        <v>21</v>
      </c>
      <c r="CT82" s="23">
        <f ca="1">SUM(CO82,CP82,CQ82)</f>
        <v>2.6884000000000001</v>
      </c>
      <c r="CU82" s="14">
        <f>SUM(EG82*0.0052)/2</f>
        <v>2.08</v>
      </c>
      <c r="CV82" s="14">
        <f>SUM(CU82*0.1)</f>
        <v>0.20800000000000002</v>
      </c>
      <c r="CW82" s="14">
        <f ca="1">SUM(CX82*CY82)</f>
        <v>0.32413333333333327</v>
      </c>
      <c r="CX82" s="17">
        <f>SUM((CU82+CV82)*0.00833333333333333)</f>
        <v>1.9066666666666662E-2</v>
      </c>
      <c r="CY82" s="23">
        <f ca="1">MONTH(TODAY())+13</f>
        <v>17</v>
      </c>
      <c r="CZ82" s="23">
        <f ca="1">SUM(CU82,CV82,CW82)</f>
        <v>2.6121333333333334</v>
      </c>
      <c r="DA82" s="14">
        <f>SUM(EJ82*0.0045)/2</f>
        <v>1.7999999999999998</v>
      </c>
      <c r="DB82" s="14">
        <f>SUM(DA82*0.1)</f>
        <v>0.18</v>
      </c>
      <c r="DC82" s="14">
        <f ca="1">SUM(DD82*DE82)</f>
        <v>0.18149999999999988</v>
      </c>
      <c r="DD82" s="17">
        <f>SUM((DA82+DB82)*0.00833333333333333)</f>
        <v>1.649999999999999E-2</v>
      </c>
      <c r="DE82" s="23">
        <f ca="1">MONTH(TODAY())+7</f>
        <v>11</v>
      </c>
      <c r="DF82" s="23">
        <f ca="1">SUM(DA82,DB82,DC82)</f>
        <v>2.1614999999999998</v>
      </c>
      <c r="DG82" s="14">
        <f>SUM(EJ82*0.0045)/2</f>
        <v>1.7999999999999998</v>
      </c>
      <c r="DH82" s="14">
        <f>SUM(DG82*0.1)</f>
        <v>0.18</v>
      </c>
      <c r="DI82" s="14">
        <f ca="1">SUM(DJ82*DK82)</f>
        <v>8.2499999999999948E-2</v>
      </c>
      <c r="DJ82" s="17">
        <f>SUM((DG82+DH82)*0.00833333333333333)</f>
        <v>1.649999999999999E-2</v>
      </c>
      <c r="DK82" s="23">
        <f ca="1">MONTH(TODAY())+1</f>
        <v>5</v>
      </c>
      <c r="DL82" s="14">
        <f ca="1">SUM(DG82,DH82,DI82)</f>
        <v>2.0624999999999996</v>
      </c>
      <c r="DM82" s="14">
        <f>SUM( BQ82, BW82, CC82, CI82, CO82,CU82,DA82,DG82)</f>
        <v>11.920000000000002</v>
      </c>
      <c r="DN82" s="14">
        <f>SUM(BR82,BX82,CD82,CJ82, CP82,CV82,DB82,DH82)</f>
        <v>1.1919999999999999</v>
      </c>
      <c r="DO82" s="14">
        <f ca="1">SUM(BS82,BY82,CE82,CK82, CQ82,CW82,DC82,DI82)</f>
        <v>2.0943999999999994</v>
      </c>
      <c r="DP82" s="25">
        <f ca="1">SUM(DM82:DO82)</f>
        <v>15.206400000000002</v>
      </c>
      <c r="DQ82" s="47">
        <f ca="1">SUM(DP82/EG82)</f>
        <v>1.9008000000000004E-2</v>
      </c>
      <c r="DR82" s="14">
        <f>20</f>
        <v>20</v>
      </c>
      <c r="DS82" s="32">
        <f>COUNTIF(AO82, "*")+COUNTIF(AJ82, "*")+COUNTIF(AA82, "*")+COUNTIF(EU82, "*")+COUNTIF(FA82, "*")+COUNTIF(FG82, "*")+COUNTIF(FK82, "*")+COUNTIF(FR82, "*")+COUNTIF(Paid!AS926, "*")+COUNTIF(GA82, "*")+COUNTIF(GL82, "*")+COUNTIF(GW82, "*")+COUNTIF(HE82, "*")+COUNTIF(HM82, "*")+COUNTIF(HU82, "*")</f>
        <v>2</v>
      </c>
      <c r="DT82" s="14">
        <f>DS82*0.64</f>
        <v>1.28</v>
      </c>
      <c r="DU82" s="4"/>
      <c r="DV82" s="4"/>
      <c r="DW82" s="4"/>
      <c r="DX82" s="4"/>
      <c r="DY82"/>
      <c r="DZ82" s="4"/>
      <c r="EA82" s="14">
        <f>SUM(DV82:DZ82)</f>
        <v>0</v>
      </c>
      <c r="EB82" s="14">
        <f ca="1">SUM(DP82,DR82,EA82, DU82, DT82,FX82)</f>
        <v>36.486400000000003</v>
      </c>
      <c r="EC82" s="24" t="s">
        <v>4944</v>
      </c>
      <c r="ED82" s="7">
        <v>0.25</v>
      </c>
      <c r="EE82" s="4">
        <v>800</v>
      </c>
      <c r="EF82" s="4">
        <v>0</v>
      </c>
      <c r="EG82" s="14">
        <f>SUM(EE82+EF82)</f>
        <v>800</v>
      </c>
      <c r="EH82" s="14">
        <v>800</v>
      </c>
      <c r="EI82" s="14">
        <v>0</v>
      </c>
      <c r="EJ82" s="14">
        <f>SUM(EH82+EI82)</f>
        <v>800</v>
      </c>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s="9"/>
      <c r="IN82"/>
      <c r="IO82"/>
      <c r="IP82"/>
      <c r="IQ82"/>
      <c r="IR82"/>
      <c r="IS82"/>
      <c r="IT82"/>
      <c r="IU82"/>
      <c r="IV82"/>
      <c r="IW82"/>
      <c r="IX82"/>
      <c r="IY82"/>
      <c r="IZ82"/>
      <c r="JA82"/>
      <c r="JB82"/>
      <c r="JC82"/>
    </row>
    <row r="83" spans="1:263" ht="15" customHeight="1">
      <c r="A83" s="19">
        <v>102022051</v>
      </c>
      <c r="B83" t="s">
        <v>3467</v>
      </c>
      <c r="D83" s="1"/>
      <c r="E83" s="3" t="s">
        <v>3899</v>
      </c>
      <c r="F83" s="3">
        <v>220004195</v>
      </c>
      <c r="K83" t="s">
        <v>3025</v>
      </c>
      <c r="AG83" s="43"/>
      <c r="AH83" s="31"/>
      <c r="AJ83" t="s">
        <v>328</v>
      </c>
      <c r="AL83" t="s">
        <v>438</v>
      </c>
      <c r="AM83"/>
      <c r="AN83"/>
      <c r="AO83" s="3" t="s">
        <v>3880</v>
      </c>
      <c r="AP83" s="3" t="s">
        <v>258</v>
      </c>
      <c r="AQ83" t="s">
        <v>300</v>
      </c>
      <c r="AR83" t="s">
        <v>301</v>
      </c>
      <c r="AS83" s="1"/>
      <c r="AT83" s="1" t="s">
        <v>258</v>
      </c>
      <c r="AU83" s="1"/>
      <c r="AV83" s="1" t="s">
        <v>258</v>
      </c>
      <c r="AW83" s="1" t="s">
        <v>258</v>
      </c>
      <c r="AX83" s="70">
        <v>44725</v>
      </c>
      <c r="AY83" s="115">
        <v>44647</v>
      </c>
      <c r="AZ83" s="115">
        <v>44637</v>
      </c>
      <c r="BA83" s="70">
        <v>44799</v>
      </c>
      <c r="BB83" s="2" t="s">
        <v>318</v>
      </c>
      <c r="BC83" s="48">
        <v>44785</v>
      </c>
      <c r="BD83" s="48">
        <v>44792</v>
      </c>
      <c r="BE83" s="48">
        <v>44799</v>
      </c>
      <c r="BF83" s="19" t="s">
        <v>319</v>
      </c>
      <c r="BG83" s="20">
        <f ca="1">SUM(DK83)+214.5</f>
        <v>3846.6834000000003</v>
      </c>
      <c r="BH83" s="22">
        <f ca="1">PMT(10%/12,12,BG83,0,0)</f>
        <v>-338.18458400394991</v>
      </c>
      <c r="BI83" s="22">
        <f ca="1">SUM(BH83*-1)</f>
        <v>338.18458400394991</v>
      </c>
      <c r="BJ83" s="14">
        <f>SUM(DU83*0.0052)/12</f>
        <v>4.68</v>
      </c>
      <c r="BK83" s="22">
        <f ca="1">SUM(BI83+BJ83)</f>
        <v>342.86458400394991</v>
      </c>
      <c r="BL83" s="14"/>
      <c r="BM83" s="14">
        <f>SUM(BL83*0.1)</f>
        <v>0</v>
      </c>
      <c r="BN83" s="14">
        <f ca="1">SUM(BO83*BP83)</f>
        <v>0</v>
      </c>
      <c r="BO83" s="17">
        <f>SUM((BL83+BM83)*0.00833333333333333)</f>
        <v>0</v>
      </c>
      <c r="BP83" s="23">
        <f ca="1">MONTH(TODAY())+49</f>
        <v>53</v>
      </c>
      <c r="BQ83" s="14">
        <f ca="1">SUM(BL83,BM83,BN83)</f>
        <v>0</v>
      </c>
      <c r="BR83" s="14"/>
      <c r="BS83" s="14">
        <f>SUM(BR83*0.1)</f>
        <v>0</v>
      </c>
      <c r="BT83" s="14">
        <f ca="1">SUM(BU83*BV83)</f>
        <v>0</v>
      </c>
      <c r="BU83" s="17">
        <f>SUM((BR83+BS83)*0.00833333333333333)</f>
        <v>0</v>
      </c>
      <c r="BV83" s="23">
        <f ca="1">MONTH(TODAY())+37</f>
        <v>41</v>
      </c>
      <c r="BW83" s="14">
        <f ca="1">SUM(BR83,BS83,BT83)</f>
        <v>0</v>
      </c>
      <c r="BX83" s="14"/>
      <c r="BY83" s="14">
        <f>SUM(BX83*0.1)</f>
        <v>0</v>
      </c>
      <c r="BZ83" s="14">
        <f ca="1">SUM(CA83*CB83)</f>
        <v>0</v>
      </c>
      <c r="CA83" s="17">
        <f>SUM((BX83+BY83)*0.00833333333333333)</f>
        <v>0</v>
      </c>
      <c r="CB83" s="23">
        <f ca="1">MONTH(TODAY())+25</f>
        <v>29</v>
      </c>
      <c r="CC83" s="14">
        <f ca="1">SUM(BX83,BY83,BZ83)</f>
        <v>0</v>
      </c>
      <c r="CD83" s="14">
        <f>SUM(DU83*0.0052)</f>
        <v>56.16</v>
      </c>
      <c r="CE83" s="14">
        <f>SUM(CD83*0.1)</f>
        <v>5.6159999999999997</v>
      </c>
      <c r="CF83" s="14">
        <f ca="1">SUM(CG83*CH83)</f>
        <v>8.7515999999999945</v>
      </c>
      <c r="CG83" s="17">
        <f>SUM((CD83+CE83)*0.00833333333333333)</f>
        <v>0.5147999999999997</v>
      </c>
      <c r="CH83" s="23">
        <f ca="1">MONTH(TODAY())+13</f>
        <v>17</v>
      </c>
      <c r="CI83" s="14">
        <f ca="1">SUM(CD83,CE83,CF83)</f>
        <v>70.527599999999993</v>
      </c>
      <c r="CJ83" s="14">
        <f>SUM(DU83*0.0052)</f>
        <v>56.16</v>
      </c>
      <c r="CK83" s="14">
        <f>SUM(CJ83*0.1)</f>
        <v>5.6159999999999997</v>
      </c>
      <c r="CL83" s="14">
        <f ca="1">SUM(CM83*CN83)</f>
        <v>2.5739999999999985</v>
      </c>
      <c r="CM83" s="17">
        <f>SUM((CJ83+CK83)*0.00833333333333333)</f>
        <v>0.5147999999999997</v>
      </c>
      <c r="CN83" s="23">
        <f ca="1">MONTH(TODAY())+1</f>
        <v>5</v>
      </c>
      <c r="CO83" s="14">
        <f ca="1">SUM(CJ83,CK83,CL83)</f>
        <v>64.349999999999994</v>
      </c>
      <c r="CP83" s="14">
        <f>SUM(DU83*0.0052)/2</f>
        <v>28.08</v>
      </c>
      <c r="CQ83" s="14">
        <f>SUM(CP83*0.1)</f>
        <v>2.8079999999999998</v>
      </c>
      <c r="CR83" s="14">
        <f ca="1">SUM(CS83*CT83)</f>
        <v>-0.77219999999999955</v>
      </c>
      <c r="CS83" s="17">
        <f>SUM((CP83+CQ83)*0.00833333333333333)</f>
        <v>0.25739999999999985</v>
      </c>
      <c r="CT83" s="23">
        <f ca="1">MONTH(TODAY())-7</f>
        <v>-3</v>
      </c>
      <c r="CU83" s="23">
        <f ca="1">SUM(CP83,CQ83,CR83)</f>
        <v>30.1158</v>
      </c>
      <c r="CV83" s="14">
        <f>SUM(DU83*0.0052)/2</f>
        <v>28.08</v>
      </c>
      <c r="CW83" s="14">
        <v>0</v>
      </c>
      <c r="CX83" s="14">
        <v>0</v>
      </c>
      <c r="CY83" s="17">
        <f>SUM((CV83+CW83)*0.00833333333333333)</f>
        <v>0.23399999999999987</v>
      </c>
      <c r="CZ83" s="23">
        <f ca="1">MONTH(TODAY())-6</f>
        <v>-2</v>
      </c>
      <c r="DA83" s="23">
        <f>SUM(CV83,CW83,CX83)</f>
        <v>28.08</v>
      </c>
      <c r="DB83" s="14">
        <f>SUM(BL83, BR83, BX83, CD83, CJ83, CP83,CV83)</f>
        <v>168.47999999999996</v>
      </c>
      <c r="DC83" s="14">
        <f>SUM(BM83, BS83,BY83,CE83,CK83, CQ83,CW83)</f>
        <v>14.04</v>
      </c>
      <c r="DD83" s="14">
        <f ca="1">SUM(BN83, BT83,BZ83,CF83,CL83, CR83,CX83)</f>
        <v>10.553399999999993</v>
      </c>
      <c r="DE83" s="14">
        <f ca="1">SUM(DB83:DD83)</f>
        <v>193.07339999999994</v>
      </c>
      <c r="DF83" s="47">
        <f ca="1">SUM(DE83/DU83)</f>
        <v>1.7877166666666659E-2</v>
      </c>
      <c r="DG83" s="14">
        <f>19.5+19.5+195+39+117+39+39+39+58.5+39+39+39+39+39+97.5+97.5</f>
        <v>955.5</v>
      </c>
      <c r="DH83" s="32">
        <f>COUNTIF(DN83, "*")+COUNTIF(AO83, "*")+COUNTIF(AJ83, "*")+COUNTIF(AA83, "*")+COUNTIF(EK83, "*")+COUNTIF(EQ83, "*")+COUNTIF(EW83, "*")+COUNTIF(FA83, "*")+COUNTIF(FH83, "*")+COUNTIF(FO83, "*")+COUNTIF(FV83, "*")+COUNTIF(GG83, "*")+COUNTIF(GR83, "*")+COUNTIF(GZ83, "*")+COUNTIF(HH83, "*")+COUNTIF(HP83, "*")+COUNTIF(HX83, "*")</f>
        <v>5</v>
      </c>
      <c r="DI83" s="14">
        <f>1.06+33.3+30+30+30</f>
        <v>124.36</v>
      </c>
      <c r="DJ83" s="4">
        <v>250</v>
      </c>
      <c r="DK83" s="14">
        <f ca="1">SUM(DE83,DG83,DQ83, DJ83, DI83,FS83)</f>
        <v>3632.1834000000003</v>
      </c>
      <c r="DL83" s="4">
        <f>30.8+496.2</f>
        <v>527</v>
      </c>
      <c r="DM83" s="14">
        <f>93.75+460</f>
        <v>553.75</v>
      </c>
      <c r="DN83" s="4">
        <v>118.5</v>
      </c>
      <c r="DO83" s="14">
        <v>100</v>
      </c>
      <c r="DP83" s="4">
        <v>810</v>
      </c>
      <c r="DQ83" s="14">
        <f>SUM(DL83:DP83)</f>
        <v>2109.25</v>
      </c>
      <c r="DR83" s="24" t="s">
        <v>2773</v>
      </c>
      <c r="DS83" s="4">
        <f>200+200+500+800+800+1000+5900+1000+400</f>
        <v>10800</v>
      </c>
      <c r="DT83" s="4">
        <v>0</v>
      </c>
      <c r="DU83" s="25">
        <f>SUM(DS83+DT83)</f>
        <v>10800</v>
      </c>
      <c r="DV83" s="35">
        <f>0.26+0.28+0.35+0.38+0.53+0.56+0.57+0.09</f>
        <v>3.02</v>
      </c>
      <c r="DW83" t="s">
        <v>3500</v>
      </c>
      <c r="DX83" t="s">
        <v>3502</v>
      </c>
      <c r="DY83" t="s">
        <v>3501</v>
      </c>
      <c r="EI83" t="s">
        <v>3503</v>
      </c>
      <c r="EK83" t="s">
        <v>3504</v>
      </c>
      <c r="EM83" t="s">
        <v>3505</v>
      </c>
      <c r="EN83" t="s">
        <v>301</v>
      </c>
      <c r="EO83" t="s">
        <v>3506</v>
      </c>
      <c r="EQ83" t="s">
        <v>3507</v>
      </c>
      <c r="ES83" t="s">
        <v>3508</v>
      </c>
      <c r="ET83" t="s">
        <v>821</v>
      </c>
      <c r="EU83" t="s">
        <v>3509</v>
      </c>
      <c r="EW83" t="s">
        <v>3510</v>
      </c>
      <c r="EX83" t="s">
        <v>3505</v>
      </c>
      <c r="EY83" t="s">
        <v>301</v>
      </c>
      <c r="ID83" s="9">
        <v>44863</v>
      </c>
      <c r="IO83" s="14">
        <f ca="1">SUM(IE83-DK83-FS83-IM83)</f>
        <v>-3632.1834000000003</v>
      </c>
      <c r="IP83" s="9">
        <v>44823</v>
      </c>
      <c r="IQ83" s="9"/>
      <c r="IR83" s="9"/>
      <c r="IS83" s="9"/>
      <c r="IT83" s="9"/>
      <c r="IU83" s="18"/>
      <c r="IV83" s="18"/>
      <c r="IW83" s="18"/>
      <c r="IX83" s="18"/>
      <c r="IY83" s="18"/>
    </row>
    <row r="84" spans="1:263" ht="15" customHeight="1">
      <c r="A84" s="19">
        <v>102022051</v>
      </c>
      <c r="B84" t="s">
        <v>3467</v>
      </c>
      <c r="D84" s="1"/>
      <c r="E84" s="3" t="s">
        <v>3899</v>
      </c>
      <c r="F84" s="3">
        <v>220004195</v>
      </c>
      <c r="K84" t="s">
        <v>3025</v>
      </c>
      <c r="AG84" s="43"/>
      <c r="AH84" s="31"/>
      <c r="AJ84" t="s">
        <v>328</v>
      </c>
      <c r="AL84" t="s">
        <v>438</v>
      </c>
      <c r="AM84"/>
      <c r="AN84"/>
      <c r="AO84" s="3" t="s">
        <v>3880</v>
      </c>
      <c r="AP84" s="3" t="s">
        <v>258</v>
      </c>
      <c r="AQ84" t="s">
        <v>300</v>
      </c>
      <c r="AR84" t="s">
        <v>301</v>
      </c>
      <c r="AS84" s="1"/>
      <c r="AT84" s="1" t="s">
        <v>258</v>
      </c>
      <c r="AU84" s="1"/>
      <c r="AV84" s="1" t="s">
        <v>258</v>
      </c>
      <c r="AW84" s="1" t="s">
        <v>258</v>
      </c>
      <c r="AX84" s="70">
        <v>44725</v>
      </c>
      <c r="AY84" s="115">
        <v>44647</v>
      </c>
      <c r="AZ84" s="115">
        <v>44637</v>
      </c>
      <c r="BA84" s="70">
        <v>44799</v>
      </c>
      <c r="BB84" s="2" t="s">
        <v>318</v>
      </c>
      <c r="BC84" s="48">
        <v>44785</v>
      </c>
      <c r="BD84" s="48">
        <v>44792</v>
      </c>
      <c r="BE84" s="48">
        <v>44799</v>
      </c>
      <c r="BF84" s="19" t="s">
        <v>319</v>
      </c>
      <c r="BG84" s="19"/>
      <c r="BH84" s="19"/>
      <c r="BI84" s="19"/>
      <c r="BJ84" s="19"/>
      <c r="BK84" s="19"/>
      <c r="BL84" s="20">
        <f ca="1">SUM(DP84)+214.5</f>
        <v>4793.7415999999994</v>
      </c>
      <c r="BM84" s="22">
        <f ca="1">PMT(10%/12,12,BL84,0,0)</f>
        <v>-421.4460459154057</v>
      </c>
      <c r="BN84" s="22">
        <f ca="1">SUM(BM84*-1)</f>
        <v>421.4460459154057</v>
      </c>
      <c r="BO84" s="14">
        <f>SUM(EL84*0.0052)/12</f>
        <v>4.68</v>
      </c>
      <c r="BP84" s="22">
        <f ca="1">SUM(BN84+BO84)</f>
        <v>426.12604591540571</v>
      </c>
      <c r="BQ84" s="14"/>
      <c r="BR84" s="14">
        <f>SUM(BQ84*0.1)</f>
        <v>0</v>
      </c>
      <c r="BS84" s="14">
        <f ca="1">SUM(BT84*BU84)</f>
        <v>0</v>
      </c>
      <c r="BT84" s="17">
        <f>SUM((BQ84+BR84)*0.00833333333333333)</f>
        <v>0</v>
      </c>
      <c r="BU84" s="23">
        <f ca="1">MONTH(TODAY())+49</f>
        <v>53</v>
      </c>
      <c r="BV84" s="14">
        <f ca="1">SUM(BQ84,BR84,BS84)</f>
        <v>0</v>
      </c>
      <c r="BW84" s="14"/>
      <c r="BX84" s="14">
        <f>SUM(BW84*0.1)</f>
        <v>0</v>
      </c>
      <c r="BY84" s="14">
        <f ca="1">SUM(BZ84*CA84)</f>
        <v>0</v>
      </c>
      <c r="BZ84" s="17">
        <f>SUM((BW84+BX84)*0.00833333333333333)</f>
        <v>0</v>
      </c>
      <c r="CA84" s="23">
        <f ca="1">MONTH(TODAY())+37</f>
        <v>41</v>
      </c>
      <c r="CB84" s="14">
        <f ca="1">SUM(BW84,BX84,BY84)</f>
        <v>0</v>
      </c>
      <c r="CC84" s="14"/>
      <c r="CD84" s="14">
        <f>SUM(CC84*0.1)</f>
        <v>0</v>
      </c>
      <c r="CE84" s="14">
        <f>SUM(CF84*CG84)</f>
        <v>0</v>
      </c>
      <c r="CF84" s="17">
        <f>SUM((CC84+CD84)*0.00833333333333333)</f>
        <v>0</v>
      </c>
      <c r="CG84" s="23">
        <v>37</v>
      </c>
      <c r="CH84" s="14">
        <f>SUM(CC84,CD84,CE84)</f>
        <v>0</v>
      </c>
      <c r="CI84" s="14">
        <f>SUM(EL84*0.0052)</f>
        <v>56.16</v>
      </c>
      <c r="CJ84" s="14">
        <f>SUM(CI84*0.1)</f>
        <v>5.6159999999999997</v>
      </c>
      <c r="CK84" s="14">
        <f>SUM(CL84*CM84)</f>
        <v>13.384799999999991</v>
      </c>
      <c r="CL84" s="17">
        <f>SUM((CI84+CJ84)*0.00833333333333333)</f>
        <v>0.5147999999999997</v>
      </c>
      <c r="CM84" s="23">
        <v>26</v>
      </c>
      <c r="CN84" s="14">
        <f>SUM(CI84,CJ84,CK84)</f>
        <v>75.160799999999995</v>
      </c>
      <c r="CO84" s="14">
        <f>SUM(EL84*0.0052)</f>
        <v>56.16</v>
      </c>
      <c r="CP84" s="14">
        <f>SUM(CO84*0.1)</f>
        <v>5.6159999999999997</v>
      </c>
      <c r="CQ84" s="14">
        <f>SUM(CR84*CS84)</f>
        <v>6.6923999999999957</v>
      </c>
      <c r="CR84" s="17">
        <f>SUM((CO84+CP84)*0.00833333333333333)</f>
        <v>0.5147999999999997</v>
      </c>
      <c r="CS84" s="23">
        <v>13</v>
      </c>
      <c r="CT84" s="14">
        <f>SUM(CO84,CP84,CQ84)</f>
        <v>68.468399999999988</v>
      </c>
      <c r="CU84" s="14">
        <f>SUM(EL84*0.0052)/2</f>
        <v>28.08</v>
      </c>
      <c r="CV84" s="14">
        <f>SUM(CU84*0.1)</f>
        <v>2.8079999999999998</v>
      </c>
      <c r="CW84" s="14">
        <f>SUM(CX84*CY84)</f>
        <v>1.5443999999999991</v>
      </c>
      <c r="CX84" s="17">
        <f>SUM((CU84+CV84)*0.00833333333333333)</f>
        <v>0.25739999999999985</v>
      </c>
      <c r="CY84" s="23">
        <v>6</v>
      </c>
      <c r="CZ84" s="23">
        <f>SUM(CU84,CV84,CW84)</f>
        <v>32.432399999999994</v>
      </c>
      <c r="DA84" s="14">
        <f>SUM(EL84*0.0052)/2</f>
        <v>28.08</v>
      </c>
      <c r="DB84" s="14">
        <v>0</v>
      </c>
      <c r="DC84" s="14">
        <v>0</v>
      </c>
      <c r="DD84" s="17">
        <f>SUM((DA84+DB84)*0.00833333333333333)</f>
        <v>0.23399999999999987</v>
      </c>
      <c r="DE84" s="23">
        <f ca="1">MONTH(TODAY())-6</f>
        <v>-2</v>
      </c>
      <c r="DF84" s="23">
        <f>SUM(DA84,DB84,DC84)</f>
        <v>28.08</v>
      </c>
      <c r="DG84" s="14">
        <f>SUM(BQ84, BW84, CC84, CI84, CO84, CU84,DA84)</f>
        <v>168.47999999999996</v>
      </c>
      <c r="DH84" s="14">
        <f>SUM(BR84, BX84,CD84,CJ84,CP84, CV84,DB84)</f>
        <v>14.04</v>
      </c>
      <c r="DI84" s="14">
        <f ca="1">SUM(BS84, BY84,CE84,CK84,CQ84, CW84,DC84)</f>
        <v>21.621599999999987</v>
      </c>
      <c r="DJ84" s="14">
        <f ca="1">SUM(DG84:DI84)</f>
        <v>204.14159999999993</v>
      </c>
      <c r="DK84" s="47">
        <f ca="1">SUM(DJ84/EL84)</f>
        <v>1.8901999999999992E-2</v>
      </c>
      <c r="DL84" s="14">
        <f>19.5+19.5+195+39+117+39+39+39+58.5+39+39+39+39+39+97.5+97.5+39+58.5+39+39+19.5+19.5+39+97.5</f>
        <v>1306.5</v>
      </c>
      <c r="DM84" s="32" t="e">
        <f>COUNTIF(DS84, "*")+COUNTIF(AO84, "*")+COUNTIF(AJ84, "*")+COUNTIF(AA84, "*")+COUNTIF(FE84, "*")+COUNTIF(FK84, "*")+COUNTIF(FQ84, "*")+COUNTIF(FU84, "*")+COUNTIF(GB84, "*")+COUNTIF(GI84, "*")+COUNTIF(GP84, "*")+COUNTIF(HA84, "*")+COUNTIF(HL84, "*")+COUNTIF(HT84, "*")+COUNTIF(IB84, "*")+COUNTIF(#REF!, "*")+COUNTIF(#REF!, "*")</f>
        <v>#REF!</v>
      </c>
      <c r="DN84" s="14">
        <f>1.06+33.3+30+30+30+74.65</f>
        <v>199.01</v>
      </c>
      <c r="DO84" s="4">
        <v>250</v>
      </c>
      <c r="DP84" s="14">
        <f ca="1">SUM(DJ84,DL84,DV84, DO84, DN84,GM84)</f>
        <v>4579.2415999999994</v>
      </c>
      <c r="DQ84" s="4">
        <f>30.8+496.2+211.4</f>
        <v>738.4</v>
      </c>
      <c r="DR84" s="14">
        <f>93.75+460</f>
        <v>553.75</v>
      </c>
      <c r="DS84" s="4">
        <v>118.5</v>
      </c>
      <c r="DT84" s="14">
        <v>100</v>
      </c>
      <c r="DU84" s="4">
        <v>810</v>
      </c>
      <c r="DV84" s="14">
        <f>SUM(DQ84:DU84)</f>
        <v>2320.65</v>
      </c>
      <c r="DW84" s="14"/>
      <c r="DX84" s="14"/>
      <c r="DY84" s="14"/>
      <c r="DZ84" s="14"/>
      <c r="EA84" s="14"/>
      <c r="EB84" s="14"/>
      <c r="EC84" s="14"/>
      <c r="ED84" s="14"/>
      <c r="EE84" s="14"/>
      <c r="EF84" s="14"/>
      <c r="EG84" s="14"/>
      <c r="EH84" s="14"/>
      <c r="EI84" s="24" t="s">
        <v>2773</v>
      </c>
      <c r="EJ84" s="4">
        <f>200+200+500+800+800+1000+5900+1000+400</f>
        <v>10800</v>
      </c>
      <c r="EK84" s="4">
        <v>0</v>
      </c>
      <c r="EL84" s="25">
        <f>SUM(EJ84+EK84)</f>
        <v>10800</v>
      </c>
      <c r="EM84" s="35">
        <f>0.26+0.28+0.35+0.38+0.53+0.56+0.57+0.09</f>
        <v>3.02</v>
      </c>
      <c r="EN84" s="35"/>
      <c r="EO84" s="35"/>
      <c r="EP84" s="35"/>
      <c r="EQ84" t="s">
        <v>3500</v>
      </c>
      <c r="ER84" t="s">
        <v>3502</v>
      </c>
      <c r="ES84" t="s">
        <v>3501</v>
      </c>
      <c r="FC84" t="s">
        <v>3503</v>
      </c>
      <c r="FE84" t="s">
        <v>3504</v>
      </c>
      <c r="FG84" t="s">
        <v>3505</v>
      </c>
      <c r="FH84" t="s">
        <v>301</v>
      </c>
      <c r="FI84" t="s">
        <v>3506</v>
      </c>
      <c r="FK84" t="s">
        <v>3507</v>
      </c>
      <c r="FM84" t="s">
        <v>3508</v>
      </c>
      <c r="FN84" t="s">
        <v>821</v>
      </c>
      <c r="FO84" t="s">
        <v>3509</v>
      </c>
      <c r="FQ84" t="s">
        <v>3510</v>
      </c>
      <c r="FR84" t="s">
        <v>3505</v>
      </c>
      <c r="FS84" t="s">
        <v>301</v>
      </c>
      <c r="GH84" s="18" t="s">
        <v>473</v>
      </c>
      <c r="GI84" s="18" t="s">
        <v>474</v>
      </c>
      <c r="GJ84" s="18" t="s">
        <v>475</v>
      </c>
      <c r="GK84" s="18" t="s">
        <v>438</v>
      </c>
      <c r="GL84" s="18" t="s">
        <v>260</v>
      </c>
      <c r="GM84">
        <v>298.94</v>
      </c>
      <c r="IE84" s="9">
        <v>44863</v>
      </c>
      <c r="IF84" s="284">
        <v>8000</v>
      </c>
      <c r="IG84" s="124">
        <v>800</v>
      </c>
      <c r="IH84" s="18" t="s">
        <v>3963</v>
      </c>
      <c r="II84" s="18" t="s">
        <v>794</v>
      </c>
      <c r="IJ84" s="18" t="s">
        <v>438</v>
      </c>
      <c r="IL84" s="4"/>
      <c r="IM84" s="4">
        <v>94</v>
      </c>
      <c r="IN84" s="14">
        <f ca="1">SUM(IF84-DP84-GM84-IL84)</f>
        <v>3121.8184000000006</v>
      </c>
      <c r="IO84" s="4">
        <f ca="1">SUM(IN84*0.73)</f>
        <v>2278.9274320000004</v>
      </c>
      <c r="IP84" s="4">
        <f ca="1">SUM(IN84*0.27)</f>
        <v>842.89096800000016</v>
      </c>
      <c r="IQ84" s="23"/>
      <c r="IR84" s="9">
        <v>44837</v>
      </c>
      <c r="IT84" s="27">
        <v>44869</v>
      </c>
    </row>
    <row r="85" spans="1:263" ht="15" customHeight="1">
      <c r="A85" s="2">
        <v>102024128</v>
      </c>
      <c r="B85" t="s">
        <v>5448</v>
      </c>
      <c r="D85" s="1"/>
      <c r="E85" s="3"/>
      <c r="G85" s="3"/>
      <c r="J85" t="s">
        <v>253</v>
      </c>
      <c r="K85" t="s">
        <v>5449</v>
      </c>
      <c r="L85" t="s">
        <v>5450</v>
      </c>
      <c r="M85" t="s">
        <v>598</v>
      </c>
      <c r="O85" s="3"/>
      <c r="AG85" s="43"/>
      <c r="AJ85" s="18" t="s">
        <v>5451</v>
      </c>
      <c r="AK85" s="1" t="s">
        <v>258</v>
      </c>
      <c r="AL85" t="s">
        <v>438</v>
      </c>
      <c r="AM85" t="s">
        <v>260</v>
      </c>
      <c r="AN85"/>
      <c r="AO85" t="s">
        <v>5452</v>
      </c>
      <c r="AP85" s="1" t="s">
        <v>258</v>
      </c>
      <c r="AQ85" s="18" t="s">
        <v>329</v>
      </c>
      <c r="AR85" t="s">
        <v>260</v>
      </c>
      <c r="AS85" t="s">
        <v>473</v>
      </c>
      <c r="AT85" t="s">
        <v>474</v>
      </c>
      <c r="AU85" t="s">
        <v>475</v>
      </c>
      <c r="AV85" t="s">
        <v>438</v>
      </c>
      <c r="AW85" s="1" t="s">
        <v>260</v>
      </c>
      <c r="AY85" s="1"/>
      <c r="AZ85" s="1"/>
      <c r="BA85" s="1"/>
      <c r="BB85" s="1"/>
      <c r="BC85" s="2"/>
      <c r="BD85" s="115">
        <v>45415</v>
      </c>
      <c r="BE85" s="115"/>
      <c r="BF85" s="2"/>
      <c r="BG85" s="2"/>
      <c r="BH85" s="2"/>
      <c r="BI85" s="2"/>
      <c r="BJ85" s="2"/>
      <c r="BK85" s="2"/>
      <c r="BL85" s="20">
        <f ca="1">SUM(EN85)+220</f>
        <v>767.89803333333316</v>
      </c>
      <c r="BM85" s="22">
        <f ca="1">PMT(10%/12,12,BL85,0,0)</f>
        <v>-67.510436902679473</v>
      </c>
      <c r="BN85" s="22">
        <f ca="1">SUM(BM85*-1)</f>
        <v>67.510436902679473</v>
      </c>
      <c r="BO85" s="14">
        <f>SUM(EV85*0.0052)/12</f>
        <v>16.986666666666668</v>
      </c>
      <c r="BP85" s="22">
        <f ca="1">SUM(BN85+BO85)</f>
        <v>84.497103569346137</v>
      </c>
      <c r="BQ85" s="14"/>
      <c r="BR85" s="14">
        <f>SUM(BQ85*0.1)</f>
        <v>0</v>
      </c>
      <c r="BS85" s="14">
        <f ca="1">SUM(BT85*BU85)</f>
        <v>0</v>
      </c>
      <c r="BT85" s="17">
        <f>SUM((BQ85+BR85)*0.00833333333333333)</f>
        <v>0</v>
      </c>
      <c r="BU85" s="23">
        <f ca="1">MONTH(TODAY())+61</f>
        <v>65</v>
      </c>
      <c r="BV85" s="14">
        <f ca="1">SUM(BQ85,BR85,BS85)</f>
        <v>0</v>
      </c>
      <c r="BW85" s="14"/>
      <c r="BX85" s="14">
        <f>SUM(BW85*0.1)</f>
        <v>0</v>
      </c>
      <c r="BY85" s="14">
        <f ca="1">SUM(BZ85*CA85)</f>
        <v>0</v>
      </c>
      <c r="BZ85" s="17">
        <f>SUM((BW85+BX85)*0.00833333333333333)</f>
        <v>0</v>
      </c>
      <c r="CA85" s="23">
        <f ca="1">MONTH(TODAY())+49</f>
        <v>53</v>
      </c>
      <c r="CB85" s="14">
        <f ca="1">SUM(BW85,BX85,BY85)</f>
        <v>0</v>
      </c>
      <c r="CC85" s="14">
        <v>0</v>
      </c>
      <c r="CD85" s="14">
        <f>SUM(CC85*0.1)</f>
        <v>0</v>
      </c>
      <c r="CE85" s="14">
        <f ca="1">SUM(CF85*CG85)</f>
        <v>0</v>
      </c>
      <c r="CF85" s="17">
        <f>SUM((CC85+CD85)*0.00833333333333333)</f>
        <v>0</v>
      </c>
      <c r="CG85" s="23">
        <f ca="1">MONTH(TODAY())+37</f>
        <v>41</v>
      </c>
      <c r="CH85" s="14">
        <f ca="1">SUM(CC85,CD85,CE85)</f>
        <v>0</v>
      </c>
      <c r="CI85" s="14">
        <v>0</v>
      </c>
      <c r="CJ85" s="14">
        <f>SUM(CI85*0.1)</f>
        <v>0</v>
      </c>
      <c r="CK85" s="14">
        <f ca="1">SUM(CL85*CM85)</f>
        <v>0</v>
      </c>
      <c r="CL85" s="17">
        <f>SUM((CI85+CJ85)*0.00833333333333333)</f>
        <v>0</v>
      </c>
      <c r="CM85" s="23">
        <f ca="1">MONTH(TODAY())+25</f>
        <v>29</v>
      </c>
      <c r="CN85" s="14">
        <f ca="1">SUM(CI85,CJ85,CK85)</f>
        <v>0</v>
      </c>
      <c r="CO85" s="14">
        <f>SUM(ES85*0.0052)/2</f>
        <v>76.179999999999993</v>
      </c>
      <c r="CP85" s="14">
        <f>SUM(CO85*0.1)</f>
        <v>7.6179999999999994</v>
      </c>
      <c r="CQ85" s="14">
        <f ca="1">SUM(CR85*CS85)</f>
        <v>14.664649999999991</v>
      </c>
      <c r="CR85" s="17">
        <f>SUM((CO85+CP85)*0.00833333333333333)</f>
        <v>0.69831666666666625</v>
      </c>
      <c r="CS85" s="23">
        <f ca="1">MONTH(TODAY())+17</f>
        <v>21</v>
      </c>
      <c r="CT85" s="23">
        <f ca="1">SUM(CO85,CP85,CQ85)</f>
        <v>98.462649999999982</v>
      </c>
      <c r="CU85" s="14">
        <f>SUM(ES85*0.0052)/2</f>
        <v>76.179999999999993</v>
      </c>
      <c r="CV85" s="14">
        <f>SUM(CU85*0.1)</f>
        <v>7.6179999999999994</v>
      </c>
      <c r="CW85" s="14">
        <f ca="1">SUM(CX85*CY85)</f>
        <v>11.871383333333327</v>
      </c>
      <c r="CX85" s="17">
        <f>SUM((CU85+CV85)*0.00833333333333333)</f>
        <v>0.69831666666666625</v>
      </c>
      <c r="CY85" s="23">
        <f ca="1">MONTH(TODAY())+13</f>
        <v>17</v>
      </c>
      <c r="CZ85" s="23">
        <f ca="1">SUM(CU85,CV85,CW85)</f>
        <v>95.669383333333315</v>
      </c>
      <c r="DA85" s="14">
        <f>SUM(EV85*0.0045)/2</f>
        <v>88.199999999999989</v>
      </c>
      <c r="DB85" s="14">
        <f>SUM(DA85*0.1)</f>
        <v>8.8199999999999985</v>
      </c>
      <c r="DC85" s="14">
        <f ca="1">SUM(DD85*DE85)</f>
        <v>8.893499999999996</v>
      </c>
      <c r="DD85" s="17">
        <f>SUM((DA85+DB85)*0.00833333333333333)</f>
        <v>0.80849999999999955</v>
      </c>
      <c r="DE85" s="23">
        <f ca="1">MONTH(TODAY())+7</f>
        <v>11</v>
      </c>
      <c r="DF85" s="23">
        <f ca="1">SUM(DA85,DB85,DC85)</f>
        <v>105.91349999999997</v>
      </c>
      <c r="DG85" s="14">
        <f>SUM(EV85*0.0045)/2</f>
        <v>88.199999999999989</v>
      </c>
      <c r="DH85" s="14">
        <f>SUM(DG85*0.1)</f>
        <v>8.8199999999999985</v>
      </c>
      <c r="DI85" s="14">
        <f ca="1">SUM(DJ85*DK85)</f>
        <v>4.0424999999999978</v>
      </c>
      <c r="DJ85" s="17">
        <f>SUM((DG85+DH85)*0.00833333333333333)</f>
        <v>0.80849999999999955</v>
      </c>
      <c r="DK85" s="23">
        <f ca="1">MONTH(TODAY())+1</f>
        <v>5</v>
      </c>
      <c r="DL85" s="14">
        <f ca="1">SUM(DG85,DH85,DI85)</f>
        <v>101.06249999999999</v>
      </c>
      <c r="DM85" s="14">
        <f>SUM(EV85*0.0045)/2</f>
        <v>88.199999999999989</v>
      </c>
      <c r="DN85" s="14">
        <f>0</f>
        <v>0</v>
      </c>
      <c r="DO85" s="14">
        <f>0</f>
        <v>0</v>
      </c>
      <c r="DP85" s="17">
        <f>SUM((DM85+DN85)*0.00833333333333333)</f>
        <v>0.73499999999999954</v>
      </c>
      <c r="DQ85" s="23">
        <f ca="1">MONTH(TODAY())+7</f>
        <v>11</v>
      </c>
      <c r="DR85" s="23">
        <f>SUM(DM85,DN85,DO85)</f>
        <v>88.199999999999989</v>
      </c>
      <c r="DS85" s="14">
        <f>0</f>
        <v>0</v>
      </c>
      <c r="DT85" s="14">
        <f>0</f>
        <v>0</v>
      </c>
      <c r="DU85" s="14">
        <f ca="1">SUM(DV85*DW85)</f>
        <v>0</v>
      </c>
      <c r="DV85" s="17">
        <f>SUM((DS85+DT85)*0.00833333333333333)</f>
        <v>0</v>
      </c>
      <c r="DW85" s="23">
        <f ca="1">MONTH(TODAY())+1</f>
        <v>5</v>
      </c>
      <c r="DX85" s="14">
        <f ca="1">SUM(DS85,DT85,DU85)</f>
        <v>0</v>
      </c>
      <c r="DY85" s="14">
        <f>SUM( BQ85, BW85, CC85, CI85, CO85,CU85,DA85,DG85,DM85,DS85)</f>
        <v>416.96</v>
      </c>
      <c r="DZ85" s="14">
        <f>SUM(BR85,BX85,CD85,CJ85, CP85,CV85,DB85,DH85,DN85,DT85)</f>
        <v>32.875999999999998</v>
      </c>
      <c r="EA85" s="14">
        <f ca="1">SUM(BS85,BY85,CE85,CK85, CQ85,CW85,DC85,DI85,DO85,DU85)</f>
        <v>39.472033333333307</v>
      </c>
      <c r="EB85" s="25">
        <f ca="1">SUM(DY85:EA85)</f>
        <v>489.30803333333324</v>
      </c>
      <c r="EC85" s="47">
        <f ca="1">SUM(EB85/ES85)</f>
        <v>1.6699932878270759E-2</v>
      </c>
      <c r="ED85" s="14">
        <f>20+10</f>
        <v>30</v>
      </c>
      <c r="EE85" s="32">
        <f>COUNTIF(AO85, "*")+COUNTIF(AJ85, "*")+COUNTIF(AA85, "*")+COUNTIF(FG85, "*")+COUNTIF(FM85, "*")+COUNTIF(FS85, "*")+COUNTIF(FW85, "*")+COUNTIF(GD85, "*")+COUNTIF(AS85, "*")+COUNTIF(GM85, "*")+COUNTIF(GX85, "*")+COUNTIF(HI85, "*")+COUNTIF(HQ85, "*")+COUNTIF(HY85, "*")+COUNTIF(IG85, "*")</f>
        <v>3</v>
      </c>
      <c r="EF85" s="14">
        <f>EE85*0.64</f>
        <v>1.92</v>
      </c>
      <c r="EG85" s="4"/>
      <c r="EH85" s="4">
        <v>26.67</v>
      </c>
      <c r="EI85" s="4"/>
      <c r="EJ85" s="4"/>
      <c r="EL85" s="4"/>
      <c r="EM85" s="14">
        <f>SUM(EH85:EL85)</f>
        <v>26.67</v>
      </c>
      <c r="EN85" s="14">
        <f ca="1">SUM(EB85,ED85,EM85, EG85, EF85,GJ85)</f>
        <v>547.89803333333316</v>
      </c>
      <c r="EO85" s="24" t="s">
        <v>4935</v>
      </c>
      <c r="EP85" s="23">
        <f>0.08+0.22</f>
        <v>0.3</v>
      </c>
      <c r="EQ85" s="14">
        <f>3300+1300</f>
        <v>4600</v>
      </c>
      <c r="ER85" s="14">
        <f>24700</f>
        <v>24700</v>
      </c>
      <c r="ES85" s="14">
        <f>SUM(EQ85+ER85)</f>
        <v>29300</v>
      </c>
      <c r="ET85" s="14">
        <f>3300+1300</f>
        <v>4600</v>
      </c>
      <c r="EU85" s="14">
        <f>34600</f>
        <v>34600</v>
      </c>
      <c r="EV85" s="14">
        <f>SUM(ET85+EU85)</f>
        <v>39200</v>
      </c>
      <c r="EW85" s="10"/>
      <c r="EX85" s="10"/>
      <c r="EY85" s="10"/>
      <c r="EZ85" s="10"/>
      <c r="FA85" s="10"/>
      <c r="FB85" s="10"/>
      <c r="FC85" s="10"/>
      <c r="FD85" s="10"/>
      <c r="GJ85" s="4"/>
      <c r="IK85" s="9"/>
      <c r="IV85" s="4"/>
      <c r="IW85" s="4"/>
      <c r="IX85" s="4"/>
      <c r="IY85" s="9"/>
      <c r="IZ85" s="9"/>
      <c r="JA85" s="9"/>
      <c r="JB85" s="9"/>
      <c r="JC85" s="9"/>
    </row>
    <row r="86" spans="1:263" ht="15" customHeight="1">
      <c r="A86" s="2">
        <v>102018060</v>
      </c>
      <c r="B86" s="4" t="s">
        <v>1207</v>
      </c>
      <c r="C86" s="4"/>
      <c r="D86" s="4"/>
      <c r="E86" s="4"/>
      <c r="F86" s="4"/>
      <c r="G86" s="3"/>
      <c r="H86" s="2"/>
      <c r="J86" t="s">
        <v>305</v>
      </c>
      <c r="K86" t="s">
        <v>453</v>
      </c>
      <c r="L86" t="s">
        <v>1010</v>
      </c>
      <c r="O86" s="1"/>
      <c r="P86" t="s">
        <v>453</v>
      </c>
      <c r="Q86" t="s">
        <v>1196</v>
      </c>
      <c r="T86" s="1"/>
      <c r="AH86" s="3"/>
      <c r="AJ86" s="4"/>
      <c r="AK86" s="4"/>
      <c r="AO86" s="4"/>
      <c r="AP86" s="5"/>
      <c r="AQ86" s="34"/>
      <c r="AS86" s="5"/>
      <c r="AT86" s="5"/>
      <c r="AU86" s="1"/>
      <c r="AV86" s="1"/>
      <c r="AW86" s="1"/>
      <c r="AX86" s="1"/>
      <c r="AY86" s="1"/>
      <c r="AZ86" s="1"/>
      <c r="BA86" s="1"/>
      <c r="BB86" s="1"/>
      <c r="BC86" s="1"/>
      <c r="BD86" s="1"/>
      <c r="BE86" s="5"/>
      <c r="BF86" s="16"/>
      <c r="BG86" s="16"/>
      <c r="BI86" s="4"/>
      <c r="BJ86" s="4"/>
      <c r="BK86" s="6"/>
      <c r="BL86" s="7"/>
      <c r="BM86" s="4"/>
      <c r="BO86" s="4"/>
      <c r="BP86" s="4"/>
      <c r="BQ86" s="6"/>
      <c r="BR86" s="7"/>
      <c r="BS86" s="4"/>
      <c r="BU86" s="4"/>
      <c r="BV86" s="4"/>
      <c r="BW86" s="6"/>
      <c r="BX86" s="7"/>
      <c r="BY86" s="4"/>
      <c r="BZ86" s="4"/>
      <c r="CA86" s="4"/>
      <c r="CB86" s="4"/>
      <c r="CC86" s="6"/>
      <c r="CD86" s="7"/>
      <c r="CE86" s="4"/>
      <c r="CF86" s="6"/>
      <c r="CG86" s="4"/>
      <c r="CH86" s="4"/>
      <c r="CI86" s="6"/>
      <c r="CJ86" s="7"/>
      <c r="CK86" s="4"/>
      <c r="CL86" s="4"/>
      <c r="CM86" s="4"/>
      <c r="CN86" s="4"/>
      <c r="CO86" s="6"/>
      <c r="CP86" s="7"/>
      <c r="CQ86" s="4"/>
      <c r="CR86" s="4"/>
      <c r="CS86" s="4"/>
      <c r="CT86" s="4"/>
      <c r="CU86" s="6"/>
      <c r="CV86" s="7"/>
      <c r="CW86" s="4"/>
      <c r="CX86" s="4"/>
      <c r="CY86" s="4"/>
      <c r="CZ86" s="4"/>
      <c r="DA86" s="6"/>
      <c r="DB86" s="7"/>
      <c r="DC86" s="4"/>
      <c r="DD86" s="4"/>
      <c r="DE86" s="4"/>
      <c r="DF86" s="4"/>
      <c r="DG86" s="6"/>
      <c r="DH86" s="7"/>
      <c r="DI86" s="4"/>
      <c r="DJ86" s="4"/>
      <c r="DK86" s="4"/>
      <c r="DL86" s="4"/>
      <c r="DM86" s="4"/>
      <c r="DO86" s="4"/>
      <c r="DQ86" s="4"/>
      <c r="DR86" s="4"/>
      <c r="DS86" s="4"/>
      <c r="DT86" s="4"/>
      <c r="DU86" s="4"/>
      <c r="DV86" s="4"/>
      <c r="DW86" s="4"/>
      <c r="DX86" s="4"/>
      <c r="DY86" s="4"/>
      <c r="DZ86" s="4"/>
      <c r="EA86" s="7"/>
      <c r="EB86" s="4"/>
      <c r="EC86" s="4"/>
      <c r="ED86" s="3"/>
      <c r="EE86" s="11"/>
      <c r="EF86" s="11"/>
      <c r="EO86" s="11"/>
      <c r="EU86" s="11"/>
      <c r="EV86" s="4"/>
      <c r="EW86" s="4"/>
      <c r="EX86" s="4"/>
      <c r="EY86" s="4"/>
      <c r="EZ86" s="4"/>
      <c r="FA86" s="4"/>
      <c r="FB86" s="4"/>
      <c r="FC86" s="4"/>
      <c r="FD86" s="4"/>
      <c r="FE86" s="4"/>
      <c r="FF86" s="4"/>
      <c r="FG86" s="4"/>
      <c r="FH86" s="4"/>
      <c r="FI86" s="4"/>
      <c r="FM86" s="9"/>
      <c r="GE86" s="10"/>
      <c r="GO86" s="10"/>
      <c r="HD86" s="9"/>
    </row>
    <row r="87" spans="1:263" ht="15" customHeight="1">
      <c r="A87" s="19">
        <v>102021112</v>
      </c>
      <c r="B87" t="s">
        <v>2692</v>
      </c>
      <c r="C87" t="s">
        <v>258</v>
      </c>
      <c r="D87" s="13">
        <v>2023</v>
      </c>
      <c r="J87" t="s">
        <v>253</v>
      </c>
      <c r="K87" t="s">
        <v>545</v>
      </c>
      <c r="L87" t="s">
        <v>1037</v>
      </c>
      <c r="M87" t="s">
        <v>357</v>
      </c>
      <c r="AJ87" s="18" t="s">
        <v>328</v>
      </c>
      <c r="AL87" t="s">
        <v>438</v>
      </c>
      <c r="AM87"/>
      <c r="AN87"/>
      <c r="AO87" s="3" t="s">
        <v>2693</v>
      </c>
      <c r="AP87" s="1" t="s">
        <v>258</v>
      </c>
      <c r="AQ87" s="3" t="s">
        <v>2694</v>
      </c>
      <c r="AR87"/>
      <c r="AT87" s="1"/>
      <c r="AU87" s="1"/>
      <c r="AV87" s="1"/>
      <c r="AW87" s="1"/>
      <c r="AX87" s="2"/>
      <c r="AY87" s="2"/>
      <c r="AZ87" s="70"/>
      <c r="BA87" s="2"/>
      <c r="BB87" s="2"/>
      <c r="BC87" s="2"/>
      <c r="BD87" s="2"/>
      <c r="BE87" s="2"/>
      <c r="BF87" s="2"/>
      <c r="BG87" s="20"/>
      <c r="BH87" s="22"/>
      <c r="BI87" s="22"/>
      <c r="BJ87" s="14"/>
      <c r="BK87" s="22"/>
      <c r="BL87" s="14"/>
      <c r="BM87" s="14"/>
      <c r="BN87" s="14"/>
      <c r="BO87" s="17"/>
      <c r="BP87" s="23"/>
      <c r="BQ87" s="14"/>
      <c r="BR87" s="14"/>
      <c r="BS87" s="14"/>
      <c r="BT87" s="14"/>
      <c r="BU87" s="17"/>
      <c r="BV87" s="23"/>
      <c r="BW87" s="14"/>
      <c r="BX87" s="14"/>
      <c r="BY87" s="14"/>
      <c r="BZ87" s="14"/>
      <c r="CA87" s="17"/>
      <c r="CB87" s="23"/>
      <c r="CC87" s="14"/>
      <c r="CD87" s="14"/>
      <c r="CE87" s="14"/>
      <c r="CF87" s="14"/>
      <c r="CG87" s="17"/>
      <c r="CH87" s="23"/>
      <c r="CI87" s="14"/>
      <c r="CJ87" s="14"/>
      <c r="CK87" s="14"/>
      <c r="CL87" s="14"/>
      <c r="CM87" s="17"/>
      <c r="CN87" s="23"/>
      <c r="CO87" s="14"/>
      <c r="CP87" s="14"/>
      <c r="CQ87" s="14"/>
      <c r="CR87" s="14"/>
      <c r="CS87" s="14"/>
      <c r="CT87" s="47"/>
      <c r="CU87" s="14"/>
      <c r="CV87" s="32"/>
      <c r="CW87" s="14"/>
      <c r="CY87" s="14"/>
      <c r="DE87" s="14"/>
      <c r="DF87" s="24"/>
      <c r="DG87" s="4"/>
      <c r="DH87" s="4"/>
      <c r="DI87" s="25"/>
      <c r="DJ87" s="35">
        <v>0.05</v>
      </c>
      <c r="FB87" s="18" t="s">
        <v>473</v>
      </c>
      <c r="FC87" s="18" t="s">
        <v>474</v>
      </c>
      <c r="FD87" s="18" t="s">
        <v>475</v>
      </c>
      <c r="FE87" s="18" t="s">
        <v>438</v>
      </c>
      <c r="FF87" s="18" t="s">
        <v>260</v>
      </c>
      <c r="IC87" s="4"/>
    </row>
    <row r="88" spans="1:263" ht="15" customHeight="1">
      <c r="A88" s="2">
        <v>102017101</v>
      </c>
      <c r="B88" t="s">
        <v>1069</v>
      </c>
      <c r="J88" t="s">
        <v>305</v>
      </c>
      <c r="K88" t="s">
        <v>922</v>
      </c>
      <c r="L88" t="s">
        <v>1070</v>
      </c>
      <c r="M88" t="s">
        <v>326</v>
      </c>
      <c r="O88" s="1" t="s">
        <v>258</v>
      </c>
      <c r="P88" t="s">
        <v>922</v>
      </c>
      <c r="Q88" t="s">
        <v>1051</v>
      </c>
      <c r="R88" t="s">
        <v>354</v>
      </c>
      <c r="T88" s="1"/>
      <c r="AE88" s="1"/>
      <c r="AJ88" s="4"/>
      <c r="AK88" s="4"/>
      <c r="AL88" s="4"/>
      <c r="AM88" s="34"/>
      <c r="AO88" s="4"/>
      <c r="AP88" s="13"/>
      <c r="AQ88" s="34"/>
      <c r="AR88" s="34"/>
      <c r="AS88" s="5"/>
      <c r="AT88" s="13"/>
      <c r="AU88" s="1"/>
      <c r="AV88" s="1"/>
      <c r="AW88" s="1"/>
      <c r="AX88" s="1"/>
      <c r="AY88" s="1"/>
      <c r="AZ88" s="1"/>
      <c r="BA88" s="1"/>
      <c r="BB88" s="1"/>
      <c r="BC88" s="1"/>
      <c r="BD88" s="1"/>
      <c r="BE88" s="1"/>
      <c r="BF88" s="1"/>
      <c r="BG88" s="5"/>
      <c r="BH88" s="16"/>
      <c r="BI88" s="16"/>
      <c r="BK88" s="4"/>
      <c r="BL88" s="4"/>
      <c r="BM88" s="6"/>
      <c r="BN88" s="7"/>
      <c r="BO88" s="4"/>
      <c r="BQ88" s="4"/>
      <c r="BR88" s="4"/>
      <c r="BS88" s="6"/>
      <c r="BT88" s="7"/>
      <c r="BU88" s="4"/>
      <c r="BV88" s="4"/>
      <c r="BW88" s="4"/>
      <c r="BX88" s="4"/>
      <c r="BY88" s="6"/>
      <c r="BZ88" s="7"/>
      <c r="CA88" s="4"/>
      <c r="CC88" s="4"/>
      <c r="CD88" s="4"/>
      <c r="CE88" s="6"/>
      <c r="CF88" s="7"/>
      <c r="CG88" s="4"/>
      <c r="CH88" s="4"/>
      <c r="CI88" s="4"/>
      <c r="CJ88" s="4"/>
      <c r="CK88" s="6"/>
      <c r="CL88" s="7"/>
      <c r="CM88" s="4"/>
      <c r="CN88" s="4"/>
      <c r="CO88" s="4"/>
      <c r="CP88" s="4"/>
      <c r="CQ88" s="6"/>
      <c r="CR88" s="7"/>
      <c r="CS88" s="4"/>
      <c r="CT88" s="4"/>
      <c r="CU88" s="4"/>
      <c r="CV88" s="4"/>
      <c r="CW88" s="6"/>
      <c r="CX88" s="7"/>
      <c r="CY88" s="4"/>
      <c r="CZ88" s="4"/>
      <c r="DA88" s="4"/>
      <c r="DB88" s="4"/>
      <c r="DC88" s="6"/>
      <c r="DD88" s="7"/>
      <c r="DE88" s="4"/>
      <c r="DF88" s="4"/>
      <c r="DG88" s="4"/>
      <c r="DH88" s="4"/>
      <c r="DI88" s="6"/>
      <c r="DJ88" s="7"/>
      <c r="DK88" s="4"/>
      <c r="DL88" s="4"/>
      <c r="DM88" s="4"/>
      <c r="DN88" s="4"/>
      <c r="DO88" s="4"/>
      <c r="DP88" s="3"/>
      <c r="DQ88" s="4"/>
      <c r="DR88" s="4"/>
      <c r="DS88" s="4"/>
      <c r="DT88" s="4"/>
      <c r="DU88" s="4"/>
      <c r="DV88" s="4"/>
      <c r="DW88" s="4"/>
      <c r="DX88" s="4"/>
      <c r="DY88" s="4"/>
      <c r="DZ88" s="4"/>
      <c r="EA88" s="4"/>
      <c r="EB88" s="4"/>
      <c r="EC88" s="4"/>
      <c r="ED88" s="4"/>
      <c r="EE88" s="4"/>
      <c r="EF88" s="4"/>
      <c r="EG88" s="4"/>
      <c r="EH88" s="4"/>
      <c r="EI88" s="4"/>
      <c r="FQ88" s="9"/>
      <c r="FR88" s="10"/>
      <c r="FY88" s="10"/>
      <c r="GK88" s="9"/>
    </row>
    <row r="89" spans="1:263" ht="15" customHeight="1">
      <c r="A89" s="2">
        <v>102017054</v>
      </c>
      <c r="B89" t="s">
        <v>932</v>
      </c>
      <c r="J89" t="s">
        <v>253</v>
      </c>
      <c r="K89" t="s">
        <v>933</v>
      </c>
      <c r="L89" t="s">
        <v>934</v>
      </c>
      <c r="O89" s="1"/>
      <c r="T89" s="1"/>
      <c r="AE89" s="1"/>
      <c r="AJ89" s="4"/>
      <c r="AK89" s="4"/>
      <c r="AL89" s="4"/>
      <c r="AM89" s="34"/>
      <c r="AO89" s="4"/>
      <c r="AP89" s="13"/>
      <c r="AQ89" s="34"/>
      <c r="AR89" s="34"/>
      <c r="AS89" s="5"/>
      <c r="AT89" s="13"/>
      <c r="AU89" s="1"/>
      <c r="AV89" s="1"/>
      <c r="AW89" s="1"/>
      <c r="AX89" s="1"/>
      <c r="AY89" s="1"/>
      <c r="AZ89" s="1"/>
      <c r="BA89" s="1"/>
      <c r="BB89" s="1"/>
      <c r="BC89" s="1"/>
      <c r="BD89" s="1"/>
      <c r="BE89" s="5"/>
      <c r="BF89" s="16"/>
      <c r="BG89" s="16"/>
      <c r="BI89" s="4"/>
      <c r="BJ89" s="4"/>
      <c r="BK89" s="6"/>
      <c r="BL89" s="7"/>
      <c r="BM89" s="4"/>
      <c r="BO89" s="4"/>
      <c r="BP89" s="4"/>
      <c r="BQ89" s="6"/>
      <c r="BR89" s="7"/>
      <c r="BS89" s="4"/>
      <c r="BT89" s="4"/>
      <c r="BU89" s="4"/>
      <c r="BV89" s="4"/>
      <c r="BW89" s="6"/>
      <c r="BX89" s="7"/>
      <c r="BY89" s="4"/>
      <c r="CA89" s="4"/>
      <c r="CB89" s="4"/>
      <c r="CC89" s="6"/>
      <c r="CD89" s="7"/>
      <c r="CE89" s="4"/>
      <c r="CF89" s="4"/>
      <c r="CG89" s="4"/>
      <c r="CH89" s="4"/>
      <c r="CI89" s="6"/>
      <c r="CJ89" s="7"/>
      <c r="CK89" s="4"/>
      <c r="CL89" s="4"/>
      <c r="CM89" s="4"/>
      <c r="CN89" s="4"/>
      <c r="CO89" s="6"/>
      <c r="CP89" s="7"/>
      <c r="CQ89" s="4"/>
      <c r="CR89" s="4"/>
      <c r="CS89" s="4"/>
      <c r="CT89" s="4"/>
      <c r="CU89" s="6"/>
      <c r="CV89" s="7"/>
      <c r="CW89" s="4"/>
      <c r="CX89" s="4"/>
      <c r="CY89" s="4"/>
      <c r="CZ89" s="4"/>
      <c r="DA89" s="6"/>
      <c r="DB89" s="7"/>
      <c r="DC89" s="4"/>
      <c r="DD89" s="4"/>
      <c r="DE89" s="4"/>
      <c r="DF89" s="4"/>
      <c r="DG89" s="6"/>
      <c r="DH89" s="7"/>
      <c r="DI89" s="4"/>
      <c r="DJ89" s="4"/>
      <c r="DK89" s="4"/>
      <c r="DL89" s="4"/>
      <c r="DM89" s="4"/>
      <c r="DN89" s="3"/>
      <c r="DO89" s="4"/>
      <c r="DP89" s="4"/>
      <c r="DQ89" s="4"/>
      <c r="DR89" s="4"/>
      <c r="DS89" s="4"/>
      <c r="DT89" s="4"/>
      <c r="DU89" s="4"/>
      <c r="DV89" s="4"/>
      <c r="DW89" s="4"/>
      <c r="DX89" s="4"/>
      <c r="DY89" s="4"/>
      <c r="DZ89" s="4"/>
      <c r="EA89" s="4"/>
      <c r="EB89" s="4"/>
      <c r="EC89" s="4"/>
      <c r="ED89" s="4"/>
      <c r="EE89" s="4"/>
      <c r="EF89" s="4"/>
      <c r="EG89" s="4"/>
      <c r="FN89" s="9"/>
      <c r="FO89" s="10"/>
      <c r="FV89" s="10"/>
      <c r="GH89" s="9"/>
    </row>
    <row r="90" spans="1:263" ht="15" customHeight="1">
      <c r="A90" s="2">
        <v>102020016</v>
      </c>
      <c r="B90" t="s">
        <v>1582</v>
      </c>
      <c r="J90" t="s">
        <v>253</v>
      </c>
      <c r="K90" t="s">
        <v>500</v>
      </c>
      <c r="L90" t="s">
        <v>1583</v>
      </c>
      <c r="M90" t="s">
        <v>1584</v>
      </c>
      <c r="AG90" s="248"/>
      <c r="BG90" s="5"/>
      <c r="BH90" s="16"/>
      <c r="BI90" s="16"/>
      <c r="BJ90" s="4"/>
      <c r="BK90" s="4"/>
      <c r="BL90" s="4"/>
      <c r="BM90" s="6"/>
      <c r="BN90" s="7"/>
      <c r="BO90" s="4"/>
      <c r="BP90" s="4"/>
      <c r="BQ90" s="4"/>
      <c r="BR90" s="4"/>
      <c r="BS90" s="6"/>
      <c r="BT90" s="7"/>
      <c r="BU90" s="4"/>
      <c r="BV90" s="4"/>
      <c r="BW90" s="4"/>
      <c r="BX90" s="4"/>
      <c r="BY90" s="6"/>
      <c r="BZ90" s="7"/>
      <c r="CA90" s="4"/>
      <c r="CB90" s="4"/>
      <c r="CC90" s="4"/>
      <c r="CD90" s="4"/>
      <c r="CE90" s="6"/>
      <c r="CF90" s="7"/>
      <c r="CG90" s="4"/>
      <c r="CH90" s="4"/>
      <c r="CI90" s="4"/>
      <c r="CJ90" s="4"/>
      <c r="CK90" s="6"/>
      <c r="CL90" s="7"/>
      <c r="CM90" s="4"/>
      <c r="CN90" s="4"/>
      <c r="CO90" s="4"/>
      <c r="CP90" s="4"/>
      <c r="CQ90" s="6"/>
      <c r="CR90" s="7"/>
      <c r="CS90" s="4"/>
      <c r="CT90" s="4"/>
      <c r="CU90" s="4"/>
      <c r="CV90" s="4"/>
      <c r="CW90" s="6"/>
      <c r="CX90" s="7"/>
      <c r="CY90" s="4"/>
      <c r="CZ90" s="4"/>
      <c r="DA90" s="4"/>
      <c r="DB90" s="4"/>
      <c r="DC90" s="4"/>
      <c r="DD90" s="3"/>
      <c r="DE90" s="4"/>
      <c r="DF90" s="234"/>
      <c r="DG90" s="4"/>
      <c r="DH90" s="4"/>
      <c r="DI90" s="4"/>
      <c r="DJ90" s="4"/>
      <c r="DK90" s="4"/>
      <c r="DL90" s="4"/>
      <c r="DM90" s="7"/>
      <c r="DN90" s="8"/>
      <c r="DO90" s="4"/>
      <c r="DP90" s="8"/>
      <c r="DQ90" s="8"/>
      <c r="DR90" s="8"/>
      <c r="DS90" s="2"/>
      <c r="IL90" s="18"/>
      <c r="IM90" s="18"/>
      <c r="IN90" s="18"/>
      <c r="IO90" s="18"/>
      <c r="IP90" s="27">
        <v>44068</v>
      </c>
      <c r="IQ90" s="18"/>
      <c r="IR90" s="18"/>
      <c r="IS90" s="18"/>
      <c r="IT90" s="18"/>
      <c r="IU90" s="243"/>
      <c r="IV90" s="243"/>
      <c r="IW90" s="243"/>
      <c r="IX90" s="243"/>
      <c r="IY90" s="243"/>
    </row>
    <row r="91" spans="1:263" ht="15" customHeight="1">
      <c r="A91" s="19">
        <v>102021023</v>
      </c>
      <c r="B91" s="18" t="s">
        <v>2152</v>
      </c>
      <c r="C91" s="18" t="s">
        <v>258</v>
      </c>
      <c r="D91" s="18"/>
      <c r="E91" s="18" t="s">
        <v>2524</v>
      </c>
      <c r="F91" s="18">
        <v>210004659</v>
      </c>
      <c r="G91" s="18"/>
      <c r="H91" s="18"/>
      <c r="I91" s="18"/>
      <c r="J91" s="18" t="s">
        <v>311</v>
      </c>
      <c r="K91" s="18" t="s">
        <v>2114</v>
      </c>
      <c r="L91" s="18" t="s">
        <v>2115</v>
      </c>
      <c r="M91" s="18" t="s">
        <v>396</v>
      </c>
      <c r="N91" s="18"/>
      <c r="O91" s="18"/>
      <c r="P91" s="18" t="s">
        <v>2114</v>
      </c>
      <c r="Q91" s="18" t="s">
        <v>1355</v>
      </c>
      <c r="R91" s="18" t="s">
        <v>396</v>
      </c>
      <c r="S91" s="18"/>
      <c r="T91" s="18"/>
      <c r="U91" s="18"/>
      <c r="V91" s="18"/>
      <c r="W91" s="18"/>
      <c r="X91" s="18"/>
      <c r="Y91" s="18"/>
      <c r="Z91" s="18"/>
      <c r="AA91" s="18"/>
      <c r="AB91" s="18"/>
      <c r="AC91" s="18"/>
      <c r="AD91" s="18"/>
      <c r="AE91" s="18"/>
      <c r="AF91" s="18"/>
      <c r="AG91" s="231"/>
      <c r="AH91" s="18"/>
      <c r="AI91" s="18"/>
      <c r="AJ91" s="18" t="s">
        <v>328</v>
      </c>
      <c r="AK91" s="18"/>
      <c r="AL91" s="18" t="s">
        <v>438</v>
      </c>
      <c r="AM91" s="24"/>
      <c r="AN91" s="24"/>
      <c r="AO91" s="18" t="s">
        <v>2151</v>
      </c>
      <c r="AP91" s="13" t="s">
        <v>258</v>
      </c>
      <c r="AQ91" s="24" t="s">
        <v>438</v>
      </c>
      <c r="AR91" s="24" t="s">
        <v>260</v>
      </c>
      <c r="AS91" s="13"/>
      <c r="AT91" s="13"/>
      <c r="AU91" s="13"/>
      <c r="AV91" s="13"/>
      <c r="AW91" s="13"/>
      <c r="AX91" s="48"/>
      <c r="AY91" s="48"/>
      <c r="AZ91" s="48"/>
      <c r="BA91" s="48"/>
      <c r="BB91" s="2"/>
      <c r="BC91" s="48"/>
      <c r="BD91" s="48"/>
      <c r="BE91" s="48"/>
      <c r="BF91" s="19"/>
      <c r="BG91" s="20"/>
      <c r="BH91" s="22"/>
      <c r="BI91" s="22"/>
      <c r="BJ91" s="14"/>
      <c r="BK91" s="22"/>
      <c r="BL91" s="14"/>
      <c r="BM91" s="14"/>
      <c r="BN91" s="14"/>
      <c r="BO91" s="17"/>
      <c r="BP91" s="23"/>
      <c r="BQ91" s="14"/>
      <c r="BR91" s="14"/>
      <c r="BS91" s="14"/>
      <c r="BT91" s="14"/>
      <c r="BU91" s="17"/>
      <c r="BV91" s="23"/>
      <c r="BW91" s="14"/>
      <c r="BX91" s="14"/>
      <c r="BY91" s="14"/>
      <c r="BZ91" s="14"/>
      <c r="CA91" s="17"/>
      <c r="CB91" s="23"/>
      <c r="CC91" s="14"/>
      <c r="CD91" s="14"/>
      <c r="CE91" s="14"/>
      <c r="CF91" s="14"/>
      <c r="CG91" s="17"/>
      <c r="CH91" s="23"/>
      <c r="CI91" s="14"/>
      <c r="CJ91" s="14"/>
      <c r="CK91" s="14"/>
      <c r="CL91" s="14"/>
      <c r="CM91" s="17"/>
      <c r="CN91" s="23"/>
      <c r="CO91" s="14"/>
      <c r="CP91" s="14"/>
      <c r="CQ91" s="14"/>
      <c r="CR91" s="14"/>
      <c r="CS91" s="17"/>
      <c r="CT91" s="23"/>
      <c r="CU91" s="14"/>
      <c r="CV91" s="14"/>
      <c r="CW91" s="14"/>
      <c r="CX91" s="14"/>
      <c r="CY91" s="14"/>
      <c r="CZ91" s="14"/>
      <c r="DA91" s="14"/>
      <c r="DB91" s="14"/>
      <c r="DC91" s="14"/>
      <c r="DD91" s="14"/>
      <c r="DE91" s="14"/>
      <c r="DF91" s="47"/>
      <c r="DG91" s="14"/>
      <c r="DH91" s="32"/>
      <c r="DI91" s="14"/>
      <c r="DJ91" s="14">
        <v>200</v>
      </c>
      <c r="DK91" s="14">
        <f>SUM(DE91,DG91,DQ91, DJ91, DI91,FS91)</f>
        <v>1655.4499999999998</v>
      </c>
      <c r="DL91" s="14">
        <f>398.53+154.67</f>
        <v>553.19999999999993</v>
      </c>
      <c r="DM91" s="14">
        <v>216.25</v>
      </c>
      <c r="DN91" s="14">
        <v>76</v>
      </c>
      <c r="DO91" s="14">
        <v>100</v>
      </c>
      <c r="DP91" s="25">
        <v>510</v>
      </c>
      <c r="DQ91" s="14">
        <f>SUM(DL91:DP91)</f>
        <v>1455.4499999999998</v>
      </c>
      <c r="DR91" s="24" t="s">
        <v>1997</v>
      </c>
      <c r="DS91" s="25">
        <f>1700+100+100+100+100+100+100+100</f>
        <v>2400</v>
      </c>
      <c r="DT91" s="25">
        <v>0</v>
      </c>
      <c r="DU91" s="25">
        <f>SUM(DS91+DT91)</f>
        <v>2400</v>
      </c>
      <c r="DV91" s="36">
        <f>0.08*8</f>
        <v>0.64</v>
      </c>
      <c r="DW91" s="18" t="s">
        <v>2496</v>
      </c>
      <c r="DX91" s="18" t="s">
        <v>2497</v>
      </c>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240"/>
      <c r="IP91" s="240"/>
      <c r="IQ91" s="240"/>
      <c r="IR91" s="240"/>
      <c r="IS91" s="240"/>
      <c r="IT91" s="240"/>
      <c r="IU91" s="240"/>
      <c r="IV91" s="240"/>
      <c r="IW91" s="240"/>
      <c r="IX91" s="240"/>
      <c r="IY91" s="240"/>
    </row>
    <row r="92" spans="1:263" ht="15" customHeight="1">
      <c r="A92" s="2">
        <v>102024059</v>
      </c>
      <c r="B92" t="s">
        <v>5096</v>
      </c>
      <c r="D92" s="1"/>
      <c r="E92" s="3"/>
      <c r="G92" s="3"/>
      <c r="J92" t="s">
        <v>434</v>
      </c>
      <c r="K92" t="s">
        <v>695</v>
      </c>
      <c r="L92" t="s">
        <v>574</v>
      </c>
      <c r="M92" t="s">
        <v>650</v>
      </c>
      <c r="O92" s="3"/>
      <c r="P92" t="s">
        <v>5226</v>
      </c>
      <c r="Q92" t="s">
        <v>5227</v>
      </c>
      <c r="R92" t="s">
        <v>695</v>
      </c>
      <c r="U92" t="s">
        <v>695</v>
      </c>
      <c r="V92" t="s">
        <v>3934</v>
      </c>
      <c r="W92" t="s">
        <v>850</v>
      </c>
      <c r="AG92" s="43"/>
      <c r="AJ92" t="s">
        <v>328</v>
      </c>
      <c r="AK92" s="1"/>
      <c r="AL92" s="18" t="s">
        <v>438</v>
      </c>
      <c r="AM92"/>
      <c r="AN92"/>
      <c r="AO92" t="s">
        <v>5104</v>
      </c>
      <c r="AP92" s="1" t="s">
        <v>258</v>
      </c>
      <c r="AQ92" t="s">
        <v>329</v>
      </c>
      <c r="AR92" t="s">
        <v>260</v>
      </c>
      <c r="AX92" s="1"/>
      <c r="AY92" s="1"/>
      <c r="AZ92" s="1"/>
      <c r="BA92" s="1"/>
      <c r="BB92" s="1"/>
      <c r="BC92" s="2"/>
      <c r="BD92" s="115">
        <v>45382</v>
      </c>
      <c r="BE92" s="115"/>
      <c r="BF92" s="2"/>
      <c r="BG92" s="2"/>
      <c r="BH92" s="2"/>
      <c r="BI92" s="2"/>
      <c r="BJ92" s="2"/>
      <c r="BK92" s="2"/>
      <c r="BL92" s="20">
        <f ca="1">SUM(EB92)+220</f>
        <v>346.02080000000001</v>
      </c>
      <c r="BM92" s="22">
        <f ca="1">PMT(10%/12,12,BL92,0,0)</f>
        <v>-30.420725632037705</v>
      </c>
      <c r="BN92" s="22">
        <f ca="1">SUM(BM92*-1)</f>
        <v>30.420725632037705</v>
      </c>
      <c r="BO92" s="14">
        <f>SUM(EJ92*0.0052)/12</f>
        <v>2.6</v>
      </c>
      <c r="BP92" s="22">
        <f ca="1">SUM(BN92+BO92)</f>
        <v>33.020725632037703</v>
      </c>
      <c r="BQ92" s="14"/>
      <c r="BR92" s="14">
        <f>SUM(BQ92*0.1)</f>
        <v>0</v>
      </c>
      <c r="BS92" s="14">
        <f ca="1">SUM(BT92*BU92)</f>
        <v>0</v>
      </c>
      <c r="BT92" s="17">
        <f>SUM((BQ92+BR92)*0.00833333333333333)</f>
        <v>0</v>
      </c>
      <c r="BU92" s="23">
        <f ca="1">MONTH(TODAY())+61</f>
        <v>65</v>
      </c>
      <c r="BV92" s="14">
        <f ca="1">SUM(BQ92,BR92,BS92)</f>
        <v>0</v>
      </c>
      <c r="BW92" s="14"/>
      <c r="BX92" s="14">
        <f>SUM(BW92*0.1)</f>
        <v>0</v>
      </c>
      <c r="BY92" s="14">
        <f ca="1">SUM(BZ92*CA92)</f>
        <v>0</v>
      </c>
      <c r="BZ92" s="17">
        <f>SUM((BW92+BX92)*0.00833333333333333)</f>
        <v>0</v>
      </c>
      <c r="CA92" s="23">
        <f ca="1">MONTH(TODAY())+49</f>
        <v>53</v>
      </c>
      <c r="CB92" s="14">
        <f ca="1">SUM(BW92,BX92,BY92)</f>
        <v>0</v>
      </c>
      <c r="CC92" s="14">
        <v>0</v>
      </c>
      <c r="CD92" s="14">
        <f>SUM(CC92*0.1)</f>
        <v>0</v>
      </c>
      <c r="CE92" s="14">
        <f ca="1">SUM(CF92*CG92)</f>
        <v>0</v>
      </c>
      <c r="CF92" s="17">
        <f>SUM((CC92+CD92)*0.00833333333333333)</f>
        <v>0</v>
      </c>
      <c r="CG92" s="23">
        <f ca="1">MONTH(TODAY())+37</f>
        <v>41</v>
      </c>
      <c r="CH92" s="14">
        <f ca="1">SUM(CC92,CD92,CE92)</f>
        <v>0</v>
      </c>
      <c r="CI92" s="14">
        <f>SUM(EG92*0.0052)</f>
        <v>5.72</v>
      </c>
      <c r="CJ92" s="14">
        <f>SUM(CI92*0.1)</f>
        <v>0.57199999999999995</v>
      </c>
      <c r="CK92" s="14">
        <f ca="1">SUM(CL92*CM92)</f>
        <v>1.520566666666666</v>
      </c>
      <c r="CL92" s="17">
        <f>SUM((CI92+CJ92)*0.00833333333333333)</f>
        <v>5.2433333333333311E-2</v>
      </c>
      <c r="CM92" s="23">
        <f ca="1">MONTH(TODAY())+25</f>
        <v>29</v>
      </c>
      <c r="CN92" s="14">
        <f ca="1">SUM(CI92,CJ92,CK92)</f>
        <v>7.8125666666666653</v>
      </c>
      <c r="CO92" s="14">
        <f>SUM(EG92*0.0052)/2</f>
        <v>2.86</v>
      </c>
      <c r="CP92" s="14">
        <f>SUM(CO92*0.1)</f>
        <v>0.28599999999999998</v>
      </c>
      <c r="CQ92" s="14">
        <f ca="1">SUM(CR92*CS92)</f>
        <v>0.55054999999999976</v>
      </c>
      <c r="CR92" s="17">
        <f>SUM((CO92+CP92)*0.00833333333333333)</f>
        <v>2.6216666666666655E-2</v>
      </c>
      <c r="CS92" s="23">
        <f ca="1">MONTH(TODAY())+17</f>
        <v>21</v>
      </c>
      <c r="CT92" s="23">
        <f ca="1">SUM(CO92,CP92,CQ92)</f>
        <v>3.6965499999999998</v>
      </c>
      <c r="CU92" s="14">
        <f>SUM(EG92*0.0052)/2</f>
        <v>2.86</v>
      </c>
      <c r="CV92" s="14">
        <f>SUM(CU92*0.1)</f>
        <v>0.28599999999999998</v>
      </c>
      <c r="CW92" s="14">
        <f ca="1">SUM(CX92*CY92)</f>
        <v>0.44568333333333315</v>
      </c>
      <c r="CX92" s="17">
        <f>SUM((CU92+CV92)*0.00833333333333333)</f>
        <v>2.6216666666666655E-2</v>
      </c>
      <c r="CY92" s="23">
        <f ca="1">MONTH(TODAY())+13</f>
        <v>17</v>
      </c>
      <c r="CZ92" s="23">
        <f ca="1">SUM(CU92,CV92,CW92)</f>
        <v>3.5916833333333331</v>
      </c>
      <c r="DA92" s="14">
        <f>SUM(EJ92*0.0045)/2</f>
        <v>13.499999999999998</v>
      </c>
      <c r="DB92" s="14">
        <f>SUM(DA92*0.1)</f>
        <v>1.3499999999999999</v>
      </c>
      <c r="DC92" s="14">
        <f ca="1">SUM(DD92*DE92)</f>
        <v>1.3612499999999992</v>
      </c>
      <c r="DD92" s="17">
        <f>SUM((DA92+DB92)*0.00833333333333333)</f>
        <v>0.12374999999999993</v>
      </c>
      <c r="DE92" s="23">
        <f ca="1">MONTH(TODAY())+7</f>
        <v>11</v>
      </c>
      <c r="DF92" s="23">
        <f ca="1">SUM(DA92,DB92,DC92)</f>
        <v>16.211249999999996</v>
      </c>
      <c r="DG92" s="14">
        <f>SUM(EJ92*0.0045)/2</f>
        <v>13.499999999999998</v>
      </c>
      <c r="DH92" s="14">
        <f>SUM(DG92*0.1)</f>
        <v>1.3499999999999999</v>
      </c>
      <c r="DI92" s="14">
        <f ca="1">SUM(DJ92*DK92)</f>
        <v>0.61874999999999969</v>
      </c>
      <c r="DJ92" s="17">
        <f>SUM((DG92+DH92)*0.00833333333333333)</f>
        <v>0.12374999999999993</v>
      </c>
      <c r="DK92" s="23">
        <f ca="1">MONTH(TODAY())+1</f>
        <v>5</v>
      </c>
      <c r="DL92" s="14">
        <f ca="1">SUM(DG92,DH92,DI92)</f>
        <v>15.468749999999998</v>
      </c>
      <c r="DM92" s="14">
        <f>SUM( BQ92, BW92, CC92, CI92, CO92,CU92,DA92,DG92)</f>
        <v>38.44</v>
      </c>
      <c r="DN92" s="14">
        <f>SUM(BR92,BX92,CD92,CJ92, CP92,CV92,DB92,DH92)</f>
        <v>3.8439999999999994</v>
      </c>
      <c r="DO92" s="14">
        <f ca="1">SUM(BS92,BY92,CE92,CK92, CQ92,CW92,DC92,DI92)</f>
        <v>4.4967999999999977</v>
      </c>
      <c r="DP92" s="25">
        <f ca="1">SUM(DM92:DO92)</f>
        <v>46.780799999999999</v>
      </c>
      <c r="DQ92" s="47">
        <f ca="1">SUM(DP92/EG92)</f>
        <v>4.2527999999999996E-2</v>
      </c>
      <c r="DR92" s="14">
        <f>40+10</f>
        <v>50</v>
      </c>
      <c r="DS92" s="32">
        <f>COUNTIF(AO92, "*")+COUNTIF(AJ92, "*")+COUNTIF(AA92, "*")+COUNTIF(EU92, "*")+COUNTIF(FA92, "*")+COUNTIF(FG92, "*")+COUNTIF(FK92, "*")+COUNTIF(FR92, "*")+COUNTIF(AT92, "*")+COUNTIF(GA92, "*")+COUNTIF(GL92, "*")+COUNTIF(GW92, "*")+COUNTIF(HE92, "*")+COUNTIF(HM92, "*")+COUNTIF(HU92, "*")</f>
        <v>2</v>
      </c>
      <c r="DT92" s="14">
        <f>DS92*0.64</f>
        <v>1.28</v>
      </c>
      <c r="DU92" s="4"/>
      <c r="DV92" s="4">
        <v>27.96</v>
      </c>
      <c r="DW92" s="4"/>
      <c r="DX92" s="4"/>
      <c r="DZ92" s="4"/>
      <c r="EA92" s="14">
        <f>SUM(DV92:DZ92)</f>
        <v>27.96</v>
      </c>
      <c r="EB92" s="14">
        <f ca="1">SUM(DP92,DR92,EA92, DU92, DT92,FX92)</f>
        <v>126.02080000000001</v>
      </c>
      <c r="EC92" s="24" t="s">
        <v>4944</v>
      </c>
      <c r="ED92" s="130">
        <v>0.11</v>
      </c>
      <c r="EE92" s="14">
        <v>1100</v>
      </c>
      <c r="EF92" s="14">
        <v>0</v>
      </c>
      <c r="EG92" s="14">
        <f>SUM(EE92+EF92)</f>
        <v>1100</v>
      </c>
      <c r="EH92" s="14">
        <v>6000</v>
      </c>
      <c r="EI92" s="14">
        <v>0</v>
      </c>
      <c r="EJ92" s="14">
        <f>SUM(EH92+EI92)</f>
        <v>6000</v>
      </c>
      <c r="FX92" s="4"/>
      <c r="HY92" s="9"/>
      <c r="IJ92" s="4"/>
      <c r="IK92" s="4"/>
      <c r="IL92" s="4"/>
      <c r="IM92" s="9"/>
      <c r="IN92" s="9"/>
      <c r="IO92" s="9"/>
      <c r="IP92" s="9"/>
      <c r="IQ92" s="9"/>
    </row>
    <row r="93" spans="1:263" ht="15" customHeight="1">
      <c r="A93" s="2">
        <v>102019080</v>
      </c>
      <c r="B93" s="4" t="s">
        <v>1456</v>
      </c>
      <c r="C93" t="s">
        <v>258</v>
      </c>
      <c r="D93" s="3"/>
      <c r="E93" s="3"/>
      <c r="F93" s="3"/>
      <c r="G93" s="3"/>
      <c r="H93" s="3"/>
      <c r="J93" t="s">
        <v>554</v>
      </c>
      <c r="K93" t="s">
        <v>545</v>
      </c>
      <c r="L93" t="s">
        <v>1176</v>
      </c>
      <c r="M93" t="s">
        <v>850</v>
      </c>
      <c r="O93" s="1"/>
      <c r="P93" t="s">
        <v>545</v>
      </c>
      <c r="Q93" t="s">
        <v>883</v>
      </c>
      <c r="R93" t="s">
        <v>392</v>
      </c>
      <c r="T93" s="1"/>
      <c r="AX93" s="9"/>
      <c r="AY93" s="9"/>
      <c r="AZ93" s="9"/>
      <c r="BE93" s="9"/>
      <c r="BG93" s="66"/>
      <c r="BH93" s="66"/>
      <c r="BI93" s="66"/>
      <c r="BK93" s="66"/>
      <c r="BL93" s="66"/>
      <c r="BO93" s="66"/>
      <c r="BQ93" s="66"/>
      <c r="BR93" s="66"/>
      <c r="BU93" s="66"/>
      <c r="BW93" s="66"/>
      <c r="BX93" s="66"/>
      <c r="CA93" s="66"/>
      <c r="CC93" s="66"/>
      <c r="CD93" s="66"/>
      <c r="CG93" s="66"/>
      <c r="CH93" s="66"/>
      <c r="CI93" s="66"/>
      <c r="CJ93" s="66"/>
      <c r="CM93" s="66"/>
      <c r="CN93" s="66"/>
      <c r="CO93" s="66"/>
      <c r="CP93" s="66"/>
      <c r="CS93" s="66"/>
      <c r="CT93" s="66"/>
      <c r="CU93" s="66"/>
      <c r="CV93" s="66"/>
      <c r="CY93" s="66"/>
      <c r="CZ93" s="66"/>
      <c r="DA93" s="66"/>
      <c r="DB93" s="66"/>
      <c r="DE93" s="66"/>
      <c r="DF93" s="66"/>
      <c r="DG93" s="66"/>
      <c r="DH93" s="66"/>
      <c r="DI93" s="66"/>
      <c r="DJ93" s="66"/>
      <c r="DL93" s="66"/>
      <c r="DN93" s="66"/>
      <c r="DO93" s="66"/>
      <c r="DP93" s="66"/>
      <c r="DR93" s="66"/>
      <c r="DS93" s="66"/>
      <c r="DU93" s="66"/>
      <c r="DV93" s="66"/>
      <c r="DW93" s="66"/>
      <c r="DX93" s="66"/>
      <c r="DY93" s="66"/>
      <c r="FR93" s="9"/>
      <c r="FX93" s="66"/>
      <c r="GE93" s="9"/>
      <c r="GP93" s="9"/>
      <c r="II93" s="9"/>
      <c r="IJ93" s="66"/>
      <c r="IK93" s="66"/>
    </row>
    <row r="94" spans="1:263" ht="15" customHeight="1">
      <c r="A94" s="2">
        <v>102024178</v>
      </c>
      <c r="B94" t="s">
        <v>1456</v>
      </c>
      <c r="D94" s="1"/>
      <c r="E94" s="3"/>
      <c r="G94" s="3"/>
      <c r="J94" t="s">
        <v>554</v>
      </c>
      <c r="K94" t="s">
        <v>545</v>
      </c>
      <c r="L94" t="s">
        <v>1176</v>
      </c>
      <c r="M94" t="s">
        <v>850</v>
      </c>
      <c r="O94" s="3"/>
      <c r="P94" t="s">
        <v>545</v>
      </c>
      <c r="Q94" t="s">
        <v>883</v>
      </c>
      <c r="R94" t="s">
        <v>392</v>
      </c>
      <c r="AG94" s="43"/>
      <c r="AK94" s="1"/>
      <c r="AM94"/>
      <c r="AN94"/>
      <c r="AO94" t="s">
        <v>5582</v>
      </c>
      <c r="AP94" s="1" t="s">
        <v>258</v>
      </c>
      <c r="AQ94" s="18" t="s">
        <v>438</v>
      </c>
      <c r="AR94" t="s">
        <v>260</v>
      </c>
      <c r="AS94" t="s">
        <v>473</v>
      </c>
      <c r="AT94" t="s">
        <v>474</v>
      </c>
      <c r="AU94" t="s">
        <v>475</v>
      </c>
      <c r="AV94" t="s">
        <v>438</v>
      </c>
      <c r="AW94" s="1" t="s">
        <v>260</v>
      </c>
      <c r="AX94" s="1"/>
      <c r="AY94" s="1"/>
      <c r="AZ94" s="1"/>
      <c r="BA94" s="1"/>
      <c r="BB94" s="1"/>
      <c r="BC94" s="2"/>
      <c r="BD94" s="116"/>
      <c r="BE94" s="115"/>
      <c r="BF94" s="2"/>
      <c r="BG94" s="2"/>
      <c r="BH94" s="2"/>
      <c r="BI94" s="2"/>
      <c r="BJ94" s="2"/>
      <c r="BK94" s="2"/>
      <c r="BL94" s="20">
        <f ca="1">SUM(EB94)+220</f>
        <v>582.77646666666669</v>
      </c>
      <c r="BM94" s="22">
        <f ca="1">PMT(10%/12,12,BL94,0,0)</f>
        <v>-51.235310123770113</v>
      </c>
      <c r="BN94" s="22">
        <f ca="1">SUM(BM94*-1)</f>
        <v>51.235310123770113</v>
      </c>
      <c r="BO94" s="14">
        <f>SUM(EJ94*0.0052)/12</f>
        <v>13.78</v>
      </c>
      <c r="BP94" s="22">
        <f ca="1">SUM(BN94+BO94)</f>
        <v>65.015310123770107</v>
      </c>
      <c r="BQ94" s="14"/>
      <c r="BR94" s="14">
        <f>SUM(BQ94*0.1)</f>
        <v>0</v>
      </c>
      <c r="BS94" s="14">
        <f ca="1">SUM(BT94*BU94)</f>
        <v>0</v>
      </c>
      <c r="BT94" s="17">
        <f>SUM((BQ94+BR94)*0.00833333333333333)</f>
        <v>0</v>
      </c>
      <c r="BU94" s="23">
        <f ca="1">MONTH(TODAY())+61</f>
        <v>65</v>
      </c>
      <c r="BV94" s="14">
        <f ca="1">SUM(BQ94,BR94,BS94)</f>
        <v>0</v>
      </c>
      <c r="BW94" s="14"/>
      <c r="BX94" s="14">
        <f>SUM(BW94*0.1)</f>
        <v>0</v>
      </c>
      <c r="BY94" s="14">
        <f ca="1">SUM(BZ94*CA94)</f>
        <v>0</v>
      </c>
      <c r="BZ94" s="17">
        <f>SUM((BW94+BX94)*0.00833333333333333)</f>
        <v>0</v>
      </c>
      <c r="CA94" s="23">
        <f ca="1">MONTH(TODAY())+49</f>
        <v>53</v>
      </c>
      <c r="CB94" s="14">
        <f ca="1">SUM(BW94,BX94,BY94)</f>
        <v>0</v>
      </c>
      <c r="CC94" s="14">
        <v>0</v>
      </c>
      <c r="CD94" s="14">
        <f>SUM(CC94*0.1)</f>
        <v>0</v>
      </c>
      <c r="CE94" s="14">
        <f ca="1">SUM(CF94*CG94)</f>
        <v>0</v>
      </c>
      <c r="CF94" s="17">
        <f>SUM((CC94+CD94)*0.00833333333333333)</f>
        <v>0</v>
      </c>
      <c r="CG94" s="23">
        <f ca="1">MONTH(TODAY())+37</f>
        <v>41</v>
      </c>
      <c r="CH94" s="14">
        <f ca="1">SUM(CC94,CD94,CE94)</f>
        <v>0</v>
      </c>
      <c r="CI94" s="14">
        <v>0</v>
      </c>
      <c r="CJ94" s="14">
        <f>SUM(CI94*0.1)</f>
        <v>0</v>
      </c>
      <c r="CK94" s="14">
        <f ca="1">SUM(CL94*CM94)</f>
        <v>0</v>
      </c>
      <c r="CL94" s="17">
        <f>SUM((CI94+CJ94)*0.00833333333333333)</f>
        <v>0</v>
      </c>
      <c r="CM94" s="23">
        <f ca="1">MONTH(TODAY())+25</f>
        <v>29</v>
      </c>
      <c r="CN94" s="14">
        <f ca="1">SUM(CI94,CJ94,CK94)</f>
        <v>0</v>
      </c>
      <c r="CO94" s="14">
        <f>SUM(EG94*0.0052)/2</f>
        <v>68.11999999999999</v>
      </c>
      <c r="CP94" s="14">
        <f>SUM(CO94*0.1)</f>
        <v>6.8119999999999994</v>
      </c>
      <c r="CQ94" s="14">
        <f ca="1">SUM(CR94*CS94)</f>
        <v>13.113099999999992</v>
      </c>
      <c r="CR94" s="17">
        <f>SUM((CO94+CP94)*0.00833333333333333)</f>
        <v>0.62443333333333295</v>
      </c>
      <c r="CS94" s="23">
        <f ca="1">MONTH(TODAY())+17</f>
        <v>21</v>
      </c>
      <c r="CT94" s="23">
        <f ca="1">SUM(CO94,CP94,CQ94)</f>
        <v>88.045099999999977</v>
      </c>
      <c r="CU94" s="14">
        <f>SUM(EG94*0.0052)/2</f>
        <v>68.11999999999999</v>
      </c>
      <c r="CV94" s="14">
        <f>SUM(CU94*0.1)</f>
        <v>6.8119999999999994</v>
      </c>
      <c r="CW94" s="14">
        <f ca="1">SUM(CX94*CY94)</f>
        <v>10.61536666666666</v>
      </c>
      <c r="CX94" s="17">
        <f>SUM((CU94+CV94)*0.00833333333333333)</f>
        <v>0.62443333333333295</v>
      </c>
      <c r="CY94" s="23">
        <f ca="1">MONTH(TODAY())+13</f>
        <v>17</v>
      </c>
      <c r="CZ94" s="23">
        <f ca="1">SUM(CU94,CV94,CW94)</f>
        <v>85.547366666666647</v>
      </c>
      <c r="DA94" s="14">
        <f>SUM(EJ94*0.0045)/2</f>
        <v>71.55</v>
      </c>
      <c r="DB94" s="14">
        <f>SUM(DA94*0.1)</f>
        <v>7.1550000000000002</v>
      </c>
      <c r="DC94" s="14">
        <f ca="1">SUM(DD94*DE94)</f>
        <v>7.2146249999999963</v>
      </c>
      <c r="DD94" s="17">
        <f>SUM((DA94+DB94)*0.00833333333333333)</f>
        <v>0.65587499999999965</v>
      </c>
      <c r="DE94" s="23">
        <f ca="1">MONTH(TODAY())+7</f>
        <v>11</v>
      </c>
      <c r="DF94" s="23">
        <f ca="1">SUM(DA94,DB94,DC94)</f>
        <v>85.919624999999996</v>
      </c>
      <c r="DG94" s="14">
        <f>SUM(EJ94*0.0045)/2</f>
        <v>71.55</v>
      </c>
      <c r="DH94" s="14">
        <f>SUM(DG94*0.1)</f>
        <v>7.1550000000000002</v>
      </c>
      <c r="DI94" s="14">
        <f ca="1">SUM(DJ94*DK94)</f>
        <v>3.2793749999999982</v>
      </c>
      <c r="DJ94" s="17">
        <f>SUM((DG94+DH94)*0.00833333333333333)</f>
        <v>0.65587499999999965</v>
      </c>
      <c r="DK94" s="23">
        <f ca="1">MONTH(TODAY())+1</f>
        <v>5</v>
      </c>
      <c r="DL94" s="14">
        <f ca="1">SUM(DG94,DH94,DI94)</f>
        <v>81.984375</v>
      </c>
      <c r="DM94" s="14">
        <f>SUM( BQ94, BW94, CC94, CI94, CO94,CU94,DA94,DG94)</f>
        <v>279.33999999999997</v>
      </c>
      <c r="DN94" s="14">
        <f>SUM(BR94,BX94,CD94,CJ94, CP94,CV94,DB94,DH94)</f>
        <v>27.934000000000001</v>
      </c>
      <c r="DO94" s="14">
        <f ca="1">SUM(BS94,BY94,CE94,CK94, CQ94,CW94,DC94,DI94)</f>
        <v>34.222466666666648</v>
      </c>
      <c r="DP94" s="25">
        <f ca="1">SUM(DM94:DO94)</f>
        <v>341.49646666666666</v>
      </c>
      <c r="DQ94" s="47">
        <f ca="1">SUM(DP94/EH94)</f>
        <v>4.3781598290598293E-2</v>
      </c>
      <c r="DR94" s="14">
        <f>20</f>
        <v>20</v>
      </c>
      <c r="DS94" s="32">
        <f>COUNTIF(AO94, "*")+COUNTIF(AJ94, "*")+COUNTIF(AA94, "*")+COUNTIF(EU94, "*")+COUNTIF(FA94, "*")+COUNTIF(FG94, "*")+COUNTIF(FK94, "*")+COUNTIF(FR94, "*")+COUNTIF(AT94, "*")+COUNTIF(GA94, "*")+COUNTIF(GL94, "*")+COUNTIF(GW94, "*")+COUNTIF(HE94, "*")+COUNTIF(HM94, "*")+COUNTIF(HU94, "*")</f>
        <v>2</v>
      </c>
      <c r="DT94" s="14">
        <f>DS94*0.64</f>
        <v>1.28</v>
      </c>
      <c r="DU94" s="4"/>
      <c r="DV94" s="4"/>
      <c r="DW94" s="4"/>
      <c r="DX94" s="4"/>
      <c r="DZ94" s="4"/>
      <c r="EA94" s="14">
        <f>SUM(DV94:DZ94)</f>
        <v>0</v>
      </c>
      <c r="EB94" s="14">
        <f ca="1">SUM(DP94,DR94,EA94, DU94, DT94,FX94)</f>
        <v>362.77646666666664</v>
      </c>
      <c r="EC94" s="24" t="s">
        <v>4935</v>
      </c>
      <c r="ED94" s="23">
        <f>0.11+0.02</f>
        <v>0.13</v>
      </c>
      <c r="EE94" s="14">
        <f>2200+200</f>
        <v>2400</v>
      </c>
      <c r="EF94" s="14">
        <v>23800</v>
      </c>
      <c r="EG94" s="4">
        <f>SUM(EE94+EF94)</f>
        <v>26200</v>
      </c>
      <c r="EH94" s="14">
        <f>7600+200</f>
        <v>7800</v>
      </c>
      <c r="EI94" s="14">
        <v>24000</v>
      </c>
      <c r="EJ94" s="4">
        <f>SUM(EH94+EI94)</f>
        <v>31800</v>
      </c>
      <c r="EK94" s="10"/>
      <c r="EL94" s="10"/>
      <c r="EM94" s="10"/>
      <c r="EN94" s="10"/>
      <c r="EO94" s="10"/>
      <c r="EP94" s="10"/>
      <c r="EQ94" s="10"/>
      <c r="ER94" s="10"/>
      <c r="FX94" s="4"/>
      <c r="HY94" s="9"/>
      <c r="IJ94" s="4"/>
      <c r="IK94" s="4"/>
      <c r="IL94" s="4"/>
      <c r="IM94" s="9"/>
      <c r="IN94" s="9"/>
      <c r="IO94" s="9"/>
      <c r="IP94" s="9"/>
      <c r="IQ94" s="9"/>
    </row>
    <row r="95" spans="1:263" ht="15" customHeight="1">
      <c r="A95" s="19">
        <v>102019035</v>
      </c>
      <c r="B95" s="14" t="s">
        <v>608</v>
      </c>
      <c r="C95" s="20" t="s">
        <v>258</v>
      </c>
      <c r="D95" s="20"/>
      <c r="E95" s="24"/>
      <c r="F95" s="19"/>
      <c r="G95" s="18">
        <v>190005227</v>
      </c>
      <c r="H95" s="18"/>
      <c r="I95" s="18"/>
      <c r="J95" s="18" t="s">
        <v>253</v>
      </c>
      <c r="K95" s="18" t="s">
        <v>609</v>
      </c>
      <c r="L95" s="18" t="s">
        <v>610</v>
      </c>
      <c r="M95" s="18" t="s">
        <v>448</v>
      </c>
      <c r="N95" s="18"/>
      <c r="O95" s="13" t="s">
        <v>258</v>
      </c>
      <c r="P95" s="18"/>
      <c r="Q95" s="18"/>
      <c r="R95" s="18"/>
      <c r="S95" s="18"/>
      <c r="T95" s="13"/>
      <c r="U95" s="18"/>
      <c r="V95" s="18"/>
      <c r="W95" s="18"/>
      <c r="X95" s="18"/>
      <c r="Y95" s="18"/>
      <c r="Z95" s="18"/>
      <c r="AA95" s="18"/>
      <c r="AB95" s="18"/>
      <c r="AC95" s="18"/>
      <c r="AD95" s="18" t="s">
        <v>611</v>
      </c>
      <c r="AE95" s="18" t="s">
        <v>311</v>
      </c>
      <c r="AF95" s="18" t="s">
        <v>609</v>
      </c>
      <c r="AG95" s="231" t="s">
        <v>612</v>
      </c>
      <c r="AH95" s="14" t="s">
        <v>613</v>
      </c>
      <c r="AI95" s="14" t="s">
        <v>438</v>
      </c>
      <c r="AJ95" s="14"/>
      <c r="AK95" s="14"/>
      <c r="AL95" s="18"/>
      <c r="AM95" s="24"/>
      <c r="AN95" s="24"/>
      <c r="AO95" s="14" t="s">
        <v>613</v>
      </c>
      <c r="AP95" s="20" t="s">
        <v>258</v>
      </c>
      <c r="AQ95" s="24" t="s">
        <v>438</v>
      </c>
      <c r="AR95" s="24" t="s">
        <v>260</v>
      </c>
      <c r="AS95" s="20"/>
      <c r="AT95" s="20"/>
      <c r="AU95" s="13"/>
      <c r="AV95" s="13"/>
      <c r="AW95" s="13"/>
      <c r="AX95" s="48"/>
      <c r="AY95" s="48"/>
      <c r="AZ95" s="48"/>
      <c r="BA95" s="48"/>
      <c r="BB95" s="19"/>
      <c r="BC95" s="48"/>
      <c r="BD95" s="48"/>
      <c r="BE95" s="19"/>
      <c r="BF95" s="19"/>
      <c r="BG95" s="20"/>
      <c r="BH95" s="22"/>
      <c r="BI95" s="22"/>
      <c r="BJ95" s="14"/>
      <c r="BK95" s="22"/>
      <c r="BL95" s="14"/>
      <c r="BM95" s="14"/>
      <c r="BN95" s="14"/>
      <c r="BO95" s="17"/>
      <c r="BP95" s="23"/>
      <c r="BQ95" s="14"/>
      <c r="BR95" s="14"/>
      <c r="BS95" s="14"/>
      <c r="BT95" s="14"/>
      <c r="BU95" s="17"/>
      <c r="BV95" s="23"/>
      <c r="BW95" s="14"/>
      <c r="BX95" s="14"/>
      <c r="BY95" s="14"/>
      <c r="BZ95" s="14"/>
      <c r="CA95" s="17"/>
      <c r="CB95" s="23"/>
      <c r="CC95" s="14"/>
      <c r="CD95" s="14"/>
      <c r="CE95" s="14"/>
      <c r="CF95" s="14"/>
      <c r="CG95" s="17"/>
      <c r="CH95" s="23"/>
      <c r="CI95" s="14"/>
      <c r="CJ95" s="14"/>
      <c r="CK95" s="14"/>
      <c r="CL95" s="14"/>
      <c r="CM95" s="17"/>
      <c r="CN95" s="23"/>
      <c r="CO95" s="14"/>
      <c r="CP95" s="14"/>
      <c r="CQ95" s="14"/>
      <c r="CR95" s="14"/>
      <c r="CS95" s="17"/>
      <c r="CT95" s="23"/>
      <c r="CU95" s="14"/>
      <c r="CV95" s="14"/>
      <c r="CW95" s="14"/>
      <c r="CX95" s="14"/>
      <c r="CY95" s="14"/>
      <c r="CZ95" s="14"/>
      <c r="DA95" s="47"/>
      <c r="DB95" s="14"/>
      <c r="DC95" s="32"/>
      <c r="DD95" s="14"/>
      <c r="DE95" s="14"/>
      <c r="DF95" s="14"/>
      <c r="DG95" s="14"/>
      <c r="DH95" s="14"/>
      <c r="DI95" s="14"/>
      <c r="DJ95" s="14"/>
      <c r="DK95" s="25"/>
      <c r="DL95" s="14">
        <f>SUM(DG95:DK95)</f>
        <v>0</v>
      </c>
      <c r="DM95" s="24" t="s">
        <v>1944</v>
      </c>
      <c r="DN95" s="25">
        <v>5500</v>
      </c>
      <c r="DO95" s="25">
        <v>40200</v>
      </c>
      <c r="DP95" s="25">
        <f>SUM(DN95+DO95)</f>
        <v>45700</v>
      </c>
      <c r="DQ95" s="36">
        <v>0.37</v>
      </c>
      <c r="DR95" s="18" t="s">
        <v>614</v>
      </c>
      <c r="DS95" s="18" t="s">
        <v>615</v>
      </c>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27"/>
      <c r="FA95" s="18"/>
      <c r="FB95" s="18"/>
      <c r="FC95" s="18"/>
      <c r="FD95" s="18"/>
      <c r="FE95" s="18"/>
      <c r="FF95" s="18"/>
      <c r="FG95" s="18"/>
      <c r="FH95" s="18"/>
      <c r="FI95" s="18"/>
      <c r="FJ95" s="18"/>
      <c r="FK95" s="18"/>
      <c r="FL95" s="18"/>
      <c r="FM95" s="18"/>
      <c r="FN95" s="14"/>
      <c r="FO95" s="18"/>
      <c r="FP95" s="18"/>
      <c r="FQ95" s="18"/>
      <c r="FR95" s="18"/>
      <c r="FS95" s="28"/>
      <c r="FT95" s="18"/>
      <c r="FU95" s="18"/>
      <c r="FV95" s="18"/>
      <c r="FW95" s="18"/>
      <c r="FX95" s="18"/>
      <c r="FY95" s="18"/>
      <c r="FZ95" s="18"/>
      <c r="GA95" s="18"/>
      <c r="GB95" s="18"/>
      <c r="GC95" s="28"/>
      <c r="GD95" s="18"/>
      <c r="GE95" s="18"/>
      <c r="GF95" s="18"/>
      <c r="GG95" s="18"/>
      <c r="GH95" s="18"/>
      <c r="GI95" s="18"/>
      <c r="GJ95" s="18"/>
      <c r="GK95" s="18"/>
      <c r="GL95" s="18"/>
      <c r="GM95" s="18"/>
      <c r="GN95" s="18"/>
      <c r="GO95" s="18"/>
      <c r="GP95" s="18"/>
      <c r="GQ95" s="18"/>
      <c r="GR95" s="27"/>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4"/>
      <c r="IA95" s="14"/>
      <c r="IB95" s="27"/>
      <c r="IC95" s="18"/>
      <c r="ID95" s="18"/>
      <c r="IE95" s="18"/>
      <c r="IF95" s="18"/>
      <c r="IG95" s="18"/>
      <c r="IH95" s="18"/>
      <c r="II95" s="14"/>
      <c r="IJ95" s="14"/>
      <c r="IK95" s="18"/>
      <c r="IL95" s="9"/>
      <c r="IS95" s="4"/>
      <c r="IT95" s="4"/>
    </row>
    <row r="96" spans="1:263" ht="15" customHeight="1">
      <c r="A96" s="18">
        <v>102019035</v>
      </c>
      <c r="B96" s="18" t="s">
        <v>608</v>
      </c>
      <c r="C96" s="10"/>
      <c r="D96" s="161"/>
      <c r="E96" s="147" t="s">
        <v>5893</v>
      </c>
      <c r="F96" s="160">
        <v>230003873</v>
      </c>
      <c r="G96" s="147">
        <v>230004636</v>
      </c>
      <c r="H96" s="10"/>
      <c r="I96" s="10"/>
      <c r="J96" s="28" t="s">
        <v>253</v>
      </c>
      <c r="K96" s="28" t="s">
        <v>609</v>
      </c>
      <c r="L96" s="28" t="s">
        <v>610</v>
      </c>
      <c r="M96" s="28" t="s">
        <v>448</v>
      </c>
      <c r="N96" s="28"/>
      <c r="O96" s="150"/>
      <c r="P96" s="28"/>
      <c r="Q96" s="28"/>
      <c r="R96" s="28"/>
      <c r="S96" s="28"/>
      <c r="T96" s="10"/>
      <c r="U96" s="10"/>
      <c r="V96" s="10"/>
      <c r="W96" s="10"/>
      <c r="X96" s="10"/>
      <c r="Y96" s="10"/>
      <c r="Z96" s="10"/>
      <c r="AA96" s="10"/>
      <c r="AB96" s="10"/>
      <c r="AC96" s="10"/>
      <c r="AD96" s="10" t="s">
        <v>4976</v>
      </c>
      <c r="AE96" s="10" t="s">
        <v>253</v>
      </c>
      <c r="AF96" s="10" t="s">
        <v>4977</v>
      </c>
      <c r="AG96" s="10" t="s">
        <v>4978</v>
      </c>
      <c r="AH96" s="28" t="s">
        <v>4979</v>
      </c>
      <c r="AI96" s="10" t="s">
        <v>438</v>
      </c>
      <c r="AJ96" s="18"/>
      <c r="AK96" s="13"/>
      <c r="AL96" s="18"/>
      <c r="AM96" s="18"/>
      <c r="AN96" s="18"/>
      <c r="AO96" s="18" t="s">
        <v>613</v>
      </c>
      <c r="AP96" s="13" t="s">
        <v>258</v>
      </c>
      <c r="AQ96" s="18" t="s">
        <v>438</v>
      </c>
      <c r="AR96" s="18" t="s">
        <v>260</v>
      </c>
      <c r="AS96" s="18" t="s">
        <v>473</v>
      </c>
      <c r="AT96" s="18" t="s">
        <v>474</v>
      </c>
      <c r="AU96" s="18" t="s">
        <v>475</v>
      </c>
      <c r="AV96" s="18" t="s">
        <v>438</v>
      </c>
      <c r="AW96" s="18" t="s">
        <v>260</v>
      </c>
      <c r="AX96" s="1"/>
      <c r="AY96" s="1" t="s">
        <v>258</v>
      </c>
      <c r="AZ96" s="1"/>
      <c r="BA96" s="1" t="s">
        <v>258</v>
      </c>
      <c r="BB96" s="1" t="s">
        <v>258</v>
      </c>
      <c r="BC96" s="70">
        <v>45155</v>
      </c>
      <c r="BD96" s="70">
        <v>45060</v>
      </c>
      <c r="BE96" s="70">
        <v>45040</v>
      </c>
      <c r="BF96" s="70">
        <v>45198</v>
      </c>
      <c r="BG96" s="2" t="s">
        <v>4955</v>
      </c>
      <c r="BH96" s="70">
        <v>45184</v>
      </c>
      <c r="BI96" s="70">
        <v>45191</v>
      </c>
      <c r="BJ96" s="70"/>
      <c r="BK96" s="70"/>
      <c r="BL96" s="20">
        <f ca="1">SUM(EH96)+220</f>
        <v>2529.9554750000002</v>
      </c>
      <c r="BM96" s="22">
        <f ca="1">PMT(10%/12,12,BL96,0,0)</f>
        <v>-222.42328023704536</v>
      </c>
      <c r="BN96" s="22">
        <f ca="1">SUM(BM96*-1)</f>
        <v>222.42328023704536</v>
      </c>
      <c r="BO96" s="14">
        <f>SUM(EP96*0.0052)/12</f>
        <v>27.993333333333329</v>
      </c>
      <c r="BP96" s="22">
        <f ca="1">SUM(BN96+BO96)</f>
        <v>250.4166135703787</v>
      </c>
      <c r="BQ96" s="14"/>
      <c r="BR96" s="14">
        <f>SUM(BQ96*0.1)</f>
        <v>0</v>
      </c>
      <c r="BS96" s="14">
        <f ca="1">SUM(BT96*BU96)</f>
        <v>0</v>
      </c>
      <c r="BT96" s="17">
        <f>SUM((BQ96+BR96)*0.00833333333333333)</f>
        <v>0</v>
      </c>
      <c r="BU96" s="23">
        <f ca="1">MONTH(TODAY())+49</f>
        <v>53</v>
      </c>
      <c r="BV96" s="14">
        <f ca="1">SUM(BQ96,BR96,BS96)</f>
        <v>0</v>
      </c>
      <c r="BW96" s="14">
        <v>0</v>
      </c>
      <c r="BX96" s="14">
        <f>SUM(BW96*0.1)</f>
        <v>0</v>
      </c>
      <c r="BY96" s="14">
        <f ca="1">SUM(BZ96*CA96)</f>
        <v>0</v>
      </c>
      <c r="BZ96" s="17">
        <f>SUM((BW96+BX96)*0.00833333333333333)</f>
        <v>0</v>
      </c>
      <c r="CA96" s="23">
        <f ca="1">MONTH(TODAY())+37</f>
        <v>41</v>
      </c>
      <c r="CB96" s="14">
        <f ca="1">SUM(BW96,BX96,BY96)</f>
        <v>0</v>
      </c>
      <c r="CC96" s="14">
        <f>SUM(EM96*0.0052)</f>
        <v>237.64</v>
      </c>
      <c r="CD96" s="14">
        <f>SUM(CC96*0.1)</f>
        <v>23.763999999999999</v>
      </c>
      <c r="CE96" s="14">
        <f ca="1">SUM(CF96*CG96)</f>
        <v>63.172633333333309</v>
      </c>
      <c r="CF96" s="17">
        <f>SUM((CC96+CD96)*0.00833333333333333)</f>
        <v>2.1783666666666659</v>
      </c>
      <c r="CG96" s="23">
        <f ca="1">MONTH(TODAY())+25</f>
        <v>29</v>
      </c>
      <c r="CH96" s="14">
        <f ca="1">SUM(CC96,CD96,CE96)</f>
        <v>324.57663333333329</v>
      </c>
      <c r="CI96" s="14">
        <f>SUM(EM96*0.0052)/2</f>
        <v>118.82</v>
      </c>
      <c r="CJ96" s="14">
        <f>SUM(CI96*0.1)</f>
        <v>11.882</v>
      </c>
      <c r="CK96" s="14">
        <f ca="1">SUM(CL96*CM96)</f>
        <v>22.872849999999993</v>
      </c>
      <c r="CL96" s="17">
        <f>SUM((CI96+CJ96)*0.00833333333333333)</f>
        <v>1.0891833333333329</v>
      </c>
      <c r="CM96" s="23">
        <f ca="1">MONTH(TODAY())+17</f>
        <v>21</v>
      </c>
      <c r="CN96" s="23">
        <f ca="1">SUM(CI96,CJ96,CK96)</f>
        <v>153.57485</v>
      </c>
      <c r="CO96" s="14">
        <f>SUM(EM96*0.0052)/2</f>
        <v>118.82</v>
      </c>
      <c r="CP96" s="14">
        <f>SUM(CO96*0.1)</f>
        <v>11.882</v>
      </c>
      <c r="CQ96" s="14">
        <f ca="1">SUM(CR96*CS96)</f>
        <v>18.516116666666662</v>
      </c>
      <c r="CR96" s="17">
        <f>SUM((CO96+CP96)*0.00833333333333333)</f>
        <v>1.0891833333333329</v>
      </c>
      <c r="CS96" s="23">
        <f ca="1">MONTH(TODAY())+13</f>
        <v>17</v>
      </c>
      <c r="CT96" s="14">
        <f ca="1">SUM(CO96,CP96,CQ96)</f>
        <v>149.21811666666667</v>
      </c>
      <c r="CU96" s="14">
        <f>SUM(EP96*0.0045)/2</f>
        <v>145.35</v>
      </c>
      <c r="CV96" s="14">
        <f>SUM(CU96*0.1)</f>
        <v>14.535</v>
      </c>
      <c r="CW96" s="14">
        <f ca="1">SUM(CX96*CY96)</f>
        <v>14.656124999999994</v>
      </c>
      <c r="CX96" s="17">
        <f>SUM((CU96+CV96)*0.00833333333333333)</f>
        <v>1.3323749999999994</v>
      </c>
      <c r="CY96" s="23">
        <f ca="1">MONTH(TODAY())+7</f>
        <v>11</v>
      </c>
      <c r="CZ96" s="14">
        <f ca="1">SUM(CU96,CV96,CW96)</f>
        <v>174.54112499999999</v>
      </c>
      <c r="DA96" s="14">
        <f>SUM(EP96*0.0045)/2</f>
        <v>145.35</v>
      </c>
      <c r="DB96" s="14">
        <f>SUM(DA96*0.1)</f>
        <v>14.535</v>
      </c>
      <c r="DC96" s="14">
        <f ca="1">SUM(DD96*DE96)</f>
        <v>6.6618749999999967</v>
      </c>
      <c r="DD96" s="17">
        <f>SUM((DA96+DB96)*0.00833333333333333)</f>
        <v>1.3323749999999994</v>
      </c>
      <c r="DE96" s="23">
        <f ca="1">MONTH(TODAY())+1</f>
        <v>5</v>
      </c>
      <c r="DF96" s="14">
        <f ca="1">SUM(DA96,DB96,DC96)</f>
        <v>166.546875</v>
      </c>
      <c r="DG96" s="14">
        <f>SUM(EP96*0.0045)/2</f>
        <v>145.35</v>
      </c>
      <c r="DH96" s="14">
        <f>SUM(DG96*0.1)</f>
        <v>14.535</v>
      </c>
      <c r="DI96" s="14">
        <f ca="1">SUM(DJ96*DK96)</f>
        <v>-3.9971249999999983</v>
      </c>
      <c r="DJ96" s="17">
        <f>SUM((DG96+DH96)*0.00833333333333333)</f>
        <v>1.3323749999999994</v>
      </c>
      <c r="DK96" s="23">
        <f ca="1">MONTH(TODAY())-7</f>
        <v>-3</v>
      </c>
      <c r="DL96" s="14">
        <f ca="1">SUM(DG96,DH96,DI96)</f>
        <v>155.88787499999998</v>
      </c>
      <c r="DM96" s="14">
        <f>0</f>
        <v>0</v>
      </c>
      <c r="DN96" s="14">
        <f>0</f>
        <v>0</v>
      </c>
      <c r="DO96" s="14">
        <f ca="1">SUM(DP96*DQ96)</f>
        <v>0</v>
      </c>
      <c r="DP96" s="17">
        <f>SUM((DM96+DN96)*0.00833333333333333)</f>
        <v>0</v>
      </c>
      <c r="DQ96" s="23">
        <f ca="1">MONTH(TODAY())+1</f>
        <v>5</v>
      </c>
      <c r="DR96" s="14">
        <f ca="1">SUM(DM96,DN96,DO96)</f>
        <v>0</v>
      </c>
      <c r="DS96" s="14">
        <f>SUM(BQ96, BW96, CC96, CI96,CO96,CU96,DA96,DG96,DM96)</f>
        <v>911.33</v>
      </c>
      <c r="DT96" s="14">
        <f>SUM(BR96,BX96,CD96, CJ96,CP96,CV96,DB96,DH96,DN96)</f>
        <v>91.132999999999996</v>
      </c>
      <c r="DU96" s="14">
        <f ca="1">SUM(BS96,BY96,CE96, CK96,CQ96,CW96,DC96,DI96,DO96)</f>
        <v>121.88247499999994</v>
      </c>
      <c r="DV96" s="25">
        <f ca="1">SUM(DS96:DU96)</f>
        <v>1124.3454750000001</v>
      </c>
      <c r="DW96" s="47">
        <f ca="1">SUM(DV96/EN96)</f>
        <v>9.3695456250000003E-2</v>
      </c>
      <c r="DX96" s="25">
        <f>20+100+200+40+40+40+60</f>
        <v>500</v>
      </c>
      <c r="DY96" s="146">
        <f>COUNTIF(AO96, "*")+COUNTIF(AJ96, "*")+COUNTIF(AA96, "*")+COUNTIF(FA96, "*")+COUNTIF(FG96, "*")+COUNTIF(FM96, "*")+COUNTIF(FQ96, "*")+COUNTIF(FX96, "*")+COUNTIF(AT96, "*")+COUNTIF(GG96, "*")+COUNTIF(GR96, "*")+COUNTIF(HC96, "*")+COUNTIF(HK96, "*")+COUNTIF(HS96, "*")+COUNTIF(IA96, "*")</f>
        <v>2</v>
      </c>
      <c r="DZ96" s="25">
        <f>1.2+DY96*7.45+8</f>
        <v>24.1</v>
      </c>
      <c r="EA96" s="8">
        <f>36.76+941-810</f>
        <v>167.76</v>
      </c>
      <c r="EB96" s="8">
        <v>200</v>
      </c>
      <c r="EC96" s="8">
        <v>93.75</v>
      </c>
      <c r="ED96" s="8"/>
      <c r="EE96" s="8"/>
      <c r="EF96" s="8"/>
      <c r="EG96" s="25">
        <f>SUM(EA96:EF96)</f>
        <v>461.51</v>
      </c>
      <c r="EH96" s="14">
        <f ca="1">SUM(DV96,DX96,EG96, EB96, DZ96,GD96)</f>
        <v>2309.9554750000002</v>
      </c>
      <c r="EI96" s="24" t="s">
        <v>4944</v>
      </c>
      <c r="EJ96" s="7">
        <v>0.37</v>
      </c>
      <c r="EK96" s="4">
        <v>5500</v>
      </c>
      <c r="EL96" s="4">
        <v>40200</v>
      </c>
      <c r="EM96" s="4">
        <f>SUM(EK96+EL96)</f>
        <v>45700</v>
      </c>
      <c r="EN96" s="4">
        <v>12000</v>
      </c>
      <c r="EO96" s="4">
        <v>52600</v>
      </c>
      <c r="EP96" s="4">
        <f>SUM(EN96+EO96)</f>
        <v>64600</v>
      </c>
      <c r="EQ96" s="10" t="s">
        <v>4662</v>
      </c>
      <c r="ER96" s="10" t="s">
        <v>5915</v>
      </c>
      <c r="ES96" s="10" t="s">
        <v>4663</v>
      </c>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9"/>
      <c r="FV96" s="10"/>
      <c r="FW96" s="10"/>
      <c r="FX96" s="10"/>
      <c r="FY96" s="10"/>
      <c r="FZ96" s="10"/>
      <c r="GA96" s="10"/>
      <c r="GB96" s="9"/>
      <c r="GC96" s="10"/>
      <c r="GD96" s="10"/>
      <c r="GE96" s="10"/>
      <c r="GF96" s="10"/>
      <c r="GG96" s="10"/>
      <c r="GH96" s="10"/>
      <c r="GI96" s="10"/>
      <c r="GJ96" s="10"/>
      <c r="GK96" s="9"/>
      <c r="GL96" s="10"/>
      <c r="GM96" s="10"/>
      <c r="GN96" s="10"/>
      <c r="GO96" s="10"/>
      <c r="GP96" s="10"/>
      <c r="GQ96" s="10"/>
      <c r="GR96" s="10"/>
      <c r="GS96" s="10"/>
      <c r="GT96" s="10"/>
      <c r="GU96" s="10"/>
      <c r="GV96" s="9"/>
      <c r="GW96" s="10"/>
      <c r="GX96" s="10"/>
      <c r="GY96" s="10"/>
      <c r="GZ96" s="10"/>
      <c r="HA96" s="10"/>
      <c r="HB96" s="10"/>
      <c r="HC96" s="10"/>
      <c r="HD96" s="10"/>
      <c r="HE96" s="10"/>
      <c r="HF96" s="10"/>
      <c r="HG96" s="9"/>
      <c r="HH96" s="10"/>
      <c r="HI96" s="10"/>
      <c r="HJ96" s="10"/>
      <c r="HK96" s="10"/>
      <c r="HL96" s="10"/>
      <c r="HM96" s="10"/>
      <c r="HN96" s="10"/>
      <c r="HO96" s="9"/>
      <c r="HP96" s="10"/>
      <c r="HQ96" s="10"/>
      <c r="HR96" s="10"/>
      <c r="HS96" s="10"/>
      <c r="HT96" s="10"/>
      <c r="HU96" s="10"/>
      <c r="HV96" s="10"/>
      <c r="HW96" s="9"/>
      <c r="HX96" s="10"/>
      <c r="HY96" s="10"/>
      <c r="HZ96" s="10"/>
      <c r="IA96" s="10"/>
      <c r="IB96" s="10"/>
      <c r="IC96" s="10"/>
      <c r="ID96" s="10"/>
      <c r="IE96" s="9"/>
      <c r="IF96" s="4"/>
      <c r="IG96" s="4"/>
      <c r="IH96" s="10"/>
      <c r="II96" s="10"/>
      <c r="IJ96" s="10"/>
      <c r="IK96" s="10"/>
      <c r="IL96" s="4"/>
      <c r="IM96" s="4"/>
      <c r="IN96" s="4"/>
      <c r="IO96" s="4"/>
      <c r="IP96" s="4"/>
      <c r="IQ96" s="9"/>
      <c r="IR96" s="9"/>
      <c r="IS96" s="9"/>
      <c r="IT96" s="9"/>
      <c r="IU96" s="9"/>
      <c r="IV96" t="s">
        <v>5913</v>
      </c>
    </row>
    <row r="97" spans="1:263" ht="15" customHeight="1">
      <c r="A97" s="19">
        <v>102022011</v>
      </c>
      <c r="B97" t="s">
        <v>2946</v>
      </c>
      <c r="C97" s="10" t="s">
        <v>258</v>
      </c>
      <c r="D97" s="161">
        <v>2024</v>
      </c>
      <c r="E97" s="147"/>
      <c r="F97" s="160"/>
      <c r="G97" s="147"/>
      <c r="H97" s="10"/>
      <c r="I97" s="10"/>
      <c r="J97" s="10"/>
      <c r="K97" s="10" t="s">
        <v>2943</v>
      </c>
      <c r="L97" s="10"/>
      <c r="M97" s="10"/>
      <c r="N97" s="10"/>
      <c r="O97" s="147"/>
      <c r="P97" s="10"/>
      <c r="Q97" s="10"/>
      <c r="R97" s="10"/>
      <c r="S97" s="10"/>
      <c r="T97" s="10"/>
      <c r="U97" s="10"/>
      <c r="V97" s="10"/>
      <c r="W97" s="10"/>
      <c r="X97" s="10"/>
      <c r="Y97" s="10"/>
      <c r="Z97" s="10"/>
      <c r="AA97" s="10"/>
      <c r="AB97" s="10"/>
      <c r="AC97" s="10"/>
      <c r="AD97" s="10"/>
      <c r="AE97" s="10"/>
      <c r="AF97" s="10"/>
      <c r="AG97" s="141"/>
      <c r="AH97" s="10"/>
      <c r="AI97" s="10"/>
      <c r="AJ97" s="18" t="s">
        <v>328</v>
      </c>
      <c r="AK97" s="1"/>
      <c r="AL97" t="s">
        <v>438</v>
      </c>
      <c r="AM97"/>
      <c r="AN97"/>
      <c r="AO97" t="s">
        <v>2944</v>
      </c>
      <c r="AP97" s="1" t="s">
        <v>258</v>
      </c>
      <c r="AQ97" t="s">
        <v>2945</v>
      </c>
      <c r="AR97"/>
      <c r="AX97" s="1"/>
      <c r="AY97" s="1"/>
      <c r="AZ97" s="1"/>
      <c r="BA97" s="1"/>
      <c r="BB97" s="1"/>
      <c r="BC97" s="70"/>
      <c r="BD97" s="115">
        <v>45060</v>
      </c>
      <c r="BE97" s="144">
        <v>45061</v>
      </c>
      <c r="BF97" s="70"/>
      <c r="BG97" s="2"/>
      <c r="BH97" s="70"/>
      <c r="BI97" s="70"/>
      <c r="BJ97" s="70"/>
      <c r="BK97" s="70"/>
      <c r="BL97" s="20">
        <f ca="1">SUM(EB97)+220</f>
        <v>627.81290000000001</v>
      </c>
      <c r="BM97" s="22">
        <f ca="1">PMT(10%/12,12,BL97,0,0)</f>
        <v>-55.194728117945289</v>
      </c>
      <c r="BN97" s="22">
        <f ca="1">SUM(BM97*-1)</f>
        <v>55.194728117945289</v>
      </c>
      <c r="BO97" s="14">
        <f>SUM(EJ97*0.0052)/12</f>
        <v>4.333333333333333</v>
      </c>
      <c r="BP97" s="22">
        <f ca="1">SUM(BN97+BO97)</f>
        <v>59.528061451278624</v>
      </c>
      <c r="BQ97" s="14">
        <f>SUM(EG97*0.0052)</f>
        <v>17.16</v>
      </c>
      <c r="BR97" s="14">
        <f>SUM(BQ97*0.1)</f>
        <v>1.7160000000000002</v>
      </c>
      <c r="BS97" s="14">
        <f ca="1">SUM(BT97*BU97)</f>
        <v>6.4492999999999974</v>
      </c>
      <c r="BT97" s="17">
        <f>SUM((BQ97+BR97)*0.00833333333333333)</f>
        <v>0.15729999999999994</v>
      </c>
      <c r="BU97" s="23">
        <f ca="1">MONTH(TODAY())+37</f>
        <v>41</v>
      </c>
      <c r="BV97" s="14">
        <f ca="1">SUM(BQ97,BR97,BS97)</f>
        <v>25.325299999999999</v>
      </c>
      <c r="BW97" s="14">
        <f>SUM(EG97*0.0052)</f>
        <v>17.16</v>
      </c>
      <c r="BX97" s="14">
        <f>SUM(BW97*0.1)</f>
        <v>1.7160000000000002</v>
      </c>
      <c r="BY97" s="14">
        <f ca="1">SUM(BZ97*CA97)</f>
        <v>6.4492999999999974</v>
      </c>
      <c r="BZ97" s="17">
        <f>SUM((BW97+BX97)*0.00833333333333333)</f>
        <v>0.15729999999999994</v>
      </c>
      <c r="CA97" s="23">
        <f ca="1">MONTH(TODAY())+37</f>
        <v>41</v>
      </c>
      <c r="CB97" s="14">
        <f ca="1">SUM(BW97,BX97,BY97)</f>
        <v>25.325299999999999</v>
      </c>
      <c r="CC97" s="14">
        <f>SUM(EG97*0.0052)/2</f>
        <v>8.58</v>
      </c>
      <c r="CD97" s="14">
        <f>SUM(CC97*0.1)</f>
        <v>0.8580000000000001</v>
      </c>
      <c r="CE97" s="14">
        <f ca="1">SUM(CF97*CG97)</f>
        <v>2.5954499999999991</v>
      </c>
      <c r="CF97" s="17">
        <f>SUM((CC97+CD97)*0.00833333333333333)</f>
        <v>7.864999999999997E-2</v>
      </c>
      <c r="CG97" s="23">
        <f ca="1">MONTH(TODAY())+29</f>
        <v>33</v>
      </c>
      <c r="CH97" s="23">
        <f ca="1">SUM(CC97,CD97,CE97)</f>
        <v>12.03345</v>
      </c>
      <c r="CI97" s="14">
        <f>SUM(EG97*0.0052)/2</f>
        <v>8.58</v>
      </c>
      <c r="CJ97" s="14">
        <f>SUM(CI97*0.1)</f>
        <v>0.8580000000000001</v>
      </c>
      <c r="CK97" s="14">
        <f ca="1">SUM(CL97*CM97)</f>
        <v>2.2808499999999992</v>
      </c>
      <c r="CL97" s="17">
        <f>SUM((CI97+CJ97)*0.00833333333333333)</f>
        <v>7.864999999999997E-2</v>
      </c>
      <c r="CM97" s="23">
        <f ca="1">MONTH(TODAY())+25</f>
        <v>29</v>
      </c>
      <c r="CN97" s="14">
        <f ca="1">SUM(CI97,CJ97,CK97)</f>
        <v>11.71885</v>
      </c>
      <c r="CO97" s="14">
        <f>SUM(EJ97*0.0045)/2</f>
        <v>22.5</v>
      </c>
      <c r="CP97" s="14">
        <f>SUM(CO97*0.1)</f>
        <v>2.25</v>
      </c>
      <c r="CQ97" s="14">
        <f ca="1">SUM(CR97*CS97)</f>
        <v>4.7437499999999977</v>
      </c>
      <c r="CR97" s="17">
        <f>SUM((CO97+CP97)*0.00833333333333333)</f>
        <v>0.20624999999999991</v>
      </c>
      <c r="CS97" s="23">
        <f ca="1">MONTH(TODAY())+19</f>
        <v>23</v>
      </c>
      <c r="CT97" s="14">
        <f ca="1">SUM(CO97,CP97,CQ97)</f>
        <v>29.493749999999999</v>
      </c>
      <c r="CU97" s="14">
        <f>SUM(EJ97*0.0045)/2</f>
        <v>22.5</v>
      </c>
      <c r="CV97" s="14">
        <f>SUM(CU97*0.1)</f>
        <v>2.25</v>
      </c>
      <c r="CW97" s="14">
        <f ca="1">SUM(CX97*CY97)</f>
        <v>3.5062499999999983</v>
      </c>
      <c r="CX97" s="17">
        <f>SUM((CU97+CV97)*0.00833333333333333)</f>
        <v>0.20624999999999991</v>
      </c>
      <c r="CY97" s="23">
        <f ca="1">MONTH(TODAY())+13</f>
        <v>17</v>
      </c>
      <c r="CZ97" s="14">
        <f ca="1">SUM(CU97,CV97,CW97)</f>
        <v>28.256249999999998</v>
      </c>
      <c r="DA97" s="14">
        <f>SUM(EJ97*0.0045)/2</f>
        <v>22.5</v>
      </c>
      <c r="DB97" s="14">
        <f>SUM(DA97*0.1)</f>
        <v>2.25</v>
      </c>
      <c r="DC97" s="14">
        <f ca="1">SUM(DD97*DE97)</f>
        <v>2.2687499999999989</v>
      </c>
      <c r="DD97" s="17">
        <f>SUM((DA97+DB97)*0.00833333333333333)</f>
        <v>0.20624999999999991</v>
      </c>
      <c r="DE97" s="23">
        <f ca="1">MONTH(TODAY())+7</f>
        <v>11</v>
      </c>
      <c r="DF97" s="14">
        <f ca="1">SUM(DA97,DB97,DC97)</f>
        <v>27.018749999999997</v>
      </c>
      <c r="DG97" s="14">
        <f>SUM(EJ97*0.0045)/2</f>
        <v>22.5</v>
      </c>
      <c r="DH97" s="14">
        <f>SUM(DG97*0.1)</f>
        <v>2.25</v>
      </c>
      <c r="DI97" s="14">
        <f ca="1">SUM(DJ97*DK97)</f>
        <v>1.0312499999999996</v>
      </c>
      <c r="DJ97" s="17">
        <f>SUM((DG97+DH97)*0.00833333333333333)</f>
        <v>0.20624999999999991</v>
      </c>
      <c r="DK97" s="23">
        <f ca="1">MONTH(TODAY())+1</f>
        <v>5</v>
      </c>
      <c r="DL97" s="14">
        <f ca="1">SUM(DG97,DH97,DI97)</f>
        <v>25.78125</v>
      </c>
      <c r="DM97" s="14">
        <f>SUM(BQ97, BW97, CC97,CI97,CO97,CU97,DA97,DG97)</f>
        <v>141.47999999999999</v>
      </c>
      <c r="DN97" s="14">
        <f>SUM(BR97,BX97, CD97,CJ97,CP97,CV97,DB97,DH97)</f>
        <v>14.148000000000001</v>
      </c>
      <c r="DO97" s="14">
        <f ca="1">SUM(BS97,BY97, CE97,CK97,CQ97,CW97,DC97,DI97)</f>
        <v>29.324899999999992</v>
      </c>
      <c r="DP97" s="25">
        <f ca="1">SUM(DM97:DO97)</f>
        <v>184.95289999999997</v>
      </c>
      <c r="DQ97" s="47">
        <f ca="1">SUM(DP97/EG97)</f>
        <v>5.6046333333333323E-2</v>
      </c>
      <c r="DR97" s="14">
        <f>20+50</f>
        <v>70</v>
      </c>
      <c r="DS97" s="32">
        <f>COUNTIF(AO97, "*")+COUNTIF(AJ97, "*")+COUNTIF(AA97, "*")+COUNTIF(EU97, "*")+COUNTIF(FA97, "*")+COUNTIF(FG97, "*")+COUNTIF(FK97, "*")+COUNTIF(FR97, "*")+COUNTIF(AT97, "*")+COUNTIF(GA97, "*")+COUNTIF(GL97, "*")+COUNTIF(GW97, "*")+COUNTIF(HE97, "*")+COUNTIF(HM97, "*")+COUNTIF(HU97, "*")</f>
        <v>2</v>
      </c>
      <c r="DT97" s="14">
        <f>1.2+DS97*7.45</f>
        <v>16.100000000000001</v>
      </c>
      <c r="DU97" s="4">
        <v>36.76</v>
      </c>
      <c r="DV97" s="4">
        <v>100</v>
      </c>
      <c r="DW97" s="4"/>
      <c r="DX97" s="4"/>
      <c r="DY97" s="4"/>
      <c r="DZ97" s="4"/>
      <c r="EA97" s="14">
        <f>SUM(DU97:DZ97)</f>
        <v>136.76</v>
      </c>
      <c r="EB97" s="14">
        <f ca="1">SUM(DP97,DR97,EA97,DT97,FX97)</f>
        <v>407.81290000000001</v>
      </c>
      <c r="EC97" s="24" t="s">
        <v>5940</v>
      </c>
      <c r="ED97" s="7">
        <v>0.28000000000000003</v>
      </c>
      <c r="EE97" s="4">
        <f>3300</f>
        <v>3300</v>
      </c>
      <c r="EF97" s="4">
        <v>0</v>
      </c>
      <c r="EG97" s="14">
        <f>SUM(EE97+EF97)</f>
        <v>3300</v>
      </c>
      <c r="EH97" s="14">
        <v>10000</v>
      </c>
      <c r="EI97" s="14">
        <v>0</v>
      </c>
      <c r="EJ97" s="14">
        <f>SUM(EH97+EI97)</f>
        <v>10000</v>
      </c>
      <c r="EK97" s="10" t="s">
        <v>5935</v>
      </c>
      <c r="EL97" s="10" t="s">
        <v>5933</v>
      </c>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9"/>
      <c r="FP97" s="10"/>
      <c r="FQ97" s="10"/>
      <c r="FR97" s="10"/>
      <c r="FS97" s="10"/>
      <c r="FT97" s="10"/>
      <c r="FU97" s="10"/>
      <c r="FV97" s="9"/>
      <c r="FW97" s="10"/>
      <c r="FX97" s="10"/>
      <c r="FY97" s="10"/>
      <c r="FZ97" s="10"/>
      <c r="GA97" s="10"/>
      <c r="GB97" s="10"/>
      <c r="GC97" s="10"/>
      <c r="GD97" s="10"/>
      <c r="GE97" s="9"/>
      <c r="GF97" s="10"/>
      <c r="GG97" s="10"/>
      <c r="GH97" s="10"/>
      <c r="GI97" s="10"/>
      <c r="GJ97" s="10"/>
      <c r="GK97" s="10"/>
      <c r="GL97" s="10"/>
      <c r="GM97" s="10"/>
      <c r="GN97" s="10"/>
      <c r="GO97" s="10"/>
      <c r="GP97" s="9"/>
      <c r="GQ97" s="10"/>
      <c r="GR97" s="10"/>
      <c r="GS97" s="10"/>
      <c r="GT97" s="10"/>
      <c r="GU97" s="10"/>
      <c r="GV97" s="10"/>
      <c r="GW97" s="10"/>
      <c r="GX97" s="10"/>
      <c r="GY97" s="10"/>
      <c r="GZ97" s="10"/>
      <c r="HA97" s="9"/>
      <c r="HB97" s="10"/>
      <c r="HC97" s="10"/>
      <c r="HD97" s="10"/>
      <c r="HE97" s="10"/>
      <c r="HF97" s="10"/>
      <c r="HG97" s="10"/>
      <c r="HH97" s="10"/>
      <c r="HI97" s="9"/>
      <c r="HJ97" s="10"/>
      <c r="HK97" s="10"/>
      <c r="HL97" s="10"/>
      <c r="HM97" s="10"/>
      <c r="HN97" s="10"/>
      <c r="HO97" s="10"/>
      <c r="HP97" s="10"/>
      <c r="HQ97" s="9"/>
      <c r="HR97" s="10"/>
      <c r="HS97" s="10"/>
      <c r="HT97" s="10"/>
      <c r="HU97" s="10"/>
      <c r="HV97" s="10"/>
      <c r="HW97" s="10"/>
      <c r="HX97" s="10"/>
      <c r="HY97" s="9"/>
      <c r="HZ97" s="4"/>
      <c r="IA97" s="4"/>
      <c r="IB97" s="10"/>
      <c r="IC97" s="10"/>
      <c r="ID97" s="10"/>
      <c r="IE97" s="10"/>
      <c r="IF97" s="4"/>
      <c r="IG97" s="4"/>
      <c r="IH97" s="14">
        <f ca="1">SUM(HZ97-EB97-FX97-IF97)</f>
        <v>-407.81290000000001</v>
      </c>
      <c r="II97" s="14"/>
      <c r="IJ97" s="14"/>
      <c r="IK97" s="9"/>
      <c r="IL97" s="9"/>
      <c r="IM97" s="9"/>
      <c r="IN97" s="9"/>
      <c r="IO97" s="9"/>
      <c r="IP97" s="27" t="s">
        <v>5913</v>
      </c>
    </row>
    <row r="98" spans="1:263" ht="15" customHeight="1">
      <c r="A98" s="19">
        <v>102021061</v>
      </c>
      <c r="B98" t="s">
        <v>2187</v>
      </c>
      <c r="J98" t="s">
        <v>311</v>
      </c>
      <c r="K98" t="s">
        <v>695</v>
      </c>
      <c r="L98" t="s">
        <v>1283</v>
      </c>
      <c r="N98" t="s">
        <v>341</v>
      </c>
      <c r="AF98" s="3"/>
      <c r="AG98" s="272"/>
      <c r="AI98" s="18" t="s">
        <v>328</v>
      </c>
      <c r="AK98" s="24" t="s">
        <v>438</v>
      </c>
      <c r="AL98" s="3"/>
      <c r="AN98" t="s">
        <v>2186</v>
      </c>
      <c r="AO98" s="1" t="s">
        <v>258</v>
      </c>
      <c r="AP98" s="3" t="s">
        <v>1750</v>
      </c>
      <c r="AQ98"/>
      <c r="AR98"/>
      <c r="AW98" s="2"/>
      <c r="AX98" s="2"/>
      <c r="AY98" s="70"/>
      <c r="AZ98" s="2"/>
      <c r="BA98" s="2"/>
      <c r="BB98" s="2"/>
      <c r="BC98" s="2"/>
      <c r="BD98" s="2"/>
      <c r="BE98" s="2"/>
      <c r="BF98" s="20"/>
      <c r="BG98" s="22"/>
      <c r="BH98" s="22"/>
      <c r="BI98" s="14"/>
      <c r="BJ98" s="22"/>
      <c r="BK98" s="14"/>
      <c r="BL98" s="14"/>
      <c r="BM98" s="14"/>
      <c r="BN98" s="17"/>
      <c r="BO98" s="23"/>
      <c r="BP98" s="14"/>
      <c r="BQ98" s="14"/>
      <c r="BR98" s="14"/>
      <c r="BS98" s="14"/>
      <c r="BT98" s="17"/>
      <c r="BU98" s="23"/>
      <c r="BV98" s="14"/>
      <c r="BW98" s="14"/>
      <c r="BX98" s="14"/>
      <c r="BY98" s="14"/>
      <c r="BZ98" s="17"/>
      <c r="CA98" s="23"/>
      <c r="CB98" s="14"/>
      <c r="CC98" s="14"/>
      <c r="CD98" s="14"/>
      <c r="CE98" s="14"/>
      <c r="CF98" s="17"/>
      <c r="CG98" s="23"/>
      <c r="CH98" s="14"/>
      <c r="CI98" s="14"/>
      <c r="CJ98" s="14"/>
      <c r="CK98" s="14"/>
      <c r="CL98" s="17"/>
      <c r="CM98" s="23"/>
      <c r="CN98" s="14"/>
      <c r="CO98" s="14"/>
      <c r="CP98" s="14"/>
      <c r="CQ98" s="14"/>
      <c r="CR98" s="17"/>
      <c r="CS98" s="23"/>
      <c r="CT98" s="14"/>
      <c r="CU98" s="14"/>
      <c r="CV98" s="14"/>
      <c r="CW98" s="14"/>
      <c r="CX98" s="17"/>
      <c r="CY98" s="23"/>
      <c r="CZ98" s="14"/>
      <c r="DA98" s="14"/>
      <c r="DB98" s="14"/>
      <c r="DC98" s="14"/>
      <c r="DD98" s="17"/>
      <c r="DE98" s="23"/>
      <c r="DF98" s="14"/>
      <c r="DG98" s="14"/>
      <c r="DH98" s="14">
        <f>SUM(BL98, BR98, BX98, CD98, CJ98, CP98,CV98,DB98)</f>
        <v>0</v>
      </c>
      <c r="DI98" s="14">
        <f>SUM(BM98, BS98, BY98, CE98, CK98, CQ98,CW98,DC98)</f>
        <v>0</v>
      </c>
      <c r="DJ98" s="14">
        <f>SUM(DG98:DI98)</f>
        <v>0</v>
      </c>
      <c r="DK98" s="47">
        <f>SUM(DJ98/DZ98)</f>
        <v>0</v>
      </c>
      <c r="DL98" s="14">
        <f>39+195</f>
        <v>234</v>
      </c>
      <c r="DM98" s="32">
        <f>COUNTIF(DS98, "*")+COUNTIF(AN98, "*")+COUNTIF(AI98, "*")+COUNTIF(AA98, "*")+COUNTIF(ER98, "*")+COUNTIF(EV98, "*")+COUNTIF(FC97, "*")+COUNTIF(FF98, "*")+COUNTIF(FM98, "*")+COUNTIF(FU98, "*")+COUNTIF(GB98, "*")+COUNTIF(GM98, "*")+COUNTIF(GX98, "*")+COUNTIF(HF98, "*")+COUNTIF(HN98, "*")+COUNTIF(HV98, "*")+COUNTIF(ID98, "*")</f>
        <v>4</v>
      </c>
      <c r="DN98" s="14">
        <f>DM98*0.5+DM98*6.36</f>
        <v>27.44</v>
      </c>
      <c r="DO98" s="14"/>
      <c r="DP98" s="14">
        <f>SUM(DJ98,DL98,DV98, DO98, DN98,FY98)</f>
        <v>261.44</v>
      </c>
      <c r="DQ98" s="14"/>
      <c r="DR98" s="14"/>
      <c r="DS98" s="14"/>
      <c r="DT98" s="23"/>
      <c r="DU98" s="25"/>
      <c r="DV98" s="14">
        <f>SUM(DQ98:DU98)</f>
        <v>0</v>
      </c>
      <c r="DW98" s="24" t="s">
        <v>1997</v>
      </c>
      <c r="DX98" s="25">
        <f>3500+3500</f>
        <v>7000</v>
      </c>
      <c r="DY98" s="25">
        <v>0</v>
      </c>
      <c r="DZ98" s="25">
        <f>SUM(DX98+DY98)</f>
        <v>7000</v>
      </c>
      <c r="EA98" s="36">
        <v>0.76</v>
      </c>
      <c r="EB98" s="18" t="s">
        <v>2400</v>
      </c>
      <c r="EC98" t="s">
        <v>2401</v>
      </c>
      <c r="ED98" t="s">
        <v>2402</v>
      </c>
      <c r="EN98" t="s">
        <v>2390</v>
      </c>
      <c r="EP98" t="s">
        <v>2391</v>
      </c>
      <c r="ER98" t="s">
        <v>1750</v>
      </c>
      <c r="ES98" t="s">
        <v>544</v>
      </c>
      <c r="ET98" t="s">
        <v>2389</v>
      </c>
      <c r="EV98" t="s">
        <v>2393</v>
      </c>
      <c r="EX98" t="s">
        <v>2394</v>
      </c>
      <c r="EY98" t="s">
        <v>275</v>
      </c>
      <c r="EZ98" t="s">
        <v>2395</v>
      </c>
      <c r="FB98" t="s">
        <v>2388</v>
      </c>
      <c r="FC98" t="s">
        <v>329</v>
      </c>
      <c r="FD98" t="s">
        <v>1410</v>
      </c>
      <c r="IJ98" s="18"/>
      <c r="IM98" s="4"/>
      <c r="IN98" s="9">
        <v>44377</v>
      </c>
      <c r="IY98" s="18"/>
      <c r="IZ98" s="18"/>
      <c r="JA98" s="18"/>
      <c r="JB98" s="18"/>
    </row>
    <row r="99" spans="1:263" ht="15" customHeight="1">
      <c r="A99" s="2">
        <v>102018063</v>
      </c>
      <c r="B99" s="4" t="s">
        <v>1210</v>
      </c>
      <c r="C99" s="4"/>
      <c r="D99" s="3"/>
      <c r="E99" s="3"/>
      <c r="F99" s="2"/>
      <c r="J99" t="s">
        <v>311</v>
      </c>
      <c r="K99" t="s">
        <v>1209</v>
      </c>
      <c r="L99" t="s">
        <v>577</v>
      </c>
      <c r="O99" s="1" t="s">
        <v>258</v>
      </c>
      <c r="T99" s="1"/>
      <c r="AF99" s="1"/>
      <c r="AH99" s="3"/>
      <c r="AJ99" s="4"/>
      <c r="AK99" s="4"/>
      <c r="AO99" s="4"/>
      <c r="AP99" s="5"/>
      <c r="AQ99" s="34"/>
      <c r="AS99" s="5"/>
      <c r="AT99" s="5"/>
      <c r="AU99" s="1"/>
      <c r="AV99" s="1"/>
      <c r="AW99" s="1"/>
      <c r="AX99" s="1"/>
      <c r="AY99" s="1"/>
      <c r="AZ99" s="1"/>
      <c r="BA99" s="1"/>
      <c r="BB99" s="1"/>
      <c r="BC99" s="1"/>
      <c r="BD99" s="1"/>
      <c r="BE99" s="1"/>
      <c r="BF99" s="1"/>
      <c r="BG99" s="5"/>
      <c r="BH99" s="16"/>
      <c r="BI99" s="16"/>
      <c r="BK99" s="4"/>
      <c r="BL99" s="4"/>
      <c r="BM99" s="6"/>
      <c r="BN99" s="7"/>
      <c r="BO99" s="4"/>
      <c r="BQ99" s="4"/>
      <c r="BR99" s="4"/>
      <c r="BS99" s="6"/>
      <c r="BT99" s="7"/>
      <c r="BU99" s="4"/>
      <c r="BW99" s="4"/>
      <c r="BX99" s="4"/>
      <c r="BY99" s="6"/>
      <c r="BZ99" s="7"/>
      <c r="CA99" s="4"/>
      <c r="CB99" s="4"/>
      <c r="CC99" s="4"/>
      <c r="CD99" s="4"/>
      <c r="CE99" s="6"/>
      <c r="CF99" s="7"/>
      <c r="CG99" s="4"/>
      <c r="CH99" s="6"/>
      <c r="CI99" s="4"/>
      <c r="CJ99" s="4"/>
      <c r="CK99" s="6"/>
      <c r="CL99" s="7"/>
      <c r="CM99" s="4"/>
      <c r="CN99" s="4"/>
      <c r="CO99" s="4"/>
      <c r="CP99" s="4"/>
      <c r="CQ99" s="6"/>
      <c r="CR99" s="7"/>
      <c r="CS99" s="4"/>
      <c r="CT99" s="4"/>
      <c r="CU99" s="4"/>
      <c r="CV99" s="4"/>
      <c r="CW99" s="6"/>
      <c r="CX99" s="7"/>
      <c r="CY99" s="4"/>
      <c r="CZ99" s="4"/>
      <c r="DA99" s="4"/>
      <c r="DB99" s="4"/>
      <c r="DC99" s="6"/>
      <c r="DD99" s="7"/>
      <c r="DE99" s="4"/>
      <c r="DF99" s="4"/>
      <c r="DG99" s="4"/>
      <c r="DH99" s="4"/>
      <c r="DI99" s="6"/>
      <c r="DJ99" s="7"/>
      <c r="DK99" s="4"/>
      <c r="DL99" s="4"/>
      <c r="DM99" s="4"/>
      <c r="DN99" s="4"/>
      <c r="DO99" s="4"/>
      <c r="DQ99" s="4"/>
      <c r="DS99" s="4"/>
      <c r="DT99" s="4"/>
      <c r="DU99" s="4"/>
      <c r="DV99" s="4"/>
      <c r="DW99" s="4"/>
      <c r="DX99" s="4"/>
      <c r="DY99" s="4"/>
      <c r="DZ99" s="4"/>
      <c r="EA99" s="4"/>
      <c r="EB99" s="4"/>
      <c r="EC99" s="4"/>
      <c r="ED99" s="7"/>
      <c r="EE99" s="4"/>
      <c r="EF99" s="4"/>
      <c r="EG99" s="3"/>
      <c r="EH99" s="11"/>
      <c r="EI99" s="11"/>
      <c r="ER99" s="11"/>
      <c r="EX99" s="11"/>
      <c r="EY99" s="11"/>
      <c r="EZ99" s="4"/>
      <c r="FA99" s="4"/>
      <c r="FB99" s="4"/>
      <c r="FC99" s="4"/>
      <c r="FD99" s="4"/>
      <c r="FE99" s="4"/>
      <c r="FF99" s="4"/>
      <c r="FG99" s="4"/>
      <c r="FH99" s="4"/>
      <c r="FI99" s="4"/>
      <c r="FJ99" s="4"/>
      <c r="FK99" s="4"/>
      <c r="FL99" s="4"/>
      <c r="FM99" s="4"/>
      <c r="FQ99" s="9"/>
      <c r="GI99" s="10"/>
      <c r="GS99" s="10"/>
      <c r="HH99" s="9"/>
      <c r="IL99" s="4"/>
      <c r="IM99" s="9"/>
      <c r="IT99" s="4"/>
      <c r="IU99" s="4"/>
    </row>
    <row r="100" spans="1:263" ht="15" customHeight="1">
      <c r="A100" s="2">
        <v>102018032</v>
      </c>
      <c r="B100" s="4" t="s">
        <v>1140</v>
      </c>
      <c r="J100" t="s">
        <v>311</v>
      </c>
      <c r="K100" t="s">
        <v>1125</v>
      </c>
      <c r="L100" t="s">
        <v>1079</v>
      </c>
      <c r="M100" t="s">
        <v>392</v>
      </c>
      <c r="N100" t="s">
        <v>470</v>
      </c>
      <c r="O100" s="1" t="s">
        <v>258</v>
      </c>
      <c r="T100" s="1"/>
      <c r="AJ100" s="4"/>
      <c r="AK100" s="4"/>
      <c r="AO100" s="4"/>
      <c r="AP100" s="5"/>
      <c r="AQ100" s="34"/>
      <c r="AS100" s="1"/>
      <c r="AT100" s="1"/>
      <c r="AU100" s="29"/>
      <c r="AV100" s="1"/>
      <c r="AW100" s="1"/>
      <c r="AX100" s="1"/>
      <c r="AY100" s="1"/>
      <c r="AZ100" s="15"/>
      <c r="BA100" s="1"/>
      <c r="BB100" s="1"/>
      <c r="BC100" s="1"/>
      <c r="BD100" s="1"/>
      <c r="BE100" s="1"/>
      <c r="BF100" s="1"/>
      <c r="BG100" s="5"/>
      <c r="BH100" s="16"/>
      <c r="BI100" s="16"/>
      <c r="BK100" s="4"/>
      <c r="BL100" s="4"/>
      <c r="BM100" s="6"/>
      <c r="BN100" s="7"/>
      <c r="BO100" s="4"/>
      <c r="BP100" s="6"/>
      <c r="BQ100" s="4"/>
      <c r="BR100" s="4"/>
      <c r="BS100" s="6"/>
      <c r="BT100" s="7"/>
      <c r="BU100" s="4"/>
      <c r="BV100" s="4"/>
      <c r="BW100" s="4"/>
      <c r="BX100" s="4"/>
      <c r="BY100" s="6"/>
      <c r="BZ100" s="7"/>
      <c r="CA100" s="4"/>
      <c r="CB100" s="4"/>
      <c r="CC100" s="4"/>
      <c r="CD100" s="4"/>
      <c r="CE100" s="6"/>
      <c r="CF100" s="7"/>
      <c r="CG100" s="4"/>
      <c r="CH100" s="4"/>
      <c r="CI100" s="4"/>
      <c r="CJ100" s="4"/>
      <c r="CK100" s="6"/>
      <c r="CL100" s="23"/>
      <c r="CM100" s="4"/>
      <c r="CN100" s="4"/>
      <c r="CO100" s="4"/>
      <c r="CP100" s="4"/>
      <c r="CQ100" s="6"/>
      <c r="CR100" s="7"/>
      <c r="CS100" s="4"/>
      <c r="CT100" s="4"/>
      <c r="CU100" s="4"/>
      <c r="CV100" s="4"/>
      <c r="CW100" s="6"/>
      <c r="CX100" s="23"/>
      <c r="CY100" s="4"/>
      <c r="CZ100" s="4"/>
      <c r="DA100" s="4"/>
      <c r="DB100" s="4"/>
      <c r="DC100" s="6"/>
      <c r="DD100" s="7"/>
      <c r="DE100" s="4"/>
      <c r="DF100" s="4"/>
      <c r="DG100" s="4"/>
      <c r="DH100" s="14"/>
      <c r="DI100" s="14"/>
      <c r="DJ100" s="4"/>
      <c r="DL100" s="4"/>
      <c r="DM100" s="234"/>
      <c r="DN100" s="4"/>
      <c r="DO100" s="4"/>
      <c r="DP100" s="4"/>
      <c r="DQ100" s="4"/>
      <c r="DR100" s="7"/>
      <c r="DS100" s="4"/>
      <c r="DT100" s="4"/>
      <c r="DU100" s="8"/>
      <c r="DV100" s="4"/>
      <c r="DW100" s="8"/>
      <c r="DX100" s="4"/>
      <c r="DY100" s="4"/>
      <c r="DZ100" s="7"/>
      <c r="EG100" s="11"/>
      <c r="EM100" s="11"/>
      <c r="EN100" s="4"/>
      <c r="EO100" s="4"/>
      <c r="EP100" s="4"/>
      <c r="EQ100" s="4"/>
      <c r="ER100" s="4"/>
      <c r="ES100" s="4"/>
      <c r="ET100" s="4"/>
      <c r="EU100" s="4"/>
      <c r="EV100" s="4"/>
      <c r="EW100" s="4"/>
      <c r="EX100" s="4"/>
      <c r="EY100" s="4"/>
      <c r="EZ100" s="4"/>
      <c r="FA100" s="4"/>
      <c r="FB100" s="4"/>
      <c r="FC100" s="4"/>
      <c r="FI100" s="9"/>
      <c r="FR100" s="9"/>
      <c r="FS100" s="18"/>
      <c r="FT100" s="18"/>
      <c r="FU100" s="18"/>
      <c r="FV100" s="18"/>
      <c r="FW100" s="18"/>
      <c r="FX100" s="4"/>
      <c r="GA100" s="10"/>
      <c r="GK100" s="10"/>
      <c r="GZ100" s="9"/>
      <c r="II100" s="27"/>
      <c r="IJ100" s="4"/>
      <c r="IK100" s="4"/>
      <c r="IL100" s="9"/>
      <c r="IS100" s="4"/>
      <c r="IT100" s="4"/>
    </row>
    <row r="101" spans="1:263" ht="15" customHeight="1">
      <c r="A101" s="19">
        <v>102023057</v>
      </c>
      <c r="B101" s="18" t="s">
        <v>4215</v>
      </c>
      <c r="C101" t="s">
        <v>258</v>
      </c>
      <c r="D101" s="1"/>
      <c r="E101" s="3"/>
      <c r="F101" s="3"/>
      <c r="G101" s="24"/>
      <c r="J101" s="18" t="s">
        <v>311</v>
      </c>
      <c r="K101" s="18" t="s">
        <v>1151</v>
      </c>
      <c r="L101" s="18" t="s">
        <v>4214</v>
      </c>
      <c r="M101" s="18" t="s">
        <v>256</v>
      </c>
      <c r="N101" s="18"/>
      <c r="O101" s="24"/>
      <c r="P101" s="18"/>
      <c r="Q101" s="18"/>
      <c r="R101" s="18"/>
      <c r="S101" s="18"/>
      <c r="AG101" s="43"/>
      <c r="AJ101" s="18" t="s">
        <v>4213</v>
      </c>
      <c r="AK101" s="18" t="s">
        <v>258</v>
      </c>
      <c r="AL101" s="18" t="s">
        <v>438</v>
      </c>
      <c r="AM101" s="18" t="s">
        <v>260</v>
      </c>
      <c r="AN101" s="18"/>
      <c r="AO101" s="18" t="s">
        <v>4212</v>
      </c>
      <c r="AP101" s="18"/>
      <c r="AQ101" s="18" t="s">
        <v>4211</v>
      </c>
      <c r="AR101" s="18"/>
      <c r="AS101" s="18" t="s">
        <v>473</v>
      </c>
      <c r="AT101" s="18" t="s">
        <v>474</v>
      </c>
      <c r="AU101" s="18" t="s">
        <v>475</v>
      </c>
      <c r="AV101" s="18" t="s">
        <v>438</v>
      </c>
      <c r="AW101" s="18" t="s">
        <v>260</v>
      </c>
      <c r="AX101" s="1"/>
      <c r="AY101" s="1"/>
      <c r="AZ101" s="1"/>
      <c r="BA101" s="1"/>
      <c r="BB101" s="1"/>
      <c r="BC101" s="2"/>
      <c r="BD101" s="115">
        <v>45060</v>
      </c>
      <c r="BE101" s="115">
        <v>45049</v>
      </c>
      <c r="BF101" s="2"/>
      <c r="BG101" s="2"/>
      <c r="BH101" s="2"/>
      <c r="BI101" s="2"/>
      <c r="BJ101" s="2"/>
      <c r="BK101" s="2"/>
      <c r="BL101" s="20">
        <f ca="1">SUM(EB101)+220</f>
        <v>1457.0119999999999</v>
      </c>
      <c r="BM101" s="22">
        <f ca="1">PMT(10%/12,12,BL101,0,0)</f>
        <v>-128.09450268477073</v>
      </c>
      <c r="BN101" s="22">
        <f ca="1">SUM(BM101*-1)</f>
        <v>128.09450268477073</v>
      </c>
      <c r="BO101" s="14">
        <f>SUM(EJ101*0.0052)/12</f>
        <v>25.48</v>
      </c>
      <c r="BP101" s="22">
        <f ca="1">SUM(BN101+BO101)</f>
        <v>153.57450268477072</v>
      </c>
      <c r="BQ101" s="14"/>
      <c r="BR101" s="14">
        <f>SUM(BQ101*0.1)</f>
        <v>0</v>
      </c>
      <c r="BS101" s="14">
        <f ca="1">SUM(BT101*BU101)</f>
        <v>0</v>
      </c>
      <c r="BT101" s="17">
        <f>SUM((BQ101+BR101)*0.00833333333333333)</f>
        <v>0</v>
      </c>
      <c r="BU101" s="23">
        <f ca="1">MONTH(TODAY())+49</f>
        <v>53</v>
      </c>
      <c r="BV101" s="14">
        <f ca="1">SUM(BQ101,BR101,BS101)</f>
        <v>0</v>
      </c>
      <c r="BW101" s="14"/>
      <c r="BX101" s="14">
        <f>SUM(BW101*0.1)</f>
        <v>0</v>
      </c>
      <c r="BY101" s="14">
        <f ca="1">SUM(BZ101*CA101)</f>
        <v>0</v>
      </c>
      <c r="BZ101" s="17">
        <f>SUM((BW101+BX101)*0.00833333333333333)</f>
        <v>0</v>
      </c>
      <c r="CA101" s="23">
        <f ca="1">MONTH(TODAY())+37</f>
        <v>41</v>
      </c>
      <c r="CB101" s="14">
        <f ca="1">SUM(BW101,BX101,BY101)</f>
        <v>0</v>
      </c>
      <c r="CC101" s="14">
        <v>0</v>
      </c>
      <c r="CD101" s="14">
        <f>SUM(CC101*0.1)</f>
        <v>0</v>
      </c>
      <c r="CE101" s="14">
        <f ca="1">SUM(CF101*CG101)</f>
        <v>0</v>
      </c>
      <c r="CF101" s="17">
        <f>SUM((CC101+CD101)*0.00833333333333333)</f>
        <v>0</v>
      </c>
      <c r="CG101" s="23">
        <f ca="1">MONTH(TODAY())+25</f>
        <v>29</v>
      </c>
      <c r="CH101" s="14">
        <f ca="1">SUM(CC101,CD101,CE101)</f>
        <v>0</v>
      </c>
      <c r="CI101" s="14">
        <f>SUM(EG101*0.0052)</f>
        <v>275.59999999999997</v>
      </c>
      <c r="CJ101" s="14">
        <f>SUM(CI101*0.1)</f>
        <v>27.56</v>
      </c>
      <c r="CK101" s="14">
        <f ca="1">SUM(CL101*CM101)</f>
        <v>42.947666666666642</v>
      </c>
      <c r="CL101" s="17">
        <f>SUM((CI101+CJ101)*0.00833333333333333)</f>
        <v>2.5263333333333318</v>
      </c>
      <c r="CM101" s="23">
        <f ca="1">MONTH(TODAY())+13</f>
        <v>17</v>
      </c>
      <c r="CN101" s="14">
        <f ca="1">SUM(CI101,CJ101,CK101)</f>
        <v>346.1076666666666</v>
      </c>
      <c r="CO101" s="14">
        <f>SUM(EG101*0.0052)/2</f>
        <v>137.79999999999998</v>
      </c>
      <c r="CP101" s="14">
        <f>SUM(CO101*0.1)</f>
        <v>13.78</v>
      </c>
      <c r="CQ101" s="14">
        <f ca="1">SUM(CR101*CS101)</f>
        <v>11.368499999999994</v>
      </c>
      <c r="CR101" s="17">
        <f>SUM((CO101+CP101)*0.00833333333333333)</f>
        <v>1.2631666666666659</v>
      </c>
      <c r="CS101" s="23">
        <f ca="1">MONTH(TODAY())+5</f>
        <v>9</v>
      </c>
      <c r="CT101" s="23">
        <f ca="1">SUM(CO101,CP101,CQ101)</f>
        <v>162.94849999999997</v>
      </c>
      <c r="CU101" s="14">
        <f>SUM(EG101*0.0052)/2</f>
        <v>137.79999999999998</v>
      </c>
      <c r="CV101" s="14">
        <f>SUM(CU101*0.1)</f>
        <v>13.78</v>
      </c>
      <c r="CW101" s="14">
        <f ca="1">SUM(CX101*CY101)</f>
        <v>6.3158333333333294</v>
      </c>
      <c r="CX101" s="17">
        <f>SUM((CU101+CV101)*0.00833333333333333)</f>
        <v>1.2631666666666659</v>
      </c>
      <c r="CY101" s="23">
        <f ca="1">MONTH(TODAY())+1</f>
        <v>5</v>
      </c>
      <c r="CZ101" s="23">
        <f ca="1">SUM(CU101,CV101,CW101)</f>
        <v>157.89583333333331</v>
      </c>
      <c r="DA101" s="14">
        <f>SUM(EJ101*0.0045)/2</f>
        <v>132.29999999999998</v>
      </c>
      <c r="DB101" s="14">
        <v>0</v>
      </c>
      <c r="DC101" s="14">
        <v>0</v>
      </c>
      <c r="DD101" s="17">
        <f>SUM((DA101+DB101)*0.00833333333333333)</f>
        <v>1.1024999999999994</v>
      </c>
      <c r="DE101" s="23">
        <f ca="1">MONTH(TODAY())-5</f>
        <v>-1</v>
      </c>
      <c r="DF101" s="23">
        <f>SUM(DA101,DB101,DC101)</f>
        <v>132.29999999999998</v>
      </c>
      <c r="DG101" s="14">
        <v>0</v>
      </c>
      <c r="DH101" s="14">
        <v>0</v>
      </c>
      <c r="DI101" s="14">
        <v>0</v>
      </c>
      <c r="DJ101" s="17">
        <f>SUM((DG101+DH101)*0.00833333333333333)</f>
        <v>0</v>
      </c>
      <c r="DK101" s="23">
        <f ca="1">MONTH(TODAY())+1</f>
        <v>5</v>
      </c>
      <c r="DL101" s="23">
        <f>SUM(DG101,DH101,DI101)</f>
        <v>0</v>
      </c>
      <c r="DM101" s="14">
        <f>SUM( BQ101, BW101, CC101, CI101, CO101,CU101,DA101,DG101)</f>
        <v>683.49999999999989</v>
      </c>
      <c r="DN101" s="14">
        <f>SUM(BR101,BX101,CD101,CJ101, CP101,CV101,DB101,DH101)</f>
        <v>55.12</v>
      </c>
      <c r="DO101" s="14">
        <f ca="1">SUM(BS101,BY101,CE101,CK101, CQ101,CW101,DC101,DI101)</f>
        <v>60.631999999999962</v>
      </c>
      <c r="DP101" s="25">
        <f ca="1">SUM(DM101:DO101)</f>
        <v>799.25199999999984</v>
      </c>
      <c r="DQ101" s="47">
        <f ca="1">SUM(DP101/EG101)</f>
        <v>1.5080226415094336E-2</v>
      </c>
      <c r="DR101" s="14">
        <f>20+200</f>
        <v>220</v>
      </c>
      <c r="DS101" s="32">
        <f>COUNTIF(DX101, "*")+COUNTIF(AO101, "*")+COUNTIF(AJ101, "*")+COUNTIF(AA101, "*")+COUNTIF(EY101, "*")+COUNTIF(FE101, "*")+COUNTIF(FK101, "*")+COUNTIF(FO101, "*")+COUNTIF(FV101, "*")+COUNTIF(AT101, "*")+COUNTIF(GE101, "*")+COUNTIF(GP101, "*")+COUNTIF(HA101, "*")+COUNTIF(HI101, "*")+COUNTIF(HQ101, "*")+COUNTIF(HY101, "*")+COUNTIF(IG101, "*")</f>
        <v>4</v>
      </c>
      <c r="DT101" s="14">
        <f>1.2+DS101*7.45</f>
        <v>31</v>
      </c>
      <c r="DU101" s="4">
        <v>150</v>
      </c>
      <c r="DV101" s="4">
        <v>36.76</v>
      </c>
      <c r="DW101" s="4"/>
      <c r="DX101" s="4"/>
      <c r="DZ101" s="4"/>
      <c r="EA101" s="14">
        <f>SUM(DV101:DZ101)</f>
        <v>36.76</v>
      </c>
      <c r="EB101" s="14">
        <f ca="1">SUM(DP101,DR101,EA101, DU101, DT101,GB101)</f>
        <v>1237.0119999999999</v>
      </c>
      <c r="EC101" s="24" t="s">
        <v>3879</v>
      </c>
      <c r="ED101" s="130">
        <v>0.09</v>
      </c>
      <c r="EE101" s="14">
        <v>8000</v>
      </c>
      <c r="EF101" s="14">
        <v>45000</v>
      </c>
      <c r="EG101" s="14">
        <v>53000</v>
      </c>
      <c r="EH101" s="14">
        <v>8000</v>
      </c>
      <c r="EI101" s="14">
        <v>50800</v>
      </c>
      <c r="EJ101" s="14">
        <f>SUM(EH101+EI101)</f>
        <v>58800</v>
      </c>
      <c r="EK101" t="s">
        <v>4692</v>
      </c>
      <c r="EL101" t="s">
        <v>4693</v>
      </c>
      <c r="FN101" t="s">
        <v>4694</v>
      </c>
      <c r="FO101" t="s">
        <v>4695</v>
      </c>
      <c r="FQ101" t="s">
        <v>1071</v>
      </c>
      <c r="FR101" t="s">
        <v>1075</v>
      </c>
      <c r="FS101" s="9">
        <v>44027</v>
      </c>
      <c r="FT101" t="s">
        <v>4703</v>
      </c>
      <c r="IM101" s="9"/>
      <c r="IX101" s="14">
        <f ca="1">SUM(IN101-EB101-GB101-IV101)</f>
        <v>-1237.0119999999999</v>
      </c>
      <c r="IY101" s="9"/>
      <c r="IZ101" s="9"/>
      <c r="JA101" s="9"/>
      <c r="JB101" s="9"/>
      <c r="JC101" s="9"/>
    </row>
    <row r="102" spans="1:263" ht="15" customHeight="1">
      <c r="A102" s="19">
        <v>102023051</v>
      </c>
      <c r="B102" s="18" t="s">
        <v>4231</v>
      </c>
      <c r="D102" s="1"/>
      <c r="E102" s="3"/>
      <c r="F102" s="3"/>
      <c r="J102" s="18" t="s">
        <v>311</v>
      </c>
      <c r="K102" s="18" t="s">
        <v>1125</v>
      </c>
      <c r="L102" s="130" t="s">
        <v>1079</v>
      </c>
      <c r="M102" s="130" t="s">
        <v>392</v>
      </c>
      <c r="N102" s="18" t="s">
        <v>470</v>
      </c>
      <c r="O102" s="252"/>
      <c r="P102" s="130"/>
      <c r="Q102" s="130"/>
      <c r="R102" s="130"/>
      <c r="S102" s="130"/>
      <c r="AG102" s="43"/>
      <c r="AJ102" s="18" t="s">
        <v>328</v>
      </c>
      <c r="AK102" s="18"/>
      <c r="AL102" s="18" t="s">
        <v>438</v>
      </c>
      <c r="AM102" s="18"/>
      <c r="AN102" s="18"/>
      <c r="AO102" s="18" t="s">
        <v>4230</v>
      </c>
      <c r="AP102" s="18"/>
      <c r="AQ102" s="18" t="s">
        <v>1071</v>
      </c>
      <c r="AR102" s="18"/>
      <c r="AX102" s="1"/>
      <c r="AY102" s="1"/>
      <c r="AZ102" s="1"/>
      <c r="BA102" s="1"/>
      <c r="BB102" s="1"/>
      <c r="BC102" s="2"/>
      <c r="BD102" s="116"/>
      <c r="BE102" s="115"/>
      <c r="BF102" s="2"/>
      <c r="BG102" s="2"/>
      <c r="BH102" s="2"/>
      <c r="BI102" s="2"/>
      <c r="BJ102" s="2"/>
      <c r="BK102" s="2"/>
      <c r="BL102" s="20">
        <f ca="1">SUM(DP102)+220</f>
        <v>341.87200000000001</v>
      </c>
      <c r="BM102" s="22">
        <f ca="1">PMT(10%/12,12,BL102,0,0)</f>
        <v>-30.055980199097842</v>
      </c>
      <c r="BN102" s="22">
        <f ca="1">SUM(BM102*-1)</f>
        <v>30.055980199097842</v>
      </c>
      <c r="BO102" s="14">
        <f>SUM(DX102*0.0052)/12</f>
        <v>3.4666666666666668</v>
      </c>
      <c r="BP102" s="22">
        <f ca="1">SUM(BN102+BO102)</f>
        <v>33.522646865764507</v>
      </c>
      <c r="BQ102" s="14"/>
      <c r="BR102" s="14">
        <f>SUM(BQ102*0.1)</f>
        <v>0</v>
      </c>
      <c r="BS102" s="14">
        <f ca="1">SUM(BT102*BU102)</f>
        <v>0</v>
      </c>
      <c r="BT102" s="17">
        <f>SUM((BQ102+BR102)*0.00833333333333333)</f>
        <v>0</v>
      </c>
      <c r="BU102" s="23">
        <f ca="1">MONTH(TODAY())+49</f>
        <v>53</v>
      </c>
      <c r="BV102" s="14">
        <f ca="1">SUM(BQ102,BR102,BS102)</f>
        <v>0</v>
      </c>
      <c r="BW102" s="14"/>
      <c r="BX102" s="14">
        <f>SUM(BW102*0.1)</f>
        <v>0</v>
      </c>
      <c r="BY102" s="14">
        <f ca="1">SUM(BZ102*CA102)</f>
        <v>0</v>
      </c>
      <c r="BZ102" s="17">
        <f>SUM((BW102+BX102)*0.00833333333333333)</f>
        <v>0</v>
      </c>
      <c r="CA102" s="23">
        <f ca="1">MONTH(TODAY())+37</f>
        <v>41</v>
      </c>
      <c r="CB102" s="14">
        <f ca="1">SUM(BW102,BX102,BY102)</f>
        <v>0</v>
      </c>
      <c r="CC102" s="14">
        <v>0</v>
      </c>
      <c r="CD102" s="14">
        <f>SUM(CC102*0.1)</f>
        <v>0</v>
      </c>
      <c r="CE102" s="14">
        <f ca="1">SUM(CF102*CG102)</f>
        <v>0</v>
      </c>
      <c r="CF102" s="17">
        <f>SUM((CC102+CD102)*0.00833333333333333)</f>
        <v>0</v>
      </c>
      <c r="CG102" s="23">
        <f ca="1">MONTH(TODAY())+25</f>
        <v>29</v>
      </c>
      <c r="CH102" s="14">
        <f ca="1">SUM(CC102,CD102,CE102)</f>
        <v>0</v>
      </c>
      <c r="CI102" s="14">
        <f>SUM(DU102*0.0052)</f>
        <v>41.6</v>
      </c>
      <c r="CJ102" s="14">
        <f>SUM(CI102*0.1)</f>
        <v>4.16</v>
      </c>
      <c r="CK102" s="14">
        <f ca="1">SUM(CL102*CM102)</f>
        <v>6.4826666666666641</v>
      </c>
      <c r="CL102" s="17">
        <f>SUM((CI102+CJ102)*0.00833333333333333)</f>
        <v>0.38133333333333319</v>
      </c>
      <c r="CM102" s="23">
        <f ca="1">MONTH(TODAY())+13</f>
        <v>17</v>
      </c>
      <c r="CN102" s="14">
        <f ca="1">SUM(CI102,CJ102,CK102)</f>
        <v>52.242666666666672</v>
      </c>
      <c r="CO102" s="14">
        <f>SUM(DU102*0.0052)/2</f>
        <v>20.8</v>
      </c>
      <c r="CP102" s="14">
        <f>SUM(CO102*0.1)</f>
        <v>2.08</v>
      </c>
      <c r="CQ102" s="14">
        <f ca="1">SUM(CR102*CS102)</f>
        <v>1.7159999999999993</v>
      </c>
      <c r="CR102" s="17">
        <f>SUM((CO102+CP102)*0.00833333333333333)</f>
        <v>0.1906666666666666</v>
      </c>
      <c r="CS102" s="23">
        <f ca="1">MONTH(TODAY())+5</f>
        <v>9</v>
      </c>
      <c r="CT102" s="23">
        <f ca="1">SUM(CO102,CP102,CQ102)</f>
        <v>24.596000000000004</v>
      </c>
      <c r="CU102" s="14">
        <f>SUM(DU102*0.0052)/2</f>
        <v>20.8</v>
      </c>
      <c r="CV102" s="14">
        <f>SUM(CU102*0.1)</f>
        <v>2.08</v>
      </c>
      <c r="CW102" s="14">
        <f ca="1">SUM(CX102*CY102)</f>
        <v>0.95333333333333292</v>
      </c>
      <c r="CX102" s="17">
        <f>SUM((CU102+CV102)*0.00833333333333333)</f>
        <v>0.1906666666666666</v>
      </c>
      <c r="CY102" s="23">
        <f ca="1">MONTH(TODAY())+1</f>
        <v>5</v>
      </c>
      <c r="CZ102" s="23">
        <f ca="1">SUM(CU102,CV102,CW102)</f>
        <v>23.833333333333336</v>
      </c>
      <c r="DA102" s="14">
        <f>SUM( BQ102, BW102, CC102, CI102, CO102,CU102)</f>
        <v>83.2</v>
      </c>
      <c r="DB102" s="14">
        <f>SUM(BR102,BX102,CD102,CJ102, CP102,CV102)</f>
        <v>8.32</v>
      </c>
      <c r="DC102" s="14">
        <f ca="1">SUM(BS102,BY102,CE102,CK102, CQ102,CW102)</f>
        <v>9.1519999999999975</v>
      </c>
      <c r="DD102" s="25">
        <f ca="1">SUM(DA102:DC102)</f>
        <v>100.67200000000001</v>
      </c>
      <c r="DE102" s="47">
        <f ca="1">SUM(DD102/DU102)</f>
        <v>1.2584000000000001E-2</v>
      </c>
      <c r="DF102" s="14">
        <v>20</v>
      </c>
      <c r="DG102" s="32">
        <f>COUNTIF(DL102, "*")+COUNTIF(AO102, "*")+COUNTIF(AJ102, "*")+COUNTIF(AA102, "*")+COUNTIF(EM102, "*")+COUNTIF(ES102, "*")+COUNTIF(EY102, "*")+COUNTIF(FC102, "*")+COUNTIF(FJ102, "*")+COUNTIF(AT102, "*")+COUNTIF(FS102, "*")+COUNTIF(GD102, "*")+COUNTIF(GO102, "*")+COUNTIF(GW102, "*")+COUNTIF(HE102, "*")+COUNTIF(HM102, "*")+COUNTIF(HU102, "*")</f>
        <v>2</v>
      </c>
      <c r="DH102" s="14">
        <f>DG102*0.6</f>
        <v>1.2</v>
      </c>
      <c r="DI102" s="4"/>
      <c r="DJ102" s="4"/>
      <c r="DK102" s="4"/>
      <c r="DL102" s="4"/>
      <c r="DN102" s="4"/>
      <c r="DO102" s="14">
        <f>SUM(DJ102:DN102)</f>
        <v>0</v>
      </c>
      <c r="DP102" s="14">
        <f ca="1">SUM(DD102,DF102,DO102, DI102, DH102,FP102)</f>
        <v>121.87200000000001</v>
      </c>
      <c r="DQ102" s="24" t="s">
        <v>3879</v>
      </c>
      <c r="DR102" s="130">
        <v>0.1</v>
      </c>
      <c r="DS102" s="14">
        <v>8000</v>
      </c>
      <c r="DT102" s="14">
        <v>0</v>
      </c>
      <c r="DU102" s="14">
        <v>8000</v>
      </c>
      <c r="DV102" s="14">
        <v>8000</v>
      </c>
      <c r="DW102" s="14">
        <v>0</v>
      </c>
      <c r="DX102" s="14">
        <f>SUM(DV102:DW102)</f>
        <v>8000</v>
      </c>
      <c r="IA102" s="9"/>
      <c r="IL102" s="14">
        <f ca="1">SUM(IB102-DP102-FP102-IJ102)</f>
        <v>-121.87200000000001</v>
      </c>
      <c r="IM102" s="9"/>
      <c r="IN102" s="9"/>
      <c r="IO102" s="9"/>
      <c r="IP102" s="9"/>
      <c r="IQ102" s="9"/>
    </row>
    <row r="103" spans="1:263" ht="15" customHeight="1">
      <c r="A103" s="19">
        <v>102022216</v>
      </c>
      <c r="B103" t="s">
        <v>2928</v>
      </c>
      <c r="C103" t="s">
        <v>258</v>
      </c>
      <c r="D103" s="1"/>
      <c r="J103" t="s">
        <v>253</v>
      </c>
      <c r="K103" t="s">
        <v>1347</v>
      </c>
      <c r="L103" t="s">
        <v>3173</v>
      </c>
      <c r="M103" t="s">
        <v>326</v>
      </c>
      <c r="AJ103" t="s">
        <v>3297</v>
      </c>
      <c r="AK103" t="s">
        <v>258</v>
      </c>
      <c r="AL103" t="s">
        <v>438</v>
      </c>
      <c r="AM103" t="s">
        <v>260</v>
      </c>
      <c r="AN103"/>
      <c r="AO103" s="3" t="s">
        <v>3298</v>
      </c>
      <c r="AP103" s="3" t="s">
        <v>258</v>
      </c>
      <c r="AQ103" s="3" t="s">
        <v>438</v>
      </c>
      <c r="AR103" t="s">
        <v>260</v>
      </c>
      <c r="AT103" s="1"/>
      <c r="AU103" s="1"/>
      <c r="AV103" s="1"/>
      <c r="AW103" s="1"/>
      <c r="AX103" s="2"/>
      <c r="AY103" s="116"/>
      <c r="AZ103" s="115"/>
      <c r="BA103" s="2"/>
      <c r="BB103" s="2"/>
      <c r="BC103" s="2"/>
      <c r="BD103" s="2"/>
      <c r="BE103" s="2"/>
      <c r="BF103" s="2"/>
      <c r="BG103" s="20"/>
      <c r="BH103" s="22"/>
      <c r="BI103" s="22"/>
      <c r="BJ103" s="14"/>
      <c r="BK103" s="22"/>
      <c r="BL103" s="14"/>
      <c r="BM103" s="14"/>
      <c r="BN103" s="14"/>
      <c r="BO103" s="17"/>
      <c r="BP103" s="23"/>
      <c r="BQ103" s="14"/>
      <c r="BR103" s="14"/>
      <c r="BS103" s="14"/>
      <c r="BT103" s="14"/>
      <c r="BU103" s="17"/>
      <c r="BV103" s="23"/>
      <c r="BW103" s="14"/>
      <c r="BX103" s="14"/>
      <c r="BY103" s="14"/>
      <c r="BZ103" s="14"/>
      <c r="CA103" s="17"/>
      <c r="CB103" s="23"/>
      <c r="CC103" s="14"/>
      <c r="CD103" s="14"/>
      <c r="CE103" s="14"/>
      <c r="CF103" s="14"/>
      <c r="CG103" s="17"/>
      <c r="CH103" s="23"/>
      <c r="CI103" s="14"/>
      <c r="CJ103" s="14"/>
      <c r="CK103" s="14"/>
      <c r="CL103" s="14"/>
      <c r="CM103" s="17"/>
      <c r="CN103" s="23"/>
      <c r="CO103" s="14"/>
      <c r="CP103" s="14"/>
      <c r="CQ103" s="14"/>
      <c r="CR103" s="14"/>
      <c r="CS103" s="14"/>
      <c r="CT103" s="47"/>
      <c r="CU103" s="14"/>
      <c r="CV103" s="32"/>
      <c r="CW103" s="14"/>
      <c r="CX103" s="4"/>
      <c r="CY103" s="14"/>
      <c r="CZ103" s="4"/>
      <c r="DE103" s="14"/>
      <c r="DF103" s="24"/>
      <c r="DG103" s="4"/>
      <c r="DH103" s="4"/>
      <c r="DI103" s="25"/>
      <c r="DJ103" s="35">
        <v>2.7610000000000001</v>
      </c>
      <c r="IC103" s="4"/>
    </row>
    <row r="104" spans="1:263" ht="15" customHeight="1">
      <c r="A104" s="2">
        <v>102024162</v>
      </c>
      <c r="B104" t="s">
        <v>5543</v>
      </c>
      <c r="C104" s="10"/>
      <c r="D104" s="161"/>
      <c r="E104" s="147"/>
      <c r="F104" s="160"/>
      <c r="G104" s="147"/>
      <c r="H104" s="10"/>
      <c r="I104" s="9"/>
      <c r="J104" s="10" t="s">
        <v>311</v>
      </c>
      <c r="K104" s="10" t="s">
        <v>5182</v>
      </c>
      <c r="L104" s="10" t="s">
        <v>5544</v>
      </c>
      <c r="M104" s="10" t="s">
        <v>426</v>
      </c>
      <c r="N104" s="10"/>
      <c r="O104" s="147"/>
      <c r="P104" s="10" t="s">
        <v>5701</v>
      </c>
      <c r="Q104" s="10" t="s">
        <v>5702</v>
      </c>
      <c r="R104" s="10" t="s">
        <v>309</v>
      </c>
      <c r="S104" s="10"/>
      <c r="T104" s="10"/>
      <c r="U104" s="10" t="s">
        <v>5701</v>
      </c>
      <c r="V104" s="10" t="s">
        <v>395</v>
      </c>
      <c r="W104" s="10" t="s">
        <v>326</v>
      </c>
      <c r="X104" s="10"/>
      <c r="Y104" s="10"/>
      <c r="Z104" s="10"/>
      <c r="AA104" s="10"/>
      <c r="AB104" s="10"/>
      <c r="AC104" s="10"/>
      <c r="AD104" s="10"/>
      <c r="AE104" s="10"/>
      <c r="AF104" s="10"/>
      <c r="AG104" s="141"/>
      <c r="AH104" s="10"/>
      <c r="AI104" s="10"/>
      <c r="AK104" s="1"/>
      <c r="AM104"/>
      <c r="AN104"/>
      <c r="AO104" t="s">
        <v>5545</v>
      </c>
      <c r="AP104" s="1" t="s">
        <v>258</v>
      </c>
      <c r="AQ104" s="18" t="s">
        <v>438</v>
      </c>
      <c r="AR104" t="s">
        <v>260</v>
      </c>
      <c r="AS104" t="s">
        <v>473</v>
      </c>
      <c r="AT104" t="s">
        <v>474</v>
      </c>
      <c r="AU104" t="s">
        <v>475</v>
      </c>
      <c r="AV104" t="s">
        <v>438</v>
      </c>
      <c r="AW104" s="1" t="s">
        <v>260</v>
      </c>
      <c r="AX104" s="1"/>
      <c r="AY104" s="1"/>
      <c r="AZ104" s="1"/>
      <c r="BA104" s="1"/>
      <c r="BB104" s="1"/>
      <c r="BC104" s="70"/>
      <c r="BD104" s="115">
        <v>45415</v>
      </c>
      <c r="BE104" s="144">
        <v>45432</v>
      </c>
      <c r="BF104" s="70"/>
      <c r="BG104" s="2"/>
      <c r="BH104" s="70"/>
      <c r="BI104" s="70"/>
      <c r="BJ104" s="70"/>
      <c r="BK104" s="70"/>
      <c r="BL104" s="20">
        <f ca="1">SUM(EB104)+220</f>
        <v>1609.8860333333332</v>
      </c>
      <c r="BM104" s="22">
        <f ca="1">PMT(10%/12,12,BL104,0,0)</f>
        <v>-141.5345589597008</v>
      </c>
      <c r="BN104" s="22">
        <f ca="1">SUM(BM104*-1)</f>
        <v>141.5345589597008</v>
      </c>
      <c r="BO104" s="14">
        <f>SUM(EJ104*0.0052)/12</f>
        <v>35.706666666666663</v>
      </c>
      <c r="BP104" s="22">
        <f ca="1">SUM(BN104+BO104)</f>
        <v>177.24122562636745</v>
      </c>
      <c r="BQ104" s="14">
        <v>0</v>
      </c>
      <c r="BR104" s="14">
        <f>SUM(BQ104*0.1)</f>
        <v>0</v>
      </c>
      <c r="BS104" s="14">
        <f ca="1">SUM(BT104*BU104)</f>
        <v>0</v>
      </c>
      <c r="BT104" s="17">
        <f>SUM((BQ104+BR104)*0.00833333333333333)</f>
        <v>0</v>
      </c>
      <c r="BU104" s="23">
        <f ca="1">MONTH(TODAY())+37</f>
        <v>41</v>
      </c>
      <c r="BV104" s="14">
        <f ca="1">SUM(BQ104,BR104,BS104)</f>
        <v>0</v>
      </c>
      <c r="BW104" s="14">
        <v>0</v>
      </c>
      <c r="BX104" s="14">
        <f>SUM(BW104*0.1)</f>
        <v>0</v>
      </c>
      <c r="BY104" s="14">
        <f ca="1">SUM(BZ104*CA104)</f>
        <v>0</v>
      </c>
      <c r="BZ104" s="17">
        <f>SUM((BW104+BX104)*0.00833333333333333)</f>
        <v>0</v>
      </c>
      <c r="CA104" s="23">
        <f ca="1">MONTH(TODAY())+37</f>
        <v>41</v>
      </c>
      <c r="CB104" s="14">
        <f ca="1">SUM(BW104,BX104,BY104)</f>
        <v>0</v>
      </c>
      <c r="CC104" s="14">
        <v>0</v>
      </c>
      <c r="CD104" s="14">
        <f>SUM(CC104*0.1)</f>
        <v>0</v>
      </c>
      <c r="CE104" s="14">
        <f ca="1">SUM(CF104*CG104)</f>
        <v>0</v>
      </c>
      <c r="CF104" s="17">
        <f>SUM((CC104+CD104)*0.00833333333333333)</f>
        <v>0</v>
      </c>
      <c r="CG104" s="23">
        <f ca="1">MONTH(TODAY())+29</f>
        <v>33</v>
      </c>
      <c r="CH104" s="23">
        <f ca="1">SUM(CC104,CD104,CE104)</f>
        <v>0</v>
      </c>
      <c r="CI104" s="14">
        <f>SUM(EG104*0.0052)/2-106.48</f>
        <v>42.759999999999977</v>
      </c>
      <c r="CJ104" s="14">
        <f>SUM(CI104*0.1)</f>
        <v>4.275999999999998</v>
      </c>
      <c r="CK104" s="14">
        <f ca="1">SUM(CL104*CM104)</f>
        <v>11.367033333333323</v>
      </c>
      <c r="CL104" s="17">
        <f>SUM((CI104+CJ104)*0.00833333333333333)</f>
        <v>0.3919666666666663</v>
      </c>
      <c r="CM104" s="23">
        <f ca="1">MONTH(TODAY())+25</f>
        <v>29</v>
      </c>
      <c r="CN104" s="14">
        <f ca="1">SUM(CI104,CJ104,CK104)</f>
        <v>58.403033333333298</v>
      </c>
      <c r="CO104" s="14">
        <f>SUM(EJ104*0.0045)/2</f>
        <v>185.39999999999998</v>
      </c>
      <c r="CP104" s="14">
        <f>SUM(CO104*0.1)</f>
        <v>18.54</v>
      </c>
      <c r="CQ104" s="14">
        <f ca="1">SUM(CR104*CS104)</f>
        <v>39.088499999999982</v>
      </c>
      <c r="CR104" s="17">
        <f>SUM((CO104+CP104)*0.00833333333333333)</f>
        <v>1.6994999999999991</v>
      </c>
      <c r="CS104" s="23">
        <f ca="1">MONTH(TODAY())+19</f>
        <v>23</v>
      </c>
      <c r="CT104" s="14">
        <f ca="1">SUM(CO104,CP104,CQ104)</f>
        <v>243.02849999999995</v>
      </c>
      <c r="CU104" s="14">
        <f>SUM(EJ104*0.0045)/2</f>
        <v>185.39999999999998</v>
      </c>
      <c r="CV104" s="14">
        <f>SUM(CU104*0.1)</f>
        <v>18.54</v>
      </c>
      <c r="CW104" s="14">
        <f ca="1">SUM(CX104*CY104)</f>
        <v>28.891499999999986</v>
      </c>
      <c r="CX104" s="17">
        <f>SUM((CU104+CV104)*0.00833333333333333)</f>
        <v>1.6994999999999991</v>
      </c>
      <c r="CY104" s="23">
        <f ca="1">MONTH(TODAY())+13</f>
        <v>17</v>
      </c>
      <c r="CZ104" s="14">
        <f ca="1">SUM(CU104,CV104,CW104)</f>
        <v>232.83149999999995</v>
      </c>
      <c r="DA104" s="14">
        <f>SUM(EJ104*0.0045)/2</f>
        <v>185.39999999999998</v>
      </c>
      <c r="DB104" s="14">
        <f>SUM(DA104*0.1)</f>
        <v>18.54</v>
      </c>
      <c r="DC104" s="14">
        <f ca="1">SUM(DD104*DE104)</f>
        <v>15.295499999999992</v>
      </c>
      <c r="DD104" s="17">
        <f>SUM((DA104+DB104)*0.00833333333333333)</f>
        <v>1.6994999999999991</v>
      </c>
      <c r="DE104" s="120">
        <f ca="1">MONTH(TODAY())+5</f>
        <v>9</v>
      </c>
      <c r="DF104" s="14">
        <f ca="1">SUM(DA104,DB104,DC104)</f>
        <v>219.23549999999997</v>
      </c>
      <c r="DG104" s="14">
        <f>SUM(EJ104*0.0045)/2</f>
        <v>185.39999999999998</v>
      </c>
      <c r="DH104" s="14">
        <f>SUM(DG104*0.1)</f>
        <v>18.54</v>
      </c>
      <c r="DI104" s="14">
        <f ca="1">SUM(DJ104*DK104)</f>
        <v>8.4974999999999952</v>
      </c>
      <c r="DJ104" s="17">
        <f>SUM((DG104+DH104)*0.00833333333333333)</f>
        <v>1.6994999999999991</v>
      </c>
      <c r="DK104" s="23">
        <f ca="1">MONTH(TODAY())+1</f>
        <v>5</v>
      </c>
      <c r="DL104" s="14">
        <f ca="1">SUM(DG104,DH104,DI104)</f>
        <v>212.43749999999997</v>
      </c>
      <c r="DM104" s="14">
        <f>SUM(BQ104, BW104, CC104,CI104,CO104,CU104,DA104,DG104)</f>
        <v>784.3599999999999</v>
      </c>
      <c r="DN104" s="14">
        <f>SUM(BR104,BX104, CD104,CJ104,CP104,CV104,DB104,DH104)</f>
        <v>78.435999999999993</v>
      </c>
      <c r="DO104" s="14">
        <f ca="1">SUM(BS104,BY104, CE104,CK104,CQ104,CW104,DC104,DI104)</f>
        <v>103.14003333333326</v>
      </c>
      <c r="DP104" s="25">
        <f ca="1">SUM(DM104:DO104)</f>
        <v>965.93603333333317</v>
      </c>
      <c r="DQ104" s="47">
        <f ca="1">SUM(DP104/EG104)</f>
        <v>1.6828153890824621E-2</v>
      </c>
      <c r="DR104" s="14">
        <f>20+10+200</f>
        <v>230</v>
      </c>
      <c r="DS104" s="32">
        <f>COUNTIF(AO104, "*")+COUNTIF(AJ104, "*")+COUNTIF(AA104, "*")+COUNTIF(EU104, "*")+COUNTIF(FA104, "*")+COUNTIF(FG104, "*")+COUNTIF(FK104, "*")+COUNTIF(FR104, "*")+COUNTIF(AT104, "*")+COUNTIF(GA104, "*")+COUNTIF(GL104, "*")+COUNTIF(GW104, "*")+COUNTIF(HE104, "*")+COUNTIF(HM104, "*")+COUNTIF(HU104, "*")</f>
        <v>2</v>
      </c>
      <c r="DT104" s="14">
        <f>1.28+DS104*8</f>
        <v>17.28</v>
      </c>
      <c r="DU104" s="4">
        <v>26.67</v>
      </c>
      <c r="DV104" s="4">
        <v>150</v>
      </c>
      <c r="DW104" s="4"/>
      <c r="DX104" s="4"/>
      <c r="DY104" s="4"/>
      <c r="DZ104" s="4"/>
      <c r="EA104" s="14">
        <f>SUM(DU104:DZ104)</f>
        <v>176.67000000000002</v>
      </c>
      <c r="EB104" s="14">
        <f ca="1">SUM(DP104,DR104,EA104,DT104,FX104)</f>
        <v>1389.8860333333332</v>
      </c>
      <c r="EC104" s="24" t="s">
        <v>4935</v>
      </c>
      <c r="ED104" s="23">
        <v>1.46</v>
      </c>
      <c r="EE104" s="14">
        <v>5300</v>
      </c>
      <c r="EF104" s="14">
        <v>52100</v>
      </c>
      <c r="EG104" s="14">
        <f>SUM(EE104+EF104)</f>
        <v>57400</v>
      </c>
      <c r="EH104" s="14">
        <v>11500</v>
      </c>
      <c r="EI104" s="14">
        <v>70900</v>
      </c>
      <c r="EJ104" s="14">
        <f>SUM(EH104+EI104)</f>
        <v>82400</v>
      </c>
      <c r="EK104" s="10" t="s">
        <v>5703</v>
      </c>
      <c r="EL104" s="10" t="s">
        <v>5704</v>
      </c>
      <c r="EM104" s="10" t="s">
        <v>5705</v>
      </c>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9"/>
      <c r="FP104" s="10"/>
      <c r="FQ104" s="10"/>
      <c r="FR104" s="10"/>
      <c r="FS104" s="10"/>
      <c r="FT104" s="10"/>
      <c r="FU104" s="10"/>
      <c r="FV104" s="9"/>
      <c r="FW104" s="10"/>
      <c r="FX104" s="10"/>
      <c r="FY104" s="10"/>
      <c r="FZ104" s="10"/>
      <c r="GA104" s="10"/>
      <c r="GB104" s="10"/>
      <c r="GC104" s="10"/>
      <c r="GD104" s="10"/>
      <c r="GE104" s="9"/>
      <c r="GF104" s="10"/>
      <c r="GG104" s="10"/>
      <c r="GH104" s="10"/>
      <c r="GI104" s="10"/>
      <c r="GJ104" s="10"/>
      <c r="GK104" s="10"/>
      <c r="GL104" s="10"/>
      <c r="GM104" s="10"/>
      <c r="GN104" s="10"/>
      <c r="GO104" s="10"/>
      <c r="GP104" s="9"/>
      <c r="GQ104" s="10"/>
      <c r="GR104" s="10"/>
      <c r="GS104" s="10"/>
      <c r="GT104" s="10"/>
      <c r="GU104" s="10"/>
      <c r="GV104" s="10"/>
      <c r="GW104" s="10"/>
      <c r="GX104" s="10"/>
      <c r="GY104" s="10"/>
      <c r="GZ104" s="10"/>
      <c r="HA104" s="9"/>
      <c r="HB104" s="10"/>
      <c r="HC104" s="10"/>
      <c r="HD104" s="10"/>
      <c r="HE104" s="10"/>
      <c r="HF104" s="10"/>
      <c r="HG104" s="10"/>
      <c r="HH104" s="10"/>
      <c r="HI104" s="9"/>
      <c r="HJ104" s="10"/>
      <c r="HK104" s="10"/>
      <c r="HL104" s="10"/>
      <c r="HM104" s="10"/>
      <c r="HN104" s="10"/>
      <c r="HO104" s="10"/>
      <c r="HP104" s="10"/>
      <c r="HQ104" s="9"/>
      <c r="HR104" s="10"/>
      <c r="HS104" s="10"/>
      <c r="HT104" s="10"/>
      <c r="HU104" s="10"/>
      <c r="HV104" s="10"/>
      <c r="HW104" s="10"/>
      <c r="HX104" s="10"/>
      <c r="HY104" s="9"/>
      <c r="HZ104" s="4"/>
      <c r="IA104" s="4"/>
      <c r="IB104" s="10"/>
      <c r="IC104" s="10"/>
      <c r="ID104" s="10"/>
      <c r="IE104" s="10"/>
      <c r="IF104" s="4"/>
      <c r="IG104" s="4"/>
      <c r="IH104" s="4"/>
      <c r="II104" s="4"/>
      <c r="IJ104" s="4"/>
      <c r="IK104" s="9"/>
      <c r="IL104" s="9"/>
      <c r="IM104" s="9"/>
      <c r="IN104" s="9"/>
      <c r="IO104" s="9"/>
      <c r="IP104" s="27" t="s">
        <v>5913</v>
      </c>
    </row>
    <row r="105" spans="1:263" ht="15" customHeight="1">
      <c r="A105">
        <v>102024148</v>
      </c>
      <c r="B105" t="s">
        <v>5514</v>
      </c>
      <c r="D105" s="1"/>
      <c r="E105" s="3"/>
      <c r="F105" s="2"/>
      <c r="G105" s="3"/>
      <c r="J105" t="s">
        <v>253</v>
      </c>
      <c r="K105" t="s">
        <v>5515</v>
      </c>
      <c r="L105" t="s">
        <v>5166</v>
      </c>
      <c r="M105" t="s">
        <v>326</v>
      </c>
      <c r="O105" s="3"/>
      <c r="AG105" s="43"/>
      <c r="AK105" s="1"/>
      <c r="AM105"/>
      <c r="AN105"/>
      <c r="AO105" t="s">
        <v>5516</v>
      </c>
      <c r="AP105" s="1" t="s">
        <v>258</v>
      </c>
      <c r="AQ105" s="18" t="s">
        <v>438</v>
      </c>
      <c r="AR105" t="s">
        <v>260</v>
      </c>
      <c r="AS105" s="10"/>
      <c r="AT105" s="10"/>
      <c r="AU105" s="10"/>
      <c r="AV105" s="10"/>
      <c r="AW105" s="10"/>
      <c r="AX105" s="1"/>
      <c r="AY105" s="1"/>
      <c r="AZ105" s="1"/>
      <c r="BA105" s="1"/>
      <c r="BB105" s="1"/>
      <c r="BC105" s="2"/>
      <c r="BD105" s="115">
        <v>45408</v>
      </c>
      <c r="BE105" s="144">
        <v>45481</v>
      </c>
      <c r="BF105" s="2"/>
      <c r="BG105" s="2"/>
      <c r="BH105" s="2"/>
      <c r="BI105" s="2"/>
      <c r="BJ105" s="70"/>
      <c r="BK105" s="70"/>
      <c r="BL105" s="20">
        <f ca="1">SUM(EH105)+220</f>
        <v>1445.2718</v>
      </c>
      <c r="BM105" s="22">
        <f ca="1">PMT(10%/12,12,BL105,0,0)</f>
        <v>-127.06235258551298</v>
      </c>
      <c r="BN105" s="22">
        <f ca="1">SUM(BM105*-1)</f>
        <v>127.06235258551298</v>
      </c>
      <c r="BO105" s="14">
        <f>SUM(EP105*0.0052)/12</f>
        <v>42.813333333333333</v>
      </c>
      <c r="BP105" s="22">
        <f ca="1">SUM(BN105+BO105)</f>
        <v>169.87568591884633</v>
      </c>
      <c r="BQ105" s="14"/>
      <c r="BR105" s="14">
        <f>SUM(BQ105*0.1)</f>
        <v>0</v>
      </c>
      <c r="BS105" s="14">
        <f ca="1">SUM(BT105*BU105)</f>
        <v>0</v>
      </c>
      <c r="BT105" s="17">
        <f>SUM((BQ105+BR105)*0.00833333333333333)</f>
        <v>0</v>
      </c>
      <c r="BU105" s="23">
        <f ca="1">MONTH(TODAY())+49</f>
        <v>53</v>
      </c>
      <c r="BV105" s="14">
        <f ca="1">SUM(BQ105,BR105,BS105)</f>
        <v>0</v>
      </c>
      <c r="BW105" s="14">
        <v>0</v>
      </c>
      <c r="BX105" s="14">
        <f>SUM(BW105*0.1)</f>
        <v>0</v>
      </c>
      <c r="BY105" s="14">
        <f ca="1">SUM(BZ105*CA105)</f>
        <v>0</v>
      </c>
      <c r="BZ105" s="17">
        <f>SUM((BW105+BX105)*0.00833333333333333)</f>
        <v>0</v>
      </c>
      <c r="CA105" s="23">
        <f ca="1">MONTH(TODAY())+37</f>
        <v>41</v>
      </c>
      <c r="CB105" s="14">
        <f ca="1">SUM(BW105,BX105,BY105)</f>
        <v>0</v>
      </c>
      <c r="CC105" s="14">
        <v>0</v>
      </c>
      <c r="CD105" s="14">
        <f>SUM(CC105*0.1)</f>
        <v>0</v>
      </c>
      <c r="CE105" s="14">
        <f ca="1">SUM(CF105*CG105)</f>
        <v>0</v>
      </c>
      <c r="CF105" s="17">
        <f>SUM((CC105+CD105)*0.00833333333333333)</f>
        <v>0</v>
      </c>
      <c r="CG105" s="23">
        <f ca="1">MONTH(TODAY())+25</f>
        <v>29</v>
      </c>
      <c r="CH105" s="14">
        <f ca="1">SUM(CC105,CD105,CE105)</f>
        <v>0</v>
      </c>
      <c r="CI105" s="14">
        <v>0</v>
      </c>
      <c r="CJ105" s="14">
        <f>SUM(CI105*0.1)</f>
        <v>0</v>
      </c>
      <c r="CK105" s="14">
        <f ca="1">SUM(CL105*CM105)</f>
        <v>0</v>
      </c>
      <c r="CL105" s="17">
        <f>SUM((CI105+CJ105)*0.00833333333333333)</f>
        <v>0</v>
      </c>
      <c r="CM105" s="23">
        <f ca="1">MONTH(TODAY())+17</f>
        <v>21</v>
      </c>
      <c r="CN105" s="23">
        <f ca="1">SUM(CI105,CJ105,CK105)</f>
        <v>0</v>
      </c>
      <c r="CO105" s="14">
        <f>SUM(EM105*0.0052)/2-197.62</f>
        <v>6.4799999999999898</v>
      </c>
      <c r="CP105" s="14">
        <f>SUM(CO105*0.1)</f>
        <v>0.64799999999999902</v>
      </c>
      <c r="CQ105" s="14">
        <f ca="1">SUM(CR105*CS105)</f>
        <v>1.0097999999999978</v>
      </c>
      <c r="CR105" s="17">
        <f>SUM((CO105+CP105)*0.00833333333333333)</f>
        <v>5.9399999999999877E-2</v>
      </c>
      <c r="CS105" s="23">
        <f ca="1">MONTH(TODAY())+13</f>
        <v>17</v>
      </c>
      <c r="CT105" s="23">
        <f ca="1">SUM(CO105,CP105,CQ105)</f>
        <v>8.1377999999999862</v>
      </c>
      <c r="CU105" s="14">
        <f>SUM(EP105*0.0045)/2</f>
        <v>222.29999999999998</v>
      </c>
      <c r="CV105" s="14">
        <f>SUM(CU105*0.1)</f>
        <v>22.23</v>
      </c>
      <c r="CW105" s="14">
        <f ca="1">SUM(CX105*CY105)</f>
        <v>22.41524999999999</v>
      </c>
      <c r="CX105" s="17">
        <f>SUM((CU105+CV105)*0.00833333333333333)</f>
        <v>2.0377499999999991</v>
      </c>
      <c r="CY105" s="23">
        <f ca="1">MONTH(TODAY())+7</f>
        <v>11</v>
      </c>
      <c r="CZ105" s="23">
        <f ca="1">SUM(CU105,CV105,CW105)</f>
        <v>266.94524999999999</v>
      </c>
      <c r="DA105" s="14">
        <f>SUM(EP105*0.0045)/2</f>
        <v>222.29999999999998</v>
      </c>
      <c r="DB105" s="14">
        <f>SUM(DA105*0.1)</f>
        <v>22.23</v>
      </c>
      <c r="DC105" s="14">
        <f ca="1">SUM(DD105*DE105)</f>
        <v>10.188749999999995</v>
      </c>
      <c r="DD105" s="17">
        <f>SUM((DA105+DB105)*0.00833333333333333)</f>
        <v>2.0377499999999991</v>
      </c>
      <c r="DE105" s="23">
        <f ca="1">MONTH(TODAY())+1</f>
        <v>5</v>
      </c>
      <c r="DF105" s="14">
        <f ca="1">SUM(DA105,DB105,DC105)</f>
        <v>254.71874999999997</v>
      </c>
      <c r="DG105" s="14">
        <f>SUM(EP105*0.0045)/2</f>
        <v>222.29999999999998</v>
      </c>
      <c r="DH105" s="14">
        <f>0</f>
        <v>0</v>
      </c>
      <c r="DI105" s="14">
        <f>0</f>
        <v>0</v>
      </c>
      <c r="DJ105" s="17">
        <f>SUM((DG105+DH105)*0.00833333333333333)</f>
        <v>1.8524999999999991</v>
      </c>
      <c r="DK105" s="23">
        <f ca="1">MONTH(TODAY())+7</f>
        <v>11</v>
      </c>
      <c r="DL105" s="23">
        <f>SUM(DG105,DH105,DI105)</f>
        <v>222.29999999999998</v>
      </c>
      <c r="DM105" s="14">
        <f>0</f>
        <v>0</v>
      </c>
      <c r="DN105" s="14">
        <f>0</f>
        <v>0</v>
      </c>
      <c r="DO105" s="14">
        <f ca="1">SUM(DP105*DQ105)</f>
        <v>0</v>
      </c>
      <c r="DP105" s="17">
        <f>SUM((DM105+DN105)*0.00833333333333333)</f>
        <v>0</v>
      </c>
      <c r="DQ105" s="23">
        <f ca="1">MONTH(TODAY())+1</f>
        <v>5</v>
      </c>
      <c r="DR105" s="14">
        <f ca="1">SUM(DM105,DN105,DO105)</f>
        <v>0</v>
      </c>
      <c r="DS105" s="14">
        <f>SUM(BQ105, BW105, CC105, CI105,CO105,CU105,DA105,DG105,DM105)</f>
        <v>673.37999999999988</v>
      </c>
      <c r="DT105" s="14">
        <f>SUM(BR105,BX105,CD105, CJ105,CP105,CV105,DB105,DH105,DN105)</f>
        <v>45.108000000000004</v>
      </c>
      <c r="DU105" s="14">
        <f ca="1">SUM(BS105,BY105,CE105, CK105,CQ105,CW105,DC105,DI105,DO105)</f>
        <v>33.613799999999983</v>
      </c>
      <c r="DV105" s="25">
        <f ca="1">SUM(DS105:DU105)</f>
        <v>752.1017999999998</v>
      </c>
      <c r="DW105" s="47">
        <f ca="1">SUM(DV105/EM105)</f>
        <v>9.5809146496815267E-3</v>
      </c>
      <c r="DX105" s="14">
        <f>20+10+60+200</f>
        <v>290</v>
      </c>
      <c r="DY105" s="32">
        <f>COUNTIF(AO105, "*")+COUNTIF(AJ105, "*")+COUNTIF(AA105, "*")+COUNTIF(FA105, "*")+COUNTIF(FG105, "*")+COUNTIF(FM105, "*")+COUNTIF(FQ105, "*")+COUNTIF(FX105, "*")+COUNTIF(AT105, "*")+COUNTIF(GG105, "*")+COUNTIF(GR105, "*")+COUNTIF(HC105, "*")+COUNTIF(HK105, "*")+COUNTIF(HS105, "*")+COUNTIF(IA105, "*")</f>
        <v>1</v>
      </c>
      <c r="DZ105" s="14">
        <f>DY105*0.64</f>
        <v>0.64</v>
      </c>
      <c r="EA105" s="4">
        <v>150</v>
      </c>
      <c r="EB105" s="4">
        <v>32.53</v>
      </c>
      <c r="EC105" s="4"/>
      <c r="ED105" s="4"/>
      <c r="EF105" s="4"/>
      <c r="EG105" s="14">
        <f>SUM(EB105:EF105)</f>
        <v>32.53</v>
      </c>
      <c r="EH105" s="14">
        <f ca="1">SUM(DV105,DX105,EG105, EA105, DZ105,GD105)</f>
        <v>1225.2718</v>
      </c>
      <c r="EI105" s="24" t="s">
        <v>4935</v>
      </c>
      <c r="EJ105" s="23">
        <v>1.62</v>
      </c>
      <c r="EK105" s="14">
        <v>15100</v>
      </c>
      <c r="EL105" s="14">
        <v>63400</v>
      </c>
      <c r="EM105" s="14">
        <f>SUM(EK105+EL105)</f>
        <v>78500</v>
      </c>
      <c r="EN105" s="14">
        <v>17800</v>
      </c>
      <c r="EO105" s="14">
        <v>81000</v>
      </c>
      <c r="EP105" s="14">
        <f>SUM(EN105+EO105)</f>
        <v>98800</v>
      </c>
      <c r="EQ105" s="10" t="s">
        <v>5881</v>
      </c>
      <c r="ER105" s="10" t="s">
        <v>5882</v>
      </c>
      <c r="ES105" s="18" t="s">
        <v>5883</v>
      </c>
      <c r="ET105" s="10"/>
      <c r="EU105" s="10"/>
      <c r="EV105" s="10"/>
      <c r="EW105" s="10"/>
      <c r="EX105" s="10"/>
      <c r="GD105" s="4"/>
      <c r="IE105" s="9"/>
      <c r="IN105" s="4"/>
      <c r="IO105" s="4"/>
      <c r="IP105" s="4"/>
      <c r="IQ105" s="9"/>
      <c r="IR105" s="9"/>
      <c r="IS105" s="9"/>
      <c r="IT105" s="9"/>
      <c r="IU105" s="9"/>
    </row>
    <row r="106" spans="1:263" ht="15" customHeight="1">
      <c r="A106" s="19">
        <v>102017082</v>
      </c>
      <c r="B106" s="18" t="s">
        <v>1012</v>
      </c>
      <c r="C106" s="18"/>
      <c r="D106" s="18"/>
      <c r="E106" s="18" t="s">
        <v>1013</v>
      </c>
      <c r="F106" s="19">
        <v>180005345</v>
      </c>
      <c r="G106" s="19">
        <v>190000903</v>
      </c>
      <c r="H106" s="19"/>
      <c r="I106" s="18"/>
      <c r="J106" s="18" t="s">
        <v>305</v>
      </c>
      <c r="K106" s="18" t="s">
        <v>993</v>
      </c>
      <c r="L106" s="18" t="s">
        <v>1014</v>
      </c>
      <c r="M106" s="18"/>
      <c r="N106" s="18"/>
      <c r="O106" s="13"/>
      <c r="P106" s="18" t="s">
        <v>993</v>
      </c>
      <c r="Q106" s="18" t="s">
        <v>1015</v>
      </c>
      <c r="R106" s="18" t="s">
        <v>403</v>
      </c>
      <c r="S106" s="18"/>
      <c r="T106" s="13"/>
      <c r="U106" s="18"/>
      <c r="V106" s="18"/>
      <c r="W106" s="18"/>
      <c r="X106" s="18"/>
      <c r="Y106" s="18"/>
      <c r="Z106" s="18"/>
      <c r="AA106" s="18"/>
      <c r="AB106" s="18"/>
      <c r="AC106" s="18"/>
      <c r="AD106" s="18"/>
      <c r="AE106" s="13"/>
      <c r="AF106" s="18"/>
      <c r="AG106" s="24"/>
      <c r="AH106" s="18"/>
      <c r="AI106" s="18"/>
      <c r="AJ106" s="14"/>
      <c r="AK106" s="18"/>
      <c r="AL106" s="18"/>
      <c r="AM106" s="63"/>
      <c r="AN106" s="24"/>
      <c r="AO106" s="18"/>
      <c r="AP106" s="13"/>
      <c r="AQ106" s="24"/>
      <c r="AR106" s="63"/>
      <c r="AS106" s="13"/>
      <c r="AT106" s="13"/>
      <c r="AU106" s="13"/>
      <c r="AV106" s="13"/>
      <c r="AW106" s="13"/>
      <c r="AX106" s="48"/>
      <c r="AY106" s="48"/>
      <c r="AZ106" s="48"/>
      <c r="BA106" s="48"/>
      <c r="BB106" s="19"/>
      <c r="BC106" s="48"/>
      <c r="BD106" s="48"/>
      <c r="BE106" s="48"/>
      <c r="BF106" s="19"/>
      <c r="BG106" s="20"/>
      <c r="BH106" s="22"/>
      <c r="BI106" s="22"/>
      <c r="BJ106" s="14"/>
      <c r="BK106" s="14"/>
      <c r="BL106" s="14"/>
      <c r="BM106" s="17"/>
      <c r="BN106" s="23"/>
      <c r="BO106" s="14"/>
      <c r="BP106" s="14"/>
      <c r="BQ106" s="14"/>
      <c r="BR106" s="14"/>
      <c r="BS106" s="17"/>
      <c r="BT106" s="23"/>
      <c r="BU106" s="14"/>
      <c r="BV106" s="14"/>
      <c r="BW106" s="14"/>
      <c r="BX106" s="14"/>
      <c r="BY106" s="17"/>
      <c r="BZ106" s="23"/>
      <c r="CA106" s="14"/>
      <c r="CB106" s="14"/>
      <c r="CC106" s="14"/>
      <c r="CD106" s="14"/>
      <c r="CE106" s="17"/>
      <c r="CF106" s="23"/>
      <c r="CG106" s="14"/>
      <c r="CH106" s="14"/>
      <c r="CI106" s="14"/>
      <c r="CJ106" s="14"/>
      <c r="CK106" s="17"/>
      <c r="CL106" s="23"/>
      <c r="CM106" s="14"/>
      <c r="CN106" s="14"/>
      <c r="CO106" s="14"/>
      <c r="CP106" s="14"/>
      <c r="CQ106" s="17"/>
      <c r="CR106" s="23"/>
      <c r="CS106" s="14"/>
      <c r="CT106" s="14"/>
      <c r="CU106" s="14"/>
      <c r="CV106" s="14"/>
      <c r="CW106" s="17"/>
      <c r="CX106" s="23"/>
      <c r="CY106" s="14"/>
      <c r="CZ106" s="14"/>
      <c r="DA106" s="14"/>
      <c r="DB106" s="14"/>
      <c r="DC106" s="14"/>
      <c r="DD106" s="14"/>
      <c r="DE106" s="47"/>
      <c r="DF106" s="24"/>
      <c r="DG106" s="14"/>
      <c r="DH106" s="32"/>
      <c r="DI106" s="14"/>
      <c r="DJ106" s="14"/>
      <c r="DK106" s="14"/>
      <c r="DL106" s="14"/>
      <c r="DM106" s="14"/>
      <c r="DN106" s="14"/>
      <c r="DO106" s="14"/>
      <c r="DP106" s="25"/>
      <c r="DQ106" s="14"/>
      <c r="DR106" s="25"/>
      <c r="DS106" s="14"/>
      <c r="DT106" s="14"/>
      <c r="DU106" s="23"/>
      <c r="DV106" s="26"/>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27"/>
      <c r="FE106" s="28"/>
      <c r="FF106" s="18"/>
      <c r="FG106" s="18"/>
      <c r="FH106" s="18"/>
      <c r="FI106" s="18"/>
      <c r="FJ106" s="18"/>
      <c r="FK106" s="18"/>
      <c r="FL106" s="28"/>
      <c r="FM106" s="27"/>
      <c r="FN106" s="18"/>
      <c r="FO106" s="18"/>
      <c r="FP106" s="18"/>
      <c r="FQ106" s="18"/>
      <c r="FR106" s="18"/>
      <c r="FS106" s="14"/>
      <c r="FT106" s="18"/>
      <c r="FU106" s="18"/>
      <c r="FV106" s="18"/>
      <c r="FW106" s="18"/>
      <c r="FX106" s="18"/>
      <c r="FY106" s="18"/>
      <c r="FZ106" s="27"/>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27"/>
      <c r="IE106" s="14"/>
      <c r="IF106" s="14"/>
      <c r="IG106" s="27"/>
      <c r="IH106" s="18"/>
      <c r="II106" s="18"/>
      <c r="IJ106" s="18"/>
      <c r="IK106" s="18"/>
    </row>
    <row r="107" spans="1:263" ht="15" customHeight="1">
      <c r="A107" s="19">
        <v>102023095</v>
      </c>
      <c r="B107" s="18" t="s">
        <v>4307</v>
      </c>
      <c r="D107" s="1"/>
      <c r="E107" s="3"/>
      <c r="F107" s="3"/>
      <c r="G107" t="s">
        <v>4538</v>
      </c>
      <c r="J107" s="18" t="s">
        <v>311</v>
      </c>
      <c r="K107" s="18" t="s">
        <v>4383</v>
      </c>
      <c r="L107" s="130" t="s">
        <v>577</v>
      </c>
      <c r="M107" s="130" t="s">
        <v>309</v>
      </c>
      <c r="N107" s="130"/>
      <c r="O107" s="288"/>
      <c r="P107" s="130"/>
      <c r="Q107" s="130"/>
      <c r="R107" s="130"/>
      <c r="S107" s="130"/>
      <c r="AG107" s="43"/>
      <c r="AJ107" s="18" t="s">
        <v>4384</v>
      </c>
      <c r="AK107" t="s">
        <v>258</v>
      </c>
      <c r="AL107" s="18" t="s">
        <v>438</v>
      </c>
      <c r="AM107" t="s">
        <v>260</v>
      </c>
      <c r="AN107"/>
      <c r="AO107" s="18" t="s">
        <v>4385</v>
      </c>
      <c r="AP107" s="3" t="s">
        <v>258</v>
      </c>
      <c r="AQ107" s="18" t="s">
        <v>438</v>
      </c>
      <c r="AR107" s="18" t="s">
        <v>260</v>
      </c>
      <c r="AX107" s="1"/>
      <c r="AY107" s="1"/>
      <c r="AZ107" s="1"/>
      <c r="BA107" s="1"/>
      <c r="BB107" s="1"/>
      <c r="BC107" s="2"/>
      <c r="BD107" s="116"/>
      <c r="BE107" s="115"/>
      <c r="BF107" s="2"/>
      <c r="BG107" s="2"/>
      <c r="BH107" s="2"/>
      <c r="BI107" s="2"/>
      <c r="BJ107" s="2"/>
      <c r="BK107" s="2"/>
      <c r="BL107" s="20">
        <f ca="1">SUM(DP107)+220</f>
        <v>479.0376</v>
      </c>
      <c r="BM107" s="22">
        <f ca="1">PMT(10%/12,12,BL107,0,0)</f>
        <v>-42.115015620534443</v>
      </c>
      <c r="BN107" s="22">
        <f ca="1">SUM(BM107*-1)</f>
        <v>42.115015620534443</v>
      </c>
      <c r="BO107" s="14">
        <f>SUM(DX107*0.0052)/12</f>
        <v>9.9666666666666668</v>
      </c>
      <c r="BP107" s="22">
        <f ca="1">SUM(BN107+BO107)</f>
        <v>52.081682287201112</v>
      </c>
      <c r="BQ107" s="14"/>
      <c r="BR107" s="14">
        <f>SUM(BQ107*0.1)</f>
        <v>0</v>
      </c>
      <c r="BS107" s="14">
        <f ca="1">SUM(BT107*BU107)</f>
        <v>0</v>
      </c>
      <c r="BT107" s="17">
        <f>SUM((BQ107+BR107)*0.00833333333333333)</f>
        <v>0</v>
      </c>
      <c r="BU107" s="23">
        <f ca="1">MONTH(TODAY())+49</f>
        <v>53</v>
      </c>
      <c r="BV107" s="14">
        <f ca="1">SUM(BQ107,BR107,BS107)</f>
        <v>0</v>
      </c>
      <c r="BW107" s="14"/>
      <c r="BX107" s="14">
        <f>SUM(BW107*0.1)</f>
        <v>0</v>
      </c>
      <c r="BY107" s="14">
        <f ca="1">SUM(BZ107*CA107)</f>
        <v>0</v>
      </c>
      <c r="BZ107" s="17">
        <f>SUM((BW107+BX107)*0.00833333333333333)</f>
        <v>0</v>
      </c>
      <c r="CA107" s="23">
        <f ca="1">MONTH(TODAY())+37</f>
        <v>41</v>
      </c>
      <c r="CB107" s="14">
        <f ca="1">SUM(BW107,BX107,BY107)</f>
        <v>0</v>
      </c>
      <c r="CC107" s="14">
        <v>0</v>
      </c>
      <c r="CD107" s="14">
        <f>SUM(CC107*0.1)</f>
        <v>0</v>
      </c>
      <c r="CE107" s="14">
        <f ca="1">SUM(CF107*CG107)</f>
        <v>0</v>
      </c>
      <c r="CF107" s="17">
        <f>SUM((CC107+CD107)*0.00833333333333333)</f>
        <v>0</v>
      </c>
      <c r="CG107" s="23">
        <f ca="1">MONTH(TODAY())+25</f>
        <v>29</v>
      </c>
      <c r="CH107" s="14">
        <f ca="1">SUM(CC107,CD107,CE107)</f>
        <v>0</v>
      </c>
      <c r="CI107" s="14">
        <f>SUM(DU107*0.0052)</f>
        <v>98.28</v>
      </c>
      <c r="CJ107" s="14">
        <f>SUM(CI107*0.1)</f>
        <v>9.8280000000000012</v>
      </c>
      <c r="CK107" s="14">
        <f ca="1">SUM(CL107*CM107)</f>
        <v>15.315299999999995</v>
      </c>
      <c r="CL107" s="17">
        <f>SUM((CI107+CJ107)*0.00833333333333333)</f>
        <v>0.9008999999999997</v>
      </c>
      <c r="CM107" s="23">
        <f ca="1">MONTH(TODAY())+13</f>
        <v>17</v>
      </c>
      <c r="CN107" s="14">
        <f ca="1">SUM(CI107,CJ107,CK107)</f>
        <v>123.4233</v>
      </c>
      <c r="CO107" s="14">
        <f>SUM(DU107*0.0052)/2</f>
        <v>49.14</v>
      </c>
      <c r="CP107" s="14">
        <f>SUM(CO107*0.1)</f>
        <v>4.9140000000000006</v>
      </c>
      <c r="CQ107" s="14">
        <f ca="1">SUM(CR107*CS107)</f>
        <v>4.0540499999999984</v>
      </c>
      <c r="CR107" s="17">
        <f>SUM((CO107+CP107)*0.00833333333333333)</f>
        <v>0.45044999999999985</v>
      </c>
      <c r="CS107" s="23">
        <f ca="1">MONTH(TODAY())+5</f>
        <v>9</v>
      </c>
      <c r="CT107" s="23">
        <f ca="1">SUM(CO107,CP107,CQ107)</f>
        <v>58.108049999999999</v>
      </c>
      <c r="CU107" s="14">
        <f>SUM(DU107*0.0052)/2</f>
        <v>49.14</v>
      </c>
      <c r="CV107" s="14">
        <f>SUM(CU107*0.1)</f>
        <v>4.9140000000000006</v>
      </c>
      <c r="CW107" s="14">
        <f ca="1">SUM(CX107*CY107)</f>
        <v>2.2522499999999992</v>
      </c>
      <c r="CX107" s="17">
        <f>SUM((CU107+CV107)*0.00833333333333333)</f>
        <v>0.45044999999999985</v>
      </c>
      <c r="CY107" s="23">
        <f ca="1">MONTH(TODAY())+1</f>
        <v>5</v>
      </c>
      <c r="CZ107" s="23">
        <f ca="1">SUM(CU107,CV107,CW107)</f>
        <v>56.306249999999999</v>
      </c>
      <c r="DA107" s="14">
        <f>SUM( BQ107, BW107, CC107, CI107, CO107,CU107)</f>
        <v>196.56</v>
      </c>
      <c r="DB107" s="14">
        <f>SUM(BR107,BX107,CD107,CJ107, CP107,CV107)</f>
        <v>19.656000000000002</v>
      </c>
      <c r="DC107" s="14">
        <f ca="1">SUM(BS107,BY107,CE107,CK107, CQ107,CW107)</f>
        <v>21.621599999999994</v>
      </c>
      <c r="DD107" s="25">
        <f ca="1">SUM(DA107:DC107)</f>
        <v>237.83760000000001</v>
      </c>
      <c r="DE107" s="47">
        <f ca="1">SUM(DD107/DU107)</f>
        <v>1.2584E-2</v>
      </c>
      <c r="DF107" s="14">
        <v>20</v>
      </c>
      <c r="DG107" s="32">
        <f>COUNTIF(DL107, "*")+COUNTIF(AO107, "*")+COUNTIF(AJ107, "*")+COUNTIF(AA107, "*")+COUNTIF(EM107, "*")+COUNTIF(ES107, "*")+COUNTIF(EY107, "*")+COUNTIF(FC107, "*")+COUNTIF(FJ107, "*")+COUNTIF(AT107, "*")+COUNTIF(FS107, "*")+COUNTIF(GD107, "*")+COUNTIF(GO107, "*")+COUNTIF(GW107, "*")+COUNTIF(HE107, "*")+COUNTIF(HM107, "*")+COUNTIF(HU107, "*")</f>
        <v>2</v>
      </c>
      <c r="DH107" s="14">
        <f>DG107*0.6</f>
        <v>1.2</v>
      </c>
      <c r="DI107" s="4"/>
      <c r="DJ107" s="4"/>
      <c r="DK107" s="4"/>
      <c r="DL107" s="4"/>
      <c r="DN107" s="4"/>
      <c r="DO107" s="14">
        <f>SUM(DJ107:DN107)</f>
        <v>0</v>
      </c>
      <c r="DP107" s="14">
        <f ca="1">SUM(DD107,DF107,DO107, DI107, DH107,FP107)</f>
        <v>259.0376</v>
      </c>
      <c r="DQ107" s="24" t="s">
        <v>3879</v>
      </c>
      <c r="DR107" s="130">
        <v>0.91</v>
      </c>
      <c r="DS107" s="14">
        <v>10900</v>
      </c>
      <c r="DT107" s="14">
        <v>8000</v>
      </c>
      <c r="DU107" s="14">
        <v>18900</v>
      </c>
      <c r="DV107" s="14">
        <v>13700</v>
      </c>
      <c r="DW107" s="14">
        <v>9300</v>
      </c>
      <c r="DX107" s="14">
        <f>SUM(DV107+DW107)</f>
        <v>23000</v>
      </c>
      <c r="IA107" s="9"/>
      <c r="IL107" s="14">
        <f ca="1">SUM(IB107-DP107-FP107-IJ107)</f>
        <v>-259.0376</v>
      </c>
      <c r="IM107" s="9"/>
      <c r="IN107" s="9"/>
      <c r="IO107" s="9"/>
      <c r="IP107" s="9"/>
      <c r="IQ107" s="9"/>
    </row>
    <row r="108" spans="1:263" ht="15" customHeight="1">
      <c r="A108" s="19">
        <v>102021030</v>
      </c>
      <c r="B108" s="18" t="s">
        <v>2040</v>
      </c>
      <c r="C108" s="18"/>
      <c r="D108" s="13">
        <v>2022</v>
      </c>
      <c r="E108" s="18"/>
      <c r="F108" s="18"/>
      <c r="G108" s="18"/>
      <c r="H108" s="18"/>
      <c r="I108" s="18"/>
      <c r="J108" s="18" t="s">
        <v>253</v>
      </c>
      <c r="K108" s="18" t="s">
        <v>900</v>
      </c>
      <c r="L108" s="18" t="s">
        <v>1293</v>
      </c>
      <c r="M108" s="18" t="s">
        <v>763</v>
      </c>
      <c r="N108" s="18"/>
      <c r="O108" s="18"/>
      <c r="P108" s="18"/>
      <c r="Q108" s="18"/>
      <c r="R108" s="18"/>
      <c r="S108" s="18"/>
      <c r="T108" s="18"/>
      <c r="U108" s="18"/>
      <c r="V108" s="18"/>
      <c r="W108" s="18"/>
      <c r="X108" s="18"/>
      <c r="Y108" s="18"/>
      <c r="Z108" s="18"/>
      <c r="AA108" s="18"/>
      <c r="AB108" s="18"/>
      <c r="AC108" s="18"/>
      <c r="AD108" s="18"/>
      <c r="AE108" s="18"/>
      <c r="AF108" s="18"/>
      <c r="AG108" s="231"/>
      <c r="AH108" s="18"/>
      <c r="AI108" s="18"/>
      <c r="AJ108" s="18" t="s">
        <v>328</v>
      </c>
      <c r="AK108" s="18"/>
      <c r="AL108" s="18" t="s">
        <v>438</v>
      </c>
      <c r="AM108" s="24"/>
      <c r="AN108" s="24"/>
      <c r="AO108" s="18" t="s">
        <v>2153</v>
      </c>
      <c r="AP108" s="13" t="s">
        <v>258</v>
      </c>
      <c r="AQ108" s="24" t="s">
        <v>438</v>
      </c>
      <c r="AR108" s="24" t="s">
        <v>260</v>
      </c>
      <c r="AS108" s="13"/>
      <c r="AT108" s="13"/>
      <c r="AU108" s="13"/>
      <c r="AV108" s="13"/>
      <c r="AW108" s="13"/>
      <c r="AX108" s="19"/>
      <c r="AY108" s="19"/>
      <c r="AZ108" s="48"/>
      <c r="BA108" s="19"/>
      <c r="BB108" s="19"/>
      <c r="BC108" s="19"/>
      <c r="BD108" s="19"/>
      <c r="BE108" s="19"/>
      <c r="BF108" s="19"/>
      <c r="BG108" s="20"/>
      <c r="BH108" s="22"/>
      <c r="BI108" s="22"/>
      <c r="BJ108" s="14"/>
      <c r="BK108" s="22"/>
      <c r="BL108" s="14"/>
      <c r="BM108" s="14"/>
      <c r="BN108" s="14"/>
      <c r="BO108" s="17"/>
      <c r="BP108" s="23"/>
      <c r="BQ108" s="14"/>
      <c r="BR108" s="14"/>
      <c r="BS108" s="14"/>
      <c r="BT108" s="14"/>
      <c r="BU108" s="17"/>
      <c r="BV108" s="23"/>
      <c r="BW108" s="14"/>
      <c r="BX108" s="14"/>
      <c r="BY108" s="14"/>
      <c r="BZ108" s="14"/>
      <c r="CA108" s="17"/>
      <c r="CB108" s="23"/>
      <c r="CC108" s="14"/>
      <c r="CD108" s="14"/>
      <c r="CE108" s="14"/>
      <c r="CF108" s="14"/>
      <c r="CG108" s="17"/>
      <c r="CH108" s="23"/>
      <c r="CI108" s="14"/>
      <c r="CJ108" s="14"/>
      <c r="CK108" s="14"/>
      <c r="CL108" s="14"/>
      <c r="CM108" s="17"/>
      <c r="CN108" s="23"/>
      <c r="CO108" s="14"/>
      <c r="CP108" s="14"/>
      <c r="CQ108" s="14"/>
      <c r="CR108" s="14"/>
      <c r="CS108" s="17"/>
      <c r="CT108" s="23"/>
      <c r="CU108" s="14"/>
      <c r="CV108" s="14"/>
      <c r="CW108" s="14"/>
      <c r="CX108" s="14"/>
      <c r="CY108" s="14"/>
      <c r="CZ108" s="14"/>
      <c r="DA108" s="14"/>
      <c r="DB108" s="14"/>
      <c r="DC108" s="14"/>
      <c r="DD108" s="14"/>
      <c r="DE108" s="14"/>
      <c r="DF108" s="47"/>
      <c r="DG108" s="14"/>
      <c r="DH108" s="32"/>
      <c r="DI108" s="14"/>
      <c r="DJ108" s="14"/>
      <c r="DK108" s="14">
        <f>SUM(DE108,DG108,DQ108, DJ108, DI108,FS108)</f>
        <v>0</v>
      </c>
      <c r="DL108" s="14"/>
      <c r="DM108" s="14"/>
      <c r="DN108" s="14"/>
      <c r="DO108" s="23"/>
      <c r="DP108" s="25"/>
      <c r="DQ108" s="14">
        <f>SUM(DL108:DP108)</f>
        <v>0</v>
      </c>
      <c r="DR108" s="24" t="s">
        <v>1997</v>
      </c>
      <c r="DS108" s="25">
        <v>2500</v>
      </c>
      <c r="DT108" s="25">
        <v>0</v>
      </c>
      <c r="DU108" s="25">
        <f>SUM(DS108+DT108)</f>
        <v>2500</v>
      </c>
      <c r="DV108" s="36">
        <v>0.5</v>
      </c>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4"/>
      <c r="IP108" s="18"/>
      <c r="IQ108" s="18"/>
      <c r="IR108" s="18"/>
      <c r="IS108" s="18"/>
      <c r="IT108" s="18"/>
    </row>
    <row r="109" spans="1:263" ht="15" customHeight="1">
      <c r="A109" s="2">
        <v>102019021</v>
      </c>
      <c r="B109" s="4" t="s">
        <v>1332</v>
      </c>
      <c r="C109" s="4"/>
      <c r="D109" s="3"/>
      <c r="E109" s="2"/>
      <c r="F109" s="2"/>
      <c r="G109" s="2"/>
      <c r="H109" s="2"/>
      <c r="J109" t="s">
        <v>434</v>
      </c>
      <c r="K109" t="s">
        <v>1333</v>
      </c>
      <c r="L109" t="s">
        <v>447</v>
      </c>
      <c r="M109" t="s">
        <v>403</v>
      </c>
      <c r="N109" t="s">
        <v>1334</v>
      </c>
      <c r="O109" s="1"/>
      <c r="P109" t="s">
        <v>1125</v>
      </c>
      <c r="Q109" t="s">
        <v>1335</v>
      </c>
      <c r="R109" t="s">
        <v>650</v>
      </c>
      <c r="T109" s="1"/>
      <c r="X109" s="18"/>
      <c r="Y109" s="18"/>
      <c r="Z109" s="18"/>
      <c r="AA109" s="18"/>
      <c r="AB109" s="18"/>
      <c r="AC109" s="18"/>
      <c r="AD109" s="18"/>
      <c r="AE109" s="13"/>
      <c r="AF109" s="18"/>
      <c r="AG109" s="24"/>
      <c r="AH109" s="18"/>
      <c r="AI109" s="18"/>
      <c r="AJ109" s="14"/>
      <c r="AK109" s="14"/>
      <c r="AL109" s="14"/>
      <c r="AM109" s="24"/>
      <c r="AN109" s="24"/>
      <c r="AO109" s="18"/>
      <c r="AP109" s="13"/>
      <c r="AQ109" s="24"/>
      <c r="AR109" s="24"/>
      <c r="AS109" s="20"/>
      <c r="AT109" s="13"/>
      <c r="AU109" s="13"/>
      <c r="AV109" s="13"/>
      <c r="AW109" s="13"/>
      <c r="AX109" s="21"/>
      <c r="AY109" s="21"/>
      <c r="AZ109" s="21"/>
      <c r="BA109" s="21"/>
      <c r="BB109" s="13"/>
      <c r="BC109" s="21"/>
      <c r="BD109" s="21"/>
      <c r="BE109" s="21"/>
      <c r="BF109" s="21"/>
      <c r="BG109" s="20"/>
      <c r="BH109" s="22"/>
      <c r="BI109" s="22"/>
      <c r="BJ109" s="14"/>
      <c r="BK109" s="14"/>
      <c r="BL109" s="14"/>
      <c r="BM109" s="17"/>
      <c r="BN109" s="23"/>
      <c r="BO109" s="14"/>
      <c r="BP109" s="18"/>
      <c r="BQ109" s="14"/>
      <c r="BR109" s="14"/>
      <c r="BS109" s="17"/>
      <c r="BT109" s="23"/>
      <c r="BU109" s="14"/>
      <c r="BV109" s="14"/>
      <c r="BW109" s="14"/>
      <c r="BX109" s="14"/>
      <c r="BY109" s="17"/>
      <c r="BZ109" s="23"/>
      <c r="CA109" s="14"/>
      <c r="CB109" s="14"/>
      <c r="CC109" s="14"/>
      <c r="CD109" s="14"/>
      <c r="CE109" s="17"/>
      <c r="CF109" s="7"/>
      <c r="CG109" s="14"/>
      <c r="CH109" s="14"/>
      <c r="CI109" s="14"/>
      <c r="CJ109" s="14"/>
      <c r="CK109" s="6"/>
      <c r="CL109" s="23"/>
      <c r="CM109" s="14"/>
      <c r="CN109" s="14"/>
      <c r="CO109" s="14"/>
      <c r="CP109" s="14"/>
      <c r="CQ109" s="17"/>
      <c r="CR109" s="7"/>
      <c r="CS109" s="14"/>
      <c r="CT109" s="14"/>
      <c r="CU109" s="14"/>
      <c r="CV109" s="14"/>
      <c r="CW109" s="6"/>
      <c r="CX109" s="23"/>
      <c r="CY109" s="14"/>
      <c r="CZ109" s="14"/>
      <c r="DA109" s="14"/>
      <c r="DB109" s="14"/>
      <c r="DC109" s="6"/>
      <c r="DD109" s="7"/>
      <c r="DE109" s="14"/>
      <c r="DF109" s="4"/>
      <c r="DG109" s="4"/>
      <c r="DH109" s="14"/>
      <c r="DI109" s="14"/>
      <c r="DJ109" s="14"/>
      <c r="DK109" s="24"/>
      <c r="DL109" s="14"/>
      <c r="DM109" s="234"/>
      <c r="DN109" s="14"/>
      <c r="DO109" s="14"/>
      <c r="DP109" s="4"/>
      <c r="DQ109" s="14"/>
      <c r="DR109" s="14"/>
      <c r="DS109" s="14"/>
      <c r="DT109" s="14"/>
      <c r="DU109" s="25"/>
      <c r="DV109" s="14"/>
      <c r="DW109" s="25"/>
      <c r="DX109" s="14"/>
      <c r="DY109" s="14"/>
      <c r="DZ109" s="23"/>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27"/>
      <c r="FJ109" s="28"/>
      <c r="FK109" s="18"/>
      <c r="FL109" s="18"/>
      <c r="FM109" s="18"/>
      <c r="FN109" s="18"/>
      <c r="FO109" s="18"/>
      <c r="FP109" s="18"/>
      <c r="FQ109" s="28"/>
      <c r="FR109" s="27"/>
      <c r="FS109" s="18"/>
      <c r="FT109" s="18"/>
      <c r="FU109" s="18"/>
      <c r="FV109" s="18"/>
      <c r="FW109" s="18"/>
      <c r="FX109" s="14"/>
      <c r="FY109" s="18"/>
      <c r="FZ109" s="18"/>
      <c r="GA109" s="18"/>
      <c r="GB109" s="18"/>
      <c r="GC109" s="18"/>
      <c r="GD109" s="18"/>
      <c r="GE109" s="27"/>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27"/>
      <c r="IJ109" s="14"/>
      <c r="IK109" s="14"/>
      <c r="IL109" s="9"/>
      <c r="IS109" s="4"/>
      <c r="IT109" s="4"/>
    </row>
    <row r="110" spans="1:263" ht="15" customHeight="1">
      <c r="A110" s="19">
        <v>102022184</v>
      </c>
      <c r="B110" t="s">
        <v>2909</v>
      </c>
      <c r="D110" s="1"/>
      <c r="K110" t="s">
        <v>3244</v>
      </c>
      <c r="Z110" t="s">
        <v>3240</v>
      </c>
      <c r="AA110" t="s">
        <v>3241</v>
      </c>
      <c r="AB110" t="s">
        <v>3242</v>
      </c>
      <c r="AC110" t="s">
        <v>260</v>
      </c>
      <c r="AJ110" s="18" t="s">
        <v>328</v>
      </c>
      <c r="AL110" t="s">
        <v>438</v>
      </c>
      <c r="AM110"/>
      <c r="AN110"/>
      <c r="AO110" s="3" t="s">
        <v>3243</v>
      </c>
      <c r="AP110" s="3"/>
      <c r="AQ110" s="3" t="s">
        <v>438</v>
      </c>
      <c r="AR110"/>
      <c r="AT110" s="1"/>
      <c r="AU110" s="1"/>
      <c r="AV110" s="1"/>
      <c r="AW110" s="1"/>
      <c r="AX110" s="2"/>
      <c r="AY110" s="2"/>
      <c r="AZ110" s="70"/>
      <c r="BA110" s="2"/>
      <c r="BB110" s="2"/>
      <c r="BC110" s="2"/>
      <c r="BD110" s="2"/>
      <c r="BE110" s="2"/>
      <c r="BF110" s="2"/>
      <c r="BG110" s="20"/>
      <c r="BH110" s="22"/>
      <c r="BI110" s="22"/>
      <c r="BJ110" s="14"/>
      <c r="BK110" s="22"/>
      <c r="BL110" s="14"/>
      <c r="BM110" s="14"/>
      <c r="BN110" s="14"/>
      <c r="BO110" s="17"/>
      <c r="BP110" s="23"/>
      <c r="BQ110" s="14"/>
      <c r="BR110" s="14"/>
      <c r="BS110" s="14"/>
      <c r="BT110" s="14"/>
      <c r="BU110" s="17"/>
      <c r="BV110" s="23"/>
      <c r="BW110" s="14"/>
      <c r="BX110" s="14"/>
      <c r="BY110" s="14"/>
      <c r="BZ110" s="14"/>
      <c r="CA110" s="17"/>
      <c r="CB110" s="23"/>
      <c r="CC110" s="14"/>
      <c r="CD110" s="14"/>
      <c r="CE110" s="14"/>
      <c r="CF110" s="14"/>
      <c r="CG110" s="17"/>
      <c r="CH110" s="23"/>
      <c r="CI110" s="14"/>
      <c r="CJ110" s="14"/>
      <c r="CK110" s="14"/>
      <c r="CL110" s="14"/>
      <c r="CM110" s="17"/>
      <c r="CN110" s="23"/>
      <c r="CO110" s="14"/>
      <c r="CP110" s="14"/>
      <c r="CQ110" s="14"/>
      <c r="CR110" s="14"/>
      <c r="CS110" s="14"/>
      <c r="CT110" s="47"/>
      <c r="CU110" s="14"/>
      <c r="CV110" s="32"/>
      <c r="CW110" s="14"/>
      <c r="CX110" s="4"/>
      <c r="CY110" s="14"/>
      <c r="DE110" s="14"/>
      <c r="DF110" s="24"/>
      <c r="DG110" s="4"/>
      <c r="DH110" s="4"/>
      <c r="DI110" s="25"/>
      <c r="DJ110" s="35">
        <v>1.51</v>
      </c>
      <c r="IC110" s="4"/>
    </row>
    <row r="111" spans="1:263" ht="15" customHeight="1">
      <c r="A111" s="2">
        <v>102020064</v>
      </c>
      <c r="B111" t="s">
        <v>1710</v>
      </c>
      <c r="D111" s="1"/>
      <c r="K111" t="s">
        <v>1780</v>
      </c>
    </row>
    <row r="112" spans="1:263" ht="15" customHeight="1">
      <c r="A112" s="19">
        <v>102020031</v>
      </c>
      <c r="B112" s="18" t="s">
        <v>1620</v>
      </c>
      <c r="C112" s="18"/>
      <c r="D112" s="13"/>
      <c r="E112" s="24"/>
      <c r="F112" s="24"/>
      <c r="G112" s="18" t="s">
        <v>3960</v>
      </c>
      <c r="H112" s="18"/>
      <c r="I112" s="18"/>
      <c r="J112" s="18" t="s">
        <v>311</v>
      </c>
      <c r="K112" s="18" t="s">
        <v>1621</v>
      </c>
      <c r="L112" s="18" t="s">
        <v>764</v>
      </c>
      <c r="M112" s="18" t="s">
        <v>326</v>
      </c>
      <c r="N112" s="18"/>
      <c r="O112" s="24"/>
      <c r="P112" s="18"/>
      <c r="Q112" s="18"/>
      <c r="R112" s="18"/>
      <c r="S112" s="18"/>
      <c r="T112" s="18"/>
      <c r="U112" s="18"/>
      <c r="V112" s="18"/>
      <c r="W112" s="18"/>
      <c r="X112" s="18"/>
      <c r="Y112" s="18"/>
      <c r="Z112" s="18"/>
      <c r="AA112" s="18"/>
      <c r="AB112" s="18"/>
      <c r="AC112" s="18"/>
      <c r="AD112" s="18" t="s">
        <v>3961</v>
      </c>
      <c r="AE112" s="18" t="s">
        <v>253</v>
      </c>
      <c r="AF112" s="18" t="s">
        <v>811</v>
      </c>
      <c r="AG112" s="26" t="s">
        <v>1818</v>
      </c>
      <c r="AH112" s="31" t="s">
        <v>3962</v>
      </c>
      <c r="AI112" s="18"/>
      <c r="AJ112" s="18"/>
      <c r="AK112" s="18"/>
      <c r="AL112" s="18"/>
      <c r="AM112" s="18"/>
      <c r="AN112" s="18"/>
      <c r="AO112" s="18" t="s">
        <v>1622</v>
      </c>
      <c r="AP112" s="24" t="s">
        <v>258</v>
      </c>
      <c r="AQ112" s="18" t="s">
        <v>290</v>
      </c>
      <c r="AR112" s="18" t="s">
        <v>260</v>
      </c>
      <c r="AS112" s="18"/>
      <c r="AT112" s="18"/>
      <c r="AU112" s="18"/>
      <c r="AV112" s="18"/>
      <c r="AW112" s="18"/>
      <c r="AX112" s="13"/>
      <c r="AY112" s="13"/>
      <c r="AZ112" s="13"/>
      <c r="BA112" s="13"/>
      <c r="BB112" s="13"/>
      <c r="BC112" s="19"/>
      <c r="BD112" s="114">
        <v>43912</v>
      </c>
      <c r="BE112" s="114">
        <v>43937</v>
      </c>
      <c r="BF112" s="48"/>
      <c r="BG112" s="19"/>
      <c r="BH112" s="48"/>
      <c r="BI112" s="48"/>
      <c r="BJ112" s="19"/>
      <c r="BK112" s="19"/>
      <c r="BL112" s="20">
        <f ca="1">SUM(DP112)+220</f>
        <v>4100.1938333333328</v>
      </c>
      <c r="BM112" s="22">
        <f ca="1">PMT(10%/12,12,BL112,0,0)</f>
        <v>-360.47217867251402</v>
      </c>
      <c r="BN112" s="22">
        <f ca="1">SUM(BM112*-1)</f>
        <v>360.47217867251402</v>
      </c>
      <c r="BO112" s="14">
        <f>SUM(DX112*0.0052)/12</f>
        <v>75.746666666666655</v>
      </c>
      <c r="BP112" s="22">
        <f ca="1">SUM(BN112+BO112)</f>
        <v>436.21884533918069</v>
      </c>
      <c r="BQ112" s="14">
        <v>0</v>
      </c>
      <c r="BR112" s="14">
        <f>SUM(BQ112*0.1)</f>
        <v>0</v>
      </c>
      <c r="BS112" s="14">
        <f ca="1">SUM(BT112*BU112)</f>
        <v>0</v>
      </c>
      <c r="BT112" s="17">
        <f>SUM((BQ112+BR112)*0.00833333333333333)</f>
        <v>0</v>
      </c>
      <c r="BU112" s="23">
        <f ca="1">MONTH(TODAY())+49</f>
        <v>53</v>
      </c>
      <c r="BV112" s="14">
        <f ca="1">SUM(BQ112,BR112,BS112)</f>
        <v>0</v>
      </c>
      <c r="BW112" s="14">
        <v>311.27</v>
      </c>
      <c r="BX112" s="14">
        <v>29.64</v>
      </c>
      <c r="BY112" s="14">
        <f ca="1">SUM(BZ112*CA112)</f>
        <v>116.47758333333326</v>
      </c>
      <c r="BZ112" s="17">
        <f>SUM((BW112+BX112)*0.00833333333333333)</f>
        <v>2.840916666666665</v>
      </c>
      <c r="CA112" s="23">
        <f ca="1">MONTH(TODAY())+37</f>
        <v>41</v>
      </c>
      <c r="CB112" s="14">
        <f ca="1">SUM(BW112,BX112,BY112)</f>
        <v>457.38758333333323</v>
      </c>
      <c r="CC112" s="14">
        <f>SUM(DU112*0.0052)</f>
        <v>702</v>
      </c>
      <c r="CD112" s="14">
        <f>SUM(CC112*0.1)</f>
        <v>70.2</v>
      </c>
      <c r="CE112" s="14">
        <f ca="1">SUM(CF112*CG112)</f>
        <v>186.61499999999992</v>
      </c>
      <c r="CF112" s="17">
        <f>SUM((CC112+CD112)*0.00833333333333333)</f>
        <v>6.4349999999999978</v>
      </c>
      <c r="CG112" s="23">
        <f ca="1">MONTH(TODAY())+25</f>
        <v>29</v>
      </c>
      <c r="CH112" s="14">
        <f ca="1">SUM(CC112,CD112,CE112)</f>
        <v>958.81499999999994</v>
      </c>
      <c r="CI112" s="14">
        <f>SUM(DU112*0.0052)</f>
        <v>702</v>
      </c>
      <c r="CJ112" s="14">
        <f>SUM(CI112*0.1)</f>
        <v>70.2</v>
      </c>
      <c r="CK112" s="14">
        <f ca="1">SUM(CL112*CM112)</f>
        <v>109.39499999999997</v>
      </c>
      <c r="CL112" s="17">
        <f>SUM((CI112+CJ112)*0.00833333333333333)</f>
        <v>6.4349999999999978</v>
      </c>
      <c r="CM112" s="23">
        <f ca="1">MONTH(TODAY())+13</f>
        <v>17</v>
      </c>
      <c r="CN112" s="14">
        <f ca="1">SUM(CI112,CJ112,CK112)</f>
        <v>881.59500000000003</v>
      </c>
      <c r="CO112" s="14">
        <f>SUM(DU112*0.0052)/2-175.5</f>
        <v>175.5</v>
      </c>
      <c r="CP112" s="14">
        <f>SUM(CO112*0.1)</f>
        <v>17.55</v>
      </c>
      <c r="CQ112" s="14">
        <f ca="1">SUM(CR112*CS112)</f>
        <v>14.478749999999994</v>
      </c>
      <c r="CR112" s="17">
        <f>SUM((CO112+CP112)*0.00833333333333333)</f>
        <v>1.6087499999999995</v>
      </c>
      <c r="CS112" s="23">
        <f ca="1">MONTH(TODAY())+5</f>
        <v>9</v>
      </c>
      <c r="CT112" s="23">
        <f ca="1">SUM(CO112,CP112,CQ112)</f>
        <v>207.52875</v>
      </c>
      <c r="CU112" s="14">
        <f>SUM(DU112*0.0052)/2</f>
        <v>351</v>
      </c>
      <c r="CV112" s="14">
        <f>SUM(CU112*0.1)</f>
        <v>35.1</v>
      </c>
      <c r="CW112" s="14">
        <f ca="1">SUM(CX112*CY112)</f>
        <v>16.087499999999995</v>
      </c>
      <c r="CX112" s="17">
        <f>SUM((CU112+CV112)*0.00833333333333333)</f>
        <v>3.2174999999999989</v>
      </c>
      <c r="CY112" s="23">
        <f ca="1">MONTH(TODAY())+1</f>
        <v>5</v>
      </c>
      <c r="CZ112" s="23">
        <f ca="1">SUM(CU112,CV112,CW112)</f>
        <v>402.1875</v>
      </c>
      <c r="DA112" s="14">
        <f>SUM( BQ112, BW112, CC112, CI112, CO112,CU112)</f>
        <v>2241.77</v>
      </c>
      <c r="DB112" s="14">
        <f>SUM(BR112,BX112,CD112,CJ112, CP112,CV112)</f>
        <v>222.69000000000003</v>
      </c>
      <c r="DC112" s="14">
        <f ca="1">SUM(BS112,BY112,CE112,CK112, CQ112,CW112)</f>
        <v>443.05383333333316</v>
      </c>
      <c r="DD112" s="25">
        <f ca="1">SUM(DA112:DC112)</f>
        <v>2907.5138333333334</v>
      </c>
      <c r="DE112" s="47">
        <f ca="1">SUM(DD112/DU112)</f>
        <v>2.153713950617284E-2</v>
      </c>
      <c r="DF112" s="14">
        <f>39+195+58.5+148+58.5+58.5+156+58.5</f>
        <v>772</v>
      </c>
      <c r="DG112" s="32">
        <f>COUNTIF(DL112, "*")+COUNTIF(AO112, "*")+COUNTIF(AJ112, "*")+COUNTIF(AA112, "*")+COUNTIF(EM112, "*")+COUNTIF(ES112, "*")+COUNTIF(EY112, "*")+COUNTIF(FC112, "*")+COUNTIF(FJ112, "*")+COUNTIF(AT112, "*")+COUNTIF(FS112, "*")+COUNTIF(GD112, "*")+COUNTIF(GO112, "*")+COUNTIF(GW112, "*")+COUNTIF(HE112, "*")+COUNTIF(HM112, "*")+COUNTIF(HU112, "*")</f>
        <v>2</v>
      </c>
      <c r="DH112" s="14">
        <f>0.5+(6.25*DG112)+6.39+6.36</f>
        <v>25.75</v>
      </c>
      <c r="DI112" s="14">
        <v>150</v>
      </c>
      <c r="DJ112" s="14">
        <v>24.93</v>
      </c>
      <c r="DK112" s="14"/>
      <c r="DL112" s="14"/>
      <c r="DM112" s="23"/>
      <c r="DN112" s="25"/>
      <c r="DO112" s="14">
        <f>SUM(DJ112:DN112)</f>
        <v>24.93</v>
      </c>
      <c r="DP112" s="14">
        <f ca="1">SUM(DD112,DF112,DO112, DI112, DH112,FP112)</f>
        <v>3880.1938333333333</v>
      </c>
      <c r="DQ112" s="24" t="s">
        <v>2770</v>
      </c>
      <c r="DR112" s="23">
        <v>0.45</v>
      </c>
      <c r="DS112" s="14">
        <v>24000</v>
      </c>
      <c r="DT112" s="14">
        <v>111000</v>
      </c>
      <c r="DU112" s="14">
        <f>SUM(DS112+DT112)</f>
        <v>135000</v>
      </c>
      <c r="DV112" s="14">
        <v>45000</v>
      </c>
      <c r="DW112" s="14">
        <v>129800</v>
      </c>
      <c r="DX112" s="14">
        <f>SUM(DV112+DW112)</f>
        <v>174800</v>
      </c>
      <c r="DY112" s="26" t="s">
        <v>1796</v>
      </c>
      <c r="DZ112" s="26" t="s">
        <v>1797</v>
      </c>
      <c r="EA112" s="26" t="s">
        <v>1798</v>
      </c>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t="s">
        <v>1801</v>
      </c>
      <c r="FC112" s="18" t="s">
        <v>625</v>
      </c>
      <c r="FD112" s="18" t="s">
        <v>1799</v>
      </c>
      <c r="FE112" s="18" t="s">
        <v>1800</v>
      </c>
      <c r="FF112" s="18" t="s">
        <v>268</v>
      </c>
      <c r="FG112" s="27">
        <v>40294</v>
      </c>
      <c r="FH112" s="18" t="s">
        <v>1802</v>
      </c>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27"/>
      <c r="IB112" s="18"/>
      <c r="IC112" s="18"/>
      <c r="ID112" s="18"/>
      <c r="IE112" s="18"/>
      <c r="IF112" s="18"/>
      <c r="IG112" s="18"/>
      <c r="IH112" s="18"/>
      <c r="II112" s="18"/>
      <c r="IJ112" s="18"/>
      <c r="IK112" s="18"/>
      <c r="IL112" s="14">
        <f ca="1">SUM(IB112-DP112-FP112-IJ112)</f>
        <v>-3880.1938333333333</v>
      </c>
      <c r="IM112" s="27"/>
      <c r="IN112" s="27"/>
      <c r="IO112" s="27"/>
      <c r="IP112" s="27"/>
      <c r="IQ112" s="27"/>
    </row>
    <row r="113" spans="1:263" ht="15" customHeight="1">
      <c r="A113" s="2">
        <v>102017040</v>
      </c>
      <c r="B113" t="s">
        <v>889</v>
      </c>
      <c r="J113" t="s">
        <v>311</v>
      </c>
      <c r="K113" t="s">
        <v>890</v>
      </c>
      <c r="L113" t="s">
        <v>891</v>
      </c>
      <c r="M113" t="s">
        <v>392</v>
      </c>
      <c r="O113" s="1"/>
      <c r="T113" s="1"/>
      <c r="AE113" s="1"/>
      <c r="AL113" s="4"/>
      <c r="AP113" s="13"/>
      <c r="AQ113" s="34"/>
      <c r="AR113" s="34"/>
      <c r="AS113" s="1"/>
      <c r="AT113" s="13"/>
      <c r="AU113" s="1"/>
      <c r="AV113" s="1"/>
      <c r="AW113" s="1"/>
      <c r="AX113" s="15"/>
      <c r="AY113" s="15"/>
      <c r="AZ113" s="15"/>
      <c r="BA113" s="15"/>
      <c r="BB113" s="1"/>
      <c r="BC113" s="15"/>
      <c r="BD113" s="15"/>
      <c r="BE113" s="15"/>
      <c r="BF113" s="1"/>
      <c r="BG113" s="5"/>
      <c r="BH113" s="16"/>
      <c r="BI113" s="16"/>
      <c r="BK113" s="4"/>
      <c r="BL113" s="4"/>
      <c r="BM113" s="6"/>
      <c r="BN113" s="7"/>
      <c r="BO113" s="4"/>
      <c r="BQ113" s="4"/>
      <c r="BR113" s="4"/>
      <c r="BS113" s="6"/>
      <c r="BT113" s="7"/>
      <c r="BU113" s="4"/>
      <c r="BV113" s="4"/>
      <c r="BW113" s="4"/>
      <c r="BX113" s="4"/>
      <c r="BY113" s="6"/>
      <c r="BZ113" s="7"/>
      <c r="CA113" s="4"/>
      <c r="CC113" s="4"/>
      <c r="CD113" s="4"/>
      <c r="CE113" s="6"/>
      <c r="CF113" s="7"/>
      <c r="CG113" s="4"/>
      <c r="CH113" s="4"/>
      <c r="CI113" s="4"/>
      <c r="CJ113" s="4"/>
      <c r="CK113" s="6"/>
      <c r="CL113" s="7"/>
      <c r="CM113" s="4"/>
      <c r="CN113" s="4"/>
      <c r="CO113" s="4"/>
      <c r="CP113" s="4"/>
      <c r="CQ113" s="6"/>
      <c r="CR113" s="7"/>
      <c r="CS113" s="4"/>
      <c r="CT113" s="4"/>
      <c r="CU113" s="4"/>
      <c r="CV113" s="4"/>
      <c r="CW113" s="6"/>
      <c r="CX113" s="7"/>
      <c r="CY113" s="4"/>
      <c r="CZ113" s="4"/>
      <c r="DA113" s="4"/>
      <c r="DB113" s="4"/>
      <c r="DC113" s="6"/>
      <c r="DD113" s="7"/>
      <c r="DE113" s="4"/>
      <c r="DF113" s="4"/>
      <c r="DG113" s="4"/>
      <c r="DH113" s="4"/>
      <c r="DI113" s="6"/>
      <c r="DJ113" s="7"/>
      <c r="DK113" s="4"/>
      <c r="DL113" s="4"/>
      <c r="DM113" s="4"/>
      <c r="DN113" s="4"/>
      <c r="DO113" s="4"/>
      <c r="DP113" s="4"/>
      <c r="DQ113" s="3"/>
      <c r="DR113" s="4"/>
      <c r="DS113" s="4"/>
      <c r="DT113" s="4"/>
      <c r="DU113" s="4"/>
      <c r="DV113" s="4"/>
      <c r="DW113" s="4"/>
      <c r="DX113" s="4"/>
      <c r="DY113" s="4"/>
      <c r="DZ113" s="4"/>
      <c r="EA113" s="4"/>
      <c r="EB113" s="4"/>
      <c r="EC113" s="4"/>
      <c r="ED113" s="4"/>
      <c r="FL113" s="9"/>
      <c r="FM113" s="10"/>
      <c r="FT113" s="10"/>
      <c r="FU113" s="9"/>
      <c r="GG113" s="9"/>
      <c r="IP113" s="4"/>
    </row>
    <row r="114" spans="1:263" ht="15" customHeight="1">
      <c r="A114" s="19">
        <v>102021043</v>
      </c>
      <c r="B114" t="s">
        <v>2011</v>
      </c>
      <c r="K114" t="s">
        <v>2012</v>
      </c>
      <c r="AH114" s="272"/>
      <c r="AJ114" t="s">
        <v>2168</v>
      </c>
      <c r="AK114" t="s">
        <v>258</v>
      </c>
      <c r="AL114" s="3" t="s">
        <v>290</v>
      </c>
      <c r="AM114" s="3" t="s">
        <v>260</v>
      </c>
      <c r="AO114" t="s">
        <v>2166</v>
      </c>
      <c r="AP114" s="1" t="s">
        <v>258</v>
      </c>
      <c r="AQ114" s="3" t="s">
        <v>2167</v>
      </c>
      <c r="AR114"/>
      <c r="AX114" s="2"/>
      <c r="AY114" s="2"/>
      <c r="AZ114" s="2"/>
      <c r="BA114" s="2"/>
      <c r="BB114" s="2"/>
      <c r="BC114" s="2"/>
      <c r="BD114" s="2"/>
      <c r="BE114" s="2"/>
      <c r="BF114" s="2"/>
      <c r="BG114" s="20"/>
      <c r="BH114" s="22"/>
      <c r="BI114" s="22"/>
      <c r="BJ114" s="14"/>
      <c r="BK114" s="14"/>
      <c r="BL114" s="14"/>
      <c r="BM114" s="17"/>
      <c r="BN114" s="23"/>
      <c r="BO114" s="14"/>
      <c r="BP114" s="14"/>
      <c r="BQ114" s="14"/>
      <c r="BR114" s="14"/>
      <c r="BS114" s="17"/>
      <c r="BT114" s="23"/>
      <c r="BU114" s="14"/>
      <c r="BV114" s="14"/>
      <c r="BW114" s="14"/>
      <c r="BX114" s="14"/>
      <c r="BY114" s="17"/>
      <c r="BZ114" s="23"/>
      <c r="CA114" s="14"/>
      <c r="CB114" s="14"/>
      <c r="CC114" s="14"/>
      <c r="CD114" s="14"/>
      <c r="CE114" s="17"/>
      <c r="CF114" s="23"/>
      <c r="CG114" s="14"/>
      <c r="CH114" s="14"/>
      <c r="CI114" s="14"/>
      <c r="CJ114" s="14"/>
      <c r="CK114" s="17"/>
      <c r="CL114" s="23"/>
      <c r="CM114" s="14"/>
      <c r="CN114" s="14"/>
      <c r="CO114" s="14"/>
      <c r="CP114" s="14"/>
      <c r="CQ114" s="17"/>
      <c r="CR114" s="23"/>
      <c r="CS114" s="14"/>
      <c r="CT114" s="14"/>
      <c r="CU114" s="14"/>
      <c r="CV114" s="14"/>
      <c r="CW114" s="17"/>
      <c r="CX114" s="23"/>
      <c r="CY114" s="14"/>
      <c r="CZ114" s="14"/>
      <c r="DA114" s="14"/>
      <c r="DB114" s="14"/>
      <c r="DC114" s="17"/>
      <c r="DD114" s="23"/>
      <c r="DE114" s="14"/>
      <c r="DF114" s="14"/>
      <c r="DG114" s="14"/>
      <c r="DH114" s="14"/>
      <c r="DI114" s="14">
        <f>SUM(DF114:DH114)</f>
        <v>0</v>
      </c>
      <c r="DJ114" s="47">
        <f>SUM(DI114/DY114)</f>
        <v>0</v>
      </c>
      <c r="DK114" s="14">
        <v>39</v>
      </c>
      <c r="DL114" s="32">
        <f>COUNTIF(DR114, "*")+COUNTIF(AO114, "*")+COUNTIF(AJ114, "*")+COUNTIF(AB114, "*")+COUNTIF(EO114, "*")+COUNTIF(EU114, "*")+COUNTIF(FA114, "*")+COUNTIF(FE114, "*")+COUNTIF(FL114, "*")+COUNTIF(FT114, "*")+COUNTIF(GA114, "*")+COUNTIF(GL114, "*")+COUNTIF(GW114, "*")+COUNTIF(HE114, "*")+COUNTIF(HM114, "*")+COUNTIF(HU114, "*")+COUNTIF(IC114, "*")</f>
        <v>2</v>
      </c>
      <c r="DM114" s="14">
        <f>DL114*0.5</f>
        <v>1</v>
      </c>
      <c r="DN114" s="14"/>
      <c r="DO114" s="14">
        <f>SUM(DI114,DK114,DU114, DN114, DM114,FX114)</f>
        <v>40</v>
      </c>
      <c r="DP114" s="14"/>
      <c r="DQ114" s="14"/>
      <c r="DR114" s="14"/>
      <c r="DS114" s="14"/>
      <c r="DT114" s="25"/>
      <c r="DU114" s="14">
        <f>SUM(DP114:DT114)</f>
        <v>0</v>
      </c>
      <c r="DV114" s="24" t="s">
        <v>1997</v>
      </c>
      <c r="DW114" s="25">
        <v>24000</v>
      </c>
      <c r="DX114" s="25">
        <v>120600</v>
      </c>
      <c r="DY114" s="25">
        <f>SUM(DW114+DX114)</f>
        <v>144600</v>
      </c>
      <c r="DZ114" s="36">
        <v>0.44</v>
      </c>
      <c r="EA114" s="18"/>
      <c r="IK114" s="18"/>
      <c r="IL114" s="18"/>
      <c r="IM114" s="18"/>
      <c r="IN114" s="14"/>
      <c r="IO114" s="14"/>
      <c r="IP114" s="18"/>
      <c r="IQ114" s="18"/>
      <c r="IR114" s="18"/>
      <c r="IS114" s="18"/>
      <c r="IT114" s="18"/>
      <c r="IU114" s="240"/>
      <c r="IV114" s="240"/>
      <c r="IW114" s="240"/>
      <c r="IX114" s="240"/>
      <c r="IY114" s="240"/>
    </row>
    <row r="115" spans="1:263" ht="15" customHeight="1">
      <c r="A115" s="18">
        <v>102022031</v>
      </c>
      <c r="B115" t="s">
        <v>2793</v>
      </c>
      <c r="C115" s="10"/>
      <c r="D115" s="161"/>
      <c r="E115" s="147"/>
      <c r="F115" s="160"/>
      <c r="G115" s="147">
        <v>220001518</v>
      </c>
      <c r="H115" s="10"/>
      <c r="I115" s="10"/>
      <c r="J115" s="10" t="s">
        <v>311</v>
      </c>
      <c r="K115" s="10" t="s">
        <v>2978</v>
      </c>
      <c r="L115" s="10" t="s">
        <v>2977</v>
      </c>
      <c r="M115" s="10" t="s">
        <v>448</v>
      </c>
      <c r="N115" s="10"/>
      <c r="O115" s="147"/>
      <c r="P115" s="10"/>
      <c r="Q115" s="10"/>
      <c r="R115" s="10"/>
      <c r="S115" s="10"/>
      <c r="T115" s="10"/>
      <c r="U115" s="10"/>
      <c r="V115" s="10"/>
      <c r="W115" s="10"/>
      <c r="X115" s="10"/>
      <c r="Y115" s="10"/>
      <c r="Z115" s="10"/>
      <c r="AA115" s="10"/>
      <c r="AB115" s="10"/>
      <c r="AC115" s="10"/>
      <c r="AD115" s="10" t="s">
        <v>3918</v>
      </c>
      <c r="AE115" s="10" t="s">
        <v>311</v>
      </c>
      <c r="AF115" s="10" t="s">
        <v>2978</v>
      </c>
      <c r="AG115" s="141" t="s">
        <v>3463</v>
      </c>
      <c r="AH115" s="10" t="s">
        <v>3917</v>
      </c>
      <c r="AI115" s="10" t="s">
        <v>290</v>
      </c>
      <c r="AJ115" t="s">
        <v>2979</v>
      </c>
      <c r="AK115" s="1" t="s">
        <v>258</v>
      </c>
      <c r="AL115" t="s">
        <v>290</v>
      </c>
      <c r="AM115" t="s">
        <v>260</v>
      </c>
      <c r="AN115"/>
      <c r="AO115" t="s">
        <v>2980</v>
      </c>
      <c r="AP115" s="1" t="s">
        <v>258</v>
      </c>
      <c r="AQ115" t="s">
        <v>290</v>
      </c>
      <c r="AR115" t="s">
        <v>260</v>
      </c>
      <c r="AX115" s="1" t="s">
        <v>258</v>
      </c>
      <c r="AY115" s="1" t="s">
        <v>258</v>
      </c>
      <c r="AZ115" s="1"/>
      <c r="BA115" s="1"/>
      <c r="BB115" s="1"/>
      <c r="BC115" s="70">
        <v>44782</v>
      </c>
      <c r="BD115" s="114">
        <v>44605</v>
      </c>
      <c r="BE115" s="144">
        <v>44614</v>
      </c>
      <c r="BF115" s="70"/>
      <c r="BG115" s="2"/>
      <c r="BH115" s="70"/>
      <c r="BI115" s="70"/>
      <c r="BJ115" s="70"/>
      <c r="BK115" s="70"/>
      <c r="BL115" s="20">
        <f ca="1">SUM(EH115)+220</f>
        <v>5943.5476749999989</v>
      </c>
      <c r="BM115" s="22">
        <f ca="1">PMT(10%/12,12,BL115,0,0)</f>
        <v>-522.53226714148559</v>
      </c>
      <c r="BN115" s="22">
        <f ca="1">SUM(BM115*-1)</f>
        <v>522.53226714148559</v>
      </c>
      <c r="BO115" s="14">
        <f>SUM(EP115*0.0052)/12</f>
        <v>75.486666666666665</v>
      </c>
      <c r="BP115" s="22">
        <f ca="1">SUM(BN115+BO115)</f>
        <v>598.01893380815227</v>
      </c>
      <c r="BQ115" s="14">
        <v>173.16</v>
      </c>
      <c r="BR115" s="14">
        <f>SUM(BQ115*0.1)</f>
        <v>17.315999999999999</v>
      </c>
      <c r="BS115" s="14">
        <f ca="1">SUM(BT115*BU115)</f>
        <v>84.126899999999964</v>
      </c>
      <c r="BT115" s="17">
        <f>SUM((BQ115+BR115)*0.00833333333333333)</f>
        <v>1.5872999999999993</v>
      </c>
      <c r="BU115" s="23">
        <f ca="1">MONTH(TODAY())+49</f>
        <v>53</v>
      </c>
      <c r="BV115" s="14">
        <f ca="1">SUM(BQ115,BR115,BS115)</f>
        <v>274.60289999999998</v>
      </c>
      <c r="BW115" s="14">
        <f>SUM(EM115*0.0052)</f>
        <v>698.88</v>
      </c>
      <c r="BX115" s="14">
        <f>SUM(BW115*0.1)</f>
        <v>69.888000000000005</v>
      </c>
      <c r="BY115" s="14">
        <f ca="1">SUM(BZ115*CA115)</f>
        <v>262.66239999999993</v>
      </c>
      <c r="BZ115" s="17">
        <f>SUM((BW115+BX115)*0.00833333333333333)</f>
        <v>6.4063999999999979</v>
      </c>
      <c r="CA115" s="23">
        <f ca="1">MONTH(TODAY())+37</f>
        <v>41</v>
      </c>
      <c r="CB115" s="14">
        <f ca="1">SUM(BW115,BX115,BY115)</f>
        <v>1031.4304</v>
      </c>
      <c r="CC115" s="14">
        <f>SUM(EM115*0.0052)</f>
        <v>698.88</v>
      </c>
      <c r="CD115" s="14">
        <f>SUM(CC115*0.1)</f>
        <v>69.888000000000005</v>
      </c>
      <c r="CE115" s="14">
        <f ca="1">SUM(CF115*CG115)</f>
        <v>185.78559999999993</v>
      </c>
      <c r="CF115" s="17">
        <f>SUM((CC115+CD115)*0.00833333333333333)</f>
        <v>6.4063999999999979</v>
      </c>
      <c r="CG115" s="23">
        <f ca="1">MONTH(TODAY())+25</f>
        <v>29</v>
      </c>
      <c r="CH115" s="14">
        <f ca="1">SUM(CC115,CD115,CE115)</f>
        <v>954.55359999999996</v>
      </c>
      <c r="CI115" s="14">
        <f>SUM(EM115*0.0052)/2-58.24</f>
        <v>291.2</v>
      </c>
      <c r="CJ115" s="14">
        <v>0</v>
      </c>
      <c r="CK115" s="14">
        <v>0</v>
      </c>
      <c r="CL115" s="17">
        <f>SUM((CI115+CJ115)*0.00833333333333333)</f>
        <v>2.4266666666666654</v>
      </c>
      <c r="CM115" s="23">
        <f ca="1">MONTH(TODAY())+17</f>
        <v>21</v>
      </c>
      <c r="CN115" s="23">
        <f>SUM(CI115,CJ115,CK115)</f>
        <v>291.2</v>
      </c>
      <c r="CO115" s="14">
        <f>SUM(EM115*0.0052)/2</f>
        <v>349.44</v>
      </c>
      <c r="CP115" s="14">
        <f>SUM(CO115*0.1)</f>
        <v>34.944000000000003</v>
      </c>
      <c r="CQ115" s="14">
        <f ca="1">SUM(CR115*CS115)</f>
        <v>54.454399999999978</v>
      </c>
      <c r="CR115" s="17">
        <f>SUM((CO115+CP115)*0.00833333333333333)</f>
        <v>3.2031999999999989</v>
      </c>
      <c r="CS115" s="23">
        <f ca="1">MONTH(TODAY())+13</f>
        <v>17</v>
      </c>
      <c r="CT115" s="14">
        <f ca="1">SUM(CO115,CP115,CQ115)</f>
        <v>438.83839999999998</v>
      </c>
      <c r="CU115" s="14">
        <f>SUM(EP115*0.0045)/2</f>
        <v>391.95</v>
      </c>
      <c r="CV115" s="14">
        <f>SUM(CU115*0.1)</f>
        <v>39.195</v>
      </c>
      <c r="CW115" s="14">
        <f ca="1">SUM(CX115*CY115)</f>
        <v>39.521624999999986</v>
      </c>
      <c r="CX115" s="17">
        <f>SUM((CU115+CV115)*0.00833333333333333)</f>
        <v>3.5928749999999985</v>
      </c>
      <c r="CY115" s="23">
        <f ca="1">MONTH(TODAY())+7</f>
        <v>11</v>
      </c>
      <c r="CZ115" s="14">
        <f ca="1">SUM(CU115,CV115,CW115)</f>
        <v>470.66662499999995</v>
      </c>
      <c r="DA115" s="14">
        <f>SUM(EP115*0.0045)/2</f>
        <v>391.95</v>
      </c>
      <c r="DB115" s="14">
        <f>SUM(DA115*0.1)</f>
        <v>39.195</v>
      </c>
      <c r="DC115" s="14">
        <f ca="1">SUM(DD115*DE115)</f>
        <v>17.964374999999993</v>
      </c>
      <c r="DD115" s="17">
        <f>SUM((DA115+DB115)*0.00833333333333333)</f>
        <v>3.5928749999999985</v>
      </c>
      <c r="DE115" s="23">
        <f ca="1">MONTH(TODAY())+1</f>
        <v>5</v>
      </c>
      <c r="DF115" s="14">
        <f ca="1">SUM(DA115,DB115,DC115)</f>
        <v>449.109375</v>
      </c>
      <c r="DG115" s="14">
        <f>SUM(EP115*0.0045)/2</f>
        <v>391.95</v>
      </c>
      <c r="DH115" s="14">
        <f>SUM(DG115*0.1)</f>
        <v>39.195</v>
      </c>
      <c r="DI115" s="14">
        <f ca="1">SUM(DJ115*DK115)</f>
        <v>-10.778624999999995</v>
      </c>
      <c r="DJ115" s="17">
        <f>SUM((DG115+DH115)*0.00833333333333333)</f>
        <v>3.5928749999999985</v>
      </c>
      <c r="DK115" s="23">
        <f ca="1">MONTH(TODAY())-7</f>
        <v>-3</v>
      </c>
      <c r="DL115" s="14">
        <f ca="1">SUM(DG115,DH115,DI115)</f>
        <v>420.36637500000001</v>
      </c>
      <c r="DM115" s="14">
        <f>SUM(EP115*0.0045)/2</f>
        <v>391.95</v>
      </c>
      <c r="DN115" s="14">
        <f>0</f>
        <v>0</v>
      </c>
      <c r="DO115" s="14">
        <f>SUM(DP115*DQ115)</f>
        <v>0</v>
      </c>
      <c r="DP115" s="17">
        <f>SUM((DM115+DN115)*0.00833333333333333)</f>
        <v>3.2662499999999985</v>
      </c>
      <c r="DQ115" s="23">
        <v>0</v>
      </c>
      <c r="DR115" s="14">
        <f>SUM(DM115,DN115,DO115)</f>
        <v>391.95</v>
      </c>
      <c r="DS115" s="14">
        <f>SUM(BQ115, BW115, CC115, CI115,CO115,CU115,DA115,DG115,DM115)</f>
        <v>3779.3599999999992</v>
      </c>
      <c r="DT115" s="14">
        <f>SUM(BR115,BX115,CD115, CJ115,CP115,CV115,DB115,DH115,DN115)</f>
        <v>309.62099999999998</v>
      </c>
      <c r="DU115" s="14">
        <f ca="1">SUM(BS115,BY115,CE115, CK115,CQ115,CW115,DC115,DI115,DO115)</f>
        <v>633.73667499999976</v>
      </c>
      <c r="DV115" s="25">
        <f ca="1">SUM(DS115:DU115)</f>
        <v>4722.717674999999</v>
      </c>
      <c r="DW115" s="47">
        <f ca="1">SUM(DV115/EM115)</f>
        <v>3.5139268415178566E-2</v>
      </c>
      <c r="DX115" s="14">
        <f>19.5+19.5+195+58.5+156+58.5+195+58.5</f>
        <v>760.5</v>
      </c>
      <c r="DY115" s="32">
        <f>COUNTIF(AO115, "*")+COUNTIF(AJ115, "*")+COUNTIF(AA115, "*")+COUNTIF(FA115, "*")+COUNTIF(FG115, "*")+COUNTIF(FM115, "*")+COUNTIF(FQ115, "*")+COUNTIF(FX115, "*")+COUNTIF(AT115, "*")+COUNTIF(GG115, "*")+COUNTIF(GR115, "*")+COUNTIF(HC115, "*")+COUNTIF(HK115, "*")+COUNTIF(HS115, "*")+COUNTIF(IA115, "*")</f>
        <v>4</v>
      </c>
      <c r="DZ115" s="14">
        <f>DY115*0.53+DY115*6.66+7.14</f>
        <v>35.9</v>
      </c>
      <c r="EA115" s="4">
        <v>54.43</v>
      </c>
      <c r="EB115" s="4">
        <v>150</v>
      </c>
      <c r="EC115" s="4"/>
      <c r="ED115" s="4"/>
      <c r="EE115" s="4"/>
      <c r="EF115" s="4"/>
      <c r="EG115" s="14">
        <f>SUM(EA115:EF115)</f>
        <v>204.43</v>
      </c>
      <c r="EH115" s="14">
        <f ca="1">SUM(DV115,DX115,EG115,DZ115,GD115)</f>
        <v>5723.5476749999989</v>
      </c>
      <c r="EI115" s="24" t="s">
        <v>2770</v>
      </c>
      <c r="EJ115" s="7">
        <v>0.45</v>
      </c>
      <c r="EK115" s="4">
        <v>24000</v>
      </c>
      <c r="EL115" s="4">
        <v>110400</v>
      </c>
      <c r="EM115" s="14">
        <f>SUM(EK115+EL115)</f>
        <v>134400</v>
      </c>
      <c r="EN115" s="14">
        <v>45000</v>
      </c>
      <c r="EO115" s="14">
        <v>129200</v>
      </c>
      <c r="EP115" s="14">
        <f>SUM(EN115+EO115)</f>
        <v>174200</v>
      </c>
      <c r="EQ115" s="10" t="s">
        <v>3406</v>
      </c>
      <c r="ER115" s="10" t="s">
        <v>3405</v>
      </c>
      <c r="ES115" s="10" t="s">
        <v>3407</v>
      </c>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t="s">
        <v>3408</v>
      </c>
      <c r="FQ115" s="10" t="s">
        <v>3409</v>
      </c>
      <c r="FR115" s="10"/>
      <c r="FS115" s="10" t="s">
        <v>3119</v>
      </c>
      <c r="FT115" s="10" t="s">
        <v>3120</v>
      </c>
      <c r="FU115" s="9">
        <v>43577</v>
      </c>
      <c r="FV115" s="10">
        <v>190001984</v>
      </c>
      <c r="FW115" s="10" t="s">
        <v>3410</v>
      </c>
      <c r="FX115" s="10" t="s">
        <v>1781</v>
      </c>
      <c r="FY115" s="10"/>
      <c r="FZ115" s="10" t="s">
        <v>300</v>
      </c>
      <c r="GA115" s="10" t="s">
        <v>301</v>
      </c>
      <c r="GB115" s="9">
        <v>43577</v>
      </c>
      <c r="GC115" s="10">
        <v>190001984</v>
      </c>
      <c r="GD115" s="10"/>
      <c r="GE115" s="10"/>
      <c r="GF115" s="10"/>
      <c r="GG115" s="10"/>
      <c r="GH115" s="10"/>
      <c r="GI115" s="10"/>
      <c r="GJ115" s="10"/>
      <c r="GK115" s="9"/>
      <c r="GL115" s="10"/>
      <c r="GM115" s="10"/>
      <c r="GN115" s="10"/>
      <c r="GO115" s="10"/>
      <c r="GP115" s="10"/>
      <c r="GQ115" s="10"/>
      <c r="GR115" s="10"/>
      <c r="GS115" s="10"/>
      <c r="GT115" s="10"/>
      <c r="GU115" s="10"/>
      <c r="GV115" s="9"/>
      <c r="GW115" s="10"/>
      <c r="GX115" s="10"/>
      <c r="GY115" s="10"/>
      <c r="GZ115" s="10"/>
      <c r="HA115" s="10"/>
      <c r="HB115" s="10"/>
      <c r="HC115" s="10"/>
      <c r="HD115" s="10"/>
      <c r="HE115" s="10"/>
      <c r="HF115" s="10"/>
      <c r="HG115" s="9"/>
      <c r="HH115" s="10"/>
      <c r="HI115" s="10"/>
      <c r="HJ115" s="10"/>
      <c r="HK115" s="10"/>
      <c r="HL115" s="10"/>
      <c r="HM115" s="10"/>
      <c r="HN115" s="10"/>
      <c r="HO115" s="9"/>
      <c r="HP115" s="10"/>
      <c r="HQ115" s="10"/>
      <c r="HR115" s="10"/>
      <c r="HS115" s="10"/>
      <c r="HT115" s="10"/>
      <c r="HU115" s="10"/>
      <c r="HV115" s="10"/>
      <c r="HW115" s="9"/>
      <c r="HX115" s="10"/>
      <c r="HY115" s="10"/>
      <c r="HZ115" s="10"/>
      <c r="IA115" s="10"/>
      <c r="IB115" s="10"/>
      <c r="IC115" s="10"/>
      <c r="ID115" s="10"/>
      <c r="IE115" s="9"/>
      <c r="IF115" s="4"/>
      <c r="IG115" s="4"/>
      <c r="IH115" s="10"/>
      <c r="II115" s="10"/>
      <c r="IJ115" s="10"/>
      <c r="IK115" s="10"/>
      <c r="IL115" s="4"/>
      <c r="IM115" s="4"/>
      <c r="IN115" s="14">
        <f ca="1">SUM(IF115-EH115-GD115-IL115)</f>
        <v>-5723.5476749999989</v>
      </c>
      <c r="IO115" s="14"/>
      <c r="IP115" s="14"/>
      <c r="IQ115" s="9"/>
      <c r="IR115" s="9"/>
      <c r="IS115" s="9"/>
      <c r="IT115" s="9"/>
      <c r="IU115" s="9"/>
      <c r="IV115" s="27" t="s">
        <v>5913</v>
      </c>
    </row>
    <row r="116" spans="1:263" ht="15" customHeight="1">
      <c r="A116" s="19">
        <v>102021100</v>
      </c>
      <c r="B116" s="18" t="s">
        <v>2645</v>
      </c>
      <c r="D116" s="13">
        <v>2023</v>
      </c>
      <c r="E116" s="3"/>
      <c r="F116" s="3"/>
      <c r="J116" s="18" t="s">
        <v>554</v>
      </c>
      <c r="K116" s="18" t="s">
        <v>2646</v>
      </c>
      <c r="L116" s="18" t="s">
        <v>2647</v>
      </c>
      <c r="M116" s="18" t="s">
        <v>396</v>
      </c>
      <c r="O116" s="3"/>
      <c r="P116" s="18" t="s">
        <v>2646</v>
      </c>
      <c r="Q116" s="18" t="s">
        <v>4016</v>
      </c>
      <c r="R116" s="18" t="s">
        <v>850</v>
      </c>
      <c r="AG116" s="43"/>
      <c r="AJ116" s="18" t="s">
        <v>328</v>
      </c>
      <c r="AL116" s="18" t="s">
        <v>290</v>
      </c>
      <c r="AM116"/>
      <c r="AN116"/>
      <c r="AO116" t="s">
        <v>2648</v>
      </c>
      <c r="AP116" s="3" t="s">
        <v>258</v>
      </c>
      <c r="AQ116" t="s">
        <v>290</v>
      </c>
      <c r="AR116" t="s">
        <v>260</v>
      </c>
      <c r="AX116" s="1"/>
      <c r="AY116" s="1"/>
      <c r="AZ116" s="1"/>
      <c r="BA116" s="1"/>
      <c r="BB116" s="1"/>
      <c r="BC116" s="2"/>
      <c r="BD116" s="116"/>
      <c r="BE116" s="115">
        <v>44957</v>
      </c>
      <c r="BF116" s="2"/>
      <c r="BG116" s="2"/>
      <c r="BH116" s="2"/>
      <c r="BI116" s="2"/>
      <c r="BJ116" s="2"/>
      <c r="BK116" s="2"/>
      <c r="BL116" s="20">
        <f ca="1">SUM(DP116)+220</f>
        <v>640.71066666666673</v>
      </c>
      <c r="BM116" s="22">
        <f ca="1">PMT(10%/12,12,BL116,0,0)</f>
        <v>-56.32864671773094</v>
      </c>
      <c r="BN116" s="22">
        <f ca="1">SUM(BM116*-1)</f>
        <v>56.32864671773094</v>
      </c>
      <c r="BO116" s="14">
        <f>SUM(DX116*0.0052)/12</f>
        <v>0.43333333333333335</v>
      </c>
      <c r="BP116" s="22">
        <f ca="1">SUM(BN116+BO116)</f>
        <v>56.76198005106427</v>
      </c>
      <c r="BQ116" s="14"/>
      <c r="BR116" s="14">
        <f>SUM(BQ116*0.1)</f>
        <v>0</v>
      </c>
      <c r="BS116" s="14">
        <f ca="1">SUM(BT116*BU116)</f>
        <v>0</v>
      </c>
      <c r="BT116" s="17">
        <f>SUM((BQ116+BR116)*0.00833333333333333)</f>
        <v>0</v>
      </c>
      <c r="BU116" s="23">
        <f ca="1">MONTH(TODAY())+49</f>
        <v>53</v>
      </c>
      <c r="BV116" s="14">
        <f ca="1">SUM(BQ116,BR116,BS116)</f>
        <v>0</v>
      </c>
      <c r="BW116" s="14">
        <f>SUM(DU116*0.0052)</f>
        <v>5.2</v>
      </c>
      <c r="BX116" s="14">
        <f>SUM(BW116*0.1)</f>
        <v>0.52</v>
      </c>
      <c r="BY116" s="14">
        <f ca="1">SUM(BZ116*CA116)</f>
        <v>1.9543333333333326</v>
      </c>
      <c r="BZ116" s="17">
        <f>SUM((BW116+BX116)*0.00833333333333333)</f>
        <v>4.7666666666666649E-2</v>
      </c>
      <c r="CA116" s="23">
        <f ca="1">MONTH(TODAY())+37</f>
        <v>41</v>
      </c>
      <c r="CB116" s="14">
        <f ca="1">SUM(BW116,BX116,BY116)</f>
        <v>7.6743333333333332</v>
      </c>
      <c r="CC116" s="14">
        <f>SUM(DU116*0.0052)</f>
        <v>5.2</v>
      </c>
      <c r="CD116" s="14">
        <f>SUM(CC116*0.1)</f>
        <v>0.52</v>
      </c>
      <c r="CE116" s="14">
        <f ca="1">SUM(CF116*CG116)</f>
        <v>1.3823333333333327</v>
      </c>
      <c r="CF116" s="17">
        <f>SUM((CC116+CD116)*0.00833333333333333)</f>
        <v>4.7666666666666649E-2</v>
      </c>
      <c r="CG116" s="23">
        <f ca="1">MONTH(TODAY())+25</f>
        <v>29</v>
      </c>
      <c r="CH116" s="14">
        <f ca="1">SUM(CC116,CD116,CE116)</f>
        <v>7.1023333333333332</v>
      </c>
      <c r="CI116" s="14">
        <f>SUM(DU116*0.0052)</f>
        <v>5.2</v>
      </c>
      <c r="CJ116" s="14">
        <f>SUM(CI116*0.1)</f>
        <v>0.52</v>
      </c>
      <c r="CK116" s="14">
        <f ca="1">SUM(CL116*CM116)</f>
        <v>0.81033333333333302</v>
      </c>
      <c r="CL116" s="17">
        <f>SUM((CI116+CJ116)*0.00833333333333333)</f>
        <v>4.7666666666666649E-2</v>
      </c>
      <c r="CM116" s="23">
        <f ca="1">MONTH(TODAY())+13</f>
        <v>17</v>
      </c>
      <c r="CN116" s="14">
        <f ca="1">SUM(CI116,CJ116,CK116)</f>
        <v>6.530333333333334</v>
      </c>
      <c r="CO116" s="14">
        <f>SUM(DU116*0.0052)/2</f>
        <v>2.6</v>
      </c>
      <c r="CP116" s="14">
        <f>SUM(CO116*0.1)</f>
        <v>0.26</v>
      </c>
      <c r="CQ116" s="14">
        <f ca="1">SUM(CR116*CS116)</f>
        <v>0.21449999999999991</v>
      </c>
      <c r="CR116" s="17">
        <f>SUM((CO116+CP116)*0.00833333333333333)</f>
        <v>2.3833333333333324E-2</v>
      </c>
      <c r="CS116" s="23">
        <f ca="1">MONTH(TODAY())+5</f>
        <v>9</v>
      </c>
      <c r="CT116" s="23">
        <f ca="1">SUM(CO116,CP116,CQ116)</f>
        <v>3.0745000000000005</v>
      </c>
      <c r="CU116" s="14">
        <f>SUM(DU116*0.0052)/2</f>
        <v>2.6</v>
      </c>
      <c r="CV116" s="14">
        <f>SUM(CU116*0.1)</f>
        <v>0.26</v>
      </c>
      <c r="CW116" s="14">
        <f ca="1">SUM(CX116*CY116)</f>
        <v>0.11916666666666662</v>
      </c>
      <c r="CX116" s="17">
        <f>SUM((CU116+CV116)*0.00833333333333333)</f>
        <v>2.3833333333333324E-2</v>
      </c>
      <c r="CY116" s="23">
        <f ca="1">MONTH(TODAY())+1</f>
        <v>5</v>
      </c>
      <c r="CZ116" s="23">
        <f ca="1">SUM(CU116,CV116,CW116)</f>
        <v>2.979166666666667</v>
      </c>
      <c r="DA116" s="14">
        <f>SUM( BQ116, BW116, CC116, CI116, CO116,CU116)</f>
        <v>20.800000000000004</v>
      </c>
      <c r="DB116" s="14">
        <f>SUM(BR116,BX116,CD116,CJ116, CP116,CV116)</f>
        <v>2.08</v>
      </c>
      <c r="DC116" s="14">
        <f ca="1">SUM(BS116,BY116,CE116,CK116, CQ116,CW116)</f>
        <v>4.4806666666666652</v>
      </c>
      <c r="DD116" s="25">
        <f ca="1">SUM(DA116:DC116)</f>
        <v>27.360666666666667</v>
      </c>
      <c r="DE116" s="47">
        <f ca="1">SUM(DD116/DU116)</f>
        <v>2.7360666666666669E-2</v>
      </c>
      <c r="DF116" s="14">
        <f>19.5+200</f>
        <v>219.5</v>
      </c>
      <c r="DG116" s="32">
        <f>COUNTIF(DL116, "*")+COUNTIF(AO116, "*")+COUNTIF(AJ116, "*")+COUNTIF(AA116, "*")+COUNTIF(EM116, "*")+COUNTIF(ES116, "*")+COUNTIF(EY116, "*")+COUNTIF(FC116, "*")+COUNTIF(FJ116, "*")+COUNTIF(AT116, "*")+COUNTIF(FS116, "*")+COUNTIF(GD116, "*")+COUNTIF(GO116, "*")+COUNTIF(GW116, "*")+COUNTIF(HE116, "*")+COUNTIF(HM116, "*")+COUNTIF(HU116, "*")</f>
        <v>3</v>
      </c>
      <c r="DH116" s="14">
        <f>DG116*0.5+DG116*7.45</f>
        <v>23.85</v>
      </c>
      <c r="DI116" s="4">
        <v>150</v>
      </c>
      <c r="DJ116" s="4"/>
      <c r="DK116" s="4"/>
      <c r="DL116" s="4"/>
      <c r="DN116" s="4"/>
      <c r="DO116" s="14">
        <f>SUM(DJ116:DN116)</f>
        <v>0</v>
      </c>
      <c r="DP116" s="14">
        <f ca="1">SUM(DD116,DF116,DO116, DI116, DH116,FP116)</f>
        <v>420.71066666666673</v>
      </c>
      <c r="DQ116" s="24" t="s">
        <v>3908</v>
      </c>
      <c r="DR116" s="7">
        <v>0.31</v>
      </c>
      <c r="DS116" s="4">
        <v>1000</v>
      </c>
      <c r="DT116" s="4">
        <v>0</v>
      </c>
      <c r="DU116" s="14">
        <f>SUM(DS116+DT116)</f>
        <v>1000</v>
      </c>
      <c r="DV116" s="14">
        <v>1000</v>
      </c>
      <c r="DW116" s="14">
        <v>0</v>
      </c>
      <c r="DX116" s="14">
        <f>SUM(DV116+DW116)</f>
        <v>1000</v>
      </c>
      <c r="DY116" t="s">
        <v>3993</v>
      </c>
      <c r="DZ116" t="s">
        <v>3994</v>
      </c>
      <c r="EA116" t="s">
        <v>3995</v>
      </c>
      <c r="FB116" t="s">
        <v>3990</v>
      </c>
      <c r="FC116" t="s">
        <v>3991</v>
      </c>
      <c r="FE116" t="s">
        <v>495</v>
      </c>
      <c r="FF116" t="s">
        <v>496</v>
      </c>
      <c r="FG116" s="9">
        <v>43304</v>
      </c>
      <c r="FH116" t="s">
        <v>3992</v>
      </c>
      <c r="IA116" s="9"/>
      <c r="IL116" s="14">
        <f ca="1">SUM(IB116-DP116-FP116-IJ116)</f>
        <v>-420.71066666666673</v>
      </c>
      <c r="IM116" s="9"/>
      <c r="IN116" s="9"/>
      <c r="IO116" s="9"/>
      <c r="IP116" s="9"/>
      <c r="IQ116" s="9"/>
    </row>
    <row r="117" spans="1:263" ht="15" customHeight="1">
      <c r="A117" s="2">
        <v>102020062</v>
      </c>
      <c r="B117" t="s">
        <v>1706</v>
      </c>
      <c r="J117" t="s">
        <v>311</v>
      </c>
      <c r="K117" t="s">
        <v>1707</v>
      </c>
      <c r="L117" t="s">
        <v>1708</v>
      </c>
      <c r="M117" t="s">
        <v>357</v>
      </c>
      <c r="N117" t="s">
        <v>341</v>
      </c>
      <c r="T117" s="1"/>
      <c r="AG117" s="248"/>
      <c r="AJ117" s="4"/>
      <c r="AK117" s="4"/>
      <c r="AL117" s="4"/>
      <c r="AO117" s="4"/>
      <c r="AP117" s="13"/>
      <c r="AQ117" s="63"/>
      <c r="AR117" s="34"/>
      <c r="AS117" s="5"/>
      <c r="AT117" s="13"/>
      <c r="AU117" s="1"/>
      <c r="AV117" s="1"/>
      <c r="AW117" s="1"/>
      <c r="AX117" s="1"/>
      <c r="AY117" s="1"/>
      <c r="AZ117" s="1"/>
      <c r="BA117" s="1"/>
      <c r="BB117" s="1"/>
      <c r="BC117" s="1"/>
      <c r="BD117" s="1"/>
      <c r="BE117" s="1"/>
      <c r="BF117" s="1"/>
      <c r="BG117" s="5"/>
      <c r="BH117" s="16"/>
      <c r="BI117" s="16"/>
      <c r="BJ117" s="4"/>
      <c r="BK117" s="4"/>
      <c r="BL117" s="4"/>
      <c r="BM117" s="6"/>
      <c r="BN117" s="7"/>
      <c r="BO117" s="4"/>
      <c r="BP117" s="4"/>
      <c r="BQ117" s="4"/>
      <c r="BR117" s="4"/>
      <c r="BS117" s="6"/>
      <c r="BT117" s="7"/>
      <c r="BU117" s="4"/>
      <c r="BV117" s="4"/>
      <c r="BW117" s="4"/>
      <c r="BX117" s="4"/>
      <c r="BY117" s="6"/>
      <c r="BZ117" s="7"/>
      <c r="CA117" s="4"/>
      <c r="CB117" s="4"/>
      <c r="CC117" s="4"/>
      <c r="CD117" s="4"/>
      <c r="CE117" s="6"/>
      <c r="CF117" s="7"/>
      <c r="CG117" s="4"/>
      <c r="CH117" s="4"/>
      <c r="CI117" s="4"/>
      <c r="CJ117" s="4"/>
      <c r="CK117" s="6"/>
      <c r="CL117" s="7"/>
      <c r="CM117" s="4"/>
      <c r="CN117" s="4"/>
      <c r="CO117" s="4"/>
      <c r="CP117" s="4"/>
      <c r="CQ117" s="6"/>
      <c r="CR117" s="7"/>
      <c r="CS117" s="4"/>
      <c r="CT117" s="4"/>
      <c r="CU117" s="4"/>
      <c r="CV117" s="4"/>
      <c r="CW117" s="6"/>
      <c r="CX117" s="7"/>
      <c r="CY117" s="4"/>
      <c r="CZ117" s="4"/>
      <c r="DA117" s="4"/>
      <c r="DB117" s="4"/>
      <c r="DC117" s="4"/>
      <c r="DD117" s="3"/>
      <c r="DE117" s="4"/>
      <c r="DF117" s="234"/>
      <c r="DG117" s="4"/>
      <c r="DH117" s="4"/>
      <c r="DI117" s="4"/>
      <c r="DJ117" s="4"/>
      <c r="DK117" s="4"/>
      <c r="DL117" s="4"/>
      <c r="DM117" s="4"/>
      <c r="DN117" s="8"/>
      <c r="DO117" s="4"/>
      <c r="DP117" s="8"/>
      <c r="DQ117" s="8"/>
      <c r="DR117" s="8"/>
      <c r="DS117" s="35"/>
      <c r="FB117" s="9"/>
      <c r="FC117" s="10"/>
      <c r="FJ117" s="10"/>
      <c r="FK117" s="9"/>
      <c r="FL117" s="18"/>
      <c r="FM117" s="18"/>
      <c r="FN117" s="18"/>
      <c r="FO117" s="18"/>
      <c r="FP117" s="18"/>
      <c r="FQ117" s="14"/>
      <c r="FX117" s="9"/>
      <c r="IC117" s="4"/>
      <c r="ID117" s="4"/>
      <c r="IE117" s="9"/>
    </row>
    <row r="118" spans="1:263" ht="15" customHeight="1">
      <c r="A118" s="19">
        <v>102022037</v>
      </c>
      <c r="B118" t="s">
        <v>2993</v>
      </c>
      <c r="D118" s="1"/>
      <c r="E118" s="3" t="s">
        <v>3723</v>
      </c>
      <c r="F118" s="3">
        <v>220002132</v>
      </c>
      <c r="J118" t="s">
        <v>253</v>
      </c>
      <c r="K118" t="s">
        <v>2998</v>
      </c>
      <c r="L118" t="s">
        <v>2999</v>
      </c>
      <c r="M118" t="s">
        <v>448</v>
      </c>
      <c r="AG118" s="43"/>
      <c r="AM118"/>
      <c r="AN118"/>
      <c r="AO118" s="3" t="s">
        <v>3000</v>
      </c>
      <c r="AP118" s="3" t="s">
        <v>258</v>
      </c>
      <c r="AQ118" t="s">
        <v>300</v>
      </c>
      <c r="AR118" t="s">
        <v>260</v>
      </c>
      <c r="AS118" s="1"/>
      <c r="AT118" s="1" t="s">
        <v>258</v>
      </c>
      <c r="AU118" s="1"/>
      <c r="AV118" s="1"/>
      <c r="AW118" s="1"/>
      <c r="AX118" s="70">
        <v>44648</v>
      </c>
      <c r="AY118" s="114">
        <v>44605</v>
      </c>
      <c r="AZ118" s="114">
        <v>44615</v>
      </c>
      <c r="BA118" s="2"/>
      <c r="BB118" s="2"/>
      <c r="BC118" s="2"/>
      <c r="BD118" s="2"/>
      <c r="BE118" s="2"/>
      <c r="BF118" s="2"/>
      <c r="BG118" s="20">
        <f ca="1">SUM(CY118)+214.5</f>
        <v>2900.938016666666</v>
      </c>
      <c r="BH118" s="22">
        <f ca="1">PMT(10%/12,12,BG118,0,0)</f>
        <v>-255.03853953451431</v>
      </c>
      <c r="BI118" s="22">
        <f ca="1">SUM(BH118*-1)</f>
        <v>255.03853953451431</v>
      </c>
      <c r="BJ118" s="14">
        <f>SUM(DI118*0.0052)/12</f>
        <v>69.983333333333334</v>
      </c>
      <c r="BK118" s="22">
        <f ca="1">SUM(BI118+BJ118)</f>
        <v>325.02187286784766</v>
      </c>
      <c r="BL118" s="14"/>
      <c r="BM118" s="14">
        <f>SUM(BL118*0.1)</f>
        <v>0</v>
      </c>
      <c r="BN118" s="14">
        <f ca="1">SUM(BO118*BP118)</f>
        <v>0</v>
      </c>
      <c r="BO118" s="17">
        <f>SUM((BL118+BM118)*0.00833333333333333)</f>
        <v>0</v>
      </c>
      <c r="BP118" s="23">
        <f ca="1">MONTH(TODAY())+49</f>
        <v>53</v>
      </c>
      <c r="BQ118" s="14">
        <f ca="1">SUM(BL118,BM118,BN118)</f>
        <v>0</v>
      </c>
      <c r="BR118" s="14"/>
      <c r="BS118" s="14">
        <f>SUM(BR118*0.1)</f>
        <v>0</v>
      </c>
      <c r="BT118" s="14">
        <f ca="1">SUM(BU118*BV118)</f>
        <v>0</v>
      </c>
      <c r="BU118" s="17">
        <f>SUM((BR118+BS118)*0.00833333333333333)</f>
        <v>0</v>
      </c>
      <c r="BV118" s="23">
        <f ca="1">MONTH(TODAY())+37</f>
        <v>41</v>
      </c>
      <c r="BW118" s="14">
        <f ca="1">SUM(BR118,BS118,BT118)</f>
        <v>0</v>
      </c>
      <c r="BX118" s="14">
        <v>21.18</v>
      </c>
      <c r="BY118" s="14">
        <f>SUM(BX118*0.1)</f>
        <v>2.1179999999999999</v>
      </c>
      <c r="BZ118" s="14">
        <f ca="1">SUM(CA118*CB118)</f>
        <v>5.6303499999999973</v>
      </c>
      <c r="CA118" s="17">
        <f>SUM((BX118+BY118)*0.00833333333333333)</f>
        <v>0.19414999999999991</v>
      </c>
      <c r="CB118" s="23">
        <f ca="1">MONTH(TODAY())+25</f>
        <v>29</v>
      </c>
      <c r="CC118" s="14">
        <f ca="1">SUM(BX118,BY118,BZ118)</f>
        <v>28.928349999999995</v>
      </c>
      <c r="CD118" s="14">
        <f>SUM(DI118*0.0052)</f>
        <v>839.8</v>
      </c>
      <c r="CE118" s="14">
        <f>SUM(CD118*0.1)</f>
        <v>83.98</v>
      </c>
      <c r="CF118" s="14">
        <f ca="1">SUM(CG118*CH118)</f>
        <v>130.86883333333327</v>
      </c>
      <c r="CG118" s="17">
        <f>SUM((CD118+CE118)*0.00833333333333333)</f>
        <v>7.6981666666666628</v>
      </c>
      <c r="CH118" s="23">
        <f ca="1">MONTH(TODAY())+13</f>
        <v>17</v>
      </c>
      <c r="CI118" s="14">
        <f ca="1">SUM(CD118,CE118,CF118)</f>
        <v>1054.6488333333332</v>
      </c>
      <c r="CJ118" s="14">
        <f>SUM(DI118*0.0052)</f>
        <v>839.8</v>
      </c>
      <c r="CK118" s="14">
        <f>SUM(CJ118*0.1)</f>
        <v>83.98</v>
      </c>
      <c r="CL118" s="14">
        <f ca="1">SUM(CM118*CN118)</f>
        <v>38.490833333333313</v>
      </c>
      <c r="CM118" s="17">
        <f>SUM((CJ118+CK118)*0.00833333333333333)</f>
        <v>7.6981666666666628</v>
      </c>
      <c r="CN118" s="23">
        <f ca="1">MONTH(TODAY())+1</f>
        <v>5</v>
      </c>
      <c r="CO118" s="14">
        <f ca="1">SUM(CJ118,CK118,CL118)</f>
        <v>962.27083333333326</v>
      </c>
      <c r="CP118" s="14">
        <f>SUM(BL118, BR118,BX118,CD118,CJ118)</f>
        <v>1700.7799999999997</v>
      </c>
      <c r="CQ118" s="14">
        <f>SUM(BM118, BS118,BY118,CE118,CK118)</f>
        <v>170.078</v>
      </c>
      <c r="CR118" s="14">
        <f ca="1">SUM(BN118, BT118,BZ118,CF118,CL118)</f>
        <v>174.99001666666658</v>
      </c>
      <c r="CS118" s="14">
        <f ca="1">SUM(CP118:CR118)</f>
        <v>2045.8480166666664</v>
      </c>
      <c r="CT118" s="47">
        <f ca="1">SUM(CS118/DI118)</f>
        <v>1.2667789576883384E-2</v>
      </c>
      <c r="CU118" s="14">
        <f>19.5+19.5+195+195</f>
        <v>429</v>
      </c>
      <c r="CV118" s="32">
        <f>COUNTIF(DB118, "*")+COUNTIF(AO118, "*")+COUNTIF(AJ118, "*")+COUNTIF(AA118, "*")+COUNTIF(DY118, "*")+COUNTIF(EE118, "*")+COUNTIF(EK118, "*")+COUNTIF(EO118, "*")+COUNTIF(EV118, "*")+COUNTIF(FC118, "*")+COUNTIF(FJ118, "*")+COUNTIF(FU118, "*")+COUNTIF(GF118, "*")+COUNTIF(GN118, "*")+COUNTIF(GV118, "*")+COUNTIF(HD118, "*")+COUNTIF(HL118, "*")</f>
        <v>1</v>
      </c>
      <c r="CW118" s="14">
        <f>CV118*0.5+CV118*6.66</f>
        <v>7.16</v>
      </c>
      <c r="CX118" s="4">
        <v>150</v>
      </c>
      <c r="CY118" s="14">
        <f ca="1">SUM(CS118,CU118,DE118, CX118, CW118,FG118)</f>
        <v>2686.438016666666</v>
      </c>
      <c r="CZ118" s="4">
        <v>54.43</v>
      </c>
      <c r="DE118" s="14">
        <f>SUM(CZ118:DD118)</f>
        <v>54.43</v>
      </c>
      <c r="DF118" s="24" t="s">
        <v>2770</v>
      </c>
      <c r="DG118" s="4">
        <v>18500</v>
      </c>
      <c r="DH118" s="4">
        <v>143000</v>
      </c>
      <c r="DI118" s="25">
        <f>SUM(DG118+DH118)</f>
        <v>161500</v>
      </c>
      <c r="DJ118" s="35">
        <v>0.09</v>
      </c>
      <c r="DK118" t="s">
        <v>3430</v>
      </c>
      <c r="DL118" t="s">
        <v>3431</v>
      </c>
      <c r="IC118" s="4"/>
    </row>
    <row r="119" spans="1:263" ht="15" customHeight="1">
      <c r="A119" s="19">
        <v>102019022</v>
      </c>
      <c r="B119" s="18" t="s">
        <v>573</v>
      </c>
      <c r="C119" s="13"/>
      <c r="D119" s="13"/>
      <c r="E119" s="13" t="s">
        <v>258</v>
      </c>
      <c r="F119" s="24"/>
      <c r="G119" s="19"/>
      <c r="H119" s="18"/>
      <c r="I119" s="18"/>
      <c r="J119" s="18" t="s">
        <v>510</v>
      </c>
      <c r="K119" s="18" t="s">
        <v>399</v>
      </c>
      <c r="L119" s="18" t="s">
        <v>574</v>
      </c>
      <c r="M119" s="18" t="s">
        <v>537</v>
      </c>
      <c r="N119" s="18"/>
      <c r="O119" s="13"/>
      <c r="P119" s="18"/>
      <c r="Q119" s="18"/>
      <c r="R119" s="18"/>
      <c r="S119" s="18"/>
      <c r="T119" s="13"/>
      <c r="U119" s="18"/>
      <c r="V119" s="18"/>
      <c r="W119" s="18"/>
      <c r="X119" s="18"/>
      <c r="Y119" s="18"/>
      <c r="Z119" s="18"/>
      <c r="AA119" s="18"/>
      <c r="AB119" s="18"/>
      <c r="AC119" s="18"/>
      <c r="AD119" s="18"/>
      <c r="AE119" s="18"/>
      <c r="AF119" s="18"/>
      <c r="AG119" s="231"/>
      <c r="AH119" s="31"/>
      <c r="AI119" s="18"/>
      <c r="AJ119" s="14"/>
      <c r="AK119" s="14"/>
      <c r="AL119" s="18"/>
      <c r="AM119" s="24"/>
      <c r="AN119" s="24"/>
      <c r="AO119" s="14"/>
      <c r="AP119" s="20"/>
      <c r="AQ119" s="24"/>
      <c r="AR119" s="24"/>
      <c r="AS119" s="20"/>
      <c r="AT119" s="20"/>
      <c r="AU119" s="13"/>
      <c r="AV119" s="13"/>
      <c r="AW119" s="13"/>
      <c r="AX119" s="19"/>
      <c r="AY119" s="70"/>
      <c r="AZ119" s="48"/>
      <c r="BA119" s="19"/>
      <c r="BB119" s="19"/>
      <c r="BC119" s="19"/>
      <c r="BD119" s="19"/>
      <c r="BE119" s="19"/>
      <c r="BF119" s="19"/>
      <c r="BG119" s="20"/>
      <c r="BH119" s="22"/>
      <c r="BI119" s="22"/>
      <c r="BJ119" s="14"/>
      <c r="BK119" s="14"/>
      <c r="BL119" s="14"/>
      <c r="BM119" s="17"/>
      <c r="BN119" s="23"/>
      <c r="BO119" s="14"/>
      <c r="BP119" s="14"/>
      <c r="BQ119" s="14"/>
      <c r="BR119" s="14"/>
      <c r="BS119" s="17"/>
      <c r="BT119" s="23"/>
      <c r="BU119" s="14"/>
      <c r="BV119" s="14"/>
      <c r="BW119" s="14"/>
      <c r="BX119" s="14"/>
      <c r="BY119" s="17"/>
      <c r="BZ119" s="23"/>
      <c r="CA119" s="14"/>
      <c r="CB119" s="14"/>
      <c r="CC119" s="14"/>
      <c r="CD119" s="14"/>
      <c r="CE119" s="17"/>
      <c r="CF119" s="23"/>
      <c r="CG119" s="14"/>
      <c r="CH119" s="14"/>
      <c r="CI119" s="14"/>
      <c r="CJ119" s="14"/>
      <c r="CK119" s="17"/>
      <c r="CL119" s="23"/>
      <c r="CM119" s="14"/>
      <c r="CN119" s="14"/>
      <c r="CO119" s="14"/>
      <c r="CP119" s="14"/>
      <c r="CQ119" s="17"/>
      <c r="CR119" s="23"/>
      <c r="CS119" s="14"/>
      <c r="CT119" s="14"/>
      <c r="CU119" s="14"/>
      <c r="CV119" s="14"/>
      <c r="CW119" s="17"/>
      <c r="CX119" s="23"/>
      <c r="CY119" s="14"/>
      <c r="CZ119" s="14"/>
      <c r="DA119" s="14"/>
      <c r="DB119" s="14"/>
      <c r="DC119" s="17"/>
      <c r="DD119" s="23"/>
      <c r="DE119" s="14"/>
      <c r="DF119" s="14"/>
      <c r="DG119" s="14"/>
      <c r="DH119" s="14"/>
      <c r="DI119" s="14"/>
      <c r="DJ119" s="47"/>
      <c r="DK119" s="14"/>
      <c r="DL119" s="32"/>
      <c r="DM119" s="14"/>
      <c r="DN119" s="14"/>
      <c r="DO119" s="14"/>
      <c r="DP119" s="14"/>
      <c r="DQ119" s="14"/>
      <c r="DR119" s="14"/>
      <c r="DS119" s="23"/>
      <c r="DT119" s="25"/>
      <c r="DU119" s="14"/>
      <c r="DV119" s="24"/>
      <c r="DW119" s="25"/>
      <c r="DX119" s="25"/>
      <c r="DY119" s="25"/>
      <c r="DZ119" s="36"/>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27"/>
      <c r="FJ119" s="18"/>
      <c r="FK119" s="18"/>
      <c r="FL119" s="18"/>
      <c r="FM119" s="18"/>
      <c r="FN119" s="18"/>
      <c r="FO119" s="18"/>
      <c r="FP119" s="18"/>
      <c r="FQ119" s="18"/>
      <c r="FR119" s="27"/>
      <c r="FS119" s="18"/>
      <c r="FT119" s="18"/>
      <c r="FU119" s="18"/>
      <c r="FV119" s="18"/>
      <c r="FW119" s="18"/>
      <c r="FX119" s="14"/>
      <c r="FY119" s="18"/>
      <c r="FZ119" s="18"/>
      <c r="GA119" s="18"/>
      <c r="GB119" s="18"/>
      <c r="GC119" s="28"/>
      <c r="GD119" s="18"/>
      <c r="GE119" s="18"/>
      <c r="GF119" s="18"/>
      <c r="GG119" s="18"/>
      <c r="GH119" s="18"/>
      <c r="GI119" s="18"/>
      <c r="GJ119" s="18"/>
      <c r="GK119" s="18"/>
      <c r="GL119" s="18"/>
      <c r="GM119" s="28"/>
      <c r="GN119" s="18"/>
      <c r="GO119" s="18"/>
      <c r="GP119" s="18"/>
      <c r="GQ119" s="18"/>
      <c r="GR119" s="18"/>
      <c r="GS119" s="18"/>
      <c r="GT119" s="18"/>
      <c r="GU119" s="18"/>
      <c r="GV119" s="18"/>
      <c r="GW119" s="18"/>
      <c r="GX119" s="18"/>
      <c r="GY119" s="18"/>
      <c r="GZ119" s="18"/>
      <c r="HA119" s="18"/>
      <c r="HB119" s="27"/>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4"/>
      <c r="IK119" s="14"/>
      <c r="IL119" s="9"/>
      <c r="IN119" t="s">
        <v>772</v>
      </c>
      <c r="IO119" t="s">
        <v>773</v>
      </c>
      <c r="IP119" t="s">
        <v>386</v>
      </c>
      <c r="IS119" s="4">
        <v>121</v>
      </c>
      <c r="IT119" s="14">
        <f>SUM(IJ119-DP119-IR119)</f>
        <v>0</v>
      </c>
      <c r="IU119" s="27">
        <v>43643</v>
      </c>
      <c r="IV119" s="27">
        <v>43661</v>
      </c>
      <c r="IW119" s="27">
        <v>43699</v>
      </c>
      <c r="IX119" s="27">
        <v>43711</v>
      </c>
      <c r="IZ119" s="18"/>
      <c r="JA119" s="18"/>
      <c r="JB119" s="18"/>
      <c r="JC119" s="18"/>
    </row>
    <row r="120" spans="1:263" ht="15" customHeight="1">
      <c r="A120" s="19">
        <v>102021088</v>
      </c>
      <c r="B120" s="18" t="s">
        <v>2610</v>
      </c>
      <c r="D120" s="1"/>
      <c r="K120" s="18" t="s">
        <v>2609</v>
      </c>
      <c r="Z120" t="s">
        <v>2611</v>
      </c>
      <c r="AA120" t="s">
        <v>981</v>
      </c>
      <c r="AB120" t="s">
        <v>524</v>
      </c>
      <c r="AC120" t="s">
        <v>2278</v>
      </c>
      <c r="AG120" s="248"/>
      <c r="AJ120" s="18" t="s">
        <v>2612</v>
      </c>
      <c r="AK120" t="s">
        <v>258</v>
      </c>
      <c r="AL120" s="18" t="s">
        <v>290</v>
      </c>
      <c r="AM120" s="3" t="s">
        <v>260</v>
      </c>
      <c r="AO120" t="s">
        <v>2613</v>
      </c>
      <c r="AQ120" s="3" t="s">
        <v>2614</v>
      </c>
      <c r="AS120" s="1"/>
      <c r="AT120" s="1"/>
      <c r="AU120" s="1"/>
      <c r="AV120" s="1"/>
      <c r="AW120" s="1"/>
      <c r="AX120" s="2"/>
      <c r="AY120" s="2"/>
      <c r="AZ120" s="70"/>
      <c r="BA120" s="2"/>
      <c r="BB120" s="2"/>
      <c r="BC120" s="2"/>
      <c r="BD120" s="2"/>
      <c r="BE120" s="2"/>
      <c r="BF120" s="2"/>
      <c r="BG120" s="20"/>
      <c r="BH120" s="22"/>
      <c r="BI120" s="22"/>
      <c r="BJ120" s="14"/>
      <c r="BK120" s="22"/>
      <c r="BL120" s="14"/>
      <c r="BM120" s="14"/>
      <c r="BN120" s="14"/>
      <c r="BO120" s="17"/>
      <c r="BP120" s="23"/>
      <c r="BQ120" s="14"/>
      <c r="BR120" s="14"/>
      <c r="BS120" s="14"/>
      <c r="BT120" s="14"/>
      <c r="BU120" s="17"/>
      <c r="BV120" s="23"/>
      <c r="BW120" s="14"/>
      <c r="BX120" s="14"/>
      <c r="BY120" s="14"/>
      <c r="BZ120" s="14"/>
      <c r="CA120" s="17"/>
      <c r="CB120" s="23"/>
      <c r="CC120" s="14"/>
      <c r="CD120" s="14"/>
      <c r="CE120" s="14"/>
      <c r="CF120" s="14"/>
      <c r="CG120" s="17"/>
      <c r="CH120" s="23"/>
      <c r="CI120" s="14"/>
      <c r="CJ120" s="14"/>
      <c r="CK120" s="14"/>
      <c r="CL120" s="14"/>
      <c r="CM120" s="17"/>
      <c r="CN120" s="23"/>
      <c r="CO120" s="14"/>
      <c r="CP120" s="14"/>
      <c r="CQ120" s="14"/>
      <c r="CR120" s="14"/>
      <c r="CS120" s="17"/>
      <c r="CT120" s="23"/>
      <c r="CU120" s="14"/>
      <c r="CV120" s="14"/>
      <c r="DA120" s="14"/>
      <c r="DB120" s="14"/>
      <c r="DC120" s="14"/>
      <c r="DD120" s="14"/>
      <c r="DE120" s="14"/>
      <c r="DF120" s="47"/>
      <c r="DG120" s="14"/>
      <c r="DH120" s="32"/>
      <c r="DI120" s="14"/>
      <c r="DK120" s="14">
        <f>SUM(DE120,DG120,DQ120, DJ120, DI120,FS120)</f>
        <v>0</v>
      </c>
      <c r="DQ120" s="14">
        <f>SUM(DL120:DP120)</f>
        <v>0</v>
      </c>
      <c r="DR120" s="24" t="s">
        <v>1944</v>
      </c>
      <c r="DS120" s="4">
        <v>10500</v>
      </c>
      <c r="DT120" s="4">
        <v>74600</v>
      </c>
      <c r="DU120" s="25">
        <f>SUM(DS120+DT120)</f>
        <v>85100</v>
      </c>
      <c r="DV120" s="35">
        <v>0.02</v>
      </c>
    </row>
    <row r="121" spans="1:263" ht="15" customHeight="1">
      <c r="A121" s="2">
        <v>102024058</v>
      </c>
      <c r="B121" t="s">
        <v>5095</v>
      </c>
      <c r="D121" s="1"/>
      <c r="E121" s="3"/>
      <c r="G121" s="3"/>
      <c r="K121" t="s">
        <v>5221</v>
      </c>
      <c r="O121" s="3"/>
      <c r="Z121" t="s">
        <v>5222</v>
      </c>
      <c r="AA121" t="s">
        <v>5223</v>
      </c>
      <c r="AB121" t="s">
        <v>267</v>
      </c>
      <c r="AC121" t="s">
        <v>268</v>
      </c>
      <c r="AG121" s="43"/>
      <c r="AJ121" t="s">
        <v>5225</v>
      </c>
      <c r="AK121" s="1" t="s">
        <v>258</v>
      </c>
      <c r="AL121" t="s">
        <v>290</v>
      </c>
      <c r="AM121" t="s">
        <v>260</v>
      </c>
      <c r="AN121"/>
      <c r="AO121" t="s">
        <v>5223</v>
      </c>
      <c r="AP121"/>
      <c r="AQ121" t="s">
        <v>267</v>
      </c>
      <c r="AR121" t="s">
        <v>268</v>
      </c>
      <c r="AX121" s="1"/>
      <c r="AY121" s="1"/>
      <c r="AZ121" s="1"/>
      <c r="BA121" s="1"/>
      <c r="BB121" s="1"/>
      <c r="BC121" s="2"/>
      <c r="BD121" s="116"/>
      <c r="BE121" s="115"/>
      <c r="BF121" s="2"/>
      <c r="BG121" s="2"/>
      <c r="BH121" s="2"/>
      <c r="BI121" s="2"/>
      <c r="BJ121" s="2"/>
      <c r="BK121" s="2"/>
      <c r="BL121" s="20">
        <f ca="1">SUM(EB121)+220</f>
        <v>2456.1824000000001</v>
      </c>
      <c r="BM121" s="22">
        <f t="shared" ref="BM121:BM128" ca="1" si="0">PMT(10%/12,12,BL121,0,0)</f>
        <v>-215.93745489473434</v>
      </c>
      <c r="BN121" s="22">
        <f t="shared" ref="BN121:BN128" ca="1" si="1">SUM(BM121*-1)</f>
        <v>215.93745489473434</v>
      </c>
      <c r="BO121" s="14">
        <f>SUM(EJ121*0.0052)/12</f>
        <v>57.50333333333333</v>
      </c>
      <c r="BP121" s="22">
        <f t="shared" ref="BP121:BP128" ca="1" si="2">SUM(BN121+BO121)</f>
        <v>273.44078822806767</v>
      </c>
      <c r="BQ121" s="14"/>
      <c r="BR121" s="14">
        <f t="shared" ref="BR121:BR128" si="3">SUM(BQ121*0.1)</f>
        <v>0</v>
      </c>
      <c r="BS121" s="14">
        <f t="shared" ref="BS121:BS128" ca="1" si="4">SUM(BT121*BU121)</f>
        <v>0</v>
      </c>
      <c r="BT121" s="17">
        <f t="shared" ref="BT121:BT128" si="5">SUM((BQ121+BR121)*0.00833333333333333)</f>
        <v>0</v>
      </c>
      <c r="BU121" s="23">
        <f ca="1">MONTH(TODAY())+61</f>
        <v>65</v>
      </c>
      <c r="BV121" s="14">
        <f t="shared" ref="BV121:BV128" ca="1" si="6">SUM(BQ121,BR121,BS121)</f>
        <v>0</v>
      </c>
      <c r="BW121" s="14"/>
      <c r="BX121" s="14">
        <f t="shared" ref="BX121:BX128" si="7">SUM(BW121*0.1)</f>
        <v>0</v>
      </c>
      <c r="BY121" s="14">
        <f t="shared" ref="BY121:BY128" ca="1" si="8">SUM(BZ121*CA121)</f>
        <v>0</v>
      </c>
      <c r="BZ121" s="17">
        <f t="shared" ref="BZ121:BZ128" si="9">SUM((BW121+BX121)*0.00833333333333333)</f>
        <v>0</v>
      </c>
      <c r="CA121" s="23">
        <f ca="1">MONTH(TODAY())+49</f>
        <v>53</v>
      </c>
      <c r="CB121" s="14">
        <f t="shared" ref="CB121:CB128" ca="1" si="10">SUM(BW121,BX121,BY121)</f>
        <v>0</v>
      </c>
      <c r="CC121" s="14">
        <v>0</v>
      </c>
      <c r="CD121" s="14">
        <f t="shared" ref="CD121:CD128" si="11">SUM(CC121*0.1)</f>
        <v>0</v>
      </c>
      <c r="CE121" s="14">
        <f t="shared" ref="CE121:CE128" ca="1" si="12">SUM(CF121*CG121)</f>
        <v>0</v>
      </c>
      <c r="CF121" s="17">
        <f t="shared" ref="CF121:CF128" si="13">SUM((CC121+CD121)*0.00833333333333333)</f>
        <v>0</v>
      </c>
      <c r="CG121" s="23">
        <f ca="1">MONTH(TODAY())+37</f>
        <v>41</v>
      </c>
      <c r="CH121" s="14">
        <f t="shared" ref="CH121:CH128" ca="1" si="14">SUM(CC121,CD121,CE121)</f>
        <v>0</v>
      </c>
      <c r="CI121" s="14">
        <f>SUM(EG121*0.0052)</f>
        <v>565.76</v>
      </c>
      <c r="CJ121" s="14">
        <f t="shared" ref="CJ121:CJ128" si="15">SUM(CI121*0.1)</f>
        <v>56.576000000000001</v>
      </c>
      <c r="CK121" s="14">
        <f t="shared" ref="CK121:CK128" ca="1" si="16">SUM(CL121*CM121)</f>
        <v>150.3978666666666</v>
      </c>
      <c r="CL121" s="17">
        <f t="shared" ref="CL121:CL128" si="17">SUM((CI121+CJ121)*0.00833333333333333)</f>
        <v>5.1861333333333315</v>
      </c>
      <c r="CM121" s="23">
        <f ca="1">MONTH(TODAY())+25</f>
        <v>29</v>
      </c>
      <c r="CN121" s="14">
        <f t="shared" ref="CN121:CN128" ca="1" si="18">SUM(CI121,CJ121,CK121)</f>
        <v>772.73386666666659</v>
      </c>
      <c r="CO121" s="14">
        <f>SUM(EG121*0.0052)/2</f>
        <v>282.88</v>
      </c>
      <c r="CP121" s="14">
        <f t="shared" ref="CP121:CP128" si="19">SUM(CO121*0.1)</f>
        <v>28.288</v>
      </c>
      <c r="CQ121" s="14">
        <f t="shared" ref="CQ121:CQ128" ca="1" si="20">SUM(CR121*CS121)</f>
        <v>54.454399999999978</v>
      </c>
      <c r="CR121" s="17">
        <f t="shared" ref="CR121:CR128" si="21">SUM((CO121+CP121)*0.00833333333333333)</f>
        <v>2.5930666666666657</v>
      </c>
      <c r="CS121" s="23">
        <f ca="1">MONTH(TODAY())+17</f>
        <v>21</v>
      </c>
      <c r="CT121" s="23">
        <f t="shared" ref="CT121:CT128" ca="1" si="22">SUM(CO121,CP121,CQ121)</f>
        <v>365.62239999999997</v>
      </c>
      <c r="CU121" s="14">
        <f>SUM(EG121*0.0052)/2</f>
        <v>282.88</v>
      </c>
      <c r="CV121" s="14">
        <f t="shared" ref="CV121:CV128" si="23">SUM(CU121*0.1)</f>
        <v>28.288</v>
      </c>
      <c r="CW121" s="14">
        <f t="shared" ref="CW121:CW128" ca="1" si="24">SUM(CX121*CY121)</f>
        <v>44.082133333333317</v>
      </c>
      <c r="CX121" s="17">
        <f t="shared" ref="CX121:CX128" si="25">SUM((CU121+CV121)*0.00833333333333333)</f>
        <v>2.5930666666666657</v>
      </c>
      <c r="CY121" s="23">
        <f ca="1">MONTH(TODAY())+13</f>
        <v>17</v>
      </c>
      <c r="CZ121" s="23">
        <f t="shared" ref="CZ121:CZ128" ca="1" si="26">SUM(CU121,CV121,CW121)</f>
        <v>355.25013333333334</v>
      </c>
      <c r="DA121" s="14">
        <f>SUM(EJ121*0.0045)/2</f>
        <v>298.57499999999999</v>
      </c>
      <c r="DB121" s="14">
        <f>SUM(DA121*0.1)</f>
        <v>29.857500000000002</v>
      </c>
      <c r="DC121" s="14">
        <f ca="1">SUM(DD121*DE121)</f>
        <v>30.106312499999987</v>
      </c>
      <c r="DD121" s="17">
        <f t="shared" ref="DD121:DD128" si="27">SUM((DA121+DB121)*0.00833333333333333)</f>
        <v>2.7369374999999989</v>
      </c>
      <c r="DE121" s="23">
        <f ca="1">MONTH(TODAY())+7</f>
        <v>11</v>
      </c>
      <c r="DF121" s="23">
        <f t="shared" ref="DF121:DF128" ca="1" si="28">SUM(DA121,DB121,DC121)</f>
        <v>358.53881250000001</v>
      </c>
      <c r="DG121" s="14">
        <f>SUM(EJ121*0.0045)/2</f>
        <v>298.57499999999999</v>
      </c>
      <c r="DH121" s="14">
        <f>SUM(DG121*0.1)</f>
        <v>29.857500000000002</v>
      </c>
      <c r="DI121" s="14">
        <f ca="1">SUM(DJ121*DK121)</f>
        <v>13.684687499999995</v>
      </c>
      <c r="DJ121" s="17">
        <f t="shared" ref="DJ121:DJ128" si="29">SUM((DG121+DH121)*0.00833333333333333)</f>
        <v>2.7369374999999989</v>
      </c>
      <c r="DK121" s="23">
        <f ca="1">MONTH(TODAY())+1</f>
        <v>5</v>
      </c>
      <c r="DL121" s="14">
        <f t="shared" ref="DL121:DL128" ca="1" si="30">SUM(DG121,DH121,DI121)</f>
        <v>342.1171875</v>
      </c>
      <c r="DM121" s="14">
        <f>SUM( BQ121, BW121, CC121, CI121, CO121,CU121,DA121,DG121)</f>
        <v>1728.67</v>
      </c>
      <c r="DN121" s="14">
        <f t="shared" ref="DN121:DO123" si="31">SUM(BR121,BX121,CD121,CJ121, CP121,CV121,DB121,DH121)</f>
        <v>172.86700000000002</v>
      </c>
      <c r="DO121" s="14">
        <f t="shared" ca="1" si="31"/>
        <v>292.72539999999992</v>
      </c>
      <c r="DP121" s="25">
        <f ca="1">SUM(DM121:DO121)</f>
        <v>2194.2624000000001</v>
      </c>
      <c r="DQ121" s="47">
        <f ca="1">SUM(DP121/EG121)</f>
        <v>2.016785294117647E-2</v>
      </c>
      <c r="DR121" s="14">
        <v>40</v>
      </c>
      <c r="DS121" s="32">
        <f>COUNTIF(AO121, "*")+COUNTIF(AJ121, "*")+COUNTIF(AA121, "*")+COUNTIF(EU121, "*")+COUNTIF(FA121, "*")+COUNTIF(FG121, "*")+COUNTIF(FK121, "*")+COUNTIF(FR121, "*")+COUNTIF(AT121, "*")+COUNTIF(GA121, "*")+COUNTIF(GL121, "*")+COUNTIF(GW121, "*")+COUNTIF(HE121, "*")+COUNTIF(HM121, "*")+COUNTIF(HU121, "*")</f>
        <v>3</v>
      </c>
      <c r="DT121" s="14">
        <f>DS121*0.64</f>
        <v>1.92</v>
      </c>
      <c r="DU121" s="4"/>
      <c r="DV121" s="4"/>
      <c r="DW121" s="4"/>
      <c r="DX121" s="4"/>
      <c r="DZ121" s="4"/>
      <c r="EA121" s="14">
        <f>SUM(DV121:DZ121)</f>
        <v>0</v>
      </c>
      <c r="EB121" s="14">
        <f ca="1">SUM(DP121,DR121,EA121, DU121, DT121,FX121)</f>
        <v>2236.1824000000001</v>
      </c>
      <c r="EC121" s="24" t="s">
        <v>4944</v>
      </c>
      <c r="ED121" s="130">
        <v>0.01</v>
      </c>
      <c r="EE121" s="14">
        <v>10500</v>
      </c>
      <c r="EF121" s="14">
        <v>98300</v>
      </c>
      <c r="EG121" s="14">
        <f>SUM(EE121+EF121)</f>
        <v>108800</v>
      </c>
      <c r="EH121" s="14">
        <v>14000</v>
      </c>
      <c r="EI121" s="14">
        <v>118700</v>
      </c>
      <c r="EJ121" s="14">
        <f>SUM(EH121+EI121)</f>
        <v>132700</v>
      </c>
      <c r="FX121" s="4"/>
      <c r="HY121" s="9"/>
      <c r="IJ121" s="4"/>
      <c r="IK121" s="4"/>
      <c r="IL121" s="4"/>
      <c r="IM121" s="9"/>
      <c r="IN121" s="9"/>
      <c r="IO121" s="9"/>
      <c r="IP121" s="9"/>
      <c r="IQ121" s="9"/>
    </row>
    <row r="122" spans="1:263" ht="15" customHeight="1">
      <c r="A122" s="2">
        <v>102024057</v>
      </c>
      <c r="B122" t="s">
        <v>5094</v>
      </c>
      <c r="D122" s="1"/>
      <c r="E122" s="3"/>
      <c r="G122" s="3"/>
      <c r="K122" t="s">
        <v>5221</v>
      </c>
      <c r="O122" s="3"/>
      <c r="Z122" t="s">
        <v>5222</v>
      </c>
      <c r="AA122" t="s">
        <v>5223</v>
      </c>
      <c r="AB122" t="s">
        <v>267</v>
      </c>
      <c r="AC122" t="s">
        <v>268</v>
      </c>
      <c r="AG122" s="43"/>
      <c r="AJ122" t="s">
        <v>5224</v>
      </c>
      <c r="AK122" s="1" t="s">
        <v>258</v>
      </c>
      <c r="AL122" t="s">
        <v>290</v>
      </c>
      <c r="AM122" t="s">
        <v>260</v>
      </c>
      <c r="AN122"/>
      <c r="AO122" t="s">
        <v>5223</v>
      </c>
      <c r="AP122"/>
      <c r="AQ122" t="s">
        <v>267</v>
      </c>
      <c r="AR122" t="s">
        <v>268</v>
      </c>
      <c r="AX122" s="1"/>
      <c r="AY122" s="1"/>
      <c r="AZ122" s="1"/>
      <c r="BA122" s="1"/>
      <c r="BB122" s="1"/>
      <c r="BC122" s="2"/>
      <c r="BD122" s="116"/>
      <c r="BE122" s="115"/>
      <c r="BF122" s="2"/>
      <c r="BG122" s="2"/>
      <c r="BH122" s="2"/>
      <c r="BI122" s="2"/>
      <c r="BJ122" s="2"/>
      <c r="BK122" s="2"/>
      <c r="BL122" s="20">
        <f ca="1">SUM(EB122)+220</f>
        <v>2403.6992</v>
      </c>
      <c r="BM122" s="22">
        <f t="shared" ca="1" si="0"/>
        <v>-211.32334780206429</v>
      </c>
      <c r="BN122" s="22">
        <f t="shared" ca="1" si="1"/>
        <v>211.32334780206429</v>
      </c>
      <c r="BO122" s="14">
        <f>SUM(EJ122*0.0052)/12</f>
        <v>55.9</v>
      </c>
      <c r="BP122" s="22">
        <f t="shared" ca="1" si="2"/>
        <v>267.22334780206427</v>
      </c>
      <c r="BQ122" s="14"/>
      <c r="BR122" s="14">
        <f t="shared" si="3"/>
        <v>0</v>
      </c>
      <c r="BS122" s="14">
        <f t="shared" ca="1" si="4"/>
        <v>0</v>
      </c>
      <c r="BT122" s="17">
        <f t="shared" si="5"/>
        <v>0</v>
      </c>
      <c r="BU122" s="23">
        <f ca="1">MONTH(TODAY())+61</f>
        <v>65</v>
      </c>
      <c r="BV122" s="14">
        <f t="shared" ca="1" si="6"/>
        <v>0</v>
      </c>
      <c r="BW122" s="14"/>
      <c r="BX122" s="14">
        <f t="shared" si="7"/>
        <v>0</v>
      </c>
      <c r="BY122" s="14">
        <f t="shared" ca="1" si="8"/>
        <v>0</v>
      </c>
      <c r="BZ122" s="17">
        <f t="shared" si="9"/>
        <v>0</v>
      </c>
      <c r="CA122" s="23">
        <f ca="1">MONTH(TODAY())+49</f>
        <v>53</v>
      </c>
      <c r="CB122" s="14">
        <f t="shared" ca="1" si="10"/>
        <v>0</v>
      </c>
      <c r="CC122" s="14">
        <v>0</v>
      </c>
      <c r="CD122" s="14">
        <f t="shared" si="11"/>
        <v>0</v>
      </c>
      <c r="CE122" s="14">
        <f t="shared" ca="1" si="12"/>
        <v>0</v>
      </c>
      <c r="CF122" s="17">
        <f t="shared" si="13"/>
        <v>0</v>
      </c>
      <c r="CG122" s="23">
        <f ca="1">MONTH(TODAY())+37</f>
        <v>41</v>
      </c>
      <c r="CH122" s="14">
        <f t="shared" ca="1" si="14"/>
        <v>0</v>
      </c>
      <c r="CI122" s="14">
        <f>SUM(EG122*0.0052)</f>
        <v>553.28</v>
      </c>
      <c r="CJ122" s="14">
        <f t="shared" si="15"/>
        <v>55.328000000000003</v>
      </c>
      <c r="CK122" s="14">
        <f t="shared" ca="1" si="16"/>
        <v>147.0802666666666</v>
      </c>
      <c r="CL122" s="17">
        <f t="shared" si="17"/>
        <v>5.0717333333333308</v>
      </c>
      <c r="CM122" s="23">
        <f ca="1">MONTH(TODAY())+25</f>
        <v>29</v>
      </c>
      <c r="CN122" s="14">
        <f t="shared" ca="1" si="18"/>
        <v>755.68826666666655</v>
      </c>
      <c r="CO122" s="14">
        <f>SUM(EG122*0.0052)/2</f>
        <v>276.64</v>
      </c>
      <c r="CP122" s="14">
        <f t="shared" si="19"/>
        <v>27.664000000000001</v>
      </c>
      <c r="CQ122" s="14">
        <f t="shared" ca="1" si="20"/>
        <v>53.253199999999971</v>
      </c>
      <c r="CR122" s="17">
        <f t="shared" si="21"/>
        <v>2.5358666666666654</v>
      </c>
      <c r="CS122" s="23">
        <f ca="1">MONTH(TODAY())+17</f>
        <v>21</v>
      </c>
      <c r="CT122" s="23">
        <f t="shared" ca="1" si="22"/>
        <v>357.55719999999997</v>
      </c>
      <c r="CU122" s="14">
        <f>SUM(EG122*0.0052)/2</f>
        <v>276.64</v>
      </c>
      <c r="CV122" s="14">
        <f t="shared" si="23"/>
        <v>27.664000000000001</v>
      </c>
      <c r="CW122" s="14">
        <f t="shared" ca="1" si="24"/>
        <v>43.10973333333331</v>
      </c>
      <c r="CX122" s="17">
        <f t="shared" si="25"/>
        <v>2.5358666666666654</v>
      </c>
      <c r="CY122" s="23">
        <f ca="1">MONTH(TODAY())+13</f>
        <v>17</v>
      </c>
      <c r="CZ122" s="23">
        <f t="shared" ca="1" si="26"/>
        <v>347.41373333333331</v>
      </c>
      <c r="DA122" s="14">
        <f>SUM(EJ122*0.0045)/2</f>
        <v>290.25</v>
      </c>
      <c r="DB122" s="14">
        <f>SUM(DA122*0.1)</f>
        <v>29.025000000000002</v>
      </c>
      <c r="DC122" s="14">
        <f ca="1">SUM(DD122*DE122)</f>
        <v>29.266874999999985</v>
      </c>
      <c r="DD122" s="17">
        <f t="shared" si="27"/>
        <v>2.6606249999999987</v>
      </c>
      <c r="DE122" s="23">
        <f ca="1">MONTH(TODAY())+7</f>
        <v>11</v>
      </c>
      <c r="DF122" s="23">
        <f t="shared" ca="1" si="28"/>
        <v>348.54187499999995</v>
      </c>
      <c r="DG122" s="14">
        <f>SUM(EJ122*0.0045)/2</f>
        <v>290.25</v>
      </c>
      <c r="DH122" s="14">
        <f>SUM(DG122*0.1)</f>
        <v>29.025000000000002</v>
      </c>
      <c r="DI122" s="14">
        <f ca="1">SUM(DJ122*DK122)</f>
        <v>13.303124999999994</v>
      </c>
      <c r="DJ122" s="17">
        <f t="shared" si="29"/>
        <v>2.6606249999999987</v>
      </c>
      <c r="DK122" s="23">
        <f ca="1">MONTH(TODAY())+1</f>
        <v>5</v>
      </c>
      <c r="DL122" s="14">
        <f t="shared" ca="1" si="30"/>
        <v>332.578125</v>
      </c>
      <c r="DM122" s="14">
        <f>SUM( BQ122, BW122, CC122, CI122, CO122,CU122,DA122,DG122)</f>
        <v>1687.06</v>
      </c>
      <c r="DN122" s="14">
        <f t="shared" si="31"/>
        <v>168.70600000000002</v>
      </c>
      <c r="DO122" s="14">
        <f t="shared" ca="1" si="31"/>
        <v>286.01319999999987</v>
      </c>
      <c r="DP122" s="25">
        <f ca="1">SUM(DM122:DO122)</f>
        <v>2141.7791999999999</v>
      </c>
      <c r="DQ122" s="47">
        <f ca="1">SUM(DP122/EG122)</f>
        <v>2.0129503759398495E-2</v>
      </c>
      <c r="DR122" s="14">
        <v>40</v>
      </c>
      <c r="DS122" s="32">
        <f>COUNTIF(AO122, "*")+COUNTIF(AJ122, "*")+COUNTIF(AA122, "*")+COUNTIF(EU122, "*")+COUNTIF(FA122, "*")+COUNTIF(FG122, "*")+COUNTIF(FK122, "*")+COUNTIF(FR122, "*")+COUNTIF(AT122, "*")+COUNTIF(GA122, "*")+COUNTIF(GL122, "*")+COUNTIF(GW122, "*")+COUNTIF(HE122, "*")+COUNTIF(HM122, "*")+COUNTIF(HU122, "*")</f>
        <v>3</v>
      </c>
      <c r="DT122" s="14">
        <f>DS122*0.64</f>
        <v>1.92</v>
      </c>
      <c r="DU122" s="4"/>
      <c r="DV122" s="4"/>
      <c r="DW122" s="4"/>
      <c r="DX122" s="4"/>
      <c r="DZ122" s="4"/>
      <c r="EA122" s="14">
        <f>SUM(DV122:DZ122)</f>
        <v>0</v>
      </c>
      <c r="EB122" s="14">
        <f ca="1">SUM(DP122,DR122,EA122, DU122, DT122,FX122)</f>
        <v>2183.6992</v>
      </c>
      <c r="EC122" s="24" t="s">
        <v>4944</v>
      </c>
      <c r="ED122" s="130">
        <v>0.01</v>
      </c>
      <c r="EE122" s="14">
        <v>10500</v>
      </c>
      <c r="EF122" s="14">
        <v>95900</v>
      </c>
      <c r="EG122" s="14">
        <f>SUM(EE122+EF122)</f>
        <v>106400</v>
      </c>
      <c r="EH122" s="14">
        <v>14000</v>
      </c>
      <c r="EI122" s="14">
        <v>115000</v>
      </c>
      <c r="EJ122" s="14">
        <f>SUM(EH122+EI122)</f>
        <v>129000</v>
      </c>
      <c r="FX122" s="4"/>
      <c r="HY122" s="9"/>
      <c r="IJ122" s="4"/>
      <c r="IK122" s="4"/>
      <c r="IL122" s="4"/>
      <c r="IM122" s="9"/>
      <c r="IN122" s="9"/>
      <c r="IO122" s="9"/>
      <c r="IP122" s="9"/>
      <c r="IQ122" s="9"/>
    </row>
    <row r="123" spans="1:263" ht="15" customHeight="1">
      <c r="A123" s="19">
        <v>102022033</v>
      </c>
      <c r="B123" t="s">
        <v>2982</v>
      </c>
      <c r="D123" s="1"/>
      <c r="E123" s="3"/>
      <c r="F123" s="3"/>
      <c r="G123" s="3">
        <v>220001463</v>
      </c>
      <c r="J123" t="s">
        <v>434</v>
      </c>
      <c r="K123" t="s">
        <v>672</v>
      </c>
      <c r="L123" t="s">
        <v>2986</v>
      </c>
      <c r="M123" t="s">
        <v>537</v>
      </c>
      <c r="O123" s="3"/>
      <c r="P123" t="s">
        <v>672</v>
      </c>
      <c r="Q123" t="s">
        <v>2987</v>
      </c>
      <c r="R123" t="s">
        <v>850</v>
      </c>
      <c r="AD123" t="s">
        <v>3360</v>
      </c>
      <c r="AE123" t="s">
        <v>311</v>
      </c>
      <c r="AF123" t="s">
        <v>672</v>
      </c>
      <c r="AG123" s="43" t="s">
        <v>3359</v>
      </c>
      <c r="AH123" t="s">
        <v>2988</v>
      </c>
      <c r="AI123" t="s">
        <v>290</v>
      </c>
      <c r="AJ123" t="s">
        <v>2988</v>
      </c>
      <c r="AK123" t="s">
        <v>258</v>
      </c>
      <c r="AL123" t="s">
        <v>290</v>
      </c>
      <c r="AM123" t="s">
        <v>260</v>
      </c>
      <c r="AN123"/>
      <c r="AO123" t="s">
        <v>2989</v>
      </c>
      <c r="AP123" t="s">
        <v>258</v>
      </c>
      <c r="AQ123" t="s">
        <v>290</v>
      </c>
      <c r="AR123" t="s">
        <v>260</v>
      </c>
      <c r="AX123" s="1"/>
      <c r="AY123" s="1"/>
      <c r="AZ123" s="1"/>
      <c r="BA123" s="1"/>
      <c r="BB123" s="1"/>
      <c r="BC123" s="2"/>
      <c r="BD123" s="114">
        <v>44605</v>
      </c>
      <c r="BE123" s="115"/>
      <c r="BF123" s="2"/>
      <c r="BG123" s="2"/>
      <c r="BH123" s="2"/>
      <c r="BI123" s="2"/>
      <c r="BJ123" s="2"/>
      <c r="BK123" s="2"/>
      <c r="BL123" s="20">
        <f ca="1">SUM(EB123)+220</f>
        <v>3709.2839624999992</v>
      </c>
      <c r="BM123" s="22">
        <f t="shared" ca="1" si="0"/>
        <v>-326.10499055123307</v>
      </c>
      <c r="BN123" s="22">
        <f t="shared" ca="1" si="1"/>
        <v>326.10499055123307</v>
      </c>
      <c r="BO123" s="14">
        <f>SUM(EJ123*0.0052)/12</f>
        <v>60.276666666666664</v>
      </c>
      <c r="BP123" s="22">
        <f t="shared" ca="1" si="2"/>
        <v>386.38165721789971</v>
      </c>
      <c r="BQ123" s="14"/>
      <c r="BR123" s="14">
        <f t="shared" si="3"/>
        <v>0</v>
      </c>
      <c r="BS123" s="14">
        <f t="shared" ca="1" si="4"/>
        <v>0</v>
      </c>
      <c r="BT123" s="17">
        <f t="shared" si="5"/>
        <v>0</v>
      </c>
      <c r="BU123" s="23">
        <f ca="1">MONTH(TODAY())+49</f>
        <v>53</v>
      </c>
      <c r="BV123" s="14">
        <f t="shared" ca="1" si="6"/>
        <v>0</v>
      </c>
      <c r="BW123" s="14">
        <f>SUM(EG123*0.0052)</f>
        <v>580.31999999999994</v>
      </c>
      <c r="BX123" s="14">
        <f t="shared" si="7"/>
        <v>58.031999999999996</v>
      </c>
      <c r="BY123" s="14">
        <f t="shared" ca="1" si="8"/>
        <v>218.10359999999991</v>
      </c>
      <c r="BZ123" s="17">
        <f t="shared" si="9"/>
        <v>5.3195999999999977</v>
      </c>
      <c r="CA123" s="23">
        <f ca="1">MONTH(TODAY())+37</f>
        <v>41</v>
      </c>
      <c r="CB123" s="14">
        <f t="shared" ca="1" si="10"/>
        <v>856.45559999999989</v>
      </c>
      <c r="CC123" s="14">
        <f>SUM(EG123*0.0052)</f>
        <v>580.31999999999994</v>
      </c>
      <c r="CD123" s="14">
        <f t="shared" si="11"/>
        <v>58.031999999999996</v>
      </c>
      <c r="CE123" s="14">
        <f t="shared" ca="1" si="12"/>
        <v>154.26839999999993</v>
      </c>
      <c r="CF123" s="17">
        <f t="shared" si="13"/>
        <v>5.3195999999999977</v>
      </c>
      <c r="CG123" s="23">
        <f ca="1">MONTH(TODAY())+25</f>
        <v>29</v>
      </c>
      <c r="CH123" s="14">
        <f t="shared" ca="1" si="14"/>
        <v>792.6203999999999</v>
      </c>
      <c r="CI123" s="14">
        <f>SUM(EG123*0.0052)</f>
        <v>580.31999999999994</v>
      </c>
      <c r="CJ123" s="14">
        <f t="shared" si="15"/>
        <v>58.031999999999996</v>
      </c>
      <c r="CK123" s="14">
        <f t="shared" ca="1" si="16"/>
        <v>90.433199999999957</v>
      </c>
      <c r="CL123" s="17">
        <f t="shared" si="17"/>
        <v>5.3195999999999977</v>
      </c>
      <c r="CM123" s="23">
        <f ca="1">MONTH(TODAY())+13</f>
        <v>17</v>
      </c>
      <c r="CN123" s="14">
        <f t="shared" ca="1" si="18"/>
        <v>728.78519999999992</v>
      </c>
      <c r="CO123" s="14">
        <f>SUM(EG123*0.0052)/2</f>
        <v>290.15999999999997</v>
      </c>
      <c r="CP123" s="14">
        <f t="shared" si="19"/>
        <v>29.015999999999998</v>
      </c>
      <c r="CQ123" s="14">
        <f t="shared" ca="1" si="20"/>
        <v>23.938199999999988</v>
      </c>
      <c r="CR123" s="17">
        <f t="shared" si="21"/>
        <v>2.6597999999999988</v>
      </c>
      <c r="CS123" s="23">
        <f ca="1">MONTH(TODAY())+5</f>
        <v>9</v>
      </c>
      <c r="CT123" s="23">
        <f t="shared" ca="1" si="22"/>
        <v>343.11419999999998</v>
      </c>
      <c r="CU123" s="14">
        <f>SUM(EG123*0.0052)/2</f>
        <v>290.15999999999997</v>
      </c>
      <c r="CV123" s="14">
        <f t="shared" si="23"/>
        <v>29.015999999999998</v>
      </c>
      <c r="CW123" s="14">
        <f t="shared" ca="1" si="24"/>
        <v>13.298999999999994</v>
      </c>
      <c r="CX123" s="17">
        <f t="shared" si="25"/>
        <v>2.6597999999999988</v>
      </c>
      <c r="CY123" s="23">
        <f ca="1">MONTH(TODAY())+1</f>
        <v>5</v>
      </c>
      <c r="CZ123" s="23">
        <f t="shared" ca="1" si="26"/>
        <v>332.47499999999997</v>
      </c>
      <c r="DA123" s="14">
        <f>SUM(EJ123*0.0045)/2</f>
        <v>312.97499999999997</v>
      </c>
      <c r="DB123" s="14">
        <f>SUM(DA123*0.1)</f>
        <v>31.297499999999999</v>
      </c>
      <c r="DC123" s="14">
        <f ca="1">SUM(DD123*DE123)</f>
        <v>-2.8689374999999986</v>
      </c>
      <c r="DD123" s="17">
        <f t="shared" si="27"/>
        <v>2.8689374999999986</v>
      </c>
      <c r="DE123" s="23">
        <f ca="1">MONTH(TODAY())-5</f>
        <v>-1</v>
      </c>
      <c r="DF123" s="23">
        <f t="shared" ca="1" si="28"/>
        <v>341.40356249999996</v>
      </c>
      <c r="DG123" s="14">
        <v>0</v>
      </c>
      <c r="DH123" s="14">
        <v>0</v>
      </c>
      <c r="DI123" s="14">
        <v>0</v>
      </c>
      <c r="DJ123" s="17">
        <f t="shared" si="29"/>
        <v>0</v>
      </c>
      <c r="DK123" s="23">
        <f ca="1">MONTH(TODAY())+1</f>
        <v>5</v>
      </c>
      <c r="DL123" s="23">
        <f t="shared" si="30"/>
        <v>0</v>
      </c>
      <c r="DM123" s="14">
        <f>SUM( BQ123, BW123, CC123, CI123, CO123,CU123,DA123,DG123)</f>
        <v>2634.2549999999997</v>
      </c>
      <c r="DN123" s="14">
        <f t="shared" si="31"/>
        <v>263.4255</v>
      </c>
      <c r="DO123" s="14">
        <f t="shared" ca="1" si="31"/>
        <v>497.17346249999974</v>
      </c>
      <c r="DP123" s="25">
        <f ca="1">SUM(DM123:DO123)</f>
        <v>3394.8539624999994</v>
      </c>
      <c r="DQ123" s="47">
        <f ca="1">SUM(DP123/EG123)</f>
        <v>3.0419838373655909E-2</v>
      </c>
      <c r="DR123" s="14">
        <f>19.5+19.5</f>
        <v>39</v>
      </c>
      <c r="DS123" s="32">
        <f>COUNTIF(DX123, "*")+COUNTIF(AO123, "*")+COUNTIF(AJ123, "*")+COUNTIF(AA123, "*")+COUNTIF(EY123, "*")+COUNTIF(FE123, "*")+COUNTIF(FK123, "*")+COUNTIF(FO123, "*")+COUNTIF(FV123, "*")+COUNTIF(AT123, "*")+COUNTIF(GE123, "*")+COUNTIF(GP123, "*")+COUNTIF(HA123, "*")+COUNTIF(HI123, "*")+COUNTIF(HQ123, "*")+COUNTIF(HY123, "*")+COUNTIF(IG123, "*")</f>
        <v>2</v>
      </c>
      <c r="DT123" s="14">
        <f>DS123*0.5</f>
        <v>1</v>
      </c>
      <c r="DU123" s="4"/>
      <c r="DV123" s="4">
        <v>54.43</v>
      </c>
      <c r="DW123" s="4"/>
      <c r="DX123" s="4"/>
      <c r="DZ123" s="4"/>
      <c r="EA123" s="14">
        <f>SUM(DV123:DZ123)</f>
        <v>54.43</v>
      </c>
      <c r="EB123" s="14">
        <f ca="1">SUM(DP123,DR123,EA123, DU123, DT123,GB123)</f>
        <v>3489.2839624999992</v>
      </c>
      <c r="EC123" s="24" t="s">
        <v>2770</v>
      </c>
      <c r="ED123" s="7">
        <v>0.34</v>
      </c>
      <c r="EE123" s="4">
        <v>17000</v>
      </c>
      <c r="EF123" s="4">
        <v>94600</v>
      </c>
      <c r="EG123" s="14">
        <f>SUM(EE123+EF123)</f>
        <v>111600</v>
      </c>
      <c r="EH123" s="14">
        <v>32000</v>
      </c>
      <c r="EI123" s="14">
        <v>107100</v>
      </c>
      <c r="EJ123" s="14">
        <f>SUM(EH123+EI123)</f>
        <v>139100</v>
      </c>
      <c r="IM123" s="9"/>
      <c r="IX123" s="14">
        <f ca="1">SUM(IN123-EB123-GB123-IV123)</f>
        <v>-3489.2839624999992</v>
      </c>
      <c r="IY123" s="9"/>
      <c r="IZ123" s="9"/>
      <c r="JA123" s="9"/>
      <c r="JB123" s="9"/>
      <c r="JC123" s="9"/>
    </row>
    <row r="124" spans="1:263" ht="15" customHeight="1">
      <c r="A124" s="2">
        <v>102023032</v>
      </c>
      <c r="B124" t="s">
        <v>4028</v>
      </c>
      <c r="C124" s="10"/>
      <c r="D124" s="10"/>
      <c r="E124" s="10"/>
      <c r="F124" s="160"/>
      <c r="G124" s="147">
        <v>230001921</v>
      </c>
      <c r="H124" s="10"/>
      <c r="I124" s="10"/>
      <c r="J124" s="10" t="s">
        <v>253</v>
      </c>
      <c r="K124" s="10" t="s">
        <v>4029</v>
      </c>
      <c r="L124" s="10" t="s">
        <v>1051</v>
      </c>
      <c r="M124" s="10" t="s">
        <v>763</v>
      </c>
      <c r="N124" s="10"/>
      <c r="O124" s="147"/>
      <c r="P124" s="10"/>
      <c r="Q124" s="10"/>
      <c r="R124" s="10"/>
      <c r="S124" s="10"/>
      <c r="T124" s="10"/>
      <c r="U124" s="10"/>
      <c r="V124" s="10"/>
      <c r="W124" s="10"/>
      <c r="X124" s="10"/>
      <c r="Y124" s="10"/>
      <c r="Z124" s="10"/>
      <c r="AA124" s="10"/>
      <c r="AB124" s="10"/>
      <c r="AC124" s="10"/>
      <c r="AD124" s="10"/>
      <c r="AE124" s="10"/>
      <c r="AF124" s="10"/>
      <c r="AG124" s="10"/>
      <c r="AH124" s="10"/>
      <c r="AI124" s="10"/>
      <c r="AK124" s="1"/>
      <c r="AM124"/>
      <c r="AN124"/>
      <c r="AO124" t="s">
        <v>4112</v>
      </c>
      <c r="AP124" s="1" t="s">
        <v>258</v>
      </c>
      <c r="AQ124" t="s">
        <v>290</v>
      </c>
      <c r="AR124" t="s">
        <v>260</v>
      </c>
      <c r="AX124" s="1"/>
      <c r="AY124" s="1"/>
      <c r="AZ124" s="1"/>
      <c r="BA124" s="1"/>
      <c r="BB124" s="1"/>
      <c r="BC124" s="70"/>
      <c r="BD124" s="115"/>
      <c r="BE124" s="144"/>
      <c r="BF124" s="70"/>
      <c r="BG124" s="2"/>
      <c r="BH124" s="70"/>
      <c r="BI124" s="70"/>
      <c r="BJ124" s="70"/>
      <c r="BK124" s="70"/>
      <c r="BL124" s="20">
        <f ca="1">SUM(EH124)+220</f>
        <v>829.81792500000006</v>
      </c>
      <c r="BM124" s="22">
        <f t="shared" ca="1" si="0"/>
        <v>-72.954179115740558</v>
      </c>
      <c r="BN124" s="22">
        <f t="shared" ca="1" si="1"/>
        <v>72.954179115740558</v>
      </c>
      <c r="BO124" s="14">
        <f>SUM(EP124*0.0052)/12</f>
        <v>96.98</v>
      </c>
      <c r="BP124" s="22">
        <f t="shared" ca="1" si="2"/>
        <v>169.93417911574056</v>
      </c>
      <c r="BQ124" s="14"/>
      <c r="BR124" s="14">
        <f t="shared" si="3"/>
        <v>0</v>
      </c>
      <c r="BS124" s="14">
        <f t="shared" ca="1" si="4"/>
        <v>0</v>
      </c>
      <c r="BT124" s="17">
        <f t="shared" si="5"/>
        <v>0</v>
      </c>
      <c r="BU124" s="23">
        <f ca="1">MONTH(TODAY())+49</f>
        <v>53</v>
      </c>
      <c r="BV124" s="14">
        <f t="shared" ca="1" si="6"/>
        <v>0</v>
      </c>
      <c r="BW124" s="14">
        <v>0</v>
      </c>
      <c r="BX124" s="14">
        <f t="shared" si="7"/>
        <v>0</v>
      </c>
      <c r="BY124" s="14">
        <f t="shared" ca="1" si="8"/>
        <v>0</v>
      </c>
      <c r="BZ124" s="17">
        <f t="shared" si="9"/>
        <v>0</v>
      </c>
      <c r="CA124" s="23">
        <f ca="1">MONTH(TODAY())+37</f>
        <v>41</v>
      </c>
      <c r="CB124" s="14">
        <f t="shared" ca="1" si="10"/>
        <v>0</v>
      </c>
      <c r="CC124" s="14">
        <v>0</v>
      </c>
      <c r="CD124" s="14">
        <f t="shared" si="11"/>
        <v>0</v>
      </c>
      <c r="CE124" s="14">
        <f t="shared" ca="1" si="12"/>
        <v>0</v>
      </c>
      <c r="CF124" s="17">
        <f t="shared" si="13"/>
        <v>0</v>
      </c>
      <c r="CG124" s="23">
        <f ca="1">MONTH(TODAY())+25</f>
        <v>29</v>
      </c>
      <c r="CH124" s="14">
        <f t="shared" ca="1" si="14"/>
        <v>0</v>
      </c>
      <c r="CI124" s="14">
        <v>0</v>
      </c>
      <c r="CJ124" s="14">
        <f t="shared" si="15"/>
        <v>0</v>
      </c>
      <c r="CK124" s="14">
        <f t="shared" ca="1" si="16"/>
        <v>0</v>
      </c>
      <c r="CL124" s="17">
        <f t="shared" si="17"/>
        <v>0</v>
      </c>
      <c r="CM124" s="23">
        <f ca="1">MONTH(TODAY())+17</f>
        <v>21</v>
      </c>
      <c r="CN124" s="23">
        <f t="shared" ca="1" si="18"/>
        <v>0</v>
      </c>
      <c r="CO124" s="14">
        <v>0</v>
      </c>
      <c r="CP124" s="14">
        <f t="shared" si="19"/>
        <v>0</v>
      </c>
      <c r="CQ124" s="14">
        <f t="shared" ca="1" si="20"/>
        <v>0</v>
      </c>
      <c r="CR124" s="17">
        <f t="shared" si="21"/>
        <v>0</v>
      </c>
      <c r="CS124" s="23">
        <f ca="1">MONTH(TODAY())+13</f>
        <v>17</v>
      </c>
      <c r="CT124" s="14">
        <f t="shared" ca="1" si="22"/>
        <v>0</v>
      </c>
      <c r="CU124" s="14">
        <f>SUM(EP124*0.0045)/2-290.94</f>
        <v>212.60999999999996</v>
      </c>
      <c r="CV124" s="14">
        <f t="shared" si="23"/>
        <v>21.260999999999996</v>
      </c>
      <c r="CW124" s="14">
        <f t="shared" ca="1" si="24"/>
        <v>21.438174999999987</v>
      </c>
      <c r="CX124" s="17">
        <f t="shared" si="25"/>
        <v>1.9489249999999987</v>
      </c>
      <c r="CY124" s="23">
        <f ca="1">MONTH(TODAY())+7</f>
        <v>11</v>
      </c>
      <c r="CZ124" s="14">
        <f t="shared" ca="1" si="26"/>
        <v>255.30917499999993</v>
      </c>
      <c r="DA124" s="14">
        <v>0</v>
      </c>
      <c r="DB124" s="14">
        <f>SUM(DA124*0.1)</f>
        <v>0</v>
      </c>
      <c r="DC124" s="14">
        <f ca="1">SUM(DD124*DE124)</f>
        <v>0</v>
      </c>
      <c r="DD124" s="17">
        <f t="shared" si="27"/>
        <v>0</v>
      </c>
      <c r="DE124" s="23">
        <f ca="1">MONTH(TODAY())+1</f>
        <v>5</v>
      </c>
      <c r="DF124" s="14">
        <f t="shared" ca="1" si="28"/>
        <v>0</v>
      </c>
      <c r="DG124" s="14">
        <v>0</v>
      </c>
      <c r="DH124" s="14">
        <f>SUM(DG124*0.1)</f>
        <v>0</v>
      </c>
      <c r="DI124" s="14">
        <f ca="1">SUM(DJ124*DK124)</f>
        <v>0</v>
      </c>
      <c r="DJ124" s="17">
        <f t="shared" si="29"/>
        <v>0</v>
      </c>
      <c r="DK124" s="23">
        <f ca="1">MONTH(TODAY())-7</f>
        <v>-3</v>
      </c>
      <c r="DL124" s="14">
        <f t="shared" ca="1" si="30"/>
        <v>0</v>
      </c>
      <c r="DM124" s="14">
        <v>43.5</v>
      </c>
      <c r="DN124" s="14">
        <f>SUM(DM124*0.1)</f>
        <v>4.3500000000000005</v>
      </c>
      <c r="DO124" s="14">
        <f ca="1">SUM(DP124*DQ124)</f>
        <v>-2.7912499999999989</v>
      </c>
      <c r="DP124" s="17">
        <f>SUM((DM124+DN124)*0.00833333333333333)</f>
        <v>0.39874999999999983</v>
      </c>
      <c r="DQ124" s="23">
        <f ca="1">MONTH(TODAY())-11</f>
        <v>-7</v>
      </c>
      <c r="DR124" s="14">
        <f ca="1">SUM(DM124,DN124,DO124)</f>
        <v>45.058750000000003</v>
      </c>
      <c r="DS124" s="14">
        <f>SUM(BQ124, BW124, CC124, CI124,CO124,CU124,DA124,DG124,DM124)</f>
        <v>256.10999999999996</v>
      </c>
      <c r="DT124" s="14">
        <f>SUM(BR124,BX124,CD124, CJ124,CP124,CV124,DB124,DH124,DN124)</f>
        <v>25.610999999999997</v>
      </c>
      <c r="DU124" s="14">
        <f ca="1">SUM(BS124,BY124,CE124, CK124,CQ124,CW124,DC124,DI124,DO124)</f>
        <v>18.646924999999989</v>
      </c>
      <c r="DV124" s="25">
        <f ca="1">SUM(DS124:DU124)</f>
        <v>300.36792499999996</v>
      </c>
      <c r="DW124" s="47">
        <f ca="1">SUM(DV124/EM124)</f>
        <v>1.7252609132682364E-3</v>
      </c>
      <c r="DX124" s="14">
        <f>240+60</f>
        <v>300</v>
      </c>
      <c r="DY124" s="32">
        <f>COUNTIF(AO124, "*")+COUNTIF(AJ124, "*")+COUNTIF(AA124, "*")+COUNTIF(FA124, "*")+COUNTIF(FG124, "*")+COUNTIF(FM124, "*")+COUNTIF(FQ124, "*")+COUNTIF(FX124, "*")+COUNTIF(AT124, "*")+COUNTIF(GG124, "*")+COUNTIF(GR124, "*")+COUNTIF(HC124, "*")+COUNTIF(HK124, "*")+COUNTIF(HS124, "*")+COUNTIF(IA124, "*")</f>
        <v>1</v>
      </c>
      <c r="DZ124" s="14">
        <f>DY124*0.6+8.85</f>
        <v>9.4499999999999993</v>
      </c>
      <c r="EA124" s="4"/>
      <c r="EB124" s="4"/>
      <c r="EC124" s="4"/>
      <c r="ED124" s="4"/>
      <c r="EE124" s="4"/>
      <c r="EF124" s="4"/>
      <c r="EG124" s="14">
        <f>SUM(EA124:EF124)</f>
        <v>0</v>
      </c>
      <c r="EH124" s="14">
        <f ca="1">SUM(DV124,DX124,EG124,DZ124,GD124)</f>
        <v>609.81792500000006</v>
      </c>
      <c r="EI124" s="24" t="s">
        <v>3974</v>
      </c>
      <c r="EJ124" s="7">
        <v>0.46</v>
      </c>
      <c r="EK124" s="4">
        <v>24000</v>
      </c>
      <c r="EL124" s="4">
        <v>150100</v>
      </c>
      <c r="EM124" s="14">
        <f>SUM(EK124+EL124)</f>
        <v>174100</v>
      </c>
      <c r="EN124" s="14">
        <v>45000</v>
      </c>
      <c r="EO124" s="14">
        <v>178800</v>
      </c>
      <c r="EP124" s="14">
        <f>SUM(EN124+EO124)</f>
        <v>223800</v>
      </c>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9"/>
      <c r="FV124" s="10"/>
      <c r="FW124" s="10"/>
      <c r="FX124" s="10"/>
      <c r="FY124" s="10"/>
      <c r="FZ124" s="10"/>
      <c r="GA124" s="10"/>
      <c r="GB124" s="9"/>
      <c r="GC124" s="10"/>
      <c r="GD124" s="10"/>
      <c r="GE124" s="10"/>
      <c r="GF124" s="10"/>
      <c r="GG124" s="10"/>
      <c r="GH124" s="10"/>
      <c r="GI124" s="10"/>
      <c r="GJ124" s="10"/>
      <c r="GK124" s="9"/>
      <c r="GL124" s="10"/>
      <c r="GM124" s="10"/>
      <c r="GN124" s="10"/>
      <c r="GO124" s="10"/>
      <c r="GP124" s="10"/>
      <c r="GQ124" s="10"/>
      <c r="GR124" s="10"/>
      <c r="GS124" s="10"/>
      <c r="GT124" s="10"/>
      <c r="GU124" s="10"/>
      <c r="GV124" s="9"/>
      <c r="GW124" s="10"/>
      <c r="GX124" s="10"/>
      <c r="GY124" s="10"/>
      <c r="GZ124" s="10"/>
      <c r="HA124" s="10"/>
      <c r="HB124" s="10"/>
      <c r="HC124" s="10"/>
      <c r="HD124" s="10"/>
      <c r="HE124" s="10"/>
      <c r="HF124" s="10"/>
      <c r="HG124" s="9"/>
      <c r="HH124" s="10"/>
      <c r="HI124" s="10"/>
      <c r="HJ124" s="10"/>
      <c r="HK124" s="10"/>
      <c r="HL124" s="10"/>
      <c r="HM124" s="10"/>
      <c r="HN124" s="10"/>
      <c r="HO124" s="9"/>
      <c r="HP124" s="10"/>
      <c r="HQ124" s="10"/>
      <c r="HR124" s="10"/>
      <c r="HS124" s="10"/>
      <c r="HT124" s="10"/>
      <c r="HU124" s="10"/>
      <c r="HV124" s="10"/>
      <c r="HW124" s="9"/>
      <c r="HX124" s="10"/>
      <c r="HY124" s="10"/>
      <c r="HZ124" s="10"/>
      <c r="IA124" s="10"/>
      <c r="IB124" s="10"/>
      <c r="IC124" s="10"/>
      <c r="ID124" s="10"/>
      <c r="IE124" s="9"/>
      <c r="IF124" s="4"/>
      <c r="IG124" s="4"/>
      <c r="IH124" s="10"/>
      <c r="II124" s="10"/>
      <c r="IJ124" s="10"/>
      <c r="IK124" s="10"/>
      <c r="IL124" s="4"/>
      <c r="IM124" s="4"/>
      <c r="IN124" s="14">
        <f ca="1">SUM(IF124-EH124-GD124-IL124)</f>
        <v>-609.81792500000006</v>
      </c>
      <c r="IO124" s="14"/>
      <c r="IP124" s="14"/>
      <c r="IQ124" s="9"/>
      <c r="IR124" s="9"/>
      <c r="IS124" s="9"/>
      <c r="IT124" s="9"/>
      <c r="IU124" s="9"/>
      <c r="IV124" s="27" t="s">
        <v>5913</v>
      </c>
    </row>
    <row r="125" spans="1:263" ht="15" customHeight="1">
      <c r="A125" s="2">
        <v>102023002</v>
      </c>
      <c r="B125" t="s">
        <v>4024</v>
      </c>
      <c r="G125" s="3"/>
      <c r="J125" t="s">
        <v>253</v>
      </c>
      <c r="K125" t="s">
        <v>415</v>
      </c>
      <c r="L125" t="s">
        <v>4025</v>
      </c>
      <c r="M125" t="s">
        <v>392</v>
      </c>
      <c r="O125" s="3"/>
      <c r="AG125"/>
      <c r="AM125"/>
      <c r="AN125"/>
      <c r="AO125" t="s">
        <v>4078</v>
      </c>
      <c r="AP125" s="3" t="s">
        <v>258</v>
      </c>
      <c r="AQ125" t="s">
        <v>290</v>
      </c>
      <c r="AR125" t="s">
        <v>260</v>
      </c>
      <c r="AX125" s="1"/>
      <c r="AY125" s="1"/>
      <c r="AZ125" s="1"/>
      <c r="BA125" s="1"/>
      <c r="BB125" s="1"/>
      <c r="BC125" s="2"/>
      <c r="BD125" s="115">
        <v>45060</v>
      </c>
      <c r="BE125" s="115">
        <v>45008</v>
      </c>
      <c r="BF125" s="2"/>
      <c r="BG125" s="2"/>
      <c r="BH125" s="2"/>
      <c r="BI125" s="2"/>
      <c r="BJ125" s="2"/>
      <c r="BK125" s="2"/>
      <c r="BL125" s="20">
        <f ca="1">SUM(EB125)+220</f>
        <v>4696.8218999999999</v>
      </c>
      <c r="BM125" s="22">
        <f t="shared" ca="1" si="0"/>
        <v>-412.92526449983939</v>
      </c>
      <c r="BN125" s="22">
        <f t="shared" ca="1" si="1"/>
        <v>412.92526449983939</v>
      </c>
      <c r="BO125" s="14">
        <f>SUM(EJ125*0.0052)/12</f>
        <v>100.83666666666666</v>
      </c>
      <c r="BP125" s="22">
        <f t="shared" ca="1" si="2"/>
        <v>513.76193116650609</v>
      </c>
      <c r="BQ125" s="14"/>
      <c r="BR125" s="14">
        <f t="shared" si="3"/>
        <v>0</v>
      </c>
      <c r="BS125" s="14">
        <f t="shared" ca="1" si="4"/>
        <v>0</v>
      </c>
      <c r="BT125" s="17">
        <f t="shared" si="5"/>
        <v>0</v>
      </c>
      <c r="BU125" s="23">
        <f ca="1">MONTH(TODAY())+49</f>
        <v>53</v>
      </c>
      <c r="BV125" s="14">
        <f t="shared" ca="1" si="6"/>
        <v>0</v>
      </c>
      <c r="BW125" s="14"/>
      <c r="BX125" s="14">
        <f t="shared" si="7"/>
        <v>0</v>
      </c>
      <c r="BY125" s="14">
        <f t="shared" ca="1" si="8"/>
        <v>0</v>
      </c>
      <c r="BZ125" s="17">
        <f t="shared" si="9"/>
        <v>0</v>
      </c>
      <c r="CA125" s="23">
        <f ca="1">MONTH(TODAY())+37</f>
        <v>41</v>
      </c>
      <c r="CB125" s="14">
        <f t="shared" ca="1" si="10"/>
        <v>0</v>
      </c>
      <c r="CC125" s="14">
        <f>SUM(EG125*0.0052)</f>
        <v>921.95999999999992</v>
      </c>
      <c r="CD125" s="14">
        <f t="shared" si="11"/>
        <v>92.195999999999998</v>
      </c>
      <c r="CE125" s="14">
        <f t="shared" ca="1" si="12"/>
        <v>245.0876999999999</v>
      </c>
      <c r="CF125" s="17">
        <f t="shared" si="13"/>
        <v>8.4512999999999963</v>
      </c>
      <c r="CG125" s="23">
        <f ca="1">MONTH(TODAY())+25</f>
        <v>29</v>
      </c>
      <c r="CH125" s="14">
        <f t="shared" ca="1" si="14"/>
        <v>1259.2436999999998</v>
      </c>
      <c r="CI125" s="14">
        <f>SUM(EG125*0.0052)</f>
        <v>921.95999999999992</v>
      </c>
      <c r="CJ125" s="14">
        <f t="shared" si="15"/>
        <v>92.195999999999998</v>
      </c>
      <c r="CK125" s="14">
        <f t="shared" ca="1" si="16"/>
        <v>143.67209999999994</v>
      </c>
      <c r="CL125" s="17">
        <f t="shared" si="17"/>
        <v>8.4512999999999963</v>
      </c>
      <c r="CM125" s="23">
        <f ca="1">MONTH(TODAY())+13</f>
        <v>17</v>
      </c>
      <c r="CN125" s="14">
        <f t="shared" ca="1" si="18"/>
        <v>1157.8280999999999</v>
      </c>
      <c r="CO125" s="14">
        <f>SUM(EG125*0.0052)/2</f>
        <v>460.97999999999996</v>
      </c>
      <c r="CP125" s="14">
        <f t="shared" si="19"/>
        <v>46.097999999999999</v>
      </c>
      <c r="CQ125" s="14">
        <f t="shared" ca="1" si="20"/>
        <v>38.030849999999987</v>
      </c>
      <c r="CR125" s="17">
        <f t="shared" si="21"/>
        <v>4.2256499999999981</v>
      </c>
      <c r="CS125" s="23">
        <f ca="1">MONTH(TODAY())+5</f>
        <v>9</v>
      </c>
      <c r="CT125" s="23">
        <f t="shared" ca="1" si="22"/>
        <v>545.10884999999996</v>
      </c>
      <c r="CU125" s="14">
        <f>SUM(EG125*0.0052)/2</f>
        <v>460.97999999999996</v>
      </c>
      <c r="CV125" s="14">
        <f t="shared" si="23"/>
        <v>46.097999999999999</v>
      </c>
      <c r="CW125" s="14">
        <f t="shared" ca="1" si="24"/>
        <v>21.128249999999991</v>
      </c>
      <c r="CX125" s="17">
        <f t="shared" si="25"/>
        <v>4.2256499999999981</v>
      </c>
      <c r="CY125" s="23">
        <f ca="1">MONTH(TODAY())+1</f>
        <v>5</v>
      </c>
      <c r="CZ125" s="23">
        <f t="shared" ca="1" si="26"/>
        <v>528.20624999999995</v>
      </c>
      <c r="DA125" s="14">
        <f>SUM(EJ125*0.0045)/2</f>
        <v>523.57499999999993</v>
      </c>
      <c r="DB125" s="14">
        <v>0</v>
      </c>
      <c r="DC125" s="14">
        <v>0</v>
      </c>
      <c r="DD125" s="17">
        <f t="shared" si="27"/>
        <v>4.3631249999999975</v>
      </c>
      <c r="DE125" s="23">
        <f ca="1">MONTH(TODAY())-5</f>
        <v>-1</v>
      </c>
      <c r="DF125" s="23">
        <f t="shared" si="28"/>
        <v>523.57499999999993</v>
      </c>
      <c r="DG125" s="14">
        <v>0</v>
      </c>
      <c r="DH125" s="14">
        <v>0</v>
      </c>
      <c r="DI125" s="14">
        <v>0</v>
      </c>
      <c r="DJ125" s="17">
        <f t="shared" si="29"/>
        <v>0</v>
      </c>
      <c r="DK125" s="23">
        <f ca="1">MONTH(TODAY())+1</f>
        <v>5</v>
      </c>
      <c r="DL125" s="23">
        <f t="shared" si="30"/>
        <v>0</v>
      </c>
      <c r="DM125" s="14">
        <f>SUM( BQ125, BW125, CC125, CI125, CO125,CU125,DA125,DG125)</f>
        <v>3289.4549999999995</v>
      </c>
      <c r="DN125" s="14">
        <f t="shared" ref="DN125:DO128" si="32">SUM(BR125,BX125,CD125,CJ125, CP125,CV125,DB125,DH125)</f>
        <v>276.58800000000002</v>
      </c>
      <c r="DO125" s="14">
        <f t="shared" ca="1" si="32"/>
        <v>447.91889999999978</v>
      </c>
      <c r="DP125" s="25">
        <f ca="1">SUM(DM125:DO125)</f>
        <v>4013.9618999999993</v>
      </c>
      <c r="DQ125" s="47">
        <f ca="1">SUM(DP125/EG125)</f>
        <v>2.2639379018612519E-2</v>
      </c>
      <c r="DR125" s="14">
        <f>20+200+40</f>
        <v>260</v>
      </c>
      <c r="DS125" s="32">
        <f>COUNTIF(DX125, "*")+COUNTIF(AO125, "*")+COUNTIF(AJ125, "*")+COUNTIF(AA125, "*")+COUNTIF(EY125, "*")+COUNTIF(FE125, "*")+COUNTIF(FK125, "*")+COUNTIF(FO125, "*")+COUNTIF(FV125, "*")+COUNTIF(AT125, "*")+COUNTIF(GE125, "*")+COUNTIF(GP125, "*")+COUNTIF(HA125, "*")+COUNTIF(HI125, "*")+COUNTIF(HQ125, "*")+COUNTIF(HY125, "*")+COUNTIF(IG125, "*")</f>
        <v>2</v>
      </c>
      <c r="DT125" s="14">
        <f>DS125*0.6+DS125*7.45</f>
        <v>16.100000000000001</v>
      </c>
      <c r="DU125" s="4">
        <v>150</v>
      </c>
      <c r="DV125" s="4">
        <v>36.76</v>
      </c>
      <c r="DW125" s="4"/>
      <c r="DX125" s="4"/>
      <c r="DZ125" s="4"/>
      <c r="EA125" s="14">
        <f>SUM(DV125:DZ125)</f>
        <v>36.76</v>
      </c>
      <c r="EB125" s="14">
        <f ca="1">SUM(DP125,DR125,EA125, DU125, DT125,GB125)</f>
        <v>4476.8218999999999</v>
      </c>
      <c r="EC125" s="24" t="s">
        <v>3974</v>
      </c>
      <c r="ED125" s="7">
        <v>0.34</v>
      </c>
      <c r="EE125" s="4">
        <v>25000</v>
      </c>
      <c r="EF125" s="4">
        <v>152300</v>
      </c>
      <c r="EG125" s="14">
        <f>SUM(EE125+EF125)</f>
        <v>177300</v>
      </c>
      <c r="EH125" s="4">
        <v>45000</v>
      </c>
      <c r="EI125" s="4">
        <v>187700</v>
      </c>
      <c r="EJ125" s="14">
        <f>SUM(EH125+EI125)</f>
        <v>232700</v>
      </c>
      <c r="EK125" t="s">
        <v>4550</v>
      </c>
      <c r="EL125" t="s">
        <v>4551</v>
      </c>
      <c r="FN125" t="s">
        <v>4552</v>
      </c>
      <c r="FO125" t="s">
        <v>4553</v>
      </c>
      <c r="FQ125" t="s">
        <v>3476</v>
      </c>
      <c r="FR125" t="s">
        <v>496</v>
      </c>
      <c r="FS125" s="9">
        <v>42754</v>
      </c>
      <c r="FT125" t="s">
        <v>4554</v>
      </c>
      <c r="IM125" s="9"/>
      <c r="IX125" s="14">
        <f ca="1">SUM(IN125-EB125-GB125-IV125)</f>
        <v>-4476.8218999999999</v>
      </c>
      <c r="IY125" s="9"/>
      <c r="IZ125" s="9"/>
      <c r="JA125" s="9"/>
      <c r="JB125" s="9"/>
      <c r="JC125" s="9"/>
    </row>
    <row r="126" spans="1:263" ht="15" customHeight="1">
      <c r="A126" s="2">
        <v>102024056</v>
      </c>
      <c r="B126" t="s">
        <v>5093</v>
      </c>
      <c r="D126" s="1"/>
      <c r="E126" s="3"/>
      <c r="G126" s="3"/>
      <c r="K126" t="s">
        <v>5214</v>
      </c>
      <c r="O126" s="3"/>
      <c r="Z126" t="s">
        <v>5215</v>
      </c>
      <c r="AA126" t="s">
        <v>5216</v>
      </c>
      <c r="AB126" t="s">
        <v>300</v>
      </c>
      <c r="AC126" t="s">
        <v>301</v>
      </c>
      <c r="AG126" s="43"/>
      <c r="AJ126" t="s">
        <v>5220</v>
      </c>
      <c r="AK126" s="1" t="s">
        <v>258</v>
      </c>
      <c r="AL126" t="s">
        <v>290</v>
      </c>
      <c r="AM126" t="s">
        <v>260</v>
      </c>
      <c r="AN126"/>
      <c r="AO126" t="s">
        <v>5218</v>
      </c>
      <c r="AQ126" t="s">
        <v>290</v>
      </c>
      <c r="AR126"/>
      <c r="AX126" s="1"/>
      <c r="AY126" s="1"/>
      <c r="AZ126" s="1"/>
      <c r="BA126" s="1"/>
      <c r="BB126" s="1"/>
      <c r="BC126" s="2"/>
      <c r="BD126" s="115">
        <v>45382</v>
      </c>
      <c r="BE126" s="115"/>
      <c r="BF126" s="2"/>
      <c r="BG126" s="2"/>
      <c r="BH126" s="2"/>
      <c r="BI126" s="2"/>
      <c r="BJ126" s="2"/>
      <c r="BK126" s="2"/>
      <c r="BL126" s="20">
        <f ca="1">SUM(EB126)+220</f>
        <v>5959.3007999999991</v>
      </c>
      <c r="BM126" s="22">
        <f t="shared" ca="1" si="0"/>
        <v>-523.9172171025059</v>
      </c>
      <c r="BN126" s="22">
        <f t="shared" ca="1" si="1"/>
        <v>523.9172171025059</v>
      </c>
      <c r="BO126" s="14">
        <f>SUM(EJ126*0.0052)/12</f>
        <v>129.73999999999998</v>
      </c>
      <c r="BP126" s="22">
        <f t="shared" ca="1" si="2"/>
        <v>653.65721710250591</v>
      </c>
      <c r="BQ126" s="14"/>
      <c r="BR126" s="14">
        <f t="shared" si="3"/>
        <v>0</v>
      </c>
      <c r="BS126" s="14">
        <f t="shared" ca="1" si="4"/>
        <v>0</v>
      </c>
      <c r="BT126" s="17">
        <f t="shared" si="5"/>
        <v>0</v>
      </c>
      <c r="BU126" s="23">
        <f ca="1">MONTH(TODAY())+61</f>
        <v>65</v>
      </c>
      <c r="BV126" s="14">
        <f t="shared" ca="1" si="6"/>
        <v>0</v>
      </c>
      <c r="BW126" s="14"/>
      <c r="BX126" s="14">
        <f t="shared" si="7"/>
        <v>0</v>
      </c>
      <c r="BY126" s="14">
        <f t="shared" ca="1" si="8"/>
        <v>0</v>
      </c>
      <c r="BZ126" s="17">
        <f t="shared" si="9"/>
        <v>0</v>
      </c>
      <c r="CA126" s="23">
        <f ca="1">MONTH(TODAY())+49</f>
        <v>53</v>
      </c>
      <c r="CB126" s="14">
        <f t="shared" ca="1" si="10"/>
        <v>0</v>
      </c>
      <c r="CC126" s="14">
        <v>0</v>
      </c>
      <c r="CD126" s="14">
        <f t="shared" si="11"/>
        <v>0</v>
      </c>
      <c r="CE126" s="14">
        <f t="shared" ca="1" si="12"/>
        <v>0</v>
      </c>
      <c r="CF126" s="17">
        <f t="shared" si="13"/>
        <v>0</v>
      </c>
      <c r="CG126" s="23">
        <f ca="1">MONTH(TODAY())+37</f>
        <v>41</v>
      </c>
      <c r="CH126" s="14">
        <f t="shared" ca="1" si="14"/>
        <v>0</v>
      </c>
      <c r="CI126" s="14">
        <f>SUM(EG126*0.0052)</f>
        <v>1544.9199999999998</v>
      </c>
      <c r="CJ126" s="14">
        <f t="shared" si="15"/>
        <v>154.49199999999999</v>
      </c>
      <c r="CK126" s="14">
        <f t="shared" ca="1" si="16"/>
        <v>410.69123333333312</v>
      </c>
      <c r="CL126" s="17">
        <f t="shared" si="17"/>
        <v>14.16176666666666</v>
      </c>
      <c r="CM126" s="23">
        <f ca="1">MONTH(TODAY())+25</f>
        <v>29</v>
      </c>
      <c r="CN126" s="14">
        <f t="shared" ca="1" si="18"/>
        <v>2110.1032333333328</v>
      </c>
      <c r="CO126" s="14">
        <f>SUM(EG126*0.0052)/2</f>
        <v>772.45999999999992</v>
      </c>
      <c r="CP126" s="14">
        <f t="shared" si="19"/>
        <v>77.245999999999995</v>
      </c>
      <c r="CQ126" s="14">
        <f t="shared" ca="1" si="20"/>
        <v>148.69854999999993</v>
      </c>
      <c r="CR126" s="17">
        <f t="shared" si="21"/>
        <v>7.0808833333333299</v>
      </c>
      <c r="CS126" s="23">
        <f ca="1">MONTH(TODAY())+17</f>
        <v>21</v>
      </c>
      <c r="CT126" s="23">
        <f t="shared" ca="1" si="22"/>
        <v>998.40454999999986</v>
      </c>
      <c r="CU126" s="14">
        <f>SUM(EG126*0.0052)/2</f>
        <v>772.45999999999992</v>
      </c>
      <c r="CV126" s="14">
        <f t="shared" si="23"/>
        <v>77.245999999999995</v>
      </c>
      <c r="CW126" s="14">
        <f t="shared" ca="1" si="24"/>
        <v>120.37501666666661</v>
      </c>
      <c r="CX126" s="17">
        <f t="shared" si="25"/>
        <v>7.0808833333333299</v>
      </c>
      <c r="CY126" s="23">
        <f ca="1">MONTH(TODAY())+13</f>
        <v>17</v>
      </c>
      <c r="CZ126" s="23">
        <f t="shared" ca="1" si="26"/>
        <v>970.08101666666653</v>
      </c>
      <c r="DA126" s="14">
        <f>SUM(EJ126*0.0045)/2</f>
        <v>673.65</v>
      </c>
      <c r="DB126" s="14">
        <f>SUM(DA126*0.1)</f>
        <v>67.364999999999995</v>
      </c>
      <c r="DC126" s="14">
        <f ca="1">SUM(DD126*DE126)</f>
        <v>67.926374999999965</v>
      </c>
      <c r="DD126" s="17">
        <f t="shared" si="27"/>
        <v>6.1751249999999969</v>
      </c>
      <c r="DE126" s="23">
        <f ca="1">MONTH(TODAY())+7</f>
        <v>11</v>
      </c>
      <c r="DF126" s="23">
        <f t="shared" ca="1" si="28"/>
        <v>808.94137499999999</v>
      </c>
      <c r="DG126" s="14">
        <f>SUM(EJ126*0.0045)/2</f>
        <v>673.65</v>
      </c>
      <c r="DH126" s="14">
        <f>SUM(DG126*0.1)</f>
        <v>67.364999999999995</v>
      </c>
      <c r="DI126" s="14">
        <f ca="1">SUM(DJ126*DK126)</f>
        <v>30.875624999999985</v>
      </c>
      <c r="DJ126" s="17">
        <f t="shared" si="29"/>
        <v>6.1751249999999969</v>
      </c>
      <c r="DK126" s="23">
        <f ca="1">MONTH(TODAY())+1</f>
        <v>5</v>
      </c>
      <c r="DL126" s="14">
        <f t="shared" ca="1" si="30"/>
        <v>771.890625</v>
      </c>
      <c r="DM126" s="14">
        <f>SUM( BQ126, BW126, CC126, CI126, CO126,CU126,DA126,DG126)</f>
        <v>4437.1399999999994</v>
      </c>
      <c r="DN126" s="14">
        <f t="shared" si="32"/>
        <v>443.714</v>
      </c>
      <c r="DO126" s="14">
        <f t="shared" ca="1" si="32"/>
        <v>778.56679999999972</v>
      </c>
      <c r="DP126" s="25">
        <f ca="1">SUM(DM126:DO126)</f>
        <v>5659.420799999999</v>
      </c>
      <c r="DQ126" s="47">
        <f ca="1">SUM(DP126/EG126)</f>
        <v>1.9048875126220124E-2</v>
      </c>
      <c r="DR126" s="14">
        <f>40+10</f>
        <v>50</v>
      </c>
      <c r="DS126" s="32">
        <f>COUNTIF(AO126, "*")+COUNTIF(AJ126, "*")+COUNTIF(AA126, "*")+COUNTIF(EU126, "*")+COUNTIF(FA126, "*")+COUNTIF(FG126, "*")+COUNTIF(FK126, "*")+COUNTIF(FR126, "*")+COUNTIF(AT126, "*")+COUNTIF(GA126, "*")+COUNTIF(GL126, "*")+COUNTIF(GW126, "*")+COUNTIF(HE126, "*")+COUNTIF(HM126, "*")+COUNTIF(HU126, "*")</f>
        <v>3</v>
      </c>
      <c r="DT126" s="14">
        <f>DS126*0.64</f>
        <v>1.92</v>
      </c>
      <c r="DU126" s="4"/>
      <c r="DV126" s="4">
        <v>27.96</v>
      </c>
      <c r="DW126" s="4"/>
      <c r="DX126" s="4"/>
      <c r="DZ126" s="4"/>
      <c r="EA126" s="14">
        <f>SUM(DV126:DZ126)</f>
        <v>27.96</v>
      </c>
      <c r="EB126" s="14">
        <f ca="1">SUM(DP126,DR126,EA126, DU126, DT126,FX126)</f>
        <v>5739.3007999999991</v>
      </c>
      <c r="EC126" s="24" t="s">
        <v>4944</v>
      </c>
      <c r="ED126" s="130">
        <v>0.39</v>
      </c>
      <c r="EE126" s="14">
        <v>33400</v>
      </c>
      <c r="EF126" s="14">
        <v>263700</v>
      </c>
      <c r="EG126" s="14">
        <f>SUM(EE126+EF126)</f>
        <v>297100</v>
      </c>
      <c r="EH126" s="14">
        <v>33400</v>
      </c>
      <c r="EI126" s="14">
        <v>266000</v>
      </c>
      <c r="EJ126" s="14">
        <f>SUM(EH126+EI126)</f>
        <v>299400</v>
      </c>
      <c r="FX126" s="4"/>
      <c r="HY126" s="9"/>
      <c r="IJ126" s="4"/>
      <c r="IK126" s="4"/>
      <c r="IL126" s="4"/>
      <c r="IM126" s="9"/>
      <c r="IN126" s="9"/>
      <c r="IO126" s="9"/>
      <c r="IP126" s="9"/>
      <c r="IQ126" s="9"/>
    </row>
    <row r="127" spans="1:263" ht="15" customHeight="1">
      <c r="A127" s="2">
        <v>102024055</v>
      </c>
      <c r="B127" t="s">
        <v>5092</v>
      </c>
      <c r="D127" s="1"/>
      <c r="E127" s="3"/>
      <c r="G127" s="3"/>
      <c r="K127" t="s">
        <v>5214</v>
      </c>
      <c r="O127" s="3"/>
      <c r="Z127" t="s">
        <v>5215</v>
      </c>
      <c r="AA127" t="s">
        <v>5216</v>
      </c>
      <c r="AB127" t="s">
        <v>300</v>
      </c>
      <c r="AC127" t="s">
        <v>301</v>
      </c>
      <c r="AG127" s="43"/>
      <c r="AJ127" t="s">
        <v>5219</v>
      </c>
      <c r="AK127" s="1" t="s">
        <v>258</v>
      </c>
      <c r="AL127" t="s">
        <v>290</v>
      </c>
      <c r="AM127" t="s">
        <v>260</v>
      </c>
      <c r="AN127"/>
      <c r="AO127" t="s">
        <v>5218</v>
      </c>
      <c r="AQ127" t="s">
        <v>290</v>
      </c>
      <c r="AR127"/>
      <c r="AX127" s="1"/>
      <c r="AY127" s="1"/>
      <c r="AZ127" s="1"/>
      <c r="BA127" s="1"/>
      <c r="BB127" s="1"/>
      <c r="BC127" s="2"/>
      <c r="BD127" s="115">
        <v>45382</v>
      </c>
      <c r="BE127" s="115"/>
      <c r="BF127" s="2"/>
      <c r="BG127" s="2"/>
      <c r="BH127" s="2"/>
      <c r="BI127" s="2"/>
      <c r="BJ127" s="2"/>
      <c r="BK127" s="2"/>
      <c r="BL127" s="20">
        <f ca="1">SUM(EB127)+220</f>
        <v>6077.6783999999998</v>
      </c>
      <c r="BM127" s="22">
        <f t="shared" ca="1" si="0"/>
        <v>-534.32448883466509</v>
      </c>
      <c r="BN127" s="22">
        <f t="shared" ca="1" si="1"/>
        <v>534.32448883466509</v>
      </c>
      <c r="BO127" s="14">
        <f>SUM(EJ127*0.0052)/12</f>
        <v>132.47</v>
      </c>
      <c r="BP127" s="22">
        <f t="shared" ca="1" si="2"/>
        <v>666.79448883466512</v>
      </c>
      <c r="BQ127" s="14"/>
      <c r="BR127" s="14">
        <f t="shared" si="3"/>
        <v>0</v>
      </c>
      <c r="BS127" s="14">
        <f t="shared" ca="1" si="4"/>
        <v>0</v>
      </c>
      <c r="BT127" s="17">
        <f t="shared" si="5"/>
        <v>0</v>
      </c>
      <c r="BU127" s="23">
        <f ca="1">MONTH(TODAY())+61</f>
        <v>65</v>
      </c>
      <c r="BV127" s="14">
        <f t="shared" ca="1" si="6"/>
        <v>0</v>
      </c>
      <c r="BW127" s="14"/>
      <c r="BX127" s="14">
        <f t="shared" si="7"/>
        <v>0</v>
      </c>
      <c r="BY127" s="14">
        <f t="shared" ca="1" si="8"/>
        <v>0</v>
      </c>
      <c r="BZ127" s="17">
        <f t="shared" si="9"/>
        <v>0</v>
      </c>
      <c r="CA127" s="23">
        <f ca="1">MONTH(TODAY())+49</f>
        <v>53</v>
      </c>
      <c r="CB127" s="14">
        <f t="shared" ca="1" si="10"/>
        <v>0</v>
      </c>
      <c r="CC127" s="14">
        <v>0</v>
      </c>
      <c r="CD127" s="14">
        <f t="shared" si="11"/>
        <v>0</v>
      </c>
      <c r="CE127" s="14">
        <f t="shared" ca="1" si="12"/>
        <v>0</v>
      </c>
      <c r="CF127" s="17">
        <f t="shared" si="13"/>
        <v>0</v>
      </c>
      <c r="CG127" s="23">
        <f ca="1">MONTH(TODAY())+37</f>
        <v>41</v>
      </c>
      <c r="CH127" s="14">
        <f t="shared" ca="1" si="14"/>
        <v>0</v>
      </c>
      <c r="CI127" s="14">
        <f>SUM(EG127*0.0052)</f>
        <v>1577.1599999999999</v>
      </c>
      <c r="CJ127" s="14">
        <f t="shared" si="15"/>
        <v>157.71600000000001</v>
      </c>
      <c r="CK127" s="14">
        <f t="shared" ca="1" si="16"/>
        <v>419.26169999999973</v>
      </c>
      <c r="CL127" s="17">
        <f t="shared" si="17"/>
        <v>14.457299999999991</v>
      </c>
      <c r="CM127" s="23">
        <f ca="1">MONTH(TODAY())+25</f>
        <v>29</v>
      </c>
      <c r="CN127" s="14">
        <f t="shared" ca="1" si="18"/>
        <v>2154.1376999999993</v>
      </c>
      <c r="CO127" s="14">
        <f>SUM(EG127*0.0052)/2</f>
        <v>788.57999999999993</v>
      </c>
      <c r="CP127" s="14">
        <f t="shared" si="19"/>
        <v>78.858000000000004</v>
      </c>
      <c r="CQ127" s="14">
        <f t="shared" ca="1" si="20"/>
        <v>151.80164999999991</v>
      </c>
      <c r="CR127" s="17">
        <f t="shared" si="21"/>
        <v>7.2286499999999956</v>
      </c>
      <c r="CS127" s="23">
        <f ca="1">MONTH(TODAY())+17</f>
        <v>21</v>
      </c>
      <c r="CT127" s="23">
        <f t="shared" ca="1" si="22"/>
        <v>1019.2396499999998</v>
      </c>
      <c r="CU127" s="14">
        <f>SUM(EG127*0.0052)/2</f>
        <v>788.57999999999993</v>
      </c>
      <c r="CV127" s="14">
        <f t="shared" si="23"/>
        <v>78.858000000000004</v>
      </c>
      <c r="CW127" s="14">
        <f t="shared" ca="1" si="24"/>
        <v>122.88704999999993</v>
      </c>
      <c r="CX127" s="17">
        <f t="shared" si="25"/>
        <v>7.2286499999999956</v>
      </c>
      <c r="CY127" s="23">
        <f ca="1">MONTH(TODAY())+13</f>
        <v>17</v>
      </c>
      <c r="CZ127" s="23">
        <f t="shared" ca="1" si="26"/>
        <v>990.32504999999981</v>
      </c>
      <c r="DA127" s="14">
        <f>SUM(EJ127*0.0045)/2</f>
        <v>687.82499999999993</v>
      </c>
      <c r="DB127" s="14">
        <f>SUM(DA127*0.1)</f>
        <v>68.782499999999999</v>
      </c>
      <c r="DC127" s="14">
        <f ca="1">SUM(DD127*DE127)</f>
        <v>69.355687499999974</v>
      </c>
      <c r="DD127" s="17">
        <f t="shared" si="27"/>
        <v>6.3050624999999973</v>
      </c>
      <c r="DE127" s="23">
        <f ca="1">MONTH(TODAY())+7</f>
        <v>11</v>
      </c>
      <c r="DF127" s="23">
        <f t="shared" ca="1" si="28"/>
        <v>825.96318749999989</v>
      </c>
      <c r="DG127" s="14">
        <f>SUM(EJ127*0.0045)/2</f>
        <v>687.82499999999993</v>
      </c>
      <c r="DH127" s="14">
        <f>SUM(DG127*0.1)</f>
        <v>68.782499999999999</v>
      </c>
      <c r="DI127" s="14">
        <f ca="1">SUM(DJ127*DK127)</f>
        <v>31.525312499999988</v>
      </c>
      <c r="DJ127" s="17">
        <f t="shared" si="29"/>
        <v>6.3050624999999973</v>
      </c>
      <c r="DK127" s="23">
        <f ca="1">MONTH(TODAY())+1</f>
        <v>5</v>
      </c>
      <c r="DL127" s="14">
        <f t="shared" ca="1" si="30"/>
        <v>788.1328125</v>
      </c>
      <c r="DM127" s="14">
        <f>SUM( BQ127, BW127, CC127, CI127, CO127,CU127,DA127,DG127)</f>
        <v>4529.9699999999993</v>
      </c>
      <c r="DN127" s="14">
        <f t="shared" si="32"/>
        <v>452.99700000000007</v>
      </c>
      <c r="DO127" s="14">
        <f t="shared" ca="1" si="32"/>
        <v>794.83139999999958</v>
      </c>
      <c r="DP127" s="25">
        <f ca="1">SUM(DM127:DO127)</f>
        <v>5777.7983999999997</v>
      </c>
      <c r="DQ127" s="47">
        <f ca="1">SUM(DP127/EG127)</f>
        <v>1.9049780415430265E-2</v>
      </c>
      <c r="DR127" s="14">
        <f>40+10</f>
        <v>50</v>
      </c>
      <c r="DS127" s="32">
        <f>COUNTIF(AO127, "*")+COUNTIF(AJ127, "*")+COUNTIF(AA127, "*")+COUNTIF(EU127, "*")+COUNTIF(FA127, "*")+COUNTIF(FG127, "*")+COUNTIF(FK127, "*")+COUNTIF(FR127, "*")+COUNTIF(AT127, "*")+COUNTIF(GA127, "*")+COUNTIF(GL127, "*")+COUNTIF(GW127, "*")+COUNTIF(HE127, "*")+COUNTIF(HM127, "*")+COUNTIF(HU127, "*")</f>
        <v>3</v>
      </c>
      <c r="DT127" s="14">
        <f>DS127*0.64</f>
        <v>1.92</v>
      </c>
      <c r="DU127" s="4"/>
      <c r="DV127" s="4">
        <v>27.96</v>
      </c>
      <c r="DW127" s="4"/>
      <c r="DX127" s="4"/>
      <c r="DZ127" s="4"/>
      <c r="EA127" s="14">
        <f>SUM(DV127:DZ127)</f>
        <v>27.96</v>
      </c>
      <c r="EB127" s="14">
        <f ca="1">SUM(DP127,DR127,EA127, DU127, DT127,FX127)</f>
        <v>5857.6783999999998</v>
      </c>
      <c r="EC127" s="24" t="s">
        <v>4944</v>
      </c>
      <c r="ED127" s="130">
        <v>0.5</v>
      </c>
      <c r="EE127" s="14">
        <v>33400</v>
      </c>
      <c r="EF127" s="14">
        <v>269900</v>
      </c>
      <c r="EG127" s="14">
        <f>SUM(EE127+EF127)</f>
        <v>303300</v>
      </c>
      <c r="EH127" s="14">
        <v>33400</v>
      </c>
      <c r="EI127" s="14">
        <v>272300</v>
      </c>
      <c r="EJ127" s="14">
        <f>SUM(EH127+EI127)</f>
        <v>305700</v>
      </c>
      <c r="FX127" s="4"/>
      <c r="HY127" s="9"/>
      <c r="IJ127" s="4"/>
      <c r="IK127" s="4"/>
      <c r="IL127" s="4"/>
      <c r="IM127" s="9"/>
      <c r="IN127" s="9"/>
      <c r="IO127" s="9"/>
      <c r="IP127" s="9"/>
      <c r="IQ127" s="9"/>
    </row>
    <row r="128" spans="1:263" ht="15" customHeight="1">
      <c r="A128" s="2">
        <v>102024054</v>
      </c>
      <c r="B128" t="s">
        <v>5091</v>
      </c>
      <c r="D128" s="1"/>
      <c r="E128" s="3"/>
      <c r="G128" s="3"/>
      <c r="K128" t="s">
        <v>5214</v>
      </c>
      <c r="O128" s="3"/>
      <c r="Z128" t="s">
        <v>5215</v>
      </c>
      <c r="AA128" t="s">
        <v>5216</v>
      </c>
      <c r="AB128" t="s">
        <v>300</v>
      </c>
      <c r="AC128" t="s">
        <v>301</v>
      </c>
      <c r="AG128" s="43"/>
      <c r="AJ128" t="s">
        <v>5217</v>
      </c>
      <c r="AK128" s="1" t="s">
        <v>258</v>
      </c>
      <c r="AL128" t="s">
        <v>290</v>
      </c>
      <c r="AM128" t="s">
        <v>260</v>
      </c>
      <c r="AN128"/>
      <c r="AO128" t="s">
        <v>5218</v>
      </c>
      <c r="AQ128" t="s">
        <v>290</v>
      </c>
      <c r="AR128"/>
      <c r="AX128" s="1"/>
      <c r="AY128" s="1"/>
      <c r="AZ128" s="1"/>
      <c r="BA128" s="1"/>
      <c r="BB128" s="1"/>
      <c r="BC128" s="2"/>
      <c r="BD128" s="115">
        <v>45382</v>
      </c>
      <c r="BE128" s="115"/>
      <c r="BF128" s="2"/>
      <c r="BG128" s="2"/>
      <c r="BH128" s="2"/>
      <c r="BI128" s="2"/>
      <c r="BJ128" s="2"/>
      <c r="BK128" s="2"/>
      <c r="BL128" s="20">
        <f ca="1">SUM(EB128)+220</f>
        <v>5621.2751999999991</v>
      </c>
      <c r="BM128" s="22">
        <f t="shared" ca="1" si="0"/>
        <v>-494.19939657204958</v>
      </c>
      <c r="BN128" s="22">
        <f t="shared" ca="1" si="1"/>
        <v>494.19939657204958</v>
      </c>
      <c r="BO128" s="14">
        <f>SUM(EJ128*0.0052)/12</f>
        <v>121.94</v>
      </c>
      <c r="BP128" s="22">
        <f t="shared" ca="1" si="2"/>
        <v>616.13939657204958</v>
      </c>
      <c r="BQ128" s="14"/>
      <c r="BR128" s="14">
        <f t="shared" si="3"/>
        <v>0</v>
      </c>
      <c r="BS128" s="14">
        <f t="shared" ca="1" si="4"/>
        <v>0</v>
      </c>
      <c r="BT128" s="17">
        <f t="shared" si="5"/>
        <v>0</v>
      </c>
      <c r="BU128" s="23">
        <f ca="1">MONTH(TODAY())+61</f>
        <v>65</v>
      </c>
      <c r="BV128" s="14">
        <f t="shared" ca="1" si="6"/>
        <v>0</v>
      </c>
      <c r="BW128" s="14"/>
      <c r="BX128" s="14">
        <f t="shared" si="7"/>
        <v>0</v>
      </c>
      <c r="BY128" s="14">
        <f t="shared" ca="1" si="8"/>
        <v>0</v>
      </c>
      <c r="BZ128" s="17">
        <f t="shared" si="9"/>
        <v>0</v>
      </c>
      <c r="CA128" s="23">
        <f ca="1">MONTH(TODAY())+49</f>
        <v>53</v>
      </c>
      <c r="CB128" s="14">
        <f t="shared" ca="1" si="10"/>
        <v>0</v>
      </c>
      <c r="CC128" s="14">
        <v>0</v>
      </c>
      <c r="CD128" s="14">
        <f t="shared" si="11"/>
        <v>0</v>
      </c>
      <c r="CE128" s="14">
        <f t="shared" ca="1" si="12"/>
        <v>0</v>
      </c>
      <c r="CF128" s="17">
        <f t="shared" si="13"/>
        <v>0</v>
      </c>
      <c r="CG128" s="23">
        <f ca="1">MONTH(TODAY())+37</f>
        <v>41</v>
      </c>
      <c r="CH128" s="14">
        <f t="shared" ca="1" si="14"/>
        <v>0</v>
      </c>
      <c r="CI128" s="14">
        <f>SUM(EG128*0.0052)</f>
        <v>1452.8799999999999</v>
      </c>
      <c r="CJ128" s="14">
        <f t="shared" si="15"/>
        <v>145.28799999999998</v>
      </c>
      <c r="CK128" s="14">
        <f t="shared" ca="1" si="16"/>
        <v>386.22393333333315</v>
      </c>
      <c r="CL128" s="17">
        <f t="shared" si="17"/>
        <v>13.31806666666666</v>
      </c>
      <c r="CM128" s="23">
        <f ca="1">MONTH(TODAY())+25</f>
        <v>29</v>
      </c>
      <c r="CN128" s="14">
        <f t="shared" ca="1" si="18"/>
        <v>1984.3919333333331</v>
      </c>
      <c r="CO128" s="14">
        <f>SUM(EG128*0.0052)/2</f>
        <v>726.43999999999994</v>
      </c>
      <c r="CP128" s="14">
        <f t="shared" si="19"/>
        <v>72.643999999999991</v>
      </c>
      <c r="CQ128" s="14">
        <f t="shared" ca="1" si="20"/>
        <v>139.83969999999994</v>
      </c>
      <c r="CR128" s="17">
        <f t="shared" si="21"/>
        <v>6.6590333333333298</v>
      </c>
      <c r="CS128" s="23">
        <f ca="1">MONTH(TODAY())+17</f>
        <v>21</v>
      </c>
      <c r="CT128" s="23">
        <f t="shared" ca="1" si="22"/>
        <v>938.92369999999983</v>
      </c>
      <c r="CU128" s="14">
        <f>SUM(EG128*0.0052)/2</f>
        <v>726.43999999999994</v>
      </c>
      <c r="CV128" s="14">
        <f t="shared" si="23"/>
        <v>72.643999999999991</v>
      </c>
      <c r="CW128" s="14">
        <f t="shared" ca="1" si="24"/>
        <v>113.2035666666666</v>
      </c>
      <c r="CX128" s="17">
        <f t="shared" si="25"/>
        <v>6.6590333333333298</v>
      </c>
      <c r="CY128" s="23">
        <f ca="1">MONTH(TODAY())+13</f>
        <v>17</v>
      </c>
      <c r="CZ128" s="23">
        <f t="shared" ca="1" si="26"/>
        <v>912.28756666666652</v>
      </c>
      <c r="DA128" s="14">
        <f>SUM(EJ128*0.0045)/2</f>
        <v>633.15</v>
      </c>
      <c r="DB128" s="14">
        <f>SUM(DA128*0.1)</f>
        <v>63.314999999999998</v>
      </c>
      <c r="DC128" s="14">
        <f ca="1">SUM(DD128*DE128)</f>
        <v>63.84262499999997</v>
      </c>
      <c r="DD128" s="17">
        <f t="shared" si="27"/>
        <v>5.803874999999997</v>
      </c>
      <c r="DE128" s="23">
        <f ca="1">MONTH(TODAY())+7</f>
        <v>11</v>
      </c>
      <c r="DF128" s="23">
        <f t="shared" ca="1" si="28"/>
        <v>760.30762499999992</v>
      </c>
      <c r="DG128" s="14">
        <f>SUM(EJ128*0.0045)/2</f>
        <v>633.15</v>
      </c>
      <c r="DH128" s="14">
        <f>SUM(DG128*0.1)</f>
        <v>63.314999999999998</v>
      </c>
      <c r="DI128" s="14">
        <f ca="1">SUM(DJ128*DK128)</f>
        <v>29.019374999999986</v>
      </c>
      <c r="DJ128" s="17">
        <f t="shared" si="29"/>
        <v>5.803874999999997</v>
      </c>
      <c r="DK128" s="23">
        <f ca="1">MONTH(TODAY())+1</f>
        <v>5</v>
      </c>
      <c r="DL128" s="14">
        <f t="shared" ca="1" si="30"/>
        <v>725.48437499999989</v>
      </c>
      <c r="DM128" s="14">
        <f>SUM( BQ128, BW128, CC128, CI128, CO128,CU128,DA128,DG128)</f>
        <v>4172.0599999999995</v>
      </c>
      <c r="DN128" s="14">
        <f t="shared" si="32"/>
        <v>417.20599999999996</v>
      </c>
      <c r="DO128" s="14">
        <f t="shared" ca="1" si="32"/>
        <v>732.12919999999963</v>
      </c>
      <c r="DP128" s="25">
        <f ca="1">SUM(DM128:DO128)</f>
        <v>5321.395199999999</v>
      </c>
      <c r="DQ128" s="47">
        <f ca="1">SUM(DP128/EH128)</f>
        <v>0.14740706925207753</v>
      </c>
      <c r="DR128" s="14">
        <f>40+10</f>
        <v>50</v>
      </c>
      <c r="DS128" s="32">
        <f>COUNTIF(AO128, "*")+COUNTIF(AJ128, "*")+COUNTIF(AA128, "*")+COUNTIF(EU128, "*")+COUNTIF(FA128, "*")+COUNTIF(FG128, "*")+COUNTIF(FK128, "*")+COUNTIF(FR128, "*")+COUNTIF(AT128, "*")+COUNTIF(GA128, "*")+COUNTIF(GL128, "*")+COUNTIF(GW128, "*")+COUNTIF(HE128, "*")+COUNTIF(HM128, "*")+COUNTIF(HU128, "*")</f>
        <v>3</v>
      </c>
      <c r="DT128" s="14">
        <f>DS128*0.64</f>
        <v>1.92</v>
      </c>
      <c r="DU128" s="4"/>
      <c r="DV128" s="4">
        <v>27.96</v>
      </c>
      <c r="DW128" s="4"/>
      <c r="DX128" s="4"/>
      <c r="DZ128" s="4"/>
      <c r="EA128" s="14">
        <f>SUM(DV128:DZ128)</f>
        <v>27.96</v>
      </c>
      <c r="EB128" s="14">
        <f ca="1">SUM(DP128,DR128,EA128, DU128, DT128,FX128)</f>
        <v>5401.2751999999991</v>
      </c>
      <c r="EC128" s="24" t="s">
        <v>4944</v>
      </c>
      <c r="ED128" s="130">
        <v>0.5</v>
      </c>
      <c r="EE128" s="14">
        <v>36100</v>
      </c>
      <c r="EF128" s="14">
        <v>243300</v>
      </c>
      <c r="EG128" s="4">
        <f>SUM(EE128+EF128)</f>
        <v>279400</v>
      </c>
      <c r="EH128" s="14">
        <v>36100</v>
      </c>
      <c r="EI128" s="14">
        <v>245300</v>
      </c>
      <c r="EJ128" s="4">
        <f>SUM(EH128+EI128)</f>
        <v>281400</v>
      </c>
      <c r="FX128" s="4"/>
      <c r="HY128" s="9"/>
      <c r="IJ128" s="4"/>
      <c r="IK128" s="4"/>
      <c r="IL128" s="4"/>
      <c r="IM128" s="9"/>
      <c r="IN128" s="9"/>
      <c r="IO128" s="9"/>
      <c r="IP128" s="9"/>
      <c r="IQ128" s="9"/>
    </row>
    <row r="129" spans="1:263" ht="15" customHeight="1">
      <c r="A129" s="2">
        <v>102018094</v>
      </c>
      <c r="B129" s="4" t="s">
        <v>1282</v>
      </c>
      <c r="C129" s="4"/>
      <c r="D129" s="3"/>
      <c r="E129" s="3"/>
      <c r="F129" s="3"/>
      <c r="G129" s="3"/>
      <c r="H129" s="3"/>
      <c r="J129" t="s">
        <v>311</v>
      </c>
      <c r="K129" t="s">
        <v>1283</v>
      </c>
      <c r="L129" t="s">
        <v>871</v>
      </c>
      <c r="M129" t="s">
        <v>850</v>
      </c>
      <c r="O129" s="1" t="s">
        <v>258</v>
      </c>
      <c r="T129" s="1"/>
      <c r="AH129" s="1"/>
      <c r="AK129" s="4"/>
      <c r="AL129" s="4"/>
      <c r="AP129" s="5"/>
      <c r="AQ129" s="34"/>
      <c r="AS129" s="3"/>
      <c r="AT129" s="5"/>
      <c r="AU129" s="5"/>
      <c r="AV129" s="1"/>
      <c r="AW129" s="1"/>
      <c r="AX129" s="1"/>
      <c r="AY129" s="15"/>
      <c r="AZ129" s="15"/>
      <c r="BA129" s="15"/>
      <c r="BB129" s="15"/>
      <c r="BC129" s="13"/>
      <c r="BD129" s="15"/>
      <c r="BE129" s="15"/>
      <c r="BF129" s="1"/>
      <c r="BG129" s="1"/>
      <c r="BH129" s="5"/>
      <c r="BI129" s="16"/>
      <c r="BJ129" s="16"/>
      <c r="BK129" s="4"/>
      <c r="BL129" s="4"/>
      <c r="BM129" s="4"/>
      <c r="BN129" s="6"/>
      <c r="BO129" s="7"/>
      <c r="BP129" s="4"/>
      <c r="BQ129" s="4"/>
      <c r="BR129" s="4"/>
      <c r="BS129" s="4"/>
      <c r="BT129" s="6"/>
      <c r="BU129" s="7"/>
      <c r="BV129" s="4"/>
      <c r="BW129" s="4"/>
      <c r="BX129" s="4"/>
      <c r="BY129" s="4"/>
      <c r="BZ129" s="6"/>
      <c r="CA129" s="7"/>
      <c r="CB129" s="4"/>
      <c r="CC129" s="4"/>
      <c r="CD129" s="4"/>
      <c r="CE129" s="4"/>
      <c r="CF129" s="6"/>
      <c r="CG129" s="7"/>
      <c r="CH129" s="4"/>
      <c r="CI129" s="4"/>
      <c r="CJ129" s="4"/>
      <c r="CK129" s="4"/>
      <c r="CL129" s="6"/>
      <c r="CM129" s="7"/>
      <c r="CN129" s="4"/>
      <c r="CO129" s="4"/>
      <c r="CP129" s="4"/>
      <c r="CQ129" s="4"/>
      <c r="CR129" s="6"/>
      <c r="CS129" s="7"/>
      <c r="CT129" s="4"/>
      <c r="CU129" s="4"/>
      <c r="CV129" s="4"/>
      <c r="CW129" s="4"/>
      <c r="CX129" s="6"/>
      <c r="CY129" s="7"/>
      <c r="CZ129" s="4"/>
      <c r="DA129" s="4"/>
      <c r="DB129" s="4"/>
      <c r="DC129" s="4"/>
      <c r="DD129" s="6"/>
      <c r="DE129" s="7"/>
      <c r="DF129" s="4"/>
      <c r="DG129" s="4"/>
      <c r="DH129" s="4"/>
      <c r="DI129" s="14"/>
      <c r="DJ129" s="14"/>
      <c r="DK129" s="4"/>
      <c r="DL129" s="3"/>
      <c r="DM129" s="4"/>
      <c r="DN129" s="234"/>
      <c r="DO129" s="4"/>
      <c r="DP129" s="4"/>
      <c r="DQ129" s="4"/>
      <c r="DR129" s="4"/>
      <c r="DS129" s="4"/>
      <c r="DT129" s="4"/>
      <c r="DU129" s="7"/>
      <c r="DV129" s="8"/>
      <c r="DW129" s="4"/>
      <c r="DX129" s="8"/>
      <c r="DY129" s="4"/>
      <c r="DZ129" s="4"/>
      <c r="EA129" s="7"/>
      <c r="EJ129" s="11"/>
      <c r="EP129" s="11"/>
      <c r="EQ129" s="11"/>
      <c r="ER129" s="4"/>
      <c r="ES129" s="4"/>
      <c r="ET129" s="4"/>
      <c r="EU129" s="4"/>
      <c r="EV129" s="4"/>
      <c r="EW129" s="4"/>
      <c r="EX129" s="4"/>
      <c r="EY129" s="4"/>
      <c r="EZ129" s="4"/>
      <c r="FA129" s="4"/>
      <c r="FB129" s="4"/>
      <c r="FC129" s="4"/>
      <c r="FD129" s="4"/>
      <c r="FE129" s="4"/>
      <c r="FF129" s="4"/>
      <c r="FJ129" s="9"/>
      <c r="FS129" s="9"/>
      <c r="FY129" s="4"/>
      <c r="GD129" s="10"/>
      <c r="GN129" s="10"/>
      <c r="HC129" s="9"/>
      <c r="IK129" s="4"/>
      <c r="IV129" s="18"/>
      <c r="IW129" s="18"/>
      <c r="IX129" s="18"/>
      <c r="IY129" s="18"/>
    </row>
    <row r="130" spans="1:263" s="18" customFormat="1" ht="15" customHeight="1">
      <c r="A130" s="2">
        <v>102019012</v>
      </c>
      <c r="B130" t="s">
        <v>549</v>
      </c>
      <c r="C130" s="1"/>
      <c r="D130" s="1"/>
      <c r="E130" s="3" t="s">
        <v>550</v>
      </c>
      <c r="F130" s="2"/>
      <c r="G130">
        <v>190001962</v>
      </c>
      <c r="H130"/>
      <c r="I130"/>
      <c r="J130" t="s">
        <v>253</v>
      </c>
      <c r="K130" t="s">
        <v>399</v>
      </c>
      <c r="L130" t="s">
        <v>551</v>
      </c>
      <c r="M130" t="s">
        <v>357</v>
      </c>
      <c r="N130"/>
      <c r="O130" s="1"/>
      <c r="P130"/>
      <c r="Q130"/>
      <c r="R130"/>
      <c r="S130"/>
      <c r="T130"/>
      <c r="U130"/>
      <c r="V130"/>
      <c r="W130"/>
      <c r="X130"/>
      <c r="Y130"/>
      <c r="Z130"/>
      <c r="AA130"/>
      <c r="AB130"/>
      <c r="AC130" s="1"/>
      <c r="AD130"/>
      <c r="AE130"/>
      <c r="AF130"/>
      <c r="AG130"/>
      <c r="AH130"/>
      <c r="AI130"/>
      <c r="AJ130" s="4"/>
      <c r="AK130" s="3"/>
      <c r="AL130"/>
      <c r="AM130" s="3"/>
      <c r="AN130" s="3"/>
      <c r="AO130" s="4"/>
      <c r="AP130" s="5"/>
      <c r="AQ130" s="3"/>
      <c r="AR130" s="3"/>
      <c r="AS130" s="5"/>
      <c r="AT130" s="5"/>
      <c r="AU130" s="1"/>
      <c r="AV130" s="1"/>
      <c r="AW130" s="1"/>
      <c r="AX130" s="1"/>
      <c r="AY130" s="1"/>
      <c r="AZ130" s="1"/>
      <c r="BA130" s="1"/>
      <c r="BB130" s="1"/>
      <c r="BC130" s="1"/>
      <c r="BD130" s="1"/>
      <c r="BE130" s="1"/>
      <c r="BF130" s="1"/>
      <c r="BG130" s="5"/>
      <c r="BH130" s="16"/>
      <c r="BI130" s="16"/>
      <c r="BJ130"/>
      <c r="BK130" s="4"/>
      <c r="BL130" s="4"/>
      <c r="BM130" s="6"/>
      <c r="BN130" s="7"/>
      <c r="BO130" s="4"/>
      <c r="BP130" s="4"/>
      <c r="BQ130" s="4"/>
      <c r="BR130" s="4"/>
      <c r="BS130" s="6"/>
      <c r="BT130" s="7"/>
      <c r="BU130" s="4"/>
      <c r="BV130" s="4"/>
      <c r="BW130" s="4"/>
      <c r="BX130" s="4"/>
      <c r="BY130" s="6"/>
      <c r="BZ130" s="7"/>
      <c r="CA130" s="4"/>
      <c r="CB130" s="4"/>
      <c r="CC130" s="4"/>
      <c r="CD130" s="4"/>
      <c r="CE130" s="6"/>
      <c r="CF130" s="7"/>
      <c r="CG130" s="4"/>
      <c r="CH130" s="4"/>
      <c r="CI130" s="4"/>
      <c r="CJ130" s="4"/>
      <c r="CK130" s="6"/>
      <c r="CL130" s="7"/>
      <c r="CM130" s="4"/>
      <c r="CN130" s="4"/>
      <c r="CO130" s="4"/>
      <c r="CP130" s="4"/>
      <c r="CQ130" s="6"/>
      <c r="CR130" s="7"/>
      <c r="CS130" s="4"/>
      <c r="CT130" s="4"/>
      <c r="CU130" s="4"/>
      <c r="CV130" s="4"/>
      <c r="CW130" s="6"/>
      <c r="CX130" s="7"/>
      <c r="CY130" s="4"/>
      <c r="CZ130" s="4"/>
      <c r="DA130" s="4"/>
      <c r="DB130" s="4"/>
      <c r="DC130" s="6"/>
      <c r="DD130" s="7"/>
      <c r="DE130" s="4"/>
      <c r="DF130" s="4"/>
      <c r="DG130" s="4"/>
      <c r="DH130" s="14"/>
      <c r="DI130" s="14"/>
      <c r="DJ130" s="4"/>
      <c r="DK130" s="3"/>
      <c r="DL130" s="4"/>
      <c r="DM130" s="234"/>
      <c r="DN130" s="4"/>
      <c r="DO130" s="4"/>
      <c r="DP130" s="4"/>
      <c r="DQ130" s="4"/>
      <c r="DR130" s="4"/>
      <c r="DS130" s="4"/>
      <c r="DT130" s="7"/>
      <c r="DU130" s="8"/>
      <c r="DV130" s="4"/>
      <c r="DW130" s="4"/>
      <c r="DX130" s="4"/>
      <c r="DY130" s="4"/>
      <c r="DZ130" s="33"/>
      <c r="EA130" s="251"/>
      <c r="EB130"/>
      <c r="EC130"/>
      <c r="ED130"/>
      <c r="EE130"/>
      <c r="EF130"/>
      <c r="EG130"/>
      <c r="EH130"/>
      <c r="EI130" s="11"/>
      <c r="EJ130"/>
      <c r="EK130"/>
      <c r="EL130"/>
      <c r="EM130"/>
      <c r="EN130"/>
      <c r="EO130" s="11"/>
      <c r="EP130" s="11"/>
      <c r="EQ130" s="4"/>
      <c r="ER130" s="4"/>
      <c r="ES130" s="4"/>
      <c r="ET130" s="4"/>
      <c r="EU130" s="4"/>
      <c r="EV130" s="4"/>
      <c r="EW130" s="4"/>
      <c r="EX130" s="4"/>
      <c r="EY130" s="4"/>
      <c r="EZ130" s="4"/>
      <c r="FA130" s="4"/>
      <c r="FB130" s="4"/>
      <c r="FC130" s="4"/>
      <c r="FD130" s="4"/>
      <c r="FE130" s="4"/>
      <c r="FF130"/>
      <c r="FG130"/>
      <c r="FH130"/>
      <c r="FI130" s="9"/>
      <c r="FJ130"/>
      <c r="FK130"/>
      <c r="FL130"/>
      <c r="FM130"/>
      <c r="FN130"/>
      <c r="FO130"/>
      <c r="FP130"/>
      <c r="FQ130"/>
      <c r="FR130" s="9"/>
      <c r="FS130"/>
      <c r="FT130"/>
      <c r="FU130"/>
      <c r="FV130"/>
      <c r="FW130"/>
      <c r="FX130" s="4"/>
      <c r="FY130"/>
      <c r="FZ130"/>
      <c r="GA130"/>
      <c r="GB130"/>
      <c r="GC130" s="10"/>
      <c r="GD130"/>
      <c r="GE130"/>
      <c r="GF130"/>
      <c r="GG130"/>
      <c r="GH130"/>
      <c r="GI130"/>
      <c r="GJ130"/>
      <c r="GK130"/>
      <c r="GL130"/>
      <c r="GM130" s="10"/>
      <c r="GN130"/>
      <c r="GO130"/>
      <c r="GP130"/>
      <c r="GQ130"/>
      <c r="GR130"/>
      <c r="GS130"/>
      <c r="GT130"/>
      <c r="GU130"/>
      <c r="GV130"/>
      <c r="GW130"/>
      <c r="GX130"/>
      <c r="GY130"/>
      <c r="GZ130"/>
      <c r="HA130"/>
      <c r="HB130" s="9"/>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s="9"/>
      <c r="IJ130" s="4"/>
      <c r="IK130" s="4"/>
      <c r="IL130"/>
      <c r="IM130"/>
      <c r="IN130"/>
      <c r="IO130" s="4"/>
      <c r="IP130" s="4">
        <v>52371.81</v>
      </c>
      <c r="IQ130"/>
      <c r="IR130"/>
      <c r="IS130"/>
      <c r="IT130"/>
      <c r="IU130"/>
      <c r="IV130"/>
      <c r="IW130"/>
      <c r="IX130"/>
      <c r="IY130"/>
      <c r="IZ130"/>
      <c r="JA130"/>
      <c r="JB130"/>
      <c r="JC130"/>
    </row>
    <row r="131" spans="1:263" ht="15" customHeight="1">
      <c r="A131" s="2">
        <v>102024053</v>
      </c>
      <c r="B131" t="s">
        <v>5090</v>
      </c>
      <c r="D131" s="1"/>
      <c r="E131" s="3"/>
      <c r="G131" s="3"/>
      <c r="J131" t="s">
        <v>554</v>
      </c>
      <c r="K131" t="s">
        <v>5199</v>
      </c>
      <c r="L131" t="s">
        <v>5200</v>
      </c>
      <c r="M131" t="s">
        <v>448</v>
      </c>
      <c r="O131" s="3"/>
      <c r="P131" t="s">
        <v>5199</v>
      </c>
      <c r="Q131" t="s">
        <v>915</v>
      </c>
      <c r="R131" t="s">
        <v>469</v>
      </c>
      <c r="AG131" s="43"/>
      <c r="AJ131" t="s">
        <v>5213</v>
      </c>
      <c r="AK131" s="1" t="s">
        <v>258</v>
      </c>
      <c r="AL131" t="s">
        <v>290</v>
      </c>
      <c r="AM131" t="s">
        <v>260</v>
      </c>
      <c r="AN131"/>
      <c r="AO131" t="s">
        <v>5202</v>
      </c>
      <c r="AP131" s="1" t="s">
        <v>258</v>
      </c>
      <c r="AQ131" t="s">
        <v>290</v>
      </c>
      <c r="AR131" t="s">
        <v>268</v>
      </c>
      <c r="AX131" s="1"/>
      <c r="AY131" s="1"/>
      <c r="AZ131" s="1"/>
      <c r="BA131" s="1"/>
      <c r="BB131" s="1"/>
      <c r="BC131" s="2"/>
      <c r="BD131" s="115">
        <v>45382</v>
      </c>
      <c r="BE131" s="115"/>
      <c r="BF131" s="2"/>
      <c r="BG131" s="2"/>
      <c r="BH131" s="2"/>
      <c r="BI131" s="2"/>
      <c r="BJ131" s="2"/>
      <c r="BK131" s="2"/>
      <c r="BL131" s="20">
        <f ca="1">SUM(EB131)+220</f>
        <v>3400.712</v>
      </c>
      <c r="BM131" s="22">
        <f ca="1">PMT(10%/12,12,BL131,0,0)</f>
        <v>-298.97661269374038</v>
      </c>
      <c r="BN131" s="22">
        <f ca="1">SUM(BM131*-1)</f>
        <v>298.97661269374038</v>
      </c>
      <c r="BO131" s="14">
        <f>SUM(EJ131*0.0052)/12</f>
        <v>83.286666666666662</v>
      </c>
      <c r="BP131" s="22">
        <f ca="1">SUM(BN131+BO131)</f>
        <v>382.26327936040707</v>
      </c>
      <c r="BQ131" s="14"/>
      <c r="BR131" s="14">
        <f>SUM(BQ131*0.1)</f>
        <v>0</v>
      </c>
      <c r="BS131" s="14">
        <f ca="1">SUM(BT131*BU131)</f>
        <v>0</v>
      </c>
      <c r="BT131" s="17">
        <f>SUM((BQ131+BR131)*0.00833333333333333)</f>
        <v>0</v>
      </c>
      <c r="BU131" s="23">
        <f ca="1">MONTH(TODAY())+61</f>
        <v>65</v>
      </c>
      <c r="BV131" s="14">
        <f ca="1">SUM(BQ131,BR131,BS131)</f>
        <v>0</v>
      </c>
      <c r="BW131" s="14"/>
      <c r="BX131" s="14">
        <f>SUM(BW131*0.1)</f>
        <v>0</v>
      </c>
      <c r="BY131" s="14">
        <f ca="1">SUM(BZ131*CA131)</f>
        <v>0</v>
      </c>
      <c r="BZ131" s="17">
        <f>SUM((BW131+BX131)*0.00833333333333333)</f>
        <v>0</v>
      </c>
      <c r="CA131" s="23">
        <f ca="1">MONTH(TODAY())+49</f>
        <v>53</v>
      </c>
      <c r="CB131" s="14">
        <f ca="1">SUM(BW131,BX131,BY131)</f>
        <v>0</v>
      </c>
      <c r="CC131" s="14">
        <v>0</v>
      </c>
      <c r="CD131" s="14">
        <f>SUM(CC131*0.1)</f>
        <v>0</v>
      </c>
      <c r="CE131" s="14">
        <f ca="1">SUM(CF131*CG131)</f>
        <v>0</v>
      </c>
      <c r="CF131" s="17">
        <f>SUM((CC131+CD131)*0.00833333333333333)</f>
        <v>0</v>
      </c>
      <c r="CG131" s="23">
        <f ca="1">MONTH(TODAY())+37</f>
        <v>41</v>
      </c>
      <c r="CH131" s="14">
        <f ca="1">SUM(CC131,CD131,CE131)</f>
        <v>0</v>
      </c>
      <c r="CI131" s="14">
        <f>SUM(EG131*0.0052)</f>
        <v>790.4</v>
      </c>
      <c r="CJ131" s="14">
        <f>SUM(CI131*0.1)</f>
        <v>79.040000000000006</v>
      </c>
      <c r="CK131" s="14">
        <f ca="1">SUM(CL131*CM131)</f>
        <v>210.11466666666655</v>
      </c>
      <c r="CL131" s="17">
        <f>SUM((CI131+CJ131)*0.00833333333333333)</f>
        <v>7.2453333333333294</v>
      </c>
      <c r="CM131" s="23">
        <f ca="1">MONTH(TODAY())+25</f>
        <v>29</v>
      </c>
      <c r="CN131" s="14">
        <f ca="1">SUM(CI131,CJ131,CK131)</f>
        <v>1079.5546666666664</v>
      </c>
      <c r="CO131" s="14">
        <f>SUM(EG131*0.0052)/2</f>
        <v>395.2</v>
      </c>
      <c r="CP131" s="14">
        <f>SUM(CO131*0.1)</f>
        <v>39.520000000000003</v>
      </c>
      <c r="CQ131" s="14">
        <f ca="1">SUM(CR131*CS131)</f>
        <v>76.075999999999965</v>
      </c>
      <c r="CR131" s="17">
        <f>SUM((CO131+CP131)*0.00833333333333333)</f>
        <v>3.6226666666666647</v>
      </c>
      <c r="CS131" s="23">
        <f ca="1">MONTH(TODAY())+17</f>
        <v>21</v>
      </c>
      <c r="CT131" s="23">
        <f ca="1">SUM(CO131,CP131,CQ131)</f>
        <v>510.79599999999994</v>
      </c>
      <c r="CU131" s="14">
        <f>SUM(EG131*0.0052)/2</f>
        <v>395.2</v>
      </c>
      <c r="CV131" s="14">
        <f>SUM(CU131*0.1)</f>
        <v>39.520000000000003</v>
      </c>
      <c r="CW131" s="14">
        <f ca="1">SUM(CX131*CY131)</f>
        <v>61.585333333333303</v>
      </c>
      <c r="CX131" s="17">
        <f>SUM((CU131+CV131)*0.00833333333333333)</f>
        <v>3.6226666666666647</v>
      </c>
      <c r="CY131" s="23">
        <f ca="1">MONTH(TODAY())+13</f>
        <v>17</v>
      </c>
      <c r="CZ131" s="23">
        <f ca="1">SUM(CU131,CV131,CW131)</f>
        <v>496.30533333333329</v>
      </c>
      <c r="DA131" s="14">
        <f>SUM(EJ131*0.0045)/2</f>
        <v>432.45</v>
      </c>
      <c r="DB131" s="14">
        <f>SUM(DA131*0.1)</f>
        <v>43.245000000000005</v>
      </c>
      <c r="DC131" s="14">
        <f ca="1">SUM(DD131*DE131)</f>
        <v>43.605374999999981</v>
      </c>
      <c r="DD131" s="17">
        <f>SUM((DA131+DB131)*0.00833333333333333)</f>
        <v>3.9641249999999983</v>
      </c>
      <c r="DE131" s="23">
        <f ca="1">MONTH(TODAY())+7</f>
        <v>11</v>
      </c>
      <c r="DF131" s="23">
        <f ca="1">SUM(DA131,DB131,DC131)</f>
        <v>519.30037500000003</v>
      </c>
      <c r="DG131" s="14">
        <f>SUM(EJ131*0.0045)/2</f>
        <v>432.45</v>
      </c>
      <c r="DH131" s="14">
        <f>SUM(DG131*0.1)</f>
        <v>43.245000000000005</v>
      </c>
      <c r="DI131" s="14">
        <f ca="1">SUM(DJ131*DK131)</f>
        <v>19.820624999999993</v>
      </c>
      <c r="DJ131" s="17">
        <f>SUM((DG131+DH131)*0.00833333333333333)</f>
        <v>3.9641249999999983</v>
      </c>
      <c r="DK131" s="23">
        <f ca="1">MONTH(TODAY())+1</f>
        <v>5</v>
      </c>
      <c r="DL131" s="14">
        <f ca="1">SUM(DG131,DH131,DI131)</f>
        <v>495.515625</v>
      </c>
      <c r="DM131" s="14">
        <f>SUM( BQ131, BW131, CC131, CI131, CO131,CU131,DA131,DG131)</f>
        <v>2445.6999999999998</v>
      </c>
      <c r="DN131" s="14">
        <f>SUM(BR131,BX131,CD131,CJ131, CP131,CV131,DB131,DH131)</f>
        <v>244.57000000000002</v>
      </c>
      <c r="DO131" s="14">
        <f ca="1">SUM(BS131,BY131,CE131,CK131, CQ131,CW131,DC131,DI131)</f>
        <v>411.20199999999983</v>
      </c>
      <c r="DP131" s="25">
        <f ca="1">SUM(DM131:DO131)</f>
        <v>3101.4719999999998</v>
      </c>
      <c r="DQ131" s="47">
        <f ca="1">SUM(DP131/EG131)</f>
        <v>2.0404421052631579E-2</v>
      </c>
      <c r="DR131" s="14">
        <f>40+10</f>
        <v>50</v>
      </c>
      <c r="DS131" s="32">
        <f>COUNTIF(AO131, "*")+COUNTIF(AJ131, "*")+COUNTIF(AA131, "*")+COUNTIF(EU131, "*")+COUNTIF(FA131, "*")+COUNTIF(FG131, "*")+COUNTIF(FK131, "*")+COUNTIF(FR131, "*")+COUNTIF(AT131, "*")+COUNTIF(GA131, "*")+COUNTIF(GL131, "*")+COUNTIF(GW131, "*")+COUNTIF(HE131, "*")+COUNTIF(HM131, "*")+COUNTIF(HU131, "*")</f>
        <v>2</v>
      </c>
      <c r="DT131" s="14">
        <f>DS131*0.64</f>
        <v>1.28</v>
      </c>
      <c r="DU131" s="4"/>
      <c r="DV131" s="4">
        <v>27.96</v>
      </c>
      <c r="DW131" s="4"/>
      <c r="DX131" s="4"/>
      <c r="DZ131" s="4"/>
      <c r="EA131" s="14">
        <f>SUM(DV131:DZ131)</f>
        <v>27.96</v>
      </c>
      <c r="EB131" s="14">
        <f ca="1">SUM(DP131,DR131,EA131, DU131, DT131,FX131)</f>
        <v>3180.712</v>
      </c>
      <c r="EC131" s="24" t="s">
        <v>4944</v>
      </c>
      <c r="ED131" s="130">
        <v>0.44</v>
      </c>
      <c r="EE131" s="14">
        <v>24000</v>
      </c>
      <c r="EF131" s="14">
        <v>128000</v>
      </c>
      <c r="EG131" s="14">
        <f>SUM(EE131+EF131)</f>
        <v>152000</v>
      </c>
      <c r="EH131" s="14">
        <v>45000</v>
      </c>
      <c r="EI131" s="14">
        <v>147200</v>
      </c>
      <c r="EJ131" s="14">
        <f>SUM(EH131+EI131)</f>
        <v>192200</v>
      </c>
      <c r="FX131" s="4"/>
      <c r="HY131" s="9"/>
      <c r="IJ131" s="4"/>
      <c r="IK131" s="4"/>
      <c r="IL131" s="4"/>
      <c r="IM131" s="9"/>
      <c r="IN131" s="9"/>
      <c r="IO131" s="9"/>
      <c r="IP131" s="9"/>
      <c r="IQ131" s="9"/>
    </row>
    <row r="132" spans="1:263" ht="15" customHeight="1">
      <c r="A132">
        <v>102024052</v>
      </c>
      <c r="B132" t="s">
        <v>5089</v>
      </c>
      <c r="D132" s="1"/>
      <c r="E132" t="s">
        <v>5790</v>
      </c>
      <c r="F132" s="2">
        <v>240002154</v>
      </c>
      <c r="G132" s="3" t="s">
        <v>5237</v>
      </c>
      <c r="J132" t="s">
        <v>311</v>
      </c>
      <c r="K132" t="s">
        <v>2073</v>
      </c>
      <c r="L132" t="s">
        <v>776</v>
      </c>
      <c r="M132" t="s">
        <v>256</v>
      </c>
      <c r="O132" s="3"/>
      <c r="AG132" s="43"/>
      <c r="AK132" s="1"/>
      <c r="AM132"/>
      <c r="AN132"/>
      <c r="AO132" t="s">
        <v>5622</v>
      </c>
      <c r="AP132" s="1" t="s">
        <v>258</v>
      </c>
      <c r="AQ132" t="s">
        <v>290</v>
      </c>
      <c r="AR132" t="s">
        <v>260</v>
      </c>
      <c r="AS132" s="10"/>
      <c r="AT132" s="10"/>
      <c r="AU132" s="10"/>
      <c r="AV132" s="10"/>
      <c r="AW132" s="10"/>
      <c r="AX132" s="1"/>
      <c r="AY132" s="1" t="s">
        <v>258</v>
      </c>
      <c r="AZ132" s="1"/>
      <c r="BA132" s="1"/>
      <c r="BB132" s="1"/>
      <c r="BC132" s="9">
        <v>45418</v>
      </c>
      <c r="BD132" s="144">
        <v>45382</v>
      </c>
      <c r="BE132" s="144">
        <v>45385</v>
      </c>
      <c r="BF132" s="2"/>
      <c r="BG132" s="2"/>
      <c r="BH132" s="2"/>
      <c r="BI132" s="2"/>
      <c r="BJ132" s="70">
        <v>45533</v>
      </c>
      <c r="BK132" s="70" t="s">
        <v>5895</v>
      </c>
      <c r="BL132" s="20">
        <f ca="1">SUM(EH132)+220</f>
        <v>5448.7276000000002</v>
      </c>
      <c r="BM132" s="22">
        <f ca="1">PMT(10%/12,12,BL132,0,0)</f>
        <v>-479.02972122864082</v>
      </c>
      <c r="BN132" s="22">
        <f ca="1">SUM(BM132*-1)</f>
        <v>479.02972122864082</v>
      </c>
      <c r="BO132" s="14">
        <f>SUM(EP132*0.0052)/12</f>
        <v>100.79333333333334</v>
      </c>
      <c r="BP132" s="22">
        <f ca="1">SUM(BN132+BO132)</f>
        <v>579.82305456197412</v>
      </c>
      <c r="BQ132" s="14"/>
      <c r="BR132" s="14">
        <f>SUM(BQ132*0.1)</f>
        <v>0</v>
      </c>
      <c r="BS132" s="14">
        <f ca="1">SUM(BT132*BU132)</f>
        <v>0</v>
      </c>
      <c r="BT132" s="17">
        <f>SUM((BQ132+BR132)*0.00833333333333333)</f>
        <v>0</v>
      </c>
      <c r="BU132" s="23">
        <f ca="1">MONTH(TODAY())+49</f>
        <v>53</v>
      </c>
      <c r="BV132" s="14">
        <f ca="1">SUM(BQ132,BR132,BS132)</f>
        <v>0</v>
      </c>
      <c r="BW132" s="14">
        <v>0</v>
      </c>
      <c r="BX132" s="14">
        <f>SUM(BW132*0.1)</f>
        <v>0</v>
      </c>
      <c r="BY132" s="14">
        <f ca="1">SUM(BZ132*CA132)</f>
        <v>0</v>
      </c>
      <c r="BZ132" s="17">
        <f>SUM((BW132+BX132)*0.00833333333333333)</f>
        <v>0</v>
      </c>
      <c r="CA132" s="23">
        <f ca="1">MONTH(TODAY())+37</f>
        <v>41</v>
      </c>
      <c r="CB132" s="14">
        <f ca="1">SUM(BW132,BX132,BY132)</f>
        <v>0</v>
      </c>
      <c r="CC132" s="14">
        <f>SUM(EM132*0.0052)</f>
        <v>939.64</v>
      </c>
      <c r="CD132" s="14">
        <f>SUM(CC132*0.1)</f>
        <v>93.963999999999999</v>
      </c>
      <c r="CE132" s="14">
        <f ca="1">SUM(CF132*CG132)</f>
        <v>249.78763333333325</v>
      </c>
      <c r="CF132" s="17">
        <f>SUM((CC132+CD132)*0.00833333333333333)</f>
        <v>8.6133666666666642</v>
      </c>
      <c r="CG132" s="23">
        <f ca="1">MONTH(TODAY())+25</f>
        <v>29</v>
      </c>
      <c r="CH132" s="14">
        <f ca="1">SUM(CC132,CD132,CE132)</f>
        <v>1283.3916333333332</v>
      </c>
      <c r="CI132" s="14">
        <f>SUM(EM132*0.0052)/2</f>
        <v>469.82</v>
      </c>
      <c r="CJ132" s="14">
        <f>SUM(CI132*0.1)</f>
        <v>46.981999999999999</v>
      </c>
      <c r="CK132" s="14">
        <f ca="1">SUM(CL132*CM132)</f>
        <v>90.440349999999967</v>
      </c>
      <c r="CL132" s="17">
        <f>SUM((CI132+CJ132)*0.00833333333333333)</f>
        <v>4.3066833333333321</v>
      </c>
      <c r="CM132" s="23">
        <f ca="1">MONTH(TODAY())+17</f>
        <v>21</v>
      </c>
      <c r="CN132" s="23">
        <f ca="1">SUM(CI132,CJ132,CK132)</f>
        <v>607.24234999999999</v>
      </c>
      <c r="CO132" s="14">
        <f>SUM(EM132*0.0052)/2</f>
        <v>469.82</v>
      </c>
      <c r="CP132" s="14">
        <f>SUM(CO132*0.1)</f>
        <v>46.981999999999999</v>
      </c>
      <c r="CQ132" s="14">
        <f ca="1">SUM(CR132*CS132)</f>
        <v>73.213616666666638</v>
      </c>
      <c r="CR132" s="17">
        <f>SUM((CO132+CP132)*0.00833333333333333)</f>
        <v>4.3066833333333321</v>
      </c>
      <c r="CS132" s="23">
        <f ca="1">MONTH(TODAY())+13</f>
        <v>17</v>
      </c>
      <c r="CT132" s="23">
        <f ca="1">SUM(CO132,CP132,CQ132)</f>
        <v>590.01561666666669</v>
      </c>
      <c r="CU132" s="14">
        <f>SUM(EP132*0.0045)/2</f>
        <v>523.34999999999991</v>
      </c>
      <c r="CV132" s="14">
        <f>SUM(CU132*0.1)</f>
        <v>52.334999999999994</v>
      </c>
      <c r="CW132" s="14">
        <f ca="1">SUM(CX132*CY132)</f>
        <v>52.771124999999969</v>
      </c>
      <c r="CX132" s="17">
        <f>SUM((CU132+CV132)*0.00833333333333333)</f>
        <v>4.7973749999999971</v>
      </c>
      <c r="CY132" s="23">
        <f ca="1">MONTH(TODAY())+7</f>
        <v>11</v>
      </c>
      <c r="CZ132" s="23">
        <f ca="1">SUM(CU132,CV132,CW132)</f>
        <v>628.45612499999993</v>
      </c>
      <c r="DA132" s="14">
        <f>SUM(EP132*0.0045)/2</f>
        <v>523.34999999999991</v>
      </c>
      <c r="DB132" s="14">
        <f>SUM(DA132*0.1)</f>
        <v>52.334999999999994</v>
      </c>
      <c r="DC132" s="14">
        <f ca="1">SUM(DD132*DE132)</f>
        <v>23.986874999999984</v>
      </c>
      <c r="DD132" s="17">
        <f>SUM((DA132+DB132)*0.00833333333333333)</f>
        <v>4.7973749999999971</v>
      </c>
      <c r="DE132" s="23">
        <f ca="1">MONTH(TODAY())+1</f>
        <v>5</v>
      </c>
      <c r="DF132" s="14">
        <f ca="1">SUM(DA132,DB132,DC132)</f>
        <v>599.67187499999989</v>
      </c>
      <c r="DG132" s="14">
        <f>SUM(EP132*0.0045)/2</f>
        <v>523.34999999999991</v>
      </c>
      <c r="DH132" s="14">
        <v>0</v>
      </c>
      <c r="DI132" s="14">
        <f>0</f>
        <v>0</v>
      </c>
      <c r="DJ132" s="17">
        <f>SUM((DG132+DH132)*0.00833333333333333)</f>
        <v>4.3612499999999974</v>
      </c>
      <c r="DK132" s="23">
        <f ca="1">MONTH(TODAY())+7</f>
        <v>11</v>
      </c>
      <c r="DL132" s="23">
        <f>SUM(DG132,DH132,DI132)</f>
        <v>523.34999999999991</v>
      </c>
      <c r="DM132" s="14">
        <f>0</f>
        <v>0</v>
      </c>
      <c r="DN132" s="14">
        <f>0</f>
        <v>0</v>
      </c>
      <c r="DO132" s="14">
        <f ca="1">SUM(DP132*DQ132)</f>
        <v>0</v>
      </c>
      <c r="DP132" s="17">
        <f>SUM((DM132+DN132)*0.00833333333333333)</f>
        <v>0</v>
      </c>
      <c r="DQ132" s="23">
        <f ca="1">MONTH(TODAY())+1</f>
        <v>5</v>
      </c>
      <c r="DR132" s="14">
        <f ca="1">SUM(DM132,DN132,DO132)</f>
        <v>0</v>
      </c>
      <c r="DS132" s="14">
        <f>SUM(BQ132, BW132, CC132, CI132,CO132,CU132,DA132,DG132,DM132)</f>
        <v>3449.33</v>
      </c>
      <c r="DT132" s="14">
        <f>SUM(BR132,BX132,CD132, CJ132,CP132,CV132,DB132,DH132,DN132)</f>
        <v>292.59799999999996</v>
      </c>
      <c r="DU132" s="14">
        <f ca="1">SUM(BS132,BY132,CE132, CK132,CQ132,CW132,DC132,DI132,DO132)</f>
        <v>490.19959999999986</v>
      </c>
      <c r="DV132" s="25">
        <f ca="1">SUM(DS132:DU132)</f>
        <v>4232.1275999999998</v>
      </c>
      <c r="DW132" s="47">
        <f ca="1">SUM(DV132/EM132)</f>
        <v>2.3420739346983951E-2</v>
      </c>
      <c r="DX132" s="14">
        <f>40+10+200+200+40+40+40+40+100</f>
        <v>710</v>
      </c>
      <c r="DY132" s="32">
        <f>COUNTIF(AO132, "*")+COUNTIF(AJ132, "*")+COUNTIF(AA132, "*")+COUNTIF(FA132, "*")+COUNTIF(FG132, "*")+COUNTIF(FM132, "*")+COUNTIF(FQ132, "*")+COUNTIF(FX132, "*")+COUNTIF(AT132, "*")+COUNTIF(GG132, "*")+COUNTIF(GR132, "*")+COUNTIF(HC132, "*")+COUNTIF(HK132, "*")+COUNTIF(HS132, "*")+COUNTIF(IA132, "*")</f>
        <v>1</v>
      </c>
      <c r="DZ132" s="14">
        <f>DY132*0.64+DY132*8</f>
        <v>8.64</v>
      </c>
      <c r="EA132" s="4">
        <v>250</v>
      </c>
      <c r="EB132" s="4">
        <v>27.96</v>
      </c>
      <c r="EC132" s="4"/>
      <c r="ED132" s="4"/>
      <c r="EF132" s="4"/>
      <c r="EG132" s="14">
        <f>SUM(EB132:EF132)</f>
        <v>27.96</v>
      </c>
      <c r="EH132" s="14">
        <f ca="1">SUM(DV132,DX132,EG132, EA132, DZ132,GD132)</f>
        <v>5228.7276000000002</v>
      </c>
      <c r="EI132" s="24" t="s">
        <v>4944</v>
      </c>
      <c r="EJ132" s="130">
        <v>0.47</v>
      </c>
      <c r="EK132" s="14">
        <v>24000</v>
      </c>
      <c r="EL132" s="14">
        <v>156700</v>
      </c>
      <c r="EM132" s="14">
        <f>SUM(EK132+EL132)</f>
        <v>180700</v>
      </c>
      <c r="EN132" s="14">
        <v>45000</v>
      </c>
      <c r="EO132" s="14">
        <v>187600</v>
      </c>
      <c r="EP132" s="14">
        <f>SUM(EN132+EO132)</f>
        <v>232600</v>
      </c>
      <c r="EQ132" s="10" t="s">
        <v>5248</v>
      </c>
      <c r="ER132" s="10" t="s">
        <v>5249</v>
      </c>
      <c r="ES132" s="10"/>
      <c r="ET132" s="10"/>
      <c r="EU132" s="10"/>
      <c r="EV132" s="10"/>
      <c r="EW132" s="10"/>
      <c r="EX132" s="10"/>
      <c r="GD132" s="4"/>
      <c r="IE132" s="9"/>
      <c r="IN132" s="4"/>
      <c r="IO132" s="4"/>
      <c r="IP132" s="4"/>
      <c r="IQ132" s="9"/>
      <c r="IR132" s="9"/>
      <c r="IS132" s="9"/>
      <c r="IT132" s="9"/>
      <c r="IU132" s="9"/>
    </row>
    <row r="133" spans="1:263" ht="15" customHeight="1">
      <c r="A133" s="2">
        <v>102018035</v>
      </c>
      <c r="B133" s="4" t="s">
        <v>1146</v>
      </c>
      <c r="G133">
        <v>180000674</v>
      </c>
      <c r="K133" t="s">
        <v>1147</v>
      </c>
      <c r="O133" s="1"/>
      <c r="T133" s="1"/>
      <c r="AJ133" s="4"/>
      <c r="AK133" s="4"/>
      <c r="AM133" s="34"/>
      <c r="AO133" s="4"/>
      <c r="AP133" s="5"/>
      <c r="AQ133" s="34"/>
      <c r="AS133" s="1"/>
      <c r="AT133" s="1"/>
      <c r="AU133" s="29"/>
      <c r="AV133" s="1"/>
      <c r="AW133" s="1"/>
      <c r="AX133" s="1"/>
      <c r="AY133" s="1"/>
      <c r="AZ133" s="1"/>
      <c r="BA133" s="1"/>
      <c r="BB133" s="1"/>
      <c r="BC133" s="1"/>
      <c r="BD133" s="1"/>
      <c r="BE133" s="5"/>
      <c r="BF133" s="16"/>
      <c r="BG133" s="16"/>
      <c r="BI133" s="4"/>
      <c r="BJ133" s="4"/>
      <c r="BK133" s="6"/>
      <c r="BL133" s="7"/>
      <c r="BM133" s="4"/>
      <c r="BO133" s="4"/>
      <c r="BP133" s="4"/>
      <c r="BQ133" s="6"/>
      <c r="BR133" s="7"/>
      <c r="BS133" s="4"/>
      <c r="BU133" s="4"/>
      <c r="BV133" s="4"/>
      <c r="BW133" s="6"/>
      <c r="BX133" s="7"/>
      <c r="BY133" s="4"/>
      <c r="BZ133" s="6"/>
      <c r="CA133" s="4"/>
      <c r="CB133" s="4"/>
      <c r="CC133" s="6"/>
      <c r="CD133" s="7"/>
      <c r="CE133" s="4"/>
      <c r="CF133" s="6"/>
      <c r="CG133" s="4"/>
      <c r="CH133" s="4"/>
      <c r="CI133" s="6"/>
      <c r="CJ133" s="7"/>
      <c r="CK133" s="4"/>
      <c r="CL133" s="4"/>
      <c r="CM133" s="4"/>
      <c r="CN133" s="4"/>
      <c r="CO133" s="6"/>
      <c r="CP133" s="7"/>
      <c r="CQ133" s="4"/>
      <c r="CR133" s="4"/>
      <c r="CS133" s="4"/>
      <c r="CT133" s="4"/>
      <c r="CU133" s="6"/>
      <c r="CV133" s="7"/>
      <c r="CW133" s="4"/>
      <c r="CX133" s="4"/>
      <c r="CY133" s="4"/>
      <c r="CZ133" s="4"/>
      <c r="DA133" s="6"/>
      <c r="DB133" s="7"/>
      <c r="DC133" s="4"/>
      <c r="DD133" s="4"/>
      <c r="DE133" s="4"/>
      <c r="DF133" s="4"/>
      <c r="DG133" s="6"/>
      <c r="DH133" s="7"/>
      <c r="DI133" s="4"/>
      <c r="DJ133" s="4"/>
      <c r="DK133" s="4"/>
      <c r="DL133" s="4"/>
      <c r="DM133" s="4"/>
      <c r="DO133" s="4"/>
      <c r="DP133" s="4"/>
      <c r="DQ133" s="4"/>
      <c r="DR133" s="7"/>
      <c r="DS133" s="4"/>
      <c r="DT133" s="4"/>
      <c r="DU133" s="4"/>
      <c r="DV133" s="4"/>
      <c r="DW133" s="4"/>
      <c r="DX133" s="4"/>
      <c r="DY133" s="7"/>
      <c r="DZ133" s="7"/>
      <c r="EA133" s="4"/>
      <c r="EB133" s="4"/>
      <c r="EC133" s="4"/>
      <c r="ED133" s="4"/>
      <c r="EE133" s="11"/>
      <c r="EN133" s="11"/>
      <c r="ET133" s="11"/>
      <c r="EU133" s="4"/>
      <c r="EV133" s="4"/>
      <c r="EW133" s="4"/>
      <c r="EX133" s="4"/>
      <c r="EY133" s="4"/>
      <c r="EZ133" s="4"/>
      <c r="FA133" s="4"/>
      <c r="FB133" s="4"/>
      <c r="FC133" s="4"/>
      <c r="FD133" s="4"/>
      <c r="FE133" s="4"/>
      <c r="FF133" s="4"/>
      <c r="FG133" s="4"/>
      <c r="FH133" s="4"/>
      <c r="FN133" s="9"/>
      <c r="GD133" s="10"/>
      <c r="GN133" s="10"/>
      <c r="HC133" s="9"/>
      <c r="IL133" s="9"/>
      <c r="IS133" s="4"/>
      <c r="IT133" s="4"/>
    </row>
    <row r="134" spans="1:263" ht="15" customHeight="1">
      <c r="A134" s="2">
        <v>102018086</v>
      </c>
      <c r="B134" s="4" t="s">
        <v>1263</v>
      </c>
      <c r="C134" s="3"/>
      <c r="D134" s="3"/>
      <c r="E134" s="3"/>
      <c r="F134" s="3"/>
      <c r="G134" s="3"/>
      <c r="H134" s="3"/>
      <c r="J134" t="s">
        <v>311</v>
      </c>
      <c r="K134" t="s">
        <v>1264</v>
      </c>
      <c r="L134" t="s">
        <v>577</v>
      </c>
      <c r="M134" t="s">
        <v>354</v>
      </c>
      <c r="O134" s="1"/>
      <c r="T134" s="1"/>
      <c r="AJ134" s="4"/>
      <c r="AK134" s="4"/>
      <c r="AO134" s="4"/>
      <c r="AP134" s="5"/>
      <c r="AS134" s="5"/>
      <c r="AT134" s="5"/>
      <c r="AU134" s="1"/>
      <c r="AV134" s="1"/>
      <c r="AW134" s="1"/>
      <c r="AX134" s="1"/>
      <c r="AY134" s="1"/>
      <c r="AZ134" s="1"/>
      <c r="BA134" s="1"/>
      <c r="BB134" s="1"/>
      <c r="BC134" s="1"/>
      <c r="BD134" s="1"/>
      <c r="BE134" s="1"/>
      <c r="BF134" s="1"/>
      <c r="BG134" s="5"/>
      <c r="BH134" s="16"/>
      <c r="BI134" s="16"/>
      <c r="BK134" s="4"/>
      <c r="BL134" s="4"/>
      <c r="BM134" s="6"/>
      <c r="BN134" s="7"/>
      <c r="BO134" s="4"/>
      <c r="BP134" s="4"/>
      <c r="BQ134" s="4"/>
      <c r="BR134" s="4"/>
      <c r="BS134" s="6"/>
      <c r="BT134" s="7"/>
      <c r="BU134" s="4"/>
      <c r="BV134" s="4"/>
      <c r="BW134" s="4"/>
      <c r="BX134" s="4"/>
      <c r="BY134" s="6"/>
      <c r="BZ134" s="7"/>
      <c r="CA134" s="4"/>
      <c r="CB134" s="4"/>
      <c r="CC134" s="4"/>
      <c r="CD134" s="4"/>
      <c r="CE134" s="6"/>
      <c r="CF134" s="7"/>
      <c r="CG134" s="4"/>
      <c r="CH134" s="4"/>
      <c r="CI134" s="4"/>
      <c r="CJ134" s="4"/>
      <c r="CK134" s="6"/>
      <c r="CL134" s="7"/>
      <c r="CM134" s="4"/>
      <c r="CN134" s="4"/>
      <c r="CO134" s="4"/>
      <c r="CP134" s="4"/>
      <c r="CQ134" s="6"/>
      <c r="CR134" s="7"/>
      <c r="CS134" s="4"/>
      <c r="CT134" s="4"/>
      <c r="CU134" s="4"/>
      <c r="CV134" s="4"/>
      <c r="CW134" s="6"/>
      <c r="CX134" s="7"/>
      <c r="CY134" s="4"/>
      <c r="CZ134" s="4"/>
      <c r="DA134" s="4"/>
      <c r="DB134" s="4"/>
      <c r="DC134" s="6"/>
      <c r="DD134" s="7"/>
      <c r="DE134" s="4"/>
      <c r="DF134" s="4"/>
      <c r="DG134" s="14"/>
      <c r="DH134" s="14"/>
      <c r="DI134" s="4"/>
      <c r="DJ134" s="3"/>
      <c r="DK134" s="4"/>
      <c r="DL134" s="234"/>
      <c r="DM134" s="4"/>
      <c r="DN134" s="4"/>
      <c r="DO134" s="4"/>
      <c r="DP134" s="4"/>
      <c r="DQ134" s="4"/>
      <c r="DR134" s="4"/>
      <c r="DS134" s="7"/>
      <c r="DT134" s="4"/>
      <c r="DU134" s="4"/>
      <c r="DV134" s="8"/>
      <c r="DW134" s="4"/>
      <c r="DX134" s="4"/>
      <c r="EG134" s="11"/>
      <c r="EM134" s="11"/>
      <c r="EN134" s="11"/>
      <c r="EO134" s="4"/>
      <c r="EP134" s="4"/>
      <c r="EQ134" s="4"/>
      <c r="ER134" s="4"/>
      <c r="ES134" s="4"/>
      <c r="ET134" s="4"/>
      <c r="EU134" s="4"/>
      <c r="EV134" s="4"/>
      <c r="EW134" s="4"/>
      <c r="EX134" s="4"/>
      <c r="EY134" s="4"/>
      <c r="EZ134" s="4"/>
      <c r="FA134" s="4"/>
      <c r="FB134" s="4"/>
      <c r="FC134" s="4"/>
      <c r="FG134" s="9"/>
      <c r="FP134" s="9"/>
      <c r="FZ134" s="10"/>
      <c r="GJ134" s="10"/>
      <c r="GY134" s="9"/>
      <c r="IK134" s="4"/>
      <c r="IY134" s="9">
        <v>42976</v>
      </c>
    </row>
    <row r="135" spans="1:263" ht="15" customHeight="1">
      <c r="A135" s="19">
        <v>102022043</v>
      </c>
      <c r="B135" t="s">
        <v>2795</v>
      </c>
      <c r="D135" s="1"/>
      <c r="K135" t="s">
        <v>3012</v>
      </c>
      <c r="Z135" t="s">
        <v>980</v>
      </c>
      <c r="AA135" t="s">
        <v>981</v>
      </c>
      <c r="AB135" t="s">
        <v>524</v>
      </c>
      <c r="AC135" t="s">
        <v>301</v>
      </c>
      <c r="AD135" s="1"/>
      <c r="AH135" s="3"/>
      <c r="AJ135" t="s">
        <v>3010</v>
      </c>
      <c r="AK135" t="s">
        <v>258</v>
      </c>
      <c r="AL135" t="s">
        <v>290</v>
      </c>
      <c r="AM135" t="s">
        <v>260</v>
      </c>
      <c r="AN135"/>
      <c r="AO135" s="3" t="s">
        <v>3011</v>
      </c>
      <c r="AQ135" t="s">
        <v>290</v>
      </c>
      <c r="AR135"/>
      <c r="AY135" s="2"/>
      <c r="AZ135" s="2"/>
      <c r="BA135" s="70"/>
      <c r="BB135" s="2"/>
      <c r="BC135" s="2"/>
      <c r="BD135" s="2"/>
      <c r="BE135" s="2"/>
      <c r="BF135" s="2"/>
      <c r="BG135" s="2"/>
      <c r="BH135" s="20"/>
      <c r="BI135" s="22"/>
      <c r="BJ135" s="22"/>
      <c r="BK135" s="14"/>
      <c r="BL135" s="22"/>
      <c r="BM135" s="14"/>
      <c r="BN135" s="14"/>
      <c r="BO135" s="14"/>
      <c r="BP135" s="17"/>
      <c r="BQ135" s="23"/>
      <c r="BR135" s="14"/>
      <c r="BS135" s="14"/>
      <c r="BT135" s="14"/>
      <c r="BU135" s="14"/>
      <c r="BV135" s="17"/>
      <c r="BW135" s="23"/>
      <c r="BX135" s="14"/>
      <c r="BY135" s="14"/>
      <c r="BZ135" s="14"/>
      <c r="CA135" s="14"/>
      <c r="CB135" s="17"/>
      <c r="CC135" s="23"/>
      <c r="CD135" s="14"/>
      <c r="CE135" s="14"/>
      <c r="CF135" s="14"/>
      <c r="CG135" s="14"/>
      <c r="CH135" s="17"/>
      <c r="CI135" s="23"/>
      <c r="CJ135" s="14"/>
      <c r="CK135" s="14"/>
      <c r="CL135" s="14"/>
      <c r="CM135" s="14"/>
      <c r="CN135" s="17"/>
      <c r="CO135" s="23"/>
      <c r="CP135" s="14"/>
      <c r="CQ135" s="14"/>
      <c r="CR135" s="14"/>
      <c r="CS135" s="14"/>
      <c r="CT135" s="14"/>
      <c r="CU135" s="47"/>
      <c r="CV135" s="14"/>
      <c r="CW135" s="32"/>
      <c r="CX135" s="14"/>
      <c r="CZ135" s="14"/>
      <c r="DF135" s="14"/>
      <c r="DG135" s="24"/>
      <c r="DH135" s="4"/>
      <c r="DI135" s="4"/>
      <c r="DJ135" s="25"/>
      <c r="DK135" s="35">
        <v>0.28899999999999998</v>
      </c>
      <c r="ID135" s="4"/>
    </row>
    <row r="136" spans="1:263" s="18" customFormat="1" ht="15" customHeight="1">
      <c r="A136" s="2">
        <v>102017056</v>
      </c>
      <c r="B136" t="s">
        <v>942</v>
      </c>
      <c r="C136"/>
      <c r="D136"/>
      <c r="E136"/>
      <c r="F136"/>
      <c r="G136"/>
      <c r="H136"/>
      <c r="I136"/>
      <c r="J136" t="s">
        <v>510</v>
      </c>
      <c r="K136" t="s">
        <v>943</v>
      </c>
      <c r="L136" t="s">
        <v>944</v>
      </c>
      <c r="M136" t="s">
        <v>428</v>
      </c>
      <c r="N136"/>
      <c r="O136" s="1"/>
      <c r="P136"/>
      <c r="Q136"/>
      <c r="R136"/>
      <c r="S136"/>
      <c r="T136" s="1"/>
      <c r="U136"/>
      <c r="V136"/>
      <c r="W136"/>
      <c r="X136"/>
      <c r="Y136"/>
      <c r="Z136"/>
      <c r="AA136"/>
      <c r="AB136"/>
      <c r="AC136"/>
      <c r="AD136"/>
      <c r="AE136" s="1"/>
      <c r="AF136"/>
      <c r="AG136" s="3"/>
      <c r="AH136"/>
      <c r="AI136"/>
      <c r="AJ136" s="4"/>
      <c r="AK136" s="4"/>
      <c r="AL136" s="4"/>
      <c r="AM136" s="3"/>
      <c r="AN136" s="3"/>
      <c r="AO136" s="4"/>
      <c r="AP136" s="13"/>
      <c r="AQ136" s="34"/>
      <c r="AR136" s="34"/>
      <c r="AS136" s="5"/>
      <c r="AT136" s="13"/>
      <c r="AU136" s="1"/>
      <c r="AV136" s="1"/>
      <c r="AW136" s="1"/>
      <c r="AX136" s="1"/>
      <c r="AY136" s="1"/>
      <c r="AZ136" s="1"/>
      <c r="BA136" s="1"/>
      <c r="BB136" s="1"/>
      <c r="BC136" s="1"/>
      <c r="BD136" s="1"/>
      <c r="BE136" s="1"/>
      <c r="BF136" s="1"/>
      <c r="BG136" s="5"/>
      <c r="BH136" s="16"/>
      <c r="BI136" s="16"/>
      <c r="BJ136"/>
      <c r="BK136" s="4"/>
      <c r="BL136" s="4"/>
      <c r="BM136" s="6"/>
      <c r="BN136" s="7"/>
      <c r="BO136" s="4"/>
      <c r="BP136"/>
      <c r="BQ136" s="4"/>
      <c r="BR136" s="4"/>
      <c r="BS136" s="6"/>
      <c r="BT136" s="7"/>
      <c r="BU136" s="4"/>
      <c r="BV136" s="4"/>
      <c r="BW136" s="4"/>
      <c r="BX136" s="4"/>
      <c r="BY136" s="6"/>
      <c r="BZ136" s="7"/>
      <c r="CA136" s="4"/>
      <c r="CB136"/>
      <c r="CC136" s="4"/>
      <c r="CD136" s="4"/>
      <c r="CE136" s="6"/>
      <c r="CF136" s="7"/>
      <c r="CG136" s="4"/>
      <c r="CH136" s="4"/>
      <c r="CI136" s="4"/>
      <c r="CJ136" s="4"/>
      <c r="CK136" s="6"/>
      <c r="CL136" s="7"/>
      <c r="CM136" s="4"/>
      <c r="CN136" s="4"/>
      <c r="CO136" s="4"/>
      <c r="CP136" s="4"/>
      <c r="CQ136" s="6"/>
      <c r="CR136" s="7"/>
      <c r="CS136" s="4"/>
      <c r="CT136" s="4"/>
      <c r="CU136" s="4"/>
      <c r="CV136" s="4"/>
      <c r="CW136" s="6"/>
      <c r="CX136" s="7"/>
      <c r="CY136" s="4"/>
      <c r="CZ136" s="4"/>
      <c r="DA136" s="4"/>
      <c r="DB136" s="4"/>
      <c r="DC136" s="6"/>
      <c r="DD136" s="7"/>
      <c r="DE136" s="4"/>
      <c r="DF136" s="4"/>
      <c r="DG136" s="4"/>
      <c r="DH136" s="4"/>
      <c r="DI136" s="6"/>
      <c r="DJ136" s="7"/>
      <c r="DK136" s="4"/>
      <c r="DL136" s="4"/>
      <c r="DM136" s="4"/>
      <c r="DN136" s="4"/>
      <c r="DO136" s="4"/>
      <c r="DP136" s="3"/>
      <c r="DQ136" s="4"/>
      <c r="DR136" s="4"/>
      <c r="DS136" s="4"/>
      <c r="DT136" s="4"/>
      <c r="DU136" s="4"/>
      <c r="DV136" s="4"/>
      <c r="DW136" s="4"/>
      <c r="DX136" s="4"/>
      <c r="DY136" s="4"/>
      <c r="DZ136" s="4"/>
      <c r="EA136" s="4"/>
      <c r="EB136" s="4"/>
      <c r="EC136" s="4"/>
      <c r="ED136" s="4"/>
      <c r="EE136" s="4"/>
      <c r="EF136" s="4"/>
      <c r="EG136" s="4"/>
      <c r="EH136" s="4"/>
      <c r="EI136" s="4"/>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s="9"/>
      <c r="FR136" s="10"/>
      <c r="FS136"/>
      <c r="FT136"/>
      <c r="FU136"/>
      <c r="FV136"/>
      <c r="FW136"/>
      <c r="FX136"/>
      <c r="FY136" s="10"/>
      <c r="FZ136"/>
      <c r="GA136"/>
      <c r="GB136"/>
      <c r="GC136"/>
      <c r="GD136"/>
      <c r="GE136"/>
      <c r="GF136"/>
      <c r="GG136"/>
      <c r="GH136"/>
      <c r="GI136"/>
      <c r="GJ136"/>
      <c r="GK136" s="9"/>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63" ht="15" customHeight="1">
      <c r="A137" s="19">
        <v>102023127</v>
      </c>
      <c r="B137" s="18" t="s">
        <v>4357</v>
      </c>
      <c r="D137" s="1"/>
      <c r="E137" s="3"/>
      <c r="F137" s="3"/>
      <c r="G137" s="3"/>
      <c r="J137" s="18" t="s">
        <v>311</v>
      </c>
      <c r="K137" s="18" t="s">
        <v>1283</v>
      </c>
      <c r="L137" s="18" t="s">
        <v>2603</v>
      </c>
      <c r="M137" s="18" t="s">
        <v>309</v>
      </c>
      <c r="N137" s="18"/>
      <c r="O137" s="19"/>
      <c r="P137" s="18"/>
      <c r="Q137" s="18"/>
      <c r="R137" s="18"/>
      <c r="S137" s="18"/>
      <c r="AG137" s="43"/>
      <c r="AJ137" s="18" t="s">
        <v>328</v>
      </c>
      <c r="AL137" s="18" t="s">
        <v>267</v>
      </c>
      <c r="AM137"/>
      <c r="AN137"/>
      <c r="AO137" s="18" t="s">
        <v>4463</v>
      </c>
      <c r="AP137" s="3" t="s">
        <v>258</v>
      </c>
      <c r="AQ137" s="18" t="s">
        <v>600</v>
      </c>
      <c r="AR137" t="s">
        <v>260</v>
      </c>
      <c r="AX137" s="1"/>
      <c r="AY137" s="1"/>
      <c r="AZ137" s="1"/>
      <c r="BA137" s="1"/>
      <c r="BB137" s="1"/>
      <c r="BC137" s="2"/>
      <c r="BD137" s="115">
        <v>45060</v>
      </c>
      <c r="BE137" s="115">
        <v>45054</v>
      </c>
      <c r="BF137" s="2"/>
      <c r="BG137" s="2"/>
      <c r="BH137" s="2"/>
      <c r="BI137" s="2"/>
      <c r="BJ137" s="2"/>
      <c r="BK137" s="2"/>
      <c r="BL137" s="20">
        <f ca="1">SUM(EB137)+220</f>
        <v>1631.8061999999998</v>
      </c>
      <c r="BM137" s="22">
        <f ca="1">PMT(10%/12,12,BL137,0,0)</f>
        <v>-143.46168986043045</v>
      </c>
      <c r="BN137" s="22">
        <f ca="1">SUM(BM137*-1)</f>
        <v>143.46168986043045</v>
      </c>
      <c r="BO137" s="14">
        <f>SUM(EJ137*0.0052)/12</f>
        <v>39.519999999999996</v>
      </c>
      <c r="BP137" s="22">
        <f ca="1">SUM(BN137+BO137)</f>
        <v>182.98168986043044</v>
      </c>
      <c r="BQ137" s="14"/>
      <c r="BR137" s="14">
        <f>SUM(BQ137*0.1)</f>
        <v>0</v>
      </c>
      <c r="BS137" s="14">
        <f ca="1">SUM(BT137*BU137)</f>
        <v>0</v>
      </c>
      <c r="BT137" s="17">
        <f>SUM((BQ137+BR137)*0.00833333333333333)</f>
        <v>0</v>
      </c>
      <c r="BU137" s="23">
        <f ca="1">MONTH(TODAY())+49</f>
        <v>53</v>
      </c>
      <c r="BV137" s="14">
        <f ca="1">SUM(BQ137,BR137,BS137)</f>
        <v>0</v>
      </c>
      <c r="BW137" s="14"/>
      <c r="BX137" s="14">
        <f>SUM(BW137*0.1)</f>
        <v>0</v>
      </c>
      <c r="BY137" s="14">
        <f ca="1">SUM(BZ137*CA137)</f>
        <v>0</v>
      </c>
      <c r="BZ137" s="17">
        <f>SUM((BW137+BX137)*0.00833333333333333)</f>
        <v>0</v>
      </c>
      <c r="CA137" s="23">
        <f ca="1">MONTH(TODAY())+37</f>
        <v>41</v>
      </c>
      <c r="CB137" s="14">
        <f ca="1">SUM(BW137,BX137,BY137)</f>
        <v>0</v>
      </c>
      <c r="CC137" s="14">
        <v>0</v>
      </c>
      <c r="CD137" s="14">
        <f>SUM(CC137*0.1)</f>
        <v>0</v>
      </c>
      <c r="CE137" s="14">
        <f ca="1">SUM(CF137*CG137)</f>
        <v>0</v>
      </c>
      <c r="CF137" s="17">
        <f>SUM((CC137+CD137)*0.00833333333333333)</f>
        <v>0</v>
      </c>
      <c r="CG137" s="23">
        <f ca="1">MONTH(TODAY())+25</f>
        <v>29</v>
      </c>
      <c r="CH137" s="14">
        <f ca="1">SUM(CC137,CD137,CE137)</f>
        <v>0</v>
      </c>
      <c r="CI137" s="14">
        <f>SUM(EG137*0.0052)</f>
        <v>316.15999999999997</v>
      </c>
      <c r="CJ137" s="14">
        <f>SUM(CI137*0.1)</f>
        <v>31.616</v>
      </c>
      <c r="CK137" s="14">
        <f ca="1">SUM(CL137*CM137)</f>
        <v>49.268266666666641</v>
      </c>
      <c r="CL137" s="17">
        <f>SUM((CI137+CJ137)*0.00833333333333333)</f>
        <v>2.8981333333333317</v>
      </c>
      <c r="CM137" s="23">
        <f ca="1">MONTH(TODAY())+13</f>
        <v>17</v>
      </c>
      <c r="CN137" s="14">
        <f ca="1">SUM(CI137,CJ137,CK137)</f>
        <v>397.0442666666666</v>
      </c>
      <c r="CO137" s="14">
        <f>SUM(EG137*0.0052)/2</f>
        <v>158.07999999999998</v>
      </c>
      <c r="CP137" s="14">
        <f>SUM(CO137*0.1)</f>
        <v>15.808</v>
      </c>
      <c r="CQ137" s="14">
        <f ca="1">SUM(CR137*CS137)</f>
        <v>13.041599999999992</v>
      </c>
      <c r="CR137" s="17">
        <f>SUM((CO137+CP137)*0.00833333333333333)</f>
        <v>1.4490666666666658</v>
      </c>
      <c r="CS137" s="23">
        <f ca="1">MONTH(TODAY())+5</f>
        <v>9</v>
      </c>
      <c r="CT137" s="23">
        <f ca="1">SUM(CO137,CP137,CQ137)</f>
        <v>186.92959999999997</v>
      </c>
      <c r="CU137" s="14">
        <f>SUM(EG137*0.0052)/2</f>
        <v>158.07999999999998</v>
      </c>
      <c r="CV137" s="14">
        <f>SUM(CU137*0.1)</f>
        <v>15.808</v>
      </c>
      <c r="CW137" s="14">
        <f ca="1">SUM(CX137*CY137)</f>
        <v>7.2453333333333294</v>
      </c>
      <c r="CX137" s="17">
        <f>SUM((CU137+CV137)*0.00833333333333333)</f>
        <v>1.4490666666666658</v>
      </c>
      <c r="CY137" s="23">
        <f ca="1">MONTH(TODAY())+1</f>
        <v>5</v>
      </c>
      <c r="CZ137" s="23">
        <f ca="1">SUM(CU137,CV137,CW137)</f>
        <v>181.1333333333333</v>
      </c>
      <c r="DA137" s="14">
        <f>SUM(EJ137*0.0045)/2</f>
        <v>205.2</v>
      </c>
      <c r="DB137" s="14">
        <f>SUM(DA137*0.1)</f>
        <v>20.52</v>
      </c>
      <c r="DC137" s="14">
        <f ca="1">SUM(DD137*DE137)</f>
        <v>-1.8809999999999991</v>
      </c>
      <c r="DD137" s="17">
        <f>SUM((DA137+DB137)*0.00833333333333333)</f>
        <v>1.8809999999999991</v>
      </c>
      <c r="DE137" s="23">
        <f ca="1">MONTH(TODAY())-5</f>
        <v>-1</v>
      </c>
      <c r="DF137" s="23">
        <f ca="1">SUM(DA137,DB137,DC137)</f>
        <v>223.839</v>
      </c>
      <c r="DG137" s="14">
        <v>0</v>
      </c>
      <c r="DH137" s="14">
        <v>0</v>
      </c>
      <c r="DI137" s="14">
        <v>0</v>
      </c>
      <c r="DJ137" s="17">
        <f>SUM((DG137+DH137)*0.00833333333333333)</f>
        <v>0</v>
      </c>
      <c r="DK137" s="23">
        <f ca="1">MONTH(TODAY())+1</f>
        <v>5</v>
      </c>
      <c r="DL137" s="23">
        <f>SUM(DG137,DH137,DI137)</f>
        <v>0</v>
      </c>
      <c r="DM137" s="14">
        <f>SUM( BQ137, BW137, CC137, CI137, CO137,CU137,DA137,DG137)</f>
        <v>837.52</v>
      </c>
      <c r="DN137" s="14">
        <f>SUM(BR137,BX137,CD137,CJ137, CP137,CV137,DB137,DH137)</f>
        <v>83.751999999999995</v>
      </c>
      <c r="DO137" s="14">
        <f ca="1">SUM(BS137,BY137,CE137,CK137, CQ137,CW137,DC137,DI137)</f>
        <v>67.674199999999971</v>
      </c>
      <c r="DP137" s="25">
        <f ca="1">SUM(DM137:DO137)</f>
        <v>988.94619999999986</v>
      </c>
      <c r="DQ137" s="47">
        <f ca="1">SUM(DP137/EG137)</f>
        <v>1.6265562499999997E-2</v>
      </c>
      <c r="DR137" s="14">
        <f>20+200</f>
        <v>220</v>
      </c>
      <c r="DS137" s="32">
        <f>COUNTIF(DX137, "*")+COUNTIF(AO137, "*")+COUNTIF(AJ137, "*")+COUNTIF(AA137, "*")+COUNTIF(EY137, "*")+COUNTIF(FE137, "*")+COUNTIF(FK137, "*")+COUNTIF(FO137, "*")+COUNTIF(FV137, "*")+COUNTIF(AT137, "*")+COUNTIF(GE137, "*")+COUNTIF(GP137, "*")+COUNTIF(HA137, "*")+COUNTIF(HI137, "*")+COUNTIF(HQ137, "*")+COUNTIF(HY137, "*")+COUNTIF(IG137, "*")</f>
        <v>2</v>
      </c>
      <c r="DT137" s="14">
        <f>1.2+DS137*7.45</f>
        <v>16.100000000000001</v>
      </c>
      <c r="DU137" s="4">
        <v>150</v>
      </c>
      <c r="DV137" s="4">
        <v>36.76</v>
      </c>
      <c r="DW137" s="4"/>
      <c r="DX137" s="4"/>
      <c r="DZ137" s="4"/>
      <c r="EA137" s="14">
        <f>SUM(DV137:DZ137)</f>
        <v>36.76</v>
      </c>
      <c r="EB137" s="14">
        <f ca="1">SUM(DP137,DR137,EA137, DU137, DT137,GB137)</f>
        <v>1411.8061999999998</v>
      </c>
      <c r="EC137" s="24" t="s">
        <v>3879</v>
      </c>
      <c r="ED137" s="130">
        <v>38</v>
      </c>
      <c r="EE137" s="14">
        <v>60800</v>
      </c>
      <c r="EF137" s="14">
        <v>0</v>
      </c>
      <c r="EG137" s="14">
        <v>60800</v>
      </c>
      <c r="EH137" s="14">
        <v>91200</v>
      </c>
      <c r="EI137" s="14">
        <v>0</v>
      </c>
      <c r="EJ137" s="14">
        <f>SUM(EH137+EI137)</f>
        <v>91200</v>
      </c>
      <c r="EK137" t="s">
        <v>4774</v>
      </c>
      <c r="EL137" t="s">
        <v>4775</v>
      </c>
      <c r="EM137" t="s">
        <v>4776</v>
      </c>
      <c r="IM137" s="9"/>
      <c r="IX137" s="14">
        <f ca="1">SUM(IN137-EB137-GB137-IV137)</f>
        <v>-1411.8061999999998</v>
      </c>
      <c r="IY137" s="9"/>
      <c r="IZ137" s="9"/>
      <c r="JA137" s="9"/>
      <c r="JB137" s="9"/>
      <c r="JC137" s="9"/>
    </row>
    <row r="138" spans="1:263" ht="15" customHeight="1">
      <c r="A138" s="19">
        <v>102022165</v>
      </c>
      <c r="B138" t="s">
        <v>2894</v>
      </c>
      <c r="D138" s="1"/>
      <c r="K138" t="s">
        <v>3199</v>
      </c>
      <c r="Z138" t="s">
        <v>3201</v>
      </c>
      <c r="AA138" t="s">
        <v>3202</v>
      </c>
      <c r="AB138" t="s">
        <v>567</v>
      </c>
      <c r="AC138" t="s">
        <v>821</v>
      </c>
      <c r="AJ138" s="18" t="s">
        <v>328</v>
      </c>
      <c r="AL138" t="s">
        <v>267</v>
      </c>
      <c r="AM138"/>
      <c r="AN138"/>
      <c r="AO138" s="3" t="s">
        <v>3200</v>
      </c>
      <c r="AP138" s="3" t="s">
        <v>258</v>
      </c>
      <c r="AQ138" s="3" t="s">
        <v>3168</v>
      </c>
      <c r="AR138" t="s">
        <v>821</v>
      </c>
      <c r="AT138" s="1"/>
      <c r="AU138" s="1"/>
      <c r="AV138" s="1"/>
      <c r="AW138" s="1"/>
      <c r="AX138" s="2"/>
      <c r="AY138" s="2"/>
      <c r="AZ138" s="70"/>
      <c r="BA138" s="2"/>
      <c r="BB138" s="2"/>
      <c r="BC138" s="2"/>
      <c r="BD138" s="2"/>
      <c r="BE138" s="2"/>
      <c r="BF138" s="2"/>
      <c r="BG138" s="20"/>
      <c r="BH138" s="22"/>
      <c r="BI138" s="22"/>
      <c r="BJ138" s="14"/>
      <c r="BK138" s="22"/>
      <c r="BL138" s="14"/>
      <c r="BM138" s="14"/>
      <c r="BN138" s="14"/>
      <c r="BO138" s="17"/>
      <c r="BP138" s="23"/>
      <c r="BQ138" s="14"/>
      <c r="BR138" s="14"/>
      <c r="BS138" s="14"/>
      <c r="BT138" s="14"/>
      <c r="BU138" s="17"/>
      <c r="BV138" s="23"/>
      <c r="BW138" s="14"/>
      <c r="BX138" s="14"/>
      <c r="BY138" s="14"/>
      <c r="BZ138" s="14"/>
      <c r="CA138" s="17"/>
      <c r="CB138" s="23"/>
      <c r="CC138" s="14"/>
      <c r="CD138" s="14"/>
      <c r="CE138" s="14"/>
      <c r="CF138" s="14"/>
      <c r="CG138" s="17"/>
      <c r="CH138" s="23"/>
      <c r="CI138" s="14"/>
      <c r="CJ138" s="14"/>
      <c r="CK138" s="14"/>
      <c r="CL138" s="14"/>
      <c r="CM138" s="17"/>
      <c r="CN138" s="23"/>
      <c r="CO138" s="14"/>
      <c r="CP138" s="14"/>
      <c r="CQ138" s="14"/>
      <c r="CR138" s="14"/>
      <c r="CS138" s="14"/>
      <c r="CT138" s="47"/>
      <c r="CU138" s="14"/>
      <c r="CV138" s="32"/>
      <c r="CW138" s="14"/>
      <c r="CY138" s="14"/>
      <c r="DE138" s="14"/>
      <c r="DF138" s="24"/>
      <c r="DG138" s="4"/>
      <c r="DH138" s="4"/>
      <c r="DI138" s="25"/>
      <c r="DJ138" s="35">
        <v>0.77</v>
      </c>
      <c r="IC138" s="4"/>
    </row>
    <row r="139" spans="1:263" ht="15" customHeight="1">
      <c r="A139" s="19">
        <v>102022217</v>
      </c>
      <c r="B139" t="s">
        <v>2929</v>
      </c>
      <c r="D139" s="1"/>
      <c r="E139" s="3"/>
      <c r="F139" s="3"/>
      <c r="J139" t="s">
        <v>3793</v>
      </c>
      <c r="K139" t="s">
        <v>1083</v>
      </c>
      <c r="L139" t="s">
        <v>1015</v>
      </c>
      <c r="M139" t="s">
        <v>426</v>
      </c>
      <c r="Z139" t="s">
        <v>3814</v>
      </c>
      <c r="AA139" t="s">
        <v>3299</v>
      </c>
      <c r="AB139" t="s">
        <v>267</v>
      </c>
      <c r="AD139" t="s">
        <v>3814</v>
      </c>
      <c r="AE139" t="s">
        <v>253</v>
      </c>
      <c r="AF139" t="s">
        <v>1083</v>
      </c>
      <c r="AG139" s="43" t="s">
        <v>3815</v>
      </c>
      <c r="AH139" t="s">
        <v>3299</v>
      </c>
      <c r="AI139" t="s">
        <v>267</v>
      </c>
      <c r="AM139"/>
      <c r="AN139"/>
      <c r="AO139" s="3" t="s">
        <v>3299</v>
      </c>
      <c r="AP139" s="3" t="s">
        <v>258</v>
      </c>
      <c r="AQ139" t="s">
        <v>267</v>
      </c>
      <c r="AR139" t="s">
        <v>260</v>
      </c>
      <c r="AS139" s="1"/>
      <c r="AT139" s="1"/>
      <c r="AU139" s="1"/>
      <c r="AV139" s="1"/>
      <c r="AW139" s="1"/>
      <c r="AX139" s="2"/>
      <c r="AY139" s="116"/>
      <c r="AZ139" s="115">
        <v>44659</v>
      </c>
      <c r="BA139" s="2"/>
      <c r="BB139" s="2"/>
      <c r="BC139" s="2"/>
      <c r="BD139" s="2"/>
      <c r="BE139" s="2"/>
      <c r="BF139" s="2"/>
      <c r="BG139" s="20">
        <f ca="1">SUM(CY139)+214.5</f>
        <v>1146.4405333333332</v>
      </c>
      <c r="BH139" s="22">
        <f ca="1">PMT(10%/12,12,BG139,0,0)</f>
        <v>-100.79033664444538</v>
      </c>
      <c r="BI139" s="22">
        <f ca="1">SUM(BH139*-1)</f>
        <v>100.79033664444538</v>
      </c>
      <c r="BJ139" s="14">
        <f>SUM(DI139*0.0052)/12</f>
        <v>14.126666666666665</v>
      </c>
      <c r="BK139" s="22">
        <f ca="1">SUM(BI139+BJ139)</f>
        <v>114.91700331111204</v>
      </c>
      <c r="BL139" s="14"/>
      <c r="BM139" s="14">
        <f>SUM(BL139*0.1)</f>
        <v>0</v>
      </c>
      <c r="BN139" s="14">
        <f ca="1">SUM(BO139*BP139)</f>
        <v>0</v>
      </c>
      <c r="BO139" s="17">
        <f>SUM((BL139+BM139)*0.00833333333333333)</f>
        <v>0</v>
      </c>
      <c r="BP139" s="23">
        <f ca="1">MONTH(TODAY())+49</f>
        <v>53</v>
      </c>
      <c r="BQ139" s="14">
        <f ca="1">SUM(BL139,BM139,BN139)</f>
        <v>0</v>
      </c>
      <c r="BR139" s="14"/>
      <c r="BS139" s="14">
        <f>SUM(BR139*0.1)</f>
        <v>0</v>
      </c>
      <c r="BT139" s="14">
        <f ca="1">SUM(BU139*BV139)</f>
        <v>0</v>
      </c>
      <c r="BU139" s="17">
        <f>SUM((BR139+BS139)*0.00833333333333333)</f>
        <v>0</v>
      </c>
      <c r="BV139" s="23">
        <f ca="1">MONTH(TODAY())+37</f>
        <v>41</v>
      </c>
      <c r="BW139" s="14">
        <f ca="1">SUM(BR139,BS139,BT139)</f>
        <v>0</v>
      </c>
      <c r="BX139" s="14"/>
      <c r="BY139" s="14">
        <f>SUM(BX139*0.1)</f>
        <v>0</v>
      </c>
      <c r="BZ139" s="14">
        <f ca="1">SUM(CA139*CB139)</f>
        <v>0</v>
      </c>
      <c r="CA139" s="17">
        <f>SUM((BX139+BY139)*0.00833333333333333)</f>
        <v>0</v>
      </c>
      <c r="CB139" s="23">
        <f ca="1">MONTH(TODAY())+25</f>
        <v>29</v>
      </c>
      <c r="CC139" s="14">
        <f ca="1">SUM(BX139,BY139,BZ139)</f>
        <v>0</v>
      </c>
      <c r="CD139" s="14">
        <f>SUM(DI139*0.0052)</f>
        <v>169.51999999999998</v>
      </c>
      <c r="CE139" s="14">
        <f>SUM(CD139*0.1)</f>
        <v>16.951999999999998</v>
      </c>
      <c r="CF139" s="14">
        <f ca="1">SUM(CG139*CH139)</f>
        <v>26.416866666666653</v>
      </c>
      <c r="CG139" s="17">
        <f>SUM((CD139+CE139)*0.00833333333333333)</f>
        <v>1.5539333333333325</v>
      </c>
      <c r="CH139" s="23">
        <f ca="1">MONTH(TODAY())+13</f>
        <v>17</v>
      </c>
      <c r="CI139" s="14">
        <f ca="1">SUM(CD139,CE139,CF139)</f>
        <v>212.88886666666664</v>
      </c>
      <c r="CJ139" s="14">
        <f>SUM(DI139*0.0052)</f>
        <v>169.51999999999998</v>
      </c>
      <c r="CK139" s="14">
        <f>SUM(CJ139*0.1)</f>
        <v>16.951999999999998</v>
      </c>
      <c r="CL139" s="14">
        <f ca="1">SUM(CM139*CN139)</f>
        <v>7.7696666666666623</v>
      </c>
      <c r="CM139" s="17">
        <f>SUM((CJ139+CK139)*0.00833333333333333)</f>
        <v>1.5539333333333325</v>
      </c>
      <c r="CN139" s="23">
        <f ca="1">MONTH(TODAY())+1</f>
        <v>5</v>
      </c>
      <c r="CO139" s="14">
        <f ca="1">SUM(CJ139,CK139,CL139)</f>
        <v>194.24166666666665</v>
      </c>
      <c r="CP139" s="14">
        <f>SUM(BL139, BR139,BX139,CD139,CJ139)</f>
        <v>339.03999999999996</v>
      </c>
      <c r="CQ139" s="14">
        <f>SUM(BM139, BS139,BY139,CE139,CK139)</f>
        <v>33.903999999999996</v>
      </c>
      <c r="CR139" s="14">
        <f ca="1">SUM(BN139, BT139,BZ139,CF139,CL139)</f>
        <v>34.186533333333315</v>
      </c>
      <c r="CS139" s="14">
        <f ca="1">SUM(CP139:CR139)</f>
        <v>407.13053333333329</v>
      </c>
      <c r="CT139" s="47">
        <f ca="1">SUM(CS139/DI139)</f>
        <v>1.2488666666666665E-2</v>
      </c>
      <c r="CU139" s="14">
        <f>19.5+19.5+195+39</f>
        <v>273</v>
      </c>
      <c r="CV139" s="32">
        <f>COUNTIF(DB139, "*")+COUNTIF(AO139, "*")+COUNTIF(AJ139, "*")+COUNTIF(AA139, "*")+COUNTIF(DY139, "*")+COUNTIF(EE139, "*")+COUNTIF(EK139, "*")+COUNTIF(EO139, "*")+COUNTIF(EV139, "*")+COUNTIF(FC139, "*")+COUNTIF(FJ139, "*")+COUNTIF(FU139, "*")+COUNTIF(GF139, "*")+COUNTIF(GN139, "*")+COUNTIF(GV139, "*")+COUNTIF(HD139, "*")+COUNTIF(HL139, "*")+3</f>
        <v>8</v>
      </c>
      <c r="CW139" s="14">
        <f>CV139*0.5+CV139*6.66</f>
        <v>57.28</v>
      </c>
      <c r="CX139" s="4">
        <v>150</v>
      </c>
      <c r="CY139" s="14">
        <f ca="1">SUM(CS139,CU139,DE139, CX139, CW139,FG139)</f>
        <v>931.94053333333318</v>
      </c>
      <c r="CZ139" s="14">
        <v>44.53</v>
      </c>
      <c r="DE139" s="14">
        <f>SUM(CZ139:DD139)</f>
        <v>44.53</v>
      </c>
      <c r="DF139" s="24" t="s">
        <v>2773</v>
      </c>
      <c r="DG139" s="4">
        <v>14000</v>
      </c>
      <c r="DH139" s="4">
        <v>18600</v>
      </c>
      <c r="DI139" s="25">
        <f>SUM(DG139+DH139)</f>
        <v>32600</v>
      </c>
      <c r="DJ139" s="35">
        <v>0.78</v>
      </c>
      <c r="DK139" t="s">
        <v>3794</v>
      </c>
      <c r="DL139" t="s">
        <v>3795</v>
      </c>
      <c r="DM139" t="s">
        <v>3796</v>
      </c>
      <c r="DN139" t="s">
        <v>3797</v>
      </c>
      <c r="DW139" t="s">
        <v>3798</v>
      </c>
      <c r="DY139" t="s">
        <v>3799</v>
      </c>
      <c r="EA139" t="s">
        <v>386</v>
      </c>
      <c r="EB139" t="s">
        <v>260</v>
      </c>
      <c r="EC139" t="s">
        <v>3800</v>
      </c>
      <c r="EE139" t="s">
        <v>3801</v>
      </c>
      <c r="EG139" t="s">
        <v>267</v>
      </c>
      <c r="EH139" t="s">
        <v>268</v>
      </c>
      <c r="EI139" t="s">
        <v>3802</v>
      </c>
      <c r="EK139" t="s">
        <v>3803</v>
      </c>
      <c r="EL139" t="s">
        <v>567</v>
      </c>
      <c r="EM139" s="18" t="s">
        <v>821</v>
      </c>
      <c r="IC139" s="4"/>
    </row>
    <row r="140" spans="1:263" ht="15" customHeight="1">
      <c r="A140" s="19">
        <v>102023117</v>
      </c>
      <c r="B140" s="18" t="s">
        <v>4371</v>
      </c>
      <c r="D140" s="1"/>
      <c r="E140" t="s">
        <v>4940</v>
      </c>
      <c r="F140">
        <v>230003226</v>
      </c>
      <c r="G140" s="3"/>
      <c r="J140" s="18" t="s">
        <v>311</v>
      </c>
      <c r="K140" s="18" t="s">
        <v>1259</v>
      </c>
      <c r="L140" s="18" t="s">
        <v>1260</v>
      </c>
      <c r="M140" s="18" t="s">
        <v>850</v>
      </c>
      <c r="N140" s="18"/>
      <c r="O140" s="19"/>
      <c r="P140" s="18"/>
      <c r="Q140" s="18"/>
      <c r="R140" s="18"/>
      <c r="S140" s="18"/>
      <c r="AG140" s="43"/>
      <c r="AJ140" s="18"/>
      <c r="AM140"/>
      <c r="AN140"/>
      <c r="AO140" s="18" t="s">
        <v>4444</v>
      </c>
      <c r="AP140" s="3" t="s">
        <v>258</v>
      </c>
      <c r="AQ140" s="18" t="s">
        <v>386</v>
      </c>
      <c r="AR140" s="18" t="s">
        <v>260</v>
      </c>
      <c r="AX140" s="1"/>
      <c r="AY140" s="1" t="s">
        <v>258</v>
      </c>
      <c r="AZ140" s="1"/>
      <c r="BA140" s="1"/>
      <c r="BB140" s="1"/>
      <c r="BC140" s="70">
        <v>45098</v>
      </c>
      <c r="BD140" s="115">
        <v>45060</v>
      </c>
      <c r="BE140" s="115">
        <v>45051</v>
      </c>
      <c r="BF140" s="2"/>
      <c r="BG140" s="2"/>
      <c r="BH140" s="2"/>
      <c r="BI140" s="2"/>
      <c r="BJ140" s="2"/>
      <c r="BK140" s="2"/>
      <c r="BL140" s="20">
        <f ca="1">SUM(EB140)+220</f>
        <v>1871.0924999999997</v>
      </c>
      <c r="BM140" s="22">
        <f ca="1">PMT(10%/12,12,BL140,0,0)</f>
        <v>-164.49875722691669</v>
      </c>
      <c r="BN140" s="22">
        <f ca="1">SUM(BM140*-1)</f>
        <v>164.49875722691669</v>
      </c>
      <c r="BO140" s="14">
        <f>SUM(EJ140*0.0052)/12</f>
        <v>28.77333333333333</v>
      </c>
      <c r="BP140" s="22">
        <f ca="1">SUM(BN140+BO140)</f>
        <v>193.27209056025004</v>
      </c>
      <c r="BQ140" s="14"/>
      <c r="BR140" s="14">
        <f>SUM(BQ140*0.1)</f>
        <v>0</v>
      </c>
      <c r="BS140" s="14">
        <f ca="1">SUM(BT140*BU140)</f>
        <v>0</v>
      </c>
      <c r="BT140" s="17">
        <f>SUM((BQ140+BR140)*0.00833333333333333)</f>
        <v>0</v>
      </c>
      <c r="BU140" s="23">
        <f ca="1">MONTH(TODAY())+49</f>
        <v>53</v>
      </c>
      <c r="BV140" s="14">
        <f ca="1">SUM(BQ140,BR140,BS140)</f>
        <v>0</v>
      </c>
      <c r="BW140" s="14"/>
      <c r="BX140" s="14">
        <f>SUM(BW140*0.1)</f>
        <v>0</v>
      </c>
      <c r="BY140" s="14">
        <f ca="1">SUM(BZ140*CA140)</f>
        <v>0</v>
      </c>
      <c r="BZ140" s="17">
        <f>SUM((BW140+BX140)*0.00833333333333333)</f>
        <v>0</v>
      </c>
      <c r="CA140" s="23">
        <f ca="1">MONTH(TODAY())+37</f>
        <v>41</v>
      </c>
      <c r="CB140" s="14">
        <f ca="1">SUM(BW140,BX140,BY140)</f>
        <v>0</v>
      </c>
      <c r="CC140" s="14">
        <v>0</v>
      </c>
      <c r="CD140" s="14">
        <f>SUM(CC140*0.1)</f>
        <v>0</v>
      </c>
      <c r="CE140" s="14">
        <f ca="1">SUM(CF140*CG140)</f>
        <v>0</v>
      </c>
      <c r="CF140" s="17">
        <f>SUM((CC140+CD140)*0.00833333333333333)</f>
        <v>0</v>
      </c>
      <c r="CG140" s="23">
        <f ca="1">MONTH(TODAY())+25</f>
        <v>29</v>
      </c>
      <c r="CH140" s="14">
        <f ca="1">SUM(CC140,CD140,CE140)</f>
        <v>0</v>
      </c>
      <c r="CI140" s="14">
        <f>SUM(EG140*0.0052)</f>
        <v>288.59999999999997</v>
      </c>
      <c r="CJ140" s="14">
        <f>SUM(CI140*0.1)</f>
        <v>28.86</v>
      </c>
      <c r="CK140" s="14">
        <f ca="1">SUM(CL140*CM140)</f>
        <v>44.97349999999998</v>
      </c>
      <c r="CL140" s="17">
        <f>SUM((CI140+CJ140)*0.00833333333333333)</f>
        <v>2.6454999999999989</v>
      </c>
      <c r="CM140" s="23">
        <f ca="1">MONTH(TODAY())+13</f>
        <v>17</v>
      </c>
      <c r="CN140" s="14">
        <f ca="1">SUM(CI140,CJ140,CK140)</f>
        <v>362.43349999999998</v>
      </c>
      <c r="CO140" s="14">
        <f>SUM(EG140*0.0052)/2</f>
        <v>144.29999999999998</v>
      </c>
      <c r="CP140" s="14">
        <f>SUM(CO140*0.1)</f>
        <v>14.43</v>
      </c>
      <c r="CQ140" s="14">
        <f ca="1">SUM(CR140*CS140)</f>
        <v>11.904749999999995</v>
      </c>
      <c r="CR140" s="17">
        <f>SUM((CO140+CP140)*0.00833333333333333)</f>
        <v>1.3227499999999994</v>
      </c>
      <c r="CS140" s="23">
        <f ca="1">MONTH(TODAY())+5</f>
        <v>9</v>
      </c>
      <c r="CT140" s="23">
        <f ca="1">SUM(CO140,CP140,CQ140)</f>
        <v>170.63475</v>
      </c>
      <c r="CU140" s="14">
        <f>SUM(EG140*0.0052)/2</f>
        <v>144.29999999999998</v>
      </c>
      <c r="CV140" s="14">
        <f>SUM(CU140*0.1)</f>
        <v>14.43</v>
      </c>
      <c r="CW140" s="14">
        <f ca="1">SUM(CX140*CY140)</f>
        <v>6.6137499999999969</v>
      </c>
      <c r="CX140" s="17">
        <f>SUM((CU140+CV140)*0.00833333333333333)</f>
        <v>1.3227499999999994</v>
      </c>
      <c r="CY140" s="23">
        <f ca="1">MONTH(TODAY())+1</f>
        <v>5</v>
      </c>
      <c r="CZ140" s="23">
        <f ca="1">SUM(CU140,CV140,CW140)</f>
        <v>165.34375</v>
      </c>
      <c r="DA140" s="14">
        <f>SUM(EJ140*0.0045)/2</f>
        <v>149.39999999999998</v>
      </c>
      <c r="DB140" s="14">
        <f>SUM(DA140*0.1)</f>
        <v>14.939999999999998</v>
      </c>
      <c r="DC140" s="14">
        <f ca="1">SUM(DD140*DE140)</f>
        <v>-1.3694999999999993</v>
      </c>
      <c r="DD140" s="17">
        <f>SUM((DA140+DB140)*0.00833333333333333)</f>
        <v>1.3694999999999993</v>
      </c>
      <c r="DE140" s="23">
        <f ca="1">MONTH(TODAY())-5</f>
        <v>-1</v>
      </c>
      <c r="DF140" s="23">
        <f ca="1">SUM(DA140,DB140,DC140)</f>
        <v>162.97049999999999</v>
      </c>
      <c r="DG140" s="14">
        <v>0</v>
      </c>
      <c r="DH140" s="14">
        <v>0</v>
      </c>
      <c r="DI140" s="14">
        <v>0</v>
      </c>
      <c r="DJ140" s="17">
        <f>SUM((DG140+DH140)*0.00833333333333333)</f>
        <v>0</v>
      </c>
      <c r="DK140" s="23">
        <f ca="1">MONTH(TODAY())+1</f>
        <v>5</v>
      </c>
      <c r="DL140" s="23">
        <f>SUM(DG140,DH140,DI140)</f>
        <v>0</v>
      </c>
      <c r="DM140" s="14">
        <f>SUM( BQ140, BW140, CC140, CI140, CO140,CU140,DA140,DG140)</f>
        <v>726.59999999999991</v>
      </c>
      <c r="DN140" s="14">
        <f>SUM(BR140,BX140,CD140,CJ140, CP140,CV140,DB140,DH140)</f>
        <v>72.66</v>
      </c>
      <c r="DO140" s="14">
        <f ca="1">SUM(BS140,BY140,CE140,CK140, CQ140,CW140,DC140,DI140)</f>
        <v>62.122499999999967</v>
      </c>
      <c r="DP140" s="25">
        <f ca="1">SUM(DM140:DO140)</f>
        <v>861.38249999999982</v>
      </c>
      <c r="DQ140" s="47">
        <f ca="1">SUM(DP140/EG140)</f>
        <v>1.5520405405405403E-2</v>
      </c>
      <c r="DR140" s="14">
        <f>20+200+20+200+40</f>
        <v>480</v>
      </c>
      <c r="DS140" s="32">
        <f>COUNTIF(DX140, "*")+COUNTIF(AO140, "*")+COUNTIF(AJ140, "*")+COUNTIF(AA140, "*")+COUNTIF(EY140, "*")+COUNTIF(FE140, "*")+COUNTIF(FK140, "*")+COUNTIF(FO140, "*")+COUNTIF(FV140, "*")+COUNTIF(AT140, "*")+COUNTIF(GF140, "*")+COUNTIF(GP140, "*")+COUNTIF(HA140, "*")+COUNTIF(HI140, "*")+COUNTIF(HQ140, "*")+COUNTIF(HY140, "*")+COUNTIF(IG140, "*")</f>
        <v>3</v>
      </c>
      <c r="DT140" s="14">
        <f>0.6+DS140*7.45</f>
        <v>22.950000000000003</v>
      </c>
      <c r="DU140" s="4">
        <v>250</v>
      </c>
      <c r="DV140" s="4">
        <v>36.76</v>
      </c>
      <c r="DW140" s="4"/>
      <c r="DX140" s="4"/>
      <c r="DZ140" s="4"/>
      <c r="EA140" s="14">
        <f>SUM(DV140:DZ140)</f>
        <v>36.76</v>
      </c>
      <c r="EB140" s="14">
        <f ca="1">SUM(DP140,DR140,EA140, DU140, DT140,GB140)</f>
        <v>1651.0924999999997</v>
      </c>
      <c r="EC140" s="24" t="s">
        <v>3879</v>
      </c>
      <c r="ED140" s="130">
        <v>10.01</v>
      </c>
      <c r="EE140" s="14">
        <v>45200</v>
      </c>
      <c r="EF140" s="14">
        <v>10300</v>
      </c>
      <c r="EG140" s="14">
        <v>55500</v>
      </c>
      <c r="EH140" s="14">
        <v>56200</v>
      </c>
      <c r="EI140" s="14">
        <v>10200</v>
      </c>
      <c r="EJ140" s="14">
        <f>SUM(EH140+EI140)</f>
        <v>66400</v>
      </c>
      <c r="EK140" t="s">
        <v>4737</v>
      </c>
      <c r="EL140" t="s">
        <v>4744</v>
      </c>
      <c r="EM140" t="s">
        <v>4745</v>
      </c>
      <c r="EN140" t="s">
        <v>4746</v>
      </c>
      <c r="GC140" s="18" t="s">
        <v>3595</v>
      </c>
      <c r="GD140" s="18" t="s">
        <v>1813</v>
      </c>
      <c r="GE140" s="18" t="s">
        <v>1812</v>
      </c>
      <c r="GF140" s="18" t="s">
        <v>799</v>
      </c>
      <c r="GG140" s="18" t="s">
        <v>800</v>
      </c>
      <c r="GH140" s="18" t="s">
        <v>285</v>
      </c>
      <c r="GI140" s="27">
        <v>43811</v>
      </c>
      <c r="GJ140" s="18" t="s">
        <v>4747</v>
      </c>
      <c r="GK140" s="18" t="s">
        <v>2316</v>
      </c>
      <c r="GL140" t="s">
        <v>4748</v>
      </c>
      <c r="GM140" t="s">
        <v>2318</v>
      </c>
      <c r="GN140" t="s">
        <v>859</v>
      </c>
      <c r="GO140" t="s">
        <v>4749</v>
      </c>
      <c r="GP140" t="s">
        <v>1764</v>
      </c>
      <c r="GR140" t="s">
        <v>1826</v>
      </c>
      <c r="GS140" t="s">
        <v>544</v>
      </c>
      <c r="GT140" s="9">
        <v>40414</v>
      </c>
      <c r="GU140" t="s">
        <v>4750</v>
      </c>
      <c r="IM140" s="9"/>
      <c r="IX140" s="14">
        <f ca="1">SUM(IN140-EB140-GB140-IV140)</f>
        <v>-1651.0924999999997</v>
      </c>
      <c r="IY140" s="9"/>
      <c r="IZ140" s="9"/>
      <c r="JA140" s="9"/>
      <c r="JB140" s="9"/>
      <c r="JC140" s="9"/>
    </row>
    <row r="141" spans="1:263" ht="15" customHeight="1">
      <c r="A141" s="2">
        <v>102024163</v>
      </c>
      <c r="B141" t="s">
        <v>5546</v>
      </c>
      <c r="D141" s="1"/>
      <c r="E141" s="3"/>
      <c r="G141" s="3"/>
      <c r="J141" t="s">
        <v>253</v>
      </c>
      <c r="K141" t="s">
        <v>3238</v>
      </c>
      <c r="L141" t="s">
        <v>5547</v>
      </c>
      <c r="M141" t="s">
        <v>426</v>
      </c>
      <c r="O141" s="3" t="s">
        <v>258</v>
      </c>
      <c r="AG141" s="43"/>
      <c r="AJ141" s="18" t="s">
        <v>328</v>
      </c>
      <c r="AK141" s="1"/>
      <c r="AL141" t="s">
        <v>267</v>
      </c>
      <c r="AM141"/>
      <c r="AN141"/>
      <c r="AO141" t="s">
        <v>3237</v>
      </c>
      <c r="AP141" s="1" t="s">
        <v>258</v>
      </c>
      <c r="AQ141" t="s">
        <v>267</v>
      </c>
      <c r="AR141" t="s">
        <v>260</v>
      </c>
      <c r="AS141" s="10"/>
      <c r="AT141" s="10"/>
      <c r="AU141" s="10"/>
      <c r="AV141" s="10"/>
      <c r="AW141" s="10"/>
      <c r="AX141" s="1"/>
      <c r="AY141" s="1"/>
      <c r="AZ141" s="1"/>
      <c r="BA141" s="1"/>
      <c r="BB141" s="1"/>
      <c r="BC141" s="2"/>
      <c r="BD141" s="115">
        <v>45415</v>
      </c>
      <c r="BE141" s="144">
        <v>45441</v>
      </c>
      <c r="BF141" s="2"/>
      <c r="BG141" s="2"/>
      <c r="BH141" s="2"/>
      <c r="BI141" s="2"/>
      <c r="BJ141" s="2"/>
      <c r="BK141" s="2"/>
      <c r="BL141" s="20">
        <f ca="1">SUM(EH141)+220</f>
        <v>921.4688666666666</v>
      </c>
      <c r="BM141" s="22">
        <f ca="1">PMT(10%/12,12,BL141,0,0)</f>
        <v>-81.011752967831413</v>
      </c>
      <c r="BN141" s="22">
        <f ca="1">SUM(BM141*-1)</f>
        <v>81.011752967831413</v>
      </c>
      <c r="BO141" s="14">
        <f>SUM(EP141*0.0052)/12</f>
        <v>14.82</v>
      </c>
      <c r="BP141" s="22">
        <f ca="1">SUM(BN141+BO141)</f>
        <v>95.83175296783142</v>
      </c>
      <c r="BQ141" s="14"/>
      <c r="BR141" s="14">
        <f>SUM(BQ141*0.1)</f>
        <v>0</v>
      </c>
      <c r="BS141" s="14">
        <f ca="1">SUM(BT141*BU141)</f>
        <v>0</v>
      </c>
      <c r="BT141" s="17">
        <f>SUM((BQ141+BR141)*0.00833333333333333)</f>
        <v>0</v>
      </c>
      <c r="BU141" s="23">
        <f ca="1">MONTH(TODAY())+49</f>
        <v>53</v>
      </c>
      <c r="BV141" s="14">
        <f ca="1">SUM(BQ141,BR141,BS141)</f>
        <v>0</v>
      </c>
      <c r="BW141" s="14">
        <v>0</v>
      </c>
      <c r="BX141" s="14">
        <f>SUM(BW141*0.1)</f>
        <v>0</v>
      </c>
      <c r="BY141" s="14">
        <f ca="1">SUM(BZ141*CA141)</f>
        <v>0</v>
      </c>
      <c r="BZ141" s="17">
        <f>SUM((BW141+BX141)*0.00833333333333333)</f>
        <v>0</v>
      </c>
      <c r="CA141" s="23">
        <f ca="1">MONTH(TODAY())+37</f>
        <v>41</v>
      </c>
      <c r="CB141" s="14">
        <f ca="1">SUM(BW141,BX141,BY141)</f>
        <v>0</v>
      </c>
      <c r="CC141" s="14">
        <v>0</v>
      </c>
      <c r="CD141" s="14">
        <f>SUM(CC141*0.1)</f>
        <v>0</v>
      </c>
      <c r="CE141" s="14">
        <f ca="1">SUM(CF141*CG141)</f>
        <v>0</v>
      </c>
      <c r="CF141" s="17">
        <f>SUM((CC141+CD141)*0.00833333333333333)</f>
        <v>0</v>
      </c>
      <c r="CG141" s="23">
        <f ca="1">MONTH(TODAY())+25</f>
        <v>29</v>
      </c>
      <c r="CH141" s="14">
        <f ca="1">SUM(CC141,CD141,CE141)</f>
        <v>0</v>
      </c>
      <c r="CI141" s="14">
        <v>0</v>
      </c>
      <c r="CJ141" s="14">
        <f>SUM(CI141*0.1)</f>
        <v>0</v>
      </c>
      <c r="CK141" s="14">
        <f ca="1">SUM(CL141*CM141)</f>
        <v>0</v>
      </c>
      <c r="CL141" s="17">
        <f>SUM((CI141+CJ141)*0.00833333333333333)</f>
        <v>0</v>
      </c>
      <c r="CM141" s="23">
        <f ca="1">MONTH(TODAY())+17</f>
        <v>21</v>
      </c>
      <c r="CN141" s="23">
        <f ca="1">SUM(CI141,CJ141,CK141)</f>
        <v>0</v>
      </c>
      <c r="CO141" s="14">
        <f>SUM(EM141*0.0052)/2-73</f>
        <v>15.920000000000002</v>
      </c>
      <c r="CP141" s="14">
        <f>SUM(CO141*0.1)</f>
        <v>1.5920000000000003</v>
      </c>
      <c r="CQ141" s="14">
        <f ca="1">SUM(CR141*CS141)</f>
        <v>2.4808666666666657</v>
      </c>
      <c r="CR141" s="17">
        <f>SUM((CO141+CP141)*0.00833333333333333)</f>
        <v>0.14593333333333328</v>
      </c>
      <c r="CS141" s="23">
        <f ca="1">MONTH(TODAY())+13</f>
        <v>17</v>
      </c>
      <c r="CT141" s="23">
        <f ca="1">SUM(CO141,CP141,CQ141)</f>
        <v>19.992866666666664</v>
      </c>
      <c r="CU141" s="14">
        <f>SUM(EP141*0.0045)/2</f>
        <v>76.949999999999989</v>
      </c>
      <c r="CV141" s="14">
        <f>SUM(CU141*0.1)</f>
        <v>7.6949999999999994</v>
      </c>
      <c r="CW141" s="14">
        <f ca="1">SUM(CX141*CY141)</f>
        <v>7.7591249999999947</v>
      </c>
      <c r="CX141" s="17">
        <f>SUM((CU141+CV141)*0.00833333333333333)</f>
        <v>0.70537499999999953</v>
      </c>
      <c r="CY141" s="23">
        <f ca="1">MONTH(TODAY())+7</f>
        <v>11</v>
      </c>
      <c r="CZ141" s="23">
        <f ca="1">SUM(CU141,CV141,CW141)</f>
        <v>92.404124999999979</v>
      </c>
      <c r="DA141" s="14">
        <f>SUM(EP141*0.0045)/2</f>
        <v>76.949999999999989</v>
      </c>
      <c r="DB141" s="14">
        <f>SUM(DA141*0.1)</f>
        <v>7.6949999999999994</v>
      </c>
      <c r="DC141" s="14">
        <f ca="1">SUM(DD141*DE141)</f>
        <v>3.5268749999999978</v>
      </c>
      <c r="DD141" s="17">
        <f>SUM((DA141+DB141)*0.00833333333333333)</f>
        <v>0.70537499999999953</v>
      </c>
      <c r="DE141" s="23">
        <f ca="1">MONTH(TODAY())+1</f>
        <v>5</v>
      </c>
      <c r="DF141" s="14">
        <f ca="1">SUM(DA141,DB141,DC141)</f>
        <v>88.171874999999986</v>
      </c>
      <c r="DG141" s="14">
        <f>SUM(EP141*0.0045)/2</f>
        <v>76.949999999999989</v>
      </c>
      <c r="DH141" s="14">
        <f>0</f>
        <v>0</v>
      </c>
      <c r="DI141" s="14">
        <f>0</f>
        <v>0</v>
      </c>
      <c r="DJ141" s="17">
        <f>SUM((DG141+DH141)*0.00833333333333333)</f>
        <v>0.64124999999999965</v>
      </c>
      <c r="DK141" s="23">
        <f ca="1">MONTH(TODAY())+7</f>
        <v>11</v>
      </c>
      <c r="DL141" s="23">
        <f>SUM(DG141,DH141,DI141)</f>
        <v>76.949999999999989</v>
      </c>
      <c r="DM141" s="14">
        <f>0</f>
        <v>0</v>
      </c>
      <c r="DN141" s="14">
        <f>0</f>
        <v>0</v>
      </c>
      <c r="DO141" s="14">
        <f ca="1">SUM(DP141*DQ141)</f>
        <v>0</v>
      </c>
      <c r="DP141" s="17">
        <f>SUM((DM141+DN141)*0.00833333333333333)</f>
        <v>0</v>
      </c>
      <c r="DQ141" s="23">
        <f ca="1">MONTH(TODAY())+1</f>
        <v>5</v>
      </c>
      <c r="DR141" s="14">
        <f ca="1">SUM(DM141,DN141,DO141)</f>
        <v>0</v>
      </c>
      <c r="DS141" s="14">
        <f>SUM(BQ141, BW141, CC141, CI141,CO141,CU141,DA141,DG141,DM141)</f>
        <v>246.76999999999998</v>
      </c>
      <c r="DT141" s="14">
        <f>SUM(BR141,BX141,CD141, CJ141,CP141,CV141,DB141,DH141,DN141)</f>
        <v>16.981999999999999</v>
      </c>
      <c r="DU141" s="14">
        <f ca="1">SUM(BS141,BY141,CE141, CK141,CQ141,CW141,DC141,DI141,DO141)</f>
        <v>13.766866666666658</v>
      </c>
      <c r="DV141" s="25">
        <f ca="1">SUM(DS141:DU141)</f>
        <v>277.51886666666661</v>
      </c>
      <c r="DW141" s="47">
        <f ca="1">SUM(DV141/EM141)</f>
        <v>8.1145867446393745E-3</v>
      </c>
      <c r="DX141" s="14">
        <f>20+10+200</f>
        <v>230</v>
      </c>
      <c r="DY141" s="32">
        <f>COUNTIF(AO141, "*")+COUNTIF(AJ141, "*")+COUNTIF(AA141, "*")+COUNTIF(FA141, "*")+COUNTIF(FG141, "*")+COUNTIF(FM141, "*")+COUNTIF(FQ141, "*")+COUNTIF(FX141, "*")+COUNTIF(AS141, "*")+COUNTIF(GG141, "*")+COUNTIF(GR141, "*")+COUNTIF(HC141, "*")+COUNTIF(HK141, "*")+COUNTIF(HS141, "*")+COUNTIF(IA141, "*")</f>
        <v>2</v>
      </c>
      <c r="DZ141" s="14">
        <f>1.28+DY141*8</f>
        <v>17.28</v>
      </c>
      <c r="EA141" s="25">
        <v>150</v>
      </c>
      <c r="EB141" s="4">
        <v>26.67</v>
      </c>
      <c r="EC141" s="4"/>
      <c r="ED141" s="4"/>
      <c r="EF141" s="4"/>
      <c r="EG141" s="14">
        <f>SUM(EB141:EF141)</f>
        <v>26.67</v>
      </c>
      <c r="EH141" s="14">
        <f ca="1">SUM(DV141,DX141,EG141, EA141, DZ141,GD141)</f>
        <v>701.4688666666666</v>
      </c>
      <c r="EI141" s="24" t="s">
        <v>4935</v>
      </c>
      <c r="EJ141" s="23">
        <v>9.48</v>
      </c>
      <c r="EK141" s="14">
        <v>34200</v>
      </c>
      <c r="EL141" s="14">
        <v>0</v>
      </c>
      <c r="EM141" s="14">
        <f>SUM(EK141+EL141)</f>
        <v>34200</v>
      </c>
      <c r="EN141" s="14">
        <v>34200</v>
      </c>
      <c r="EO141" s="14">
        <v>0</v>
      </c>
      <c r="EP141" s="14">
        <f>SUM(EN141+EO141)</f>
        <v>34200</v>
      </c>
      <c r="EQ141" t="s">
        <v>5780</v>
      </c>
      <c r="ER141" s="10" t="s">
        <v>5781</v>
      </c>
      <c r="ES141" s="10" t="s">
        <v>5782</v>
      </c>
      <c r="ET141" s="10"/>
      <c r="EU141" s="10"/>
      <c r="EV141" s="10"/>
      <c r="EW141" s="10"/>
      <c r="EX141" s="10"/>
      <c r="GD141" s="4"/>
      <c r="IE141" s="9"/>
      <c r="IN141" s="4"/>
      <c r="IO141" s="4"/>
      <c r="IP141" s="4"/>
      <c r="IQ141" s="9"/>
      <c r="IR141" s="9"/>
      <c r="IS141" s="9"/>
      <c r="IT141" s="9"/>
      <c r="IU141" s="9"/>
    </row>
    <row r="142" spans="1:263" ht="15" customHeight="1">
      <c r="A142" s="19">
        <v>102022163</v>
      </c>
      <c r="B142" t="s">
        <v>2893</v>
      </c>
      <c r="D142" s="1"/>
      <c r="J142" t="s">
        <v>311</v>
      </c>
      <c r="K142" t="s">
        <v>3197</v>
      </c>
      <c r="L142" t="s">
        <v>1053</v>
      </c>
      <c r="M142" t="s">
        <v>357</v>
      </c>
      <c r="AG142" s="248"/>
      <c r="AO142" t="s">
        <v>3198</v>
      </c>
      <c r="AP142" s="1" t="s">
        <v>258</v>
      </c>
      <c r="AQ142" s="3" t="s">
        <v>267</v>
      </c>
      <c r="AR142" s="3" t="s">
        <v>260</v>
      </c>
      <c r="AS142" s="1"/>
      <c r="AT142" s="1"/>
      <c r="AU142" s="1"/>
      <c r="AV142" s="1"/>
      <c r="AW142" s="1"/>
      <c r="AX142" s="2"/>
      <c r="AY142" s="116"/>
      <c r="AZ142" s="115"/>
      <c r="BA142" s="2"/>
      <c r="BB142" s="2"/>
      <c r="BC142" s="2"/>
      <c r="BD142" s="2"/>
      <c r="BE142" s="2"/>
      <c r="BF142" s="2"/>
      <c r="BG142" s="20"/>
      <c r="BH142" s="22"/>
      <c r="BI142" s="22"/>
      <c r="BJ142" s="14"/>
      <c r="BK142" s="22"/>
      <c r="BL142" s="14"/>
      <c r="BM142" s="14"/>
      <c r="BN142" s="14"/>
      <c r="BO142" s="17"/>
      <c r="BP142" s="23"/>
      <c r="BQ142" s="14"/>
      <c r="BR142" s="14"/>
      <c r="BS142" s="14"/>
      <c r="BT142" s="14"/>
      <c r="BU142" s="17"/>
      <c r="BV142" s="23"/>
      <c r="BW142" s="14"/>
      <c r="BX142" s="14"/>
      <c r="BY142" s="14"/>
      <c r="BZ142" s="14"/>
      <c r="CA142" s="17"/>
      <c r="CB142" s="23"/>
      <c r="CC142" s="14"/>
      <c r="CD142" s="14"/>
      <c r="CE142" s="14"/>
      <c r="CF142" s="14"/>
      <c r="CG142" s="17"/>
      <c r="CH142" s="23"/>
      <c r="CI142" s="14"/>
      <c r="CJ142" s="14"/>
      <c r="CK142" s="14"/>
      <c r="CL142" s="14"/>
      <c r="CM142" s="17"/>
      <c r="CN142" s="23"/>
      <c r="CO142" s="14"/>
      <c r="CP142" s="14"/>
      <c r="CQ142" s="14"/>
      <c r="CR142" s="14"/>
      <c r="CS142" s="14"/>
      <c r="CT142" s="47"/>
      <c r="CU142" s="14"/>
      <c r="CV142" s="32"/>
      <c r="CW142" s="14"/>
      <c r="CX142" s="4"/>
      <c r="CY142" s="14"/>
      <c r="CZ142" s="4"/>
      <c r="DE142" s="14"/>
      <c r="DF142" s="24"/>
      <c r="DG142" s="4"/>
      <c r="DH142" s="4"/>
      <c r="DI142" s="25"/>
      <c r="DJ142" s="35">
        <v>5.92</v>
      </c>
      <c r="IC142" s="4"/>
    </row>
    <row r="143" spans="1:263" ht="15" customHeight="1">
      <c r="A143" s="19">
        <v>102023088</v>
      </c>
      <c r="B143" s="18" t="s">
        <v>4300</v>
      </c>
      <c r="D143" s="1"/>
      <c r="E143" s="3"/>
      <c r="F143" s="3"/>
      <c r="J143" s="18" t="s">
        <v>554</v>
      </c>
      <c r="K143" s="18" t="s">
        <v>2051</v>
      </c>
      <c r="L143" s="130" t="s">
        <v>1054</v>
      </c>
      <c r="M143" s="130"/>
      <c r="N143" s="130"/>
      <c r="O143" s="288"/>
      <c r="P143" s="130" t="s">
        <v>2051</v>
      </c>
      <c r="Q143" s="130" t="s">
        <v>3115</v>
      </c>
      <c r="R143" s="130"/>
      <c r="S143" s="130"/>
      <c r="AG143" s="43"/>
      <c r="AJ143" s="18" t="s">
        <v>328</v>
      </c>
      <c r="AL143" s="18" t="s">
        <v>267</v>
      </c>
      <c r="AM143"/>
      <c r="AN143"/>
      <c r="AO143" s="18" t="s">
        <v>4325</v>
      </c>
      <c r="AP143" s="3" t="s">
        <v>258</v>
      </c>
      <c r="AQ143" s="18" t="s">
        <v>267</v>
      </c>
      <c r="AR143" t="s">
        <v>260</v>
      </c>
      <c r="AX143" s="1"/>
      <c r="AY143" s="1"/>
      <c r="AZ143" s="1"/>
      <c r="BA143" s="1"/>
      <c r="BB143" s="1"/>
      <c r="BC143" s="2"/>
      <c r="BD143" s="115"/>
      <c r="BE143" s="115"/>
      <c r="BF143" s="2"/>
      <c r="BG143" s="2"/>
      <c r="BH143" s="2"/>
      <c r="BI143" s="2"/>
      <c r="BJ143" s="2"/>
      <c r="BK143" s="2"/>
      <c r="BL143" s="20">
        <f ca="1">SUM(DP143)+220</f>
        <v>558.31680000000006</v>
      </c>
      <c r="BM143" s="22">
        <f ca="1">PMT(10%/12,12,BL143,0,0)</f>
        <v>-49.084916827419832</v>
      </c>
      <c r="BN143" s="22">
        <f ca="1">SUM(BM143*-1)</f>
        <v>49.084916827419832</v>
      </c>
      <c r="BO143" s="14">
        <f>SUM(DX143*0.0052)/12</f>
        <v>10.92</v>
      </c>
      <c r="BP143" s="22">
        <f ca="1">SUM(BN143+BO143)</f>
        <v>60.004916827419834</v>
      </c>
      <c r="BQ143" s="14"/>
      <c r="BR143" s="14">
        <f>SUM(BQ143*0.1)</f>
        <v>0</v>
      </c>
      <c r="BS143" s="14">
        <f ca="1">SUM(BT143*BU143)</f>
        <v>0</v>
      </c>
      <c r="BT143" s="17">
        <f>SUM((BQ143+BR143)*0.00833333333333333)</f>
        <v>0</v>
      </c>
      <c r="BU143" s="23">
        <f ca="1">MONTH(TODAY())+49</f>
        <v>53</v>
      </c>
      <c r="BV143" s="14">
        <f ca="1">SUM(BQ143,BR143,BS143)</f>
        <v>0</v>
      </c>
      <c r="BW143" s="14"/>
      <c r="BX143" s="14">
        <f>SUM(BW143*0.1)</f>
        <v>0</v>
      </c>
      <c r="BY143" s="14">
        <f ca="1">SUM(BZ143*CA143)</f>
        <v>0</v>
      </c>
      <c r="BZ143" s="17">
        <f>SUM((BW143+BX143)*0.00833333333333333)</f>
        <v>0</v>
      </c>
      <c r="CA143" s="23">
        <f ca="1">MONTH(TODAY())+37</f>
        <v>41</v>
      </c>
      <c r="CB143" s="14">
        <f ca="1">SUM(BW143,BX143,BY143)</f>
        <v>0</v>
      </c>
      <c r="CC143" s="14">
        <v>0</v>
      </c>
      <c r="CD143" s="14">
        <f>SUM(CC143*0.1)</f>
        <v>0</v>
      </c>
      <c r="CE143" s="14">
        <f ca="1">SUM(CF143*CG143)</f>
        <v>0</v>
      </c>
      <c r="CF143" s="17">
        <f>SUM((CC143+CD143)*0.00833333333333333)</f>
        <v>0</v>
      </c>
      <c r="CG143" s="23">
        <f ca="1">MONTH(TODAY())+25</f>
        <v>29</v>
      </c>
      <c r="CH143" s="14">
        <f ca="1">SUM(CC143,CD143,CE143)</f>
        <v>0</v>
      </c>
      <c r="CI143" s="14">
        <f>SUM(DU143*0.0052)</f>
        <v>131.04</v>
      </c>
      <c r="CJ143" s="14">
        <f>SUM(CI143*0.1)</f>
        <v>13.103999999999999</v>
      </c>
      <c r="CK143" s="14">
        <f ca="1">SUM(CL143*CM143)</f>
        <v>20.420399999999994</v>
      </c>
      <c r="CL143" s="17">
        <f>SUM((CI143+CJ143)*0.00833333333333333)</f>
        <v>1.2011999999999996</v>
      </c>
      <c r="CM143" s="23">
        <f ca="1">MONTH(TODAY())+13</f>
        <v>17</v>
      </c>
      <c r="CN143" s="14">
        <f ca="1">SUM(CI143,CJ143,CK143)</f>
        <v>164.56440000000001</v>
      </c>
      <c r="CO143" s="14">
        <f>SUM(DU143*0.0052)/2</f>
        <v>65.52</v>
      </c>
      <c r="CP143" s="14">
        <f>SUM(CO143*0.1)</f>
        <v>6.5519999999999996</v>
      </c>
      <c r="CQ143" s="14">
        <f ca="1">SUM(CR143*CS143)</f>
        <v>5.4053999999999984</v>
      </c>
      <c r="CR143" s="17">
        <f>SUM((CO143+CP143)*0.00833333333333333)</f>
        <v>0.6005999999999998</v>
      </c>
      <c r="CS143" s="23">
        <f ca="1">MONTH(TODAY())+5</f>
        <v>9</v>
      </c>
      <c r="CT143" s="23">
        <f ca="1">SUM(CO143,CP143,CQ143)</f>
        <v>77.477400000000003</v>
      </c>
      <c r="CU143" s="14">
        <f>SUM(DU143*0.0052)/2</f>
        <v>65.52</v>
      </c>
      <c r="CV143" s="14">
        <f>SUM(CU143*0.1)</f>
        <v>6.5519999999999996</v>
      </c>
      <c r="CW143" s="14">
        <f ca="1">SUM(CX143*CY143)</f>
        <v>3.0029999999999992</v>
      </c>
      <c r="CX143" s="17">
        <f>SUM((CU143+CV143)*0.00833333333333333)</f>
        <v>0.6005999999999998</v>
      </c>
      <c r="CY143" s="23">
        <f ca="1">MONTH(TODAY())+1</f>
        <v>5</v>
      </c>
      <c r="CZ143" s="23">
        <f ca="1">SUM(CU143,CV143,CW143)</f>
        <v>75.075000000000003</v>
      </c>
      <c r="DA143" s="14">
        <f>SUM( BQ143, BW143, CC143, CI143, CO143,CU143)</f>
        <v>262.08</v>
      </c>
      <c r="DB143" s="14">
        <f>SUM(BR143,BX143,CD143,CJ143, CP143,CV143)</f>
        <v>26.207999999999998</v>
      </c>
      <c r="DC143" s="14">
        <f ca="1">SUM(BS143,BY143,CE143,CK143, CQ143,CW143)</f>
        <v>28.828799999999994</v>
      </c>
      <c r="DD143" s="25">
        <f ca="1">SUM(DA143:DC143)</f>
        <v>317.11680000000001</v>
      </c>
      <c r="DE143" s="47">
        <f ca="1">SUM(DD143/DU143)</f>
        <v>1.2584E-2</v>
      </c>
      <c r="DF143" s="14">
        <v>20</v>
      </c>
      <c r="DG143" s="32">
        <f>COUNTIF(DL143, "*")+COUNTIF(AO143, "*")+COUNTIF(AJ143, "*")+COUNTIF(AA143, "*")+COUNTIF(EM143, "*")+COUNTIF(ES143, "*")+COUNTIF(EY143, "*")+COUNTIF(FC143, "*")+COUNTIF(FJ143, "*")+COUNTIF(AT143, "*")+COUNTIF(FS143, "*")+COUNTIF(GD143, "*")+COUNTIF(GO143, "*")+COUNTIF(GW143, "*")+COUNTIF(HE143, "*")+COUNTIF(HM143, "*")+COUNTIF(HU143, "*")</f>
        <v>2</v>
      </c>
      <c r="DH143" s="14">
        <f>DG143*0.6</f>
        <v>1.2</v>
      </c>
      <c r="DI143" s="4"/>
      <c r="DJ143" s="4"/>
      <c r="DK143" s="4"/>
      <c r="DL143" s="4"/>
      <c r="DN143" s="4"/>
      <c r="DO143" s="14">
        <f>SUM(DJ143:DN143)</f>
        <v>0</v>
      </c>
      <c r="DP143" s="14">
        <f ca="1">SUM(DD143,DF143,DO143, DI143, DH143,FP143)</f>
        <v>338.3168</v>
      </c>
      <c r="DQ143" s="24" t="s">
        <v>3879</v>
      </c>
      <c r="DR143" s="130">
        <v>2.5</v>
      </c>
      <c r="DS143" s="14">
        <v>25200</v>
      </c>
      <c r="DT143" s="14">
        <v>0</v>
      </c>
      <c r="DU143" s="14">
        <v>25200</v>
      </c>
      <c r="DV143" s="14">
        <v>25200</v>
      </c>
      <c r="DW143" s="14">
        <v>0</v>
      </c>
      <c r="DX143" s="14">
        <f>SUM(DV143+DW143)</f>
        <v>25200</v>
      </c>
      <c r="FG143" s="9"/>
      <c r="FN143" s="9"/>
      <c r="IA143" s="9"/>
      <c r="IL143" s="14">
        <f ca="1">SUM(IB143-DP143-FP143-IJ143)</f>
        <v>-338.3168</v>
      </c>
      <c r="IM143" s="9"/>
      <c r="IN143" s="9"/>
      <c r="IO143" s="9"/>
      <c r="IP143" s="9"/>
      <c r="IQ143" s="9"/>
    </row>
    <row r="144" spans="1:263" s="18" customFormat="1" ht="15" customHeight="1">
      <c r="A144" s="2">
        <v>102024165</v>
      </c>
      <c r="B144" t="s">
        <v>5551</v>
      </c>
      <c r="C144"/>
      <c r="D144" s="1"/>
      <c r="E144" s="3"/>
      <c r="F144"/>
      <c r="G144" s="3"/>
      <c r="H144"/>
      <c r="I144"/>
      <c r="J144" t="s">
        <v>311</v>
      </c>
      <c r="K144" t="s">
        <v>1009</v>
      </c>
      <c r="L144" t="s">
        <v>960</v>
      </c>
      <c r="M144"/>
      <c r="N144"/>
      <c r="O144" s="3"/>
      <c r="P144"/>
      <c r="Q144"/>
      <c r="R144"/>
      <c r="S144"/>
      <c r="T144"/>
      <c r="U144"/>
      <c r="V144"/>
      <c r="W144"/>
      <c r="X144"/>
      <c r="Y144"/>
      <c r="Z144"/>
      <c r="AA144"/>
      <c r="AB144"/>
      <c r="AC144"/>
      <c r="AD144"/>
      <c r="AE144"/>
      <c r="AF144"/>
      <c r="AG144" s="43"/>
      <c r="AH144"/>
      <c r="AI144"/>
      <c r="AJ144"/>
      <c r="AK144" s="1"/>
      <c r="AL144"/>
      <c r="AM144"/>
      <c r="AN144"/>
      <c r="AO144" t="s">
        <v>5552</v>
      </c>
      <c r="AP144" s="1" t="s">
        <v>258</v>
      </c>
      <c r="AQ144" s="18" t="s">
        <v>267</v>
      </c>
      <c r="AR144" t="s">
        <v>260</v>
      </c>
      <c r="AS144" s="10"/>
      <c r="AT144" s="10"/>
      <c r="AU144" s="10"/>
      <c r="AV144" s="10"/>
      <c r="AW144" s="10"/>
      <c r="AX144" s="1"/>
      <c r="AY144" s="1"/>
      <c r="AZ144" s="1"/>
      <c r="BA144" s="1"/>
      <c r="BB144" s="1"/>
      <c r="BC144" s="2"/>
      <c r="BD144" s="115">
        <v>45415</v>
      </c>
      <c r="BE144" s="144">
        <v>45441</v>
      </c>
      <c r="BF144" s="2"/>
      <c r="BG144" s="2"/>
      <c r="BH144" s="2"/>
      <c r="BI144" s="2"/>
      <c r="BJ144" s="2"/>
      <c r="BK144" s="2"/>
      <c r="BL144" s="20">
        <f ca="1">SUM(EH144)+220</f>
        <v>902.59061666666662</v>
      </c>
      <c r="BM144" s="22">
        <f ca="1">PMT(10%/12,12,BL144,0,0)</f>
        <v>-79.352054869731489</v>
      </c>
      <c r="BN144" s="22">
        <f ca="1">SUM(BM144*-1)</f>
        <v>79.352054869731489</v>
      </c>
      <c r="BO144" s="14">
        <f>SUM(EP144*0.0052)/12</f>
        <v>10.703333333333333</v>
      </c>
      <c r="BP144" s="22">
        <f ca="1">SUM(BN144+BO144)</f>
        <v>90.055388203064823</v>
      </c>
      <c r="BQ144" s="14"/>
      <c r="BR144" s="14">
        <f>SUM(BQ144*0.1)</f>
        <v>0</v>
      </c>
      <c r="BS144" s="14">
        <f ca="1">SUM(BT144*BU144)</f>
        <v>0</v>
      </c>
      <c r="BT144" s="17">
        <f>SUM((BQ144+BR144)*0.00833333333333333)</f>
        <v>0</v>
      </c>
      <c r="BU144" s="23">
        <f ca="1">MONTH(TODAY())+49</f>
        <v>53</v>
      </c>
      <c r="BV144" s="14">
        <f ca="1">SUM(BQ144,BR144,BS144)</f>
        <v>0</v>
      </c>
      <c r="BW144" s="14">
        <v>0</v>
      </c>
      <c r="BX144" s="14">
        <f>SUM(BW144*0.1)</f>
        <v>0</v>
      </c>
      <c r="BY144" s="14">
        <f ca="1">SUM(BZ144*CA144)</f>
        <v>0</v>
      </c>
      <c r="BZ144" s="17">
        <f>SUM((BW144+BX144)*0.00833333333333333)</f>
        <v>0</v>
      </c>
      <c r="CA144" s="23">
        <f ca="1">MONTH(TODAY())+37</f>
        <v>41</v>
      </c>
      <c r="CB144" s="14">
        <f ca="1">SUM(BW144,BX144,BY144)</f>
        <v>0</v>
      </c>
      <c r="CC144" s="14">
        <v>0</v>
      </c>
      <c r="CD144" s="14">
        <f>SUM(CC144*0.1)</f>
        <v>0</v>
      </c>
      <c r="CE144" s="14">
        <f ca="1">SUM(CF144*CG144)</f>
        <v>0</v>
      </c>
      <c r="CF144" s="17">
        <f>SUM((CC144+CD144)*0.00833333333333333)</f>
        <v>0</v>
      </c>
      <c r="CG144" s="23">
        <f ca="1">MONTH(TODAY())+25</f>
        <v>29</v>
      </c>
      <c r="CH144" s="14">
        <f ca="1">SUM(CC144,CD144,CE144)</f>
        <v>0</v>
      </c>
      <c r="CI144" s="14">
        <v>0</v>
      </c>
      <c r="CJ144" s="14">
        <f>SUM(CI144*0.1)</f>
        <v>0</v>
      </c>
      <c r="CK144" s="14">
        <f ca="1">SUM(CL144*CM144)</f>
        <v>0</v>
      </c>
      <c r="CL144" s="17">
        <f>SUM((CI144+CJ144)*0.00833333333333333)</f>
        <v>0</v>
      </c>
      <c r="CM144" s="23">
        <f ca="1">MONTH(TODAY())+17</f>
        <v>21</v>
      </c>
      <c r="CN144" s="23">
        <f ca="1">SUM(CI144,CJ144,CK144)</f>
        <v>0</v>
      </c>
      <c r="CO144" s="14">
        <f>SUM(EM144*0.0052)/2</f>
        <v>64.22</v>
      </c>
      <c r="CP144" s="14">
        <f>SUM(CO144*0.1)</f>
        <v>6.4220000000000006</v>
      </c>
      <c r="CQ144" s="14">
        <f ca="1">SUM(CR144*CS144)</f>
        <v>10.00761666666666</v>
      </c>
      <c r="CR144" s="17">
        <f>SUM((CO144+CP144)*0.00833333333333333)</f>
        <v>0.588683333333333</v>
      </c>
      <c r="CS144" s="23">
        <f ca="1">MONTH(TODAY())+13</f>
        <v>17</v>
      </c>
      <c r="CT144" s="23">
        <f ca="1">SUM(CO144,CP144,CQ144)</f>
        <v>80.64961666666666</v>
      </c>
      <c r="CU144" s="14">
        <f>SUM(EP144*0.0045)/2</f>
        <v>55.574999999999996</v>
      </c>
      <c r="CV144" s="14">
        <f>SUM(CU144*0.1)</f>
        <v>5.5575000000000001</v>
      </c>
      <c r="CW144" s="14">
        <f ca="1">SUM(CX144*CY144)</f>
        <v>5.6038124999999974</v>
      </c>
      <c r="CX144" s="17">
        <f>SUM((CU144+CV144)*0.00833333333333333)</f>
        <v>0.50943749999999977</v>
      </c>
      <c r="CY144" s="23">
        <f ca="1">MONTH(TODAY())+7</f>
        <v>11</v>
      </c>
      <c r="CZ144" s="23">
        <f ca="1">SUM(CU144,CV144,CW144)</f>
        <v>66.736312499999997</v>
      </c>
      <c r="DA144" s="14">
        <f>SUM(EP144*0.0045)/2</f>
        <v>55.574999999999996</v>
      </c>
      <c r="DB144" s="14">
        <f>SUM(DA144*0.1)</f>
        <v>5.5575000000000001</v>
      </c>
      <c r="DC144" s="14">
        <f ca="1">SUM(DD144*DE144)</f>
        <v>2.5471874999999988</v>
      </c>
      <c r="DD144" s="17">
        <f>SUM((DA144+DB144)*0.00833333333333333)</f>
        <v>0.50943749999999977</v>
      </c>
      <c r="DE144" s="23">
        <f ca="1">MONTH(TODAY())+1</f>
        <v>5</v>
      </c>
      <c r="DF144" s="14">
        <f ca="1">SUM(DA144,DB144,DC144)</f>
        <v>63.679687499999993</v>
      </c>
      <c r="DG144" s="14">
        <f>SUM(EP144*0.0045)/2</f>
        <v>55.574999999999996</v>
      </c>
      <c r="DH144" s="14">
        <f>0</f>
        <v>0</v>
      </c>
      <c r="DI144" s="14">
        <f>0</f>
        <v>0</v>
      </c>
      <c r="DJ144" s="17">
        <f>SUM((DG144+DH144)*0.00833333333333333)</f>
        <v>0.46312499999999979</v>
      </c>
      <c r="DK144" s="23">
        <f ca="1">MONTH(TODAY())+7</f>
        <v>11</v>
      </c>
      <c r="DL144" s="23">
        <f>SUM(DG144,DH144,DI144)</f>
        <v>55.574999999999996</v>
      </c>
      <c r="DM144" s="14">
        <f>0</f>
        <v>0</v>
      </c>
      <c r="DN144" s="14">
        <f>0</f>
        <v>0</v>
      </c>
      <c r="DO144" s="14">
        <f ca="1">SUM(DP144*DQ144)</f>
        <v>0</v>
      </c>
      <c r="DP144" s="17">
        <f>SUM((DM144+DN144)*0.00833333333333333)</f>
        <v>0</v>
      </c>
      <c r="DQ144" s="23">
        <f ca="1">MONTH(TODAY())+1</f>
        <v>5</v>
      </c>
      <c r="DR144" s="14">
        <f ca="1">SUM(DM144,DN144,DO144)</f>
        <v>0</v>
      </c>
      <c r="DS144" s="14">
        <f>SUM(BQ144, BW144, CC144, CI144,CO144,CU144,DA144,DG144,DM144)</f>
        <v>230.94499999999996</v>
      </c>
      <c r="DT144" s="14">
        <f>SUM(BR144,BX144,CD144, CJ144,CP144,CV144,DB144,DH144,DN144)</f>
        <v>17.537000000000003</v>
      </c>
      <c r="DU144" s="14">
        <f ca="1">SUM(BS144,BY144,CE144, CK144,CQ144,CW144,DC144,DI144,DO144)</f>
        <v>18.158616666666656</v>
      </c>
      <c r="DV144" s="25">
        <f ca="1">SUM(DS144:DU144)</f>
        <v>266.64061666666663</v>
      </c>
      <c r="DW144" s="47">
        <f ca="1">SUM(DV144/EM144)</f>
        <v>1.0795166666666665E-2</v>
      </c>
      <c r="DX144" s="14">
        <f>20+10+200</f>
        <v>230</v>
      </c>
      <c r="DY144" s="32">
        <f>COUNTIF(AO144, "*")+COUNTIF(AJ144, "*")+COUNTIF(AA144, "*")+COUNTIF(FA144, "*")+COUNTIF(FG144, "*")+COUNTIF(FM144, "*")+COUNTIF(FQ144, "*")+COUNTIF(FX144, "*")+COUNTIF(AS144, "*")+COUNTIF(GG144, "*")+COUNTIF(GR144, "*")+COUNTIF(HC144, "*")+COUNTIF(HK144, "*")+COUNTIF(HS144, "*")+COUNTIF(IA144, "*")</f>
        <v>1</v>
      </c>
      <c r="DZ144" s="14">
        <f>1.28+DY144*8</f>
        <v>9.2799999999999994</v>
      </c>
      <c r="EA144" s="25">
        <v>150</v>
      </c>
      <c r="EB144" s="4">
        <v>26.67</v>
      </c>
      <c r="EC144" s="4"/>
      <c r="ED144" s="4"/>
      <c r="EE144"/>
      <c r="EF144" s="4"/>
      <c r="EG144" s="14">
        <f>SUM(EB144:EF144)</f>
        <v>26.67</v>
      </c>
      <c r="EH144" s="14">
        <f ca="1">SUM(DV144,DX144,EG144, EA144, DZ144,GD144)</f>
        <v>682.59061666666662</v>
      </c>
      <c r="EI144" s="24" t="s">
        <v>4935</v>
      </c>
      <c r="EJ144" s="23">
        <v>0.71</v>
      </c>
      <c r="EK144" s="14">
        <v>18700</v>
      </c>
      <c r="EL144" s="14">
        <v>6000</v>
      </c>
      <c r="EM144" s="14">
        <f>SUM(EK144+EL144)</f>
        <v>24700</v>
      </c>
      <c r="EN144" s="14">
        <v>18700</v>
      </c>
      <c r="EO144" s="14">
        <v>6000</v>
      </c>
      <c r="EP144" s="14">
        <f>SUM(EN144+EO144)</f>
        <v>24700</v>
      </c>
      <c r="EQ144" s="10" t="s">
        <v>5783</v>
      </c>
      <c r="ER144" s="10" t="s">
        <v>5784</v>
      </c>
      <c r="ES144" s="10"/>
      <c r="ET144" s="10"/>
      <c r="EU144" s="10"/>
      <c r="EV144" s="10"/>
      <c r="EW144" s="10"/>
      <c r="EX144" s="10"/>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s="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s="9"/>
      <c r="IF144"/>
      <c r="IG144"/>
      <c r="IH144"/>
      <c r="II144"/>
      <c r="IJ144"/>
      <c r="IK144"/>
      <c r="IL144"/>
      <c r="IM144"/>
      <c r="IN144" s="4"/>
      <c r="IO144" s="4"/>
      <c r="IP144" s="4"/>
      <c r="IQ144" s="9"/>
      <c r="IR144" s="9"/>
      <c r="IS144" s="9"/>
      <c r="IT144" s="9"/>
      <c r="IU144" s="9"/>
      <c r="IV144"/>
      <c r="IW144"/>
      <c r="IX144"/>
      <c r="IY144"/>
      <c r="IZ144"/>
      <c r="JA144"/>
      <c r="JB144"/>
      <c r="JC144"/>
    </row>
    <row r="145" spans="1:263" ht="15" customHeight="1">
      <c r="A145" s="2">
        <v>102019058</v>
      </c>
      <c r="B145" s="4" t="s">
        <v>1383</v>
      </c>
      <c r="D145" s="3"/>
      <c r="E145" s="3"/>
      <c r="K145" t="s">
        <v>1384</v>
      </c>
      <c r="O145" s="1"/>
      <c r="T145" s="1"/>
      <c r="AD145" s="3"/>
      <c r="AG145" s="272"/>
      <c r="AJ145" s="11"/>
      <c r="AK145" s="11"/>
      <c r="AO145" s="4"/>
      <c r="AP145" s="5"/>
      <c r="AQ145" s="34"/>
      <c r="AR145" s="34"/>
      <c r="AS145" s="29"/>
      <c r="AT145" s="1"/>
      <c r="AU145" s="1"/>
      <c r="AV145" s="1"/>
      <c r="AW145" s="1"/>
      <c r="AX145" s="1"/>
      <c r="AY145" s="15"/>
      <c r="AZ145" s="15"/>
      <c r="BA145" s="1"/>
      <c r="BB145" s="1"/>
      <c r="BC145" s="1"/>
      <c r="BD145" s="1"/>
      <c r="BE145" s="1"/>
      <c r="BF145" s="1"/>
      <c r="BG145" s="5"/>
      <c r="BH145" s="16"/>
      <c r="BI145" s="16"/>
      <c r="BJ145" s="4"/>
      <c r="BK145" s="4"/>
      <c r="BL145" s="4"/>
      <c r="BM145" s="6"/>
      <c r="BN145" s="7"/>
      <c r="BO145" s="4"/>
      <c r="BP145" s="4"/>
      <c r="BQ145" s="4"/>
      <c r="BR145" s="4"/>
      <c r="BS145" s="6"/>
      <c r="BT145" s="7"/>
      <c r="BU145" s="4"/>
      <c r="BV145" s="4"/>
      <c r="BW145" s="4"/>
      <c r="BX145" s="4"/>
      <c r="BY145" s="6"/>
      <c r="BZ145" s="7"/>
      <c r="CA145" s="4"/>
      <c r="CB145" s="4"/>
      <c r="CC145" s="4"/>
      <c r="CD145" s="4"/>
      <c r="CE145" s="6"/>
      <c r="CF145" s="7"/>
      <c r="CG145" s="4"/>
      <c r="CH145" s="4"/>
      <c r="CI145" s="4"/>
      <c r="CJ145" s="4"/>
      <c r="CK145" s="6"/>
      <c r="CL145" s="7"/>
      <c r="CM145" s="4"/>
      <c r="CN145" s="4"/>
      <c r="CO145" s="4"/>
      <c r="CP145" s="4"/>
      <c r="CQ145" s="6"/>
      <c r="CR145" s="7"/>
      <c r="CS145" s="4"/>
      <c r="CT145" s="4"/>
      <c r="CU145" s="4"/>
      <c r="CV145" s="4"/>
      <c r="CW145" s="6"/>
      <c r="CX145" s="7"/>
      <c r="CY145" s="4"/>
      <c r="CZ145" s="4"/>
      <c r="DA145" s="4"/>
      <c r="DB145" s="4"/>
      <c r="DC145" s="4"/>
      <c r="DE145" s="4"/>
      <c r="DF145" s="234"/>
      <c r="DG145" s="4"/>
      <c r="DH145" s="4"/>
      <c r="DI145" s="4"/>
      <c r="DJ145" s="3"/>
      <c r="DK145" s="3"/>
      <c r="DL145" s="3"/>
      <c r="DM145" s="3"/>
      <c r="DN145" s="8"/>
      <c r="DO145" s="4"/>
      <c r="DP145" s="8"/>
      <c r="DQ145" s="8"/>
      <c r="DR145" s="8"/>
      <c r="DS145" s="35"/>
      <c r="DT145" s="4"/>
      <c r="DU145" s="4"/>
      <c r="DV145" s="4"/>
      <c r="DW145" s="4"/>
      <c r="DX145" s="4"/>
      <c r="DY145" s="4"/>
      <c r="DZ145" s="4"/>
      <c r="EA145" s="4"/>
      <c r="EB145" s="4"/>
      <c r="EC145" s="4"/>
      <c r="ED145" s="4"/>
      <c r="EE145" s="4"/>
      <c r="FB145" s="9"/>
      <c r="FC145" s="10"/>
      <c r="FJ145" s="10"/>
      <c r="FK145" s="9"/>
      <c r="FQ145" s="4"/>
      <c r="FX145" s="9"/>
      <c r="IC145" s="4"/>
      <c r="ID145" s="4"/>
      <c r="IE145" s="9"/>
      <c r="IL145" s="18"/>
      <c r="IM145" s="18"/>
      <c r="IN145" s="14"/>
      <c r="IO145" s="14"/>
      <c r="IP145" s="27">
        <v>43774</v>
      </c>
      <c r="IQ145" s="27">
        <v>43789</v>
      </c>
      <c r="IR145" s="18"/>
      <c r="IS145" s="18"/>
      <c r="IT145" s="18"/>
      <c r="IU145" s="240"/>
      <c r="IV145" s="240"/>
    </row>
    <row r="146" spans="1:263" s="18" customFormat="1" ht="15" customHeight="1">
      <c r="A146" s="19">
        <v>102021039</v>
      </c>
      <c r="B146" s="18" t="s">
        <v>2049</v>
      </c>
      <c r="D146" s="13"/>
      <c r="E146" s="24"/>
      <c r="F146" s="24"/>
      <c r="G146" s="18">
        <v>210001167</v>
      </c>
      <c r="J146" s="18" t="s">
        <v>253</v>
      </c>
      <c r="K146" s="18" t="s">
        <v>941</v>
      </c>
      <c r="L146" s="18" t="s">
        <v>764</v>
      </c>
      <c r="AD146" s="18" t="s">
        <v>2242</v>
      </c>
      <c r="AE146" s="18" t="s">
        <v>311</v>
      </c>
      <c r="AF146" s="18" t="s">
        <v>941</v>
      </c>
      <c r="AG146" s="26" t="s">
        <v>2243</v>
      </c>
      <c r="AH146" s="18" t="s">
        <v>2159</v>
      </c>
      <c r="AI146" s="18" t="s">
        <v>267</v>
      </c>
      <c r="AJ146" s="18" t="s">
        <v>2159</v>
      </c>
      <c r="AK146" s="18" t="s">
        <v>258</v>
      </c>
      <c r="AL146" s="18" t="s">
        <v>267</v>
      </c>
      <c r="AM146" s="18" t="s">
        <v>260</v>
      </c>
      <c r="AO146" s="24" t="s">
        <v>2160</v>
      </c>
      <c r="AP146" s="24" t="s">
        <v>258</v>
      </c>
      <c r="AQ146" s="18" t="s">
        <v>2161</v>
      </c>
      <c r="AS146" s="13"/>
      <c r="AT146" s="13"/>
      <c r="AU146" s="13" t="s">
        <v>258</v>
      </c>
      <c r="AV146" s="13" t="s">
        <v>258</v>
      </c>
      <c r="AW146" s="13" t="s">
        <v>258</v>
      </c>
      <c r="AX146" s="48">
        <v>44728</v>
      </c>
      <c r="AY146" s="114">
        <v>44696</v>
      </c>
      <c r="AZ146" s="114">
        <v>44686</v>
      </c>
      <c r="BA146" s="70">
        <v>44799</v>
      </c>
      <c r="BB146" s="19" t="s">
        <v>318</v>
      </c>
      <c r="BC146" s="48">
        <v>44785</v>
      </c>
      <c r="BD146" s="48">
        <v>44792</v>
      </c>
      <c r="BE146" s="19"/>
      <c r="BF146" s="19"/>
      <c r="BG146" s="20">
        <f ca="1">SUM(CZ146)+214.5</f>
        <v>2754.4845333333333</v>
      </c>
      <c r="BH146" s="22">
        <f ca="1">PMT(10%/12,12,BG146,0,0)</f>
        <v>-242.16295160933893</v>
      </c>
      <c r="BI146" s="22">
        <f ca="1">SUM(BH146*-1)</f>
        <v>242.16295160933893</v>
      </c>
      <c r="BJ146" s="14">
        <f>SUM(DJ146*0.0052)/12</f>
        <v>43.723333333333329</v>
      </c>
      <c r="BK146" s="22">
        <f ca="1">SUM(BI146+BJ146)</f>
        <v>285.88628494267226</v>
      </c>
      <c r="BL146" s="14"/>
      <c r="BM146" s="14">
        <f>SUM(BL146*0.1)</f>
        <v>0</v>
      </c>
      <c r="BN146" s="14">
        <f ca="1">SUM(BO146*BP146)</f>
        <v>0</v>
      </c>
      <c r="BO146" s="17">
        <f>SUM((BL146+BM146)*0.00833333333333333)</f>
        <v>0</v>
      </c>
      <c r="BP146" s="23">
        <f ca="1">MONTH(TODAY())+49</f>
        <v>53</v>
      </c>
      <c r="BQ146" s="14">
        <f ca="1">SUM(BL146,BM146,BN146)</f>
        <v>0</v>
      </c>
      <c r="BR146" s="14">
        <v>0</v>
      </c>
      <c r="BS146" s="14">
        <f>SUM(BR146*0.1)</f>
        <v>0</v>
      </c>
      <c r="BT146" s="14">
        <f ca="1">SUM(BU146*BV146)</f>
        <v>0</v>
      </c>
      <c r="BU146" s="17">
        <f>SUM((BR146+BS146)*0.00833333333333333)</f>
        <v>0</v>
      </c>
      <c r="BV146" s="23">
        <f ca="1">MONTH(TODAY())+37</f>
        <v>41</v>
      </c>
      <c r="BW146" s="14">
        <f ca="1">SUM(BR146,BS146,BT146)</f>
        <v>0</v>
      </c>
      <c r="BX146" s="14">
        <v>95.12</v>
      </c>
      <c r="BY146" s="14">
        <f>SUM(BX146*0.1)</f>
        <v>9.5120000000000005</v>
      </c>
      <c r="BZ146" s="14">
        <f ca="1">SUM(CA146*CB146)</f>
        <v>25.286066666666656</v>
      </c>
      <c r="CA146" s="17">
        <f>SUM((BX146+BY146)*0.00833333333333333)</f>
        <v>0.871933333333333</v>
      </c>
      <c r="CB146" s="23">
        <f ca="1">MONTH(TODAY())+25</f>
        <v>29</v>
      </c>
      <c r="CC146" s="14">
        <f ca="1">SUM(BX146,BY146,BZ146)</f>
        <v>129.91806666666668</v>
      </c>
      <c r="CD146" s="14">
        <f>SUM(DJ146*0.0052)</f>
        <v>524.67999999999995</v>
      </c>
      <c r="CE146" s="14">
        <f>SUM(CD146*0.1)</f>
        <v>52.467999999999996</v>
      </c>
      <c r="CF146" s="14">
        <f ca="1">SUM(CG146*CH146)</f>
        <v>81.762633333333284</v>
      </c>
      <c r="CG146" s="17">
        <f>SUM((CD146+CE146)*0.00833333333333333)</f>
        <v>4.8095666666666634</v>
      </c>
      <c r="CH146" s="23">
        <f ca="1">MONTH(TODAY())+13</f>
        <v>17</v>
      </c>
      <c r="CI146" s="14">
        <f ca="1">SUM(CD146,CE146,CF146)</f>
        <v>658.91063333333318</v>
      </c>
      <c r="CJ146" s="14">
        <f>SUM(DJ146*0.0052)</f>
        <v>524.67999999999995</v>
      </c>
      <c r="CK146" s="14">
        <f>SUM(CJ146*0.1)</f>
        <v>52.467999999999996</v>
      </c>
      <c r="CL146" s="14">
        <f ca="1">SUM(CM146*CN146)</f>
        <v>24.047833333333315</v>
      </c>
      <c r="CM146" s="17">
        <f>SUM((CJ146+CK146)*0.00833333333333333)</f>
        <v>4.8095666666666634</v>
      </c>
      <c r="CN146" s="23">
        <f ca="1">MONTH(TODAY())+1</f>
        <v>5</v>
      </c>
      <c r="CO146" s="14">
        <f ca="1">SUM(CJ146,CK146,CL146)</f>
        <v>601.19583333333321</v>
      </c>
      <c r="CP146" s="14">
        <f>SUM(DJ146*0.0052)/2</f>
        <v>262.33999999999997</v>
      </c>
      <c r="CQ146" s="14">
        <f>SUM(BL146, BR146, BX146, CD146, CJ146, CP146)</f>
        <v>1406.82</v>
      </c>
      <c r="CR146" s="14">
        <f>SUM(BM146, BS146,BY146,CE146,CK146)</f>
        <v>114.44799999999999</v>
      </c>
      <c r="CS146" s="14">
        <f ca="1">SUM(BN146, BT146,BZ146,CF146,CL146)</f>
        <v>131.09653333333324</v>
      </c>
      <c r="CT146" s="14">
        <f ca="1">SUM(CQ146:CS146)</f>
        <v>1652.3645333333334</v>
      </c>
      <c r="CU146" s="47">
        <f ca="1">SUM(CT146/DJ146)</f>
        <v>1.6376259002312522E-2</v>
      </c>
      <c r="CV146" s="14">
        <f>39+58.5+156+58.5+58.5+195+58.5</f>
        <v>624</v>
      </c>
      <c r="CW146" s="32">
        <f>COUNTIF(DC146, "*")+COUNTIF(AO146, "*")+COUNTIF(AJ146, "*")+COUNTIF(AA146, "*")+COUNTIF(DZ146, "*")+COUNTIF(EF146, "*")+COUNTIF(EL146, "*")+COUNTIF(EP146, "*")+COUNTIF(EW146, "*")+COUNTIF(FD146, "*")+COUNTIF(FK146, "*")+COUNTIF(FV146, "*")+COUNTIF(GG146, "*")+COUNTIF(GO146, "*")+COUNTIF(GW146, "*")+COUNTIF(HE146, "*")+COUNTIF(HM146, "*")</f>
        <v>6</v>
      </c>
      <c r="CX146" s="14">
        <f>CW146*0.5+6.66+CW146*6.66</f>
        <v>49.620000000000005</v>
      </c>
      <c r="CY146" s="14">
        <v>150</v>
      </c>
      <c r="CZ146" s="14">
        <f ca="1">SUM(CT146,CV146,DF146, CY146, CX146,FH146)</f>
        <v>2539.9845333333333</v>
      </c>
      <c r="DA146" s="14">
        <v>64</v>
      </c>
      <c r="DB146" s="14"/>
      <c r="DC146" s="14"/>
      <c r="DD146" s="14"/>
      <c r="DE146" s="25"/>
      <c r="DF146" s="14">
        <f>SUM(DA146:DE146)</f>
        <v>64</v>
      </c>
      <c r="DG146" s="24" t="s">
        <v>2769</v>
      </c>
      <c r="DH146" s="25">
        <v>16000</v>
      </c>
      <c r="DI146" s="25">
        <v>84900</v>
      </c>
      <c r="DJ146" s="25">
        <f>SUM(DH146+DI146)</f>
        <v>100900</v>
      </c>
      <c r="DK146" s="36">
        <v>1</v>
      </c>
      <c r="DL146" s="18" t="s">
        <v>3820</v>
      </c>
      <c r="DM146" s="18" t="s">
        <v>3821</v>
      </c>
      <c r="DX146" s="18" t="s">
        <v>3822</v>
      </c>
      <c r="DZ146" s="24" t="s">
        <v>2160</v>
      </c>
      <c r="EA146" s="24"/>
      <c r="EB146" s="18" t="s">
        <v>2161</v>
      </c>
      <c r="ED146" s="18" t="s">
        <v>3823</v>
      </c>
      <c r="EF146" s="18" t="s">
        <v>3824</v>
      </c>
      <c r="EH146" s="18" t="s">
        <v>2722</v>
      </c>
      <c r="EJ146" s="18" t="s">
        <v>3825</v>
      </c>
      <c r="EL146" s="18" t="s">
        <v>3826</v>
      </c>
      <c r="EM146" s="18" t="s">
        <v>267</v>
      </c>
      <c r="EN146" s="18" t="s">
        <v>260</v>
      </c>
      <c r="EO146" s="18" t="s">
        <v>3827</v>
      </c>
      <c r="EP146" s="18" t="s">
        <v>3828</v>
      </c>
      <c r="ER146" s="18" t="s">
        <v>279</v>
      </c>
      <c r="ES146" s="18" t="s">
        <v>268</v>
      </c>
      <c r="ET146" s="27">
        <v>39379</v>
      </c>
      <c r="EU146" s="18" t="s">
        <v>3829</v>
      </c>
      <c r="ID146" s="14"/>
      <c r="IJ146"/>
      <c r="IK146"/>
      <c r="IL146"/>
      <c r="IM146"/>
      <c r="IN146"/>
      <c r="IO146"/>
      <c r="IP146"/>
      <c r="IQ146"/>
      <c r="IR146"/>
      <c r="IS146"/>
      <c r="IT146"/>
      <c r="IU146"/>
      <c r="IV146"/>
      <c r="IW146"/>
      <c r="IX146"/>
      <c r="IY146"/>
      <c r="IZ146"/>
      <c r="JA146"/>
      <c r="JB146"/>
      <c r="JC146"/>
    </row>
    <row r="147" spans="1:263" ht="15" customHeight="1">
      <c r="A147" s="19">
        <v>102022118</v>
      </c>
      <c r="B147" t="s">
        <v>2857</v>
      </c>
      <c r="D147" s="1" t="s">
        <v>3732</v>
      </c>
      <c r="E147" s="3"/>
      <c r="F147" s="3"/>
      <c r="J147" t="s">
        <v>311</v>
      </c>
      <c r="K147" t="s">
        <v>3127</v>
      </c>
      <c r="L147" t="s">
        <v>574</v>
      </c>
      <c r="M147" t="s">
        <v>392</v>
      </c>
      <c r="N147" t="s">
        <v>341</v>
      </c>
      <c r="AD147" t="s">
        <v>3349</v>
      </c>
      <c r="AE147" t="s">
        <v>253</v>
      </c>
      <c r="AF147" t="s">
        <v>3350</v>
      </c>
      <c r="AG147" s="43" t="s">
        <v>3351</v>
      </c>
      <c r="AM147"/>
      <c r="AN147"/>
      <c r="AO147" s="3" t="s">
        <v>3128</v>
      </c>
      <c r="AP147" s="3" t="s">
        <v>258</v>
      </c>
      <c r="AQ147" t="s">
        <v>267</v>
      </c>
      <c r="AR147" t="s">
        <v>260</v>
      </c>
      <c r="AS147" s="1"/>
      <c r="AT147" s="1"/>
      <c r="AU147" s="1"/>
      <c r="AV147" s="1"/>
      <c r="AW147" s="1"/>
      <c r="AX147" s="2"/>
      <c r="AY147" s="116"/>
      <c r="AZ147" s="115"/>
      <c r="BA147" s="2"/>
      <c r="BB147" s="2"/>
      <c r="BC147" s="2"/>
      <c r="BD147" s="2"/>
      <c r="BE147" s="2"/>
      <c r="BF147" s="2"/>
      <c r="BG147" s="20">
        <f ca="1">SUM(CY147)+214.5</f>
        <v>441.87603333333334</v>
      </c>
      <c r="BH147" s="22">
        <f ca="1">PMT(10%/12,12,BG147,0,0)</f>
        <v>-38.847923516177296</v>
      </c>
      <c r="BI147" s="22">
        <f ca="1">SUM(BH147*-1)</f>
        <v>38.847923516177296</v>
      </c>
      <c r="BJ147" s="14">
        <f>SUM(DI147*0.0052)/12</f>
        <v>13.043333333333331</v>
      </c>
      <c r="BK147" s="22">
        <f ca="1">SUM(BI147+BJ147)</f>
        <v>51.891256849510626</v>
      </c>
      <c r="BL147" s="14"/>
      <c r="BM147" s="14">
        <f>SUM(BL147*0.1)</f>
        <v>0</v>
      </c>
      <c r="BN147" s="14">
        <f ca="1">SUM(BO147*BP147)</f>
        <v>0</v>
      </c>
      <c r="BO147" s="17">
        <f>SUM((BL147+BM147)*0.00833333333333333)</f>
        <v>0</v>
      </c>
      <c r="BP147" s="23">
        <f ca="1">MONTH(TODAY())+49</f>
        <v>53</v>
      </c>
      <c r="BQ147" s="14">
        <f ca="1">SUM(BL147,BM147,BN147)</f>
        <v>0</v>
      </c>
      <c r="BR147" s="14"/>
      <c r="BS147" s="14">
        <f>SUM(BR147*0.1)</f>
        <v>0</v>
      </c>
      <c r="BT147" s="14">
        <f ca="1">SUM(BU147*BV147)</f>
        <v>0</v>
      </c>
      <c r="BU147" s="17">
        <f>SUM((BR147+BS147)*0.00833333333333333)</f>
        <v>0</v>
      </c>
      <c r="BV147" s="23">
        <f ca="1">MONTH(TODAY())+37</f>
        <v>41</v>
      </c>
      <c r="BW147" s="14">
        <f ca="1">SUM(BR147,BS147,BT147)</f>
        <v>0</v>
      </c>
      <c r="BX147" s="14"/>
      <c r="BY147" s="14">
        <f>SUM(BX147*0.1)</f>
        <v>0</v>
      </c>
      <c r="BZ147" s="14">
        <f ca="1">SUM(CA147*CB147)</f>
        <v>0</v>
      </c>
      <c r="CA147" s="17">
        <f>SUM((BX147+BY147)*0.00833333333333333)</f>
        <v>0</v>
      </c>
      <c r="CB147" s="23">
        <f ca="1">MONTH(TODAY())+25</f>
        <v>29</v>
      </c>
      <c r="CC147" s="14">
        <f ca="1">SUM(BX147,BY147,BZ147)</f>
        <v>0</v>
      </c>
      <c r="CD147" s="14">
        <v>22.32</v>
      </c>
      <c r="CE147" s="14">
        <f>SUM(CD147*0.1)</f>
        <v>2.2320000000000002</v>
      </c>
      <c r="CF147" s="14">
        <f ca="1">SUM(CG147*CH147)</f>
        <v>3.4781999999999988</v>
      </c>
      <c r="CG147" s="17">
        <f>SUM((CD147+CE147)*0.00833333333333333)</f>
        <v>0.20459999999999992</v>
      </c>
      <c r="CH147" s="23">
        <f ca="1">MONTH(TODAY())+13</f>
        <v>17</v>
      </c>
      <c r="CI147" s="14">
        <f ca="1">SUM(CD147,CE147,CF147)</f>
        <v>28.030199999999997</v>
      </c>
      <c r="CJ147" s="14">
        <f>SUM(DI147*0.0052)</f>
        <v>156.51999999999998</v>
      </c>
      <c r="CK147" s="14">
        <f>SUM(CJ147*0.1)</f>
        <v>15.651999999999999</v>
      </c>
      <c r="CL147" s="14">
        <f ca="1">SUM(CM147*CN147)</f>
        <v>7.1738333333333291</v>
      </c>
      <c r="CM147" s="17">
        <f>SUM((CJ147+CK147)*0.00833333333333333)</f>
        <v>1.4347666666666659</v>
      </c>
      <c r="CN147" s="23">
        <f ca="1">MONTH(TODAY())+1</f>
        <v>5</v>
      </c>
      <c r="CO147" s="14">
        <f ca="1">SUM(CJ147,CK147,CL147)</f>
        <v>179.3458333333333</v>
      </c>
      <c r="CP147" s="14">
        <f>SUM(BL147, BR147,BX147,CD147,CJ147)</f>
        <v>178.83999999999997</v>
      </c>
      <c r="CQ147" s="14">
        <f>SUM(BM147, BS147,BY147,CE147,CK147)</f>
        <v>17.884</v>
      </c>
      <c r="CR147" s="14">
        <f ca="1">SUM(BN147, BT147,BZ147,CF147,CL147)</f>
        <v>10.652033333333328</v>
      </c>
      <c r="CS147" s="14">
        <f ca="1">SUM(CP147:CR147)</f>
        <v>207.37603333333331</v>
      </c>
      <c r="CT147" s="47">
        <f ca="1">SUM(CS147/DI147)</f>
        <v>6.8895692137320034E-3</v>
      </c>
      <c r="CU147" s="14">
        <v>19.5</v>
      </c>
      <c r="CV147" s="32">
        <f>COUNTIF(DB147, "*")+COUNTIF(AO147, "*")+COUNTIF(AJ147, "*")+COUNTIF(AA147, "*")+COUNTIF(DY147, "*")+COUNTIF(EE147, "*")+COUNTIF(EK147, "*")+COUNTIF(EO147, "*")+COUNTIF(EV147, "*")+COUNTIF(FC147, "*")+COUNTIF(FJ147, "*")+COUNTIF(FU147, "*")+COUNTIF(GF147, "*")+COUNTIF(GN147, "*")+COUNTIF(GV147, "*")+COUNTIF(HD147, "*")+COUNTIF(HL147, "*")</f>
        <v>1</v>
      </c>
      <c r="CW147" s="14">
        <f>CV147*0.5</f>
        <v>0.5</v>
      </c>
      <c r="CX147" s="4"/>
      <c r="CY147" s="14">
        <f ca="1">SUM(CS147,CU147,DE147, CX147, CW147,FG147)</f>
        <v>227.37603333333331</v>
      </c>
      <c r="CZ147" s="4"/>
      <c r="DE147" s="14">
        <f>SUM(CZ147:DD147)</f>
        <v>0</v>
      </c>
      <c r="DF147" s="24" t="s">
        <v>2773</v>
      </c>
      <c r="DG147" s="4">
        <v>20000</v>
      </c>
      <c r="DH147" s="4">
        <v>10100</v>
      </c>
      <c r="DI147" s="25">
        <f>SUM(DG147+DH147)</f>
        <v>30100</v>
      </c>
      <c r="DJ147" s="35">
        <v>1</v>
      </c>
      <c r="IC147" s="4"/>
      <c r="IL147" s="18"/>
      <c r="IM147" s="18"/>
      <c r="IN147" s="18"/>
      <c r="IO147" s="18"/>
      <c r="IP147" s="18"/>
      <c r="IQ147" s="18"/>
      <c r="IR147" s="18"/>
      <c r="IS147" s="18"/>
      <c r="IT147" s="18"/>
      <c r="IU147" s="18"/>
      <c r="IV147" s="18"/>
      <c r="IW147" s="18"/>
      <c r="IX147" s="18"/>
      <c r="IY147" s="18"/>
    </row>
    <row r="148" spans="1:263" ht="15" customHeight="1">
      <c r="A148" s="2">
        <v>102020009</v>
      </c>
      <c r="B148" t="s">
        <v>1557</v>
      </c>
      <c r="D148" s="1"/>
      <c r="J148" t="s">
        <v>311</v>
      </c>
      <c r="K148" t="s">
        <v>1558</v>
      </c>
      <c r="L148" t="s">
        <v>1179</v>
      </c>
      <c r="M148" t="s">
        <v>396</v>
      </c>
      <c r="AD148" t="s">
        <v>5615</v>
      </c>
      <c r="AE148" t="s">
        <v>253</v>
      </c>
      <c r="AF148" t="s">
        <v>4148</v>
      </c>
      <c r="AG148" s="248" t="s">
        <v>5616</v>
      </c>
      <c r="AH148" s="4" t="s">
        <v>2420</v>
      </c>
      <c r="AI148" s="3" t="s">
        <v>600</v>
      </c>
      <c r="AJ148" t="s">
        <v>1862</v>
      </c>
      <c r="AK148" t="s">
        <v>258</v>
      </c>
      <c r="AL148" t="s">
        <v>267</v>
      </c>
      <c r="AN148" s="3" t="s">
        <v>1560</v>
      </c>
      <c r="AO148" s="4" t="s">
        <v>2420</v>
      </c>
      <c r="AP148" s="1" t="s">
        <v>258</v>
      </c>
      <c r="AQ148" s="3" t="s">
        <v>600</v>
      </c>
      <c r="AR148" s="3" t="s">
        <v>260</v>
      </c>
      <c r="AS148" s="1"/>
      <c r="AT148" s="1"/>
      <c r="AU148" s="1"/>
      <c r="AV148" s="1"/>
      <c r="AW148" s="70"/>
      <c r="AY148" s="70"/>
      <c r="AZ148" s="70"/>
      <c r="BA148" s="70"/>
      <c r="BB148" s="2"/>
      <c r="BC148" s="70"/>
      <c r="BD148" s="115">
        <v>45408</v>
      </c>
      <c r="BE148" s="27"/>
      <c r="BF148" s="19"/>
      <c r="BG148" s="5"/>
      <c r="BH148" s="16"/>
      <c r="BI148" s="16"/>
      <c r="BJ148" s="4"/>
      <c r="BK148" s="16"/>
      <c r="BL148" s="20">
        <f ca="1">SUM(EN148)+220</f>
        <v>1054.161333333333</v>
      </c>
      <c r="BM148" s="22">
        <f ca="1">PMT(10%/12,12,BL148,0,0)</f>
        <v>-92.677528903569851</v>
      </c>
      <c r="BN148" s="22">
        <f ca="1">SUM(BM148*-1)</f>
        <v>92.677528903569851</v>
      </c>
      <c r="BO148" s="14">
        <f>SUM(EV148*0.0052)/12</f>
        <v>20.106666666666666</v>
      </c>
      <c r="BP148" s="22">
        <f ca="1">SUM(BN148+BO148)</f>
        <v>112.78419557023652</v>
      </c>
      <c r="BQ148" s="14"/>
      <c r="BR148" s="14">
        <f>SUM(BQ148*0.1)</f>
        <v>0</v>
      </c>
      <c r="BS148" s="14">
        <f ca="1">SUM(BT148*BU148)</f>
        <v>0</v>
      </c>
      <c r="BT148" s="17">
        <f>SUM((BQ148+BR148)*0.00833333333333333)</f>
        <v>0</v>
      </c>
      <c r="BU148" s="23">
        <f ca="1">MONTH(TODAY())+61</f>
        <v>65</v>
      </c>
      <c r="BV148" s="14">
        <f ca="1">SUM(BQ148,BR148,BS148)</f>
        <v>0</v>
      </c>
      <c r="BW148" s="14"/>
      <c r="BX148" s="14">
        <f>SUM(BW148*0.1)</f>
        <v>0</v>
      </c>
      <c r="BY148" s="14">
        <f ca="1">SUM(BZ148*CA148)</f>
        <v>0</v>
      </c>
      <c r="BZ148" s="17">
        <f>SUM((BW148+BX148)*0.00833333333333333)</f>
        <v>0</v>
      </c>
      <c r="CA148" s="23">
        <f ca="1">MONTH(TODAY())+49</f>
        <v>53</v>
      </c>
      <c r="CB148" s="14">
        <f ca="1">SUM(BW148,BX148,BY148)</f>
        <v>0</v>
      </c>
      <c r="CC148" s="14">
        <v>0</v>
      </c>
      <c r="CD148" s="14">
        <f>SUM(CC148*0.1)</f>
        <v>0</v>
      </c>
      <c r="CE148" s="14">
        <f ca="1">SUM(CF148*CG148)</f>
        <v>0</v>
      </c>
      <c r="CF148" s="17">
        <f>SUM((CC148+CD148)*0.00833333333333333)</f>
        <v>0</v>
      </c>
      <c r="CG148" s="23">
        <f ca="1">MONTH(TODAY())+37</f>
        <v>41</v>
      </c>
      <c r="CH148" s="14">
        <f ca="1">SUM(CC148,CD148,CE148)</f>
        <v>0</v>
      </c>
      <c r="CI148" s="14">
        <v>0</v>
      </c>
      <c r="CJ148" s="14">
        <f>SUM(CI148*0.1)</f>
        <v>0</v>
      </c>
      <c r="CK148" s="14">
        <f ca="1">SUM(CL148*CM148)</f>
        <v>0</v>
      </c>
      <c r="CL148" s="17">
        <f>SUM((CI148+CJ148)*0.00833333333333333)</f>
        <v>0</v>
      </c>
      <c r="CM148" s="23">
        <f ca="1">MONTH(TODAY())+25</f>
        <v>29</v>
      </c>
      <c r="CN148" s="14">
        <f ca="1">SUM(CI148,CJ148,CK148)</f>
        <v>0</v>
      </c>
      <c r="CO148" s="14">
        <f>SUM(ES148*0.0052)/2</f>
        <v>147.68</v>
      </c>
      <c r="CP148" s="14">
        <f>SUM(CO148*0.1)</f>
        <v>14.768000000000001</v>
      </c>
      <c r="CQ148" s="14">
        <f>SUM(CR148*CS148)</f>
        <v>29.78213333333332</v>
      </c>
      <c r="CR148" s="17">
        <f>SUM((CO148+CP148)*0.00833333333333333)</f>
        <v>1.3537333333333328</v>
      </c>
      <c r="CS148" s="23">
        <v>22</v>
      </c>
      <c r="CT148" s="23">
        <f>SUM(CO148,CP148,CQ148)</f>
        <v>192.23013333333333</v>
      </c>
      <c r="CU148" s="14">
        <f>SUM(ES148*0.0052)/2</f>
        <v>147.68</v>
      </c>
      <c r="CV148" s="14">
        <f>SUM(CU148*0.1)</f>
        <v>14.768000000000001</v>
      </c>
      <c r="CW148" s="14">
        <f>SUM(CX148*CY148)</f>
        <v>24.36719999999999</v>
      </c>
      <c r="CX148" s="17">
        <f>SUM((CU148+CV148)*0.00833333333333333)</f>
        <v>1.3537333333333328</v>
      </c>
      <c r="CY148" s="23">
        <v>18</v>
      </c>
      <c r="CZ148" s="23">
        <f>SUM(CU148,CV148,CW148)</f>
        <v>186.8152</v>
      </c>
      <c r="DA148" s="14">
        <f>SUM(EV148*0.0045)/2</f>
        <v>104.39999999999999</v>
      </c>
      <c r="DB148" s="14">
        <f>SUM(DA148*0.1)</f>
        <v>10.44</v>
      </c>
      <c r="DC148" s="14">
        <f>SUM(DD148*DE148)</f>
        <v>11.483999999999995</v>
      </c>
      <c r="DD148" s="17">
        <f>SUM((DA148+DB148)*0.00833333333333333)</f>
        <v>0.95699999999999952</v>
      </c>
      <c r="DE148" s="23">
        <v>12</v>
      </c>
      <c r="DF148" s="23">
        <f>SUM(DA148,DB148,DC148)</f>
        <v>126.32399999999998</v>
      </c>
      <c r="DG148" s="14">
        <f>SUM(EV148*0.0045)/2</f>
        <v>104.39999999999999</v>
      </c>
      <c r="DH148" s="14">
        <f>SUM(DG148*0.1)</f>
        <v>10.44</v>
      </c>
      <c r="DI148" s="14">
        <f>SUM(DJ148*DK148)</f>
        <v>5.7419999999999973</v>
      </c>
      <c r="DJ148" s="17">
        <f>SUM((DG148+DH148)*0.00833333333333333)</f>
        <v>0.95699999999999952</v>
      </c>
      <c r="DK148" s="23">
        <v>6</v>
      </c>
      <c r="DL148" s="14">
        <f>SUM(DG148,DH148,DI148)</f>
        <v>120.58199999999999</v>
      </c>
      <c r="DM148" s="14">
        <f>SUM(EV148*0.0045)/2</f>
        <v>104.39999999999999</v>
      </c>
      <c r="DN148" s="14">
        <f>0</f>
        <v>0</v>
      </c>
      <c r="DO148" s="14">
        <f>0</f>
        <v>0</v>
      </c>
      <c r="DP148" s="17">
        <f>SUM((DM148+DN148)*0.00833333333333333)</f>
        <v>0.86999999999999955</v>
      </c>
      <c r="DQ148" s="23">
        <f ca="1">MONTH(TODAY())+7</f>
        <v>11</v>
      </c>
      <c r="DR148" s="23">
        <f>SUM(DM148,DN148,DO148)</f>
        <v>104.39999999999999</v>
      </c>
      <c r="DS148" s="14">
        <f>0</f>
        <v>0</v>
      </c>
      <c r="DT148" s="14">
        <f>0</f>
        <v>0</v>
      </c>
      <c r="DU148" s="14">
        <f ca="1">SUM(DV148*DW148)</f>
        <v>0</v>
      </c>
      <c r="DV148" s="17">
        <f>SUM((DS148+DT148)*0.00833333333333333)</f>
        <v>0</v>
      </c>
      <c r="DW148" s="23">
        <f ca="1">MONTH(TODAY())+1</f>
        <v>5</v>
      </c>
      <c r="DX148" s="14">
        <f ca="1">SUM(DS148,DT148,DU148)</f>
        <v>0</v>
      </c>
      <c r="DY148" s="14">
        <f>SUM( BQ148, BW148, CC148, CI148, CO148,CU148,DA148,DG148,DM148,DS148)</f>
        <v>608.55999999999995</v>
      </c>
      <c r="DZ148" s="14">
        <f>SUM(BR148,BX148,CD148,CJ148, CP148,CV148,DB148,DH148,DN148,DT148)</f>
        <v>50.415999999999997</v>
      </c>
      <c r="EA148" s="14">
        <f ca="1">SUM(BS148,BY148,CE148,CK148, CQ148,CW148,DC148,DI148,DO148,DU148)</f>
        <v>71.375333333333288</v>
      </c>
      <c r="EB148" s="25">
        <f ca="1">SUM(DY148:EA148)</f>
        <v>730.35133333333317</v>
      </c>
      <c r="EC148" s="47">
        <f ca="1">SUM(EB148/ES148)</f>
        <v>1.2858298122065724E-2</v>
      </c>
      <c r="ED148" s="14">
        <f>20+10+40</f>
        <v>70</v>
      </c>
      <c r="EE148" s="32">
        <f>COUNTIF(AO148, "*")+COUNTIF(AJ148, "*")+COUNTIF(AA148, "*")+COUNTIF(FG148, "*")+COUNTIF(FM148, "*")+COUNTIF(FS148, "*")+COUNTIF(FW148, "*")+COUNTIF(GD148, "*")+COUNTIF(AS148, "*")+COUNTIF(GM148, "*")+COUNTIF(GX148, "*")+COUNTIF(HI148, "*")+COUNTIF(HQ148, "*")+COUNTIF(HY148, "*")+COUNTIF(IG148, "*")</f>
        <v>2</v>
      </c>
      <c r="EF148" s="14">
        <f>EE148*0.64</f>
        <v>1.28</v>
      </c>
      <c r="EG148" s="8"/>
      <c r="EH148" s="4">
        <v>32.53</v>
      </c>
      <c r="EM148" s="14">
        <f>SUM(EH148:EL148)</f>
        <v>32.53</v>
      </c>
      <c r="EN148" s="14">
        <f ca="1">SUM(EB148,ED148,EM148, EG148, EF148,GJ148)</f>
        <v>834.16133333333312</v>
      </c>
      <c r="EO148" s="24" t="s">
        <v>4935</v>
      </c>
      <c r="EP148" s="35">
        <v>1.8</v>
      </c>
      <c r="EQ148" s="4">
        <v>20500</v>
      </c>
      <c r="ER148" s="4">
        <v>36300</v>
      </c>
      <c r="ES148" s="14">
        <f>SUM(EQ148+ER148)</f>
        <v>56800</v>
      </c>
      <c r="ET148" s="4">
        <v>22300</v>
      </c>
      <c r="EU148" s="4">
        <v>24100</v>
      </c>
      <c r="EV148" s="14">
        <f>SUM(ET148+EU148)</f>
        <v>46400</v>
      </c>
      <c r="EW148" s="43" t="s">
        <v>1847</v>
      </c>
      <c r="EX148" s="43" t="s">
        <v>1848</v>
      </c>
      <c r="EY148" s="43" t="s">
        <v>1849</v>
      </c>
    </row>
    <row r="149" spans="1:263" ht="15" customHeight="1">
      <c r="A149" s="19">
        <v>102022183</v>
      </c>
      <c r="B149" t="s">
        <v>2908</v>
      </c>
      <c r="D149" s="1"/>
      <c r="E149" s="3"/>
      <c r="F149" s="3"/>
      <c r="J149" t="s">
        <v>253</v>
      </c>
      <c r="K149" t="s">
        <v>3238</v>
      </c>
      <c r="L149" t="s">
        <v>3239</v>
      </c>
      <c r="M149" t="s">
        <v>256</v>
      </c>
      <c r="P149" t="s">
        <v>3238</v>
      </c>
      <c r="Q149" t="s">
        <v>3480</v>
      </c>
      <c r="R149" t="s">
        <v>537</v>
      </c>
      <c r="T149" t="s">
        <v>258</v>
      </c>
      <c r="AG149" s="43"/>
      <c r="AM149"/>
      <c r="AN149"/>
      <c r="AO149" s="3" t="s">
        <v>3237</v>
      </c>
      <c r="AP149" s="3" t="s">
        <v>258</v>
      </c>
      <c r="AQ149" t="s">
        <v>267</v>
      </c>
      <c r="AR149" t="s">
        <v>260</v>
      </c>
      <c r="AS149" s="1"/>
      <c r="AT149" s="1"/>
      <c r="AU149" s="1"/>
      <c r="AV149" s="1"/>
      <c r="AW149" s="1"/>
      <c r="AX149" s="2"/>
      <c r="AY149" s="115">
        <v>44647</v>
      </c>
      <c r="AZ149" s="115">
        <v>44637</v>
      </c>
      <c r="BA149" s="2"/>
      <c r="BB149" s="2"/>
      <c r="BC149" s="2"/>
      <c r="BD149" s="2"/>
      <c r="BE149" s="2"/>
      <c r="BF149" s="2"/>
      <c r="BG149" s="20">
        <f ca="1">SUM(CY149)+214.5</f>
        <v>1761.9205083333334</v>
      </c>
      <c r="BH149" s="22">
        <f ca="1">PMT(10%/12,12,BG149,0,0)</f>
        <v>-154.90080471887453</v>
      </c>
      <c r="BI149" s="22">
        <f ca="1">SUM(BH149*-1)</f>
        <v>154.90080471887453</v>
      </c>
      <c r="BJ149" s="14">
        <f>SUM(DI149*0.0052)/12</f>
        <v>39.086666666666666</v>
      </c>
      <c r="BK149" s="22">
        <f ca="1">SUM(BI149+BJ149)</f>
        <v>193.9874713855412</v>
      </c>
      <c r="BL149" s="14"/>
      <c r="BM149" s="14">
        <f>SUM(BL149*0.1)</f>
        <v>0</v>
      </c>
      <c r="BN149" s="14">
        <f ca="1">SUM(BO149*BP149)</f>
        <v>0</v>
      </c>
      <c r="BO149" s="17">
        <f>SUM((BL149+BM149)*0.00833333333333333)</f>
        <v>0</v>
      </c>
      <c r="BP149" s="23">
        <f ca="1">MONTH(TODAY())+49</f>
        <v>53</v>
      </c>
      <c r="BQ149" s="14">
        <f ca="1">SUM(BL149,BM149,BN149)</f>
        <v>0</v>
      </c>
      <c r="BR149" s="14"/>
      <c r="BS149" s="14">
        <f>SUM(BR149*0.1)</f>
        <v>0</v>
      </c>
      <c r="BT149" s="14">
        <f ca="1">SUM(BU149*BV149)</f>
        <v>0</v>
      </c>
      <c r="BU149" s="17">
        <f>SUM((BR149+BS149)*0.00833333333333333)</f>
        <v>0</v>
      </c>
      <c r="BV149" s="23">
        <f ca="1">MONTH(TODAY())+37</f>
        <v>41</v>
      </c>
      <c r="BW149" s="14">
        <f ca="1">SUM(BR149,BS149,BT149)</f>
        <v>0</v>
      </c>
      <c r="BX149" s="14"/>
      <c r="BY149" s="14">
        <f>SUM(BX149*0.1)</f>
        <v>0</v>
      </c>
      <c r="BZ149" s="14">
        <f ca="1">SUM(CA149*CB149)</f>
        <v>0</v>
      </c>
      <c r="CA149" s="17">
        <f>SUM((BX149+BY149)*0.00833333333333333)</f>
        <v>0</v>
      </c>
      <c r="CB149" s="23">
        <f ca="1">MONTH(TODAY())+25</f>
        <v>29</v>
      </c>
      <c r="CC149" s="14">
        <f ca="1">SUM(BX149,BY149,BZ149)</f>
        <v>0</v>
      </c>
      <c r="CD149" s="14">
        <v>468.23</v>
      </c>
      <c r="CE149" s="14">
        <f>SUM(CD149*0.1)</f>
        <v>46.823000000000008</v>
      </c>
      <c r="CF149" s="14">
        <f ca="1">SUM(CG149*CH149)</f>
        <v>72.965841666666634</v>
      </c>
      <c r="CG149" s="17">
        <f>SUM((CD149+CE149)*0.00833333333333333)</f>
        <v>4.2921083333333314</v>
      </c>
      <c r="CH149" s="23">
        <f ca="1">MONTH(TODAY())+13</f>
        <v>17</v>
      </c>
      <c r="CI149" s="14">
        <f ca="1">SUM(CD149,CE149,CF149)</f>
        <v>588.01884166666662</v>
      </c>
      <c r="CJ149" s="14">
        <f>SUM(DI149*0.0052)</f>
        <v>469.03999999999996</v>
      </c>
      <c r="CK149" s="14">
        <f>SUM(CJ149*0.1)</f>
        <v>46.903999999999996</v>
      </c>
      <c r="CL149" s="14">
        <f ca="1">SUM(CM149*CN149)</f>
        <v>21.497666666666653</v>
      </c>
      <c r="CM149" s="17">
        <f>SUM((CJ149+CK149)*0.00833333333333333)</f>
        <v>4.299533333333331</v>
      </c>
      <c r="CN149" s="23">
        <f ca="1">MONTH(TODAY())+1</f>
        <v>5</v>
      </c>
      <c r="CO149" s="14">
        <f ca="1">SUM(CJ149,CK149,CL149)</f>
        <v>537.44166666666661</v>
      </c>
      <c r="CP149" s="14">
        <f>SUM(BL149, BR149,BX149,CD149,CJ149)</f>
        <v>937.27</v>
      </c>
      <c r="CQ149" s="14">
        <f>SUM(BM149, BS149,BY149,CE149,CK149)</f>
        <v>93.727000000000004</v>
      </c>
      <c r="CR149" s="14">
        <f ca="1">SUM(BN149, BT149,BZ149,CF149,CL149)</f>
        <v>94.463508333333294</v>
      </c>
      <c r="CS149" s="14">
        <f ca="1">SUM(CP149:CR149)</f>
        <v>1125.4605083333333</v>
      </c>
      <c r="CT149" s="47">
        <f ca="1">SUM(CS149/DI149)</f>
        <v>1.2477389227642277E-2</v>
      </c>
      <c r="CU149" s="14">
        <f>19.5+19.5+195</f>
        <v>234</v>
      </c>
      <c r="CV149" s="32">
        <f>COUNTIF(DB149, "*")+COUNTIF(AO149, "*")+COUNTIF(AJ149, "*")+COUNTIF(AA149, "*")+COUNTIF(DY149, "*")+COUNTIF(EE149, "*")+COUNTIF(EK149, "*")+COUNTIF(EO149, "*")+COUNTIF(EV149, "*")+COUNTIF(FC149, "*")+COUNTIF(FJ149, "*")+COUNTIF(FU149, "*")+COUNTIF(GF149, "*")+COUNTIF(GN149, "*")+COUNTIF(GV149, "*")+COUNTIF(HD149, "*")+COUNTIF(HL149, "*")</f>
        <v>1</v>
      </c>
      <c r="CW149" s="14">
        <f>CV149*0.5+CV149*6.66</f>
        <v>7.16</v>
      </c>
      <c r="CX149" s="4">
        <v>150</v>
      </c>
      <c r="CY149" s="14">
        <f ca="1">SUM(CS149,CU149,DE149, CX149, CW149,FG149)</f>
        <v>1547.4205083333334</v>
      </c>
      <c r="CZ149" s="4">
        <v>30.8</v>
      </c>
      <c r="DE149" s="14">
        <f>SUM(CZ149:DD149)</f>
        <v>30.8</v>
      </c>
      <c r="DF149" s="24" t="s">
        <v>2773</v>
      </c>
      <c r="DG149" s="4">
        <v>18200</v>
      </c>
      <c r="DH149" s="4">
        <v>72000</v>
      </c>
      <c r="DI149" s="25">
        <f>SUM(DG149+DH149)</f>
        <v>90200</v>
      </c>
      <c r="DJ149" s="35">
        <v>0.76</v>
      </c>
      <c r="DK149" t="s">
        <v>3524</v>
      </c>
      <c r="DL149" t="s">
        <v>3525</v>
      </c>
      <c r="IC149" s="4"/>
    </row>
    <row r="150" spans="1:263" ht="15" customHeight="1">
      <c r="A150" s="19">
        <v>102022175</v>
      </c>
      <c r="B150" t="s">
        <v>2810</v>
      </c>
      <c r="D150" s="1"/>
      <c r="E150" s="3"/>
      <c r="F150" s="3"/>
      <c r="G150">
        <v>220001464</v>
      </c>
      <c r="J150" t="s">
        <v>253</v>
      </c>
      <c r="K150" t="s">
        <v>3047</v>
      </c>
      <c r="L150" t="s">
        <v>502</v>
      </c>
      <c r="M150" t="s">
        <v>326</v>
      </c>
      <c r="AG150" s="43" t="s">
        <v>3343</v>
      </c>
      <c r="AJ150" t="s">
        <v>3048</v>
      </c>
      <c r="AK150" t="s">
        <v>258</v>
      </c>
      <c r="AL150" t="s">
        <v>267</v>
      </c>
      <c r="AM150" t="s">
        <v>260</v>
      </c>
      <c r="AN150"/>
      <c r="AO150" s="3" t="s">
        <v>3049</v>
      </c>
      <c r="AP150" s="3" t="s">
        <v>258</v>
      </c>
      <c r="AQ150" t="s">
        <v>290</v>
      </c>
      <c r="AR150" t="s">
        <v>268</v>
      </c>
      <c r="AS150" s="1"/>
      <c r="AT150" s="1"/>
      <c r="AU150" s="1"/>
      <c r="AV150" s="1"/>
      <c r="AW150" s="1"/>
      <c r="AX150" s="2"/>
      <c r="AY150" s="116"/>
      <c r="AZ150" s="115"/>
      <c r="BA150" s="2"/>
      <c r="BB150" s="2"/>
      <c r="BC150" s="2"/>
      <c r="BD150" s="2"/>
      <c r="BE150" s="2"/>
      <c r="BF150" s="2"/>
      <c r="BG150" s="20">
        <f ca="1">SUM(DE150)+214.5</f>
        <v>1809.9066666666665</v>
      </c>
      <c r="BH150" s="22">
        <f ca="1">PMT(10%/12,12,BG150,0,0)</f>
        <v>-159.11955040350921</v>
      </c>
      <c r="BI150" s="22">
        <f ca="1">SUM(BH150*-1)</f>
        <v>159.11955040350921</v>
      </c>
      <c r="BJ150" s="14">
        <f>SUM(DO150*0.0052)/12</f>
        <v>34.666666666666664</v>
      </c>
      <c r="BK150" s="22">
        <f ca="1">SUM(BI150+BJ150)</f>
        <v>193.78621707017587</v>
      </c>
      <c r="BL150" s="14"/>
      <c r="BM150" s="14">
        <f>SUM(BL150*0.1)</f>
        <v>0</v>
      </c>
      <c r="BN150" s="14">
        <f ca="1">SUM(BO150*BP150)</f>
        <v>0</v>
      </c>
      <c r="BO150" s="17">
        <f>SUM((BL150+BM150)*0.00833333333333333)</f>
        <v>0</v>
      </c>
      <c r="BP150" s="23">
        <f ca="1">MONTH(TODAY())+49</f>
        <v>53</v>
      </c>
      <c r="BQ150" s="14">
        <f ca="1">SUM(BL150,BM150,BN150)</f>
        <v>0</v>
      </c>
      <c r="BR150" s="14"/>
      <c r="BS150" s="14">
        <f>SUM(BR150*0.1)</f>
        <v>0</v>
      </c>
      <c r="BT150" s="14">
        <f ca="1">SUM(BU150*BV150)</f>
        <v>0</v>
      </c>
      <c r="BU150" s="17">
        <f>SUM((BR150+BS150)*0.00833333333333333)</f>
        <v>0</v>
      </c>
      <c r="BV150" s="23">
        <f ca="1">MONTH(TODAY())+37</f>
        <v>41</v>
      </c>
      <c r="BW150" s="14">
        <f ca="1">SUM(BR150,BS150,BT150)</f>
        <v>0</v>
      </c>
      <c r="BX150" s="14">
        <f>SUM(DO150*0.0052)</f>
        <v>416</v>
      </c>
      <c r="BY150" s="14">
        <f>SUM(BX150*0.1)</f>
        <v>41.6</v>
      </c>
      <c r="BZ150" s="14">
        <f ca="1">SUM(CA150*CB150)</f>
        <v>110.58666666666662</v>
      </c>
      <c r="CA150" s="17">
        <f>SUM((BX150+BY150)*0.00833333333333333)</f>
        <v>3.8133333333333317</v>
      </c>
      <c r="CB150" s="23">
        <f ca="1">MONTH(TODAY())+25</f>
        <v>29</v>
      </c>
      <c r="CC150" s="14">
        <f ca="1">SUM(BX150,BY150,BZ150)</f>
        <v>568.18666666666661</v>
      </c>
      <c r="CD150" s="14">
        <f>SUM(DO150*0.0052)</f>
        <v>416</v>
      </c>
      <c r="CE150" s="14">
        <f>SUM(CD150*0.1)</f>
        <v>41.6</v>
      </c>
      <c r="CF150" s="14">
        <f ca="1">SUM(CG150*CH150)</f>
        <v>64.82666666666664</v>
      </c>
      <c r="CG150" s="17">
        <f>SUM((CD150+CE150)*0.00833333333333333)</f>
        <v>3.8133333333333317</v>
      </c>
      <c r="CH150" s="23">
        <f ca="1">MONTH(TODAY())+13</f>
        <v>17</v>
      </c>
      <c r="CI150" s="14">
        <f ca="1">SUM(CD150,CE150,CF150)</f>
        <v>522.42666666666662</v>
      </c>
      <c r="CJ150" s="14">
        <f>SUM(DO150*0.0052)/2</f>
        <v>208</v>
      </c>
      <c r="CK150" s="14">
        <f>SUM(CJ150*0.1)</f>
        <v>20.8</v>
      </c>
      <c r="CL150" s="14">
        <f ca="1">SUM(CM150*CN150)</f>
        <v>17.159999999999993</v>
      </c>
      <c r="CM150" s="17">
        <f>SUM((CJ150+CK150)*0.00833333333333333)</f>
        <v>1.9066666666666658</v>
      </c>
      <c r="CN150" s="23">
        <f ca="1">MONTH(TODAY())+5</f>
        <v>9</v>
      </c>
      <c r="CO150" s="23">
        <f ca="1">SUM(CJ150,CK150,CL150)</f>
        <v>245.96</v>
      </c>
      <c r="CP150" s="14">
        <f>SUM(DO150*0.0052)/2</f>
        <v>208</v>
      </c>
      <c r="CQ150" s="14">
        <f>SUM(CP150*0.1)</f>
        <v>20.8</v>
      </c>
      <c r="CR150" s="14">
        <f ca="1">SUM(CS150*CT150)</f>
        <v>9.5333333333333297</v>
      </c>
      <c r="CS150" s="17">
        <f>SUM((CP150+CQ150)*0.00833333333333333)</f>
        <v>1.9066666666666658</v>
      </c>
      <c r="CT150" s="23">
        <f ca="1">MONTH(TODAY())+1</f>
        <v>5</v>
      </c>
      <c r="CU150" s="23">
        <f ca="1">SUM(CP150,CQ150,CR150)</f>
        <v>238.33333333333334</v>
      </c>
      <c r="CV150" s="14">
        <f>SUM( BL150, BR150, BX150, CD150, CJ150,CP150)</f>
        <v>1248</v>
      </c>
      <c r="CW150" s="14">
        <f>SUM(BM150,BS150,BY150,CE150, CK150,CQ150)</f>
        <v>124.8</v>
      </c>
      <c r="CX150" s="14">
        <f ca="1">SUM(BN150,BT150,BZ150,CF150, CL150,CR150)</f>
        <v>202.10666666666657</v>
      </c>
      <c r="CY150" s="14">
        <f ca="1">SUM(CV150:CX150)</f>
        <v>1574.9066666666665</v>
      </c>
      <c r="CZ150" s="47">
        <f ca="1">SUM(CY150/DO150)</f>
        <v>1.968633333333333E-2</v>
      </c>
      <c r="DA150" s="14">
        <v>19.5</v>
      </c>
      <c r="DB150" s="32">
        <f>COUNTIF(DH150, "*")+COUNTIF(AO150, "*")+COUNTIF(AJ150, "*")+COUNTIF(AA150, "*")+COUNTIF(EE150, "*")+COUNTIF(EK150, "*")+COUNTIF(EQ150, "*")+COUNTIF(EU150, "*")+COUNTIF(FB150, "*")+COUNTIF(FI150, "*")+COUNTIF(FP150, "*")+COUNTIF(GA150, "*")+COUNTIF(GL150, "*")+COUNTIF(GT150, "*")+COUNTIF(HB150, "*")+COUNTIF(HJ150, "*")+COUNTIF(HR150, "*")</f>
        <v>2</v>
      </c>
      <c r="DC150" s="14">
        <f>DB150*0.5</f>
        <v>1</v>
      </c>
      <c r="DD150" s="4"/>
      <c r="DE150" s="14">
        <f ca="1">SUM(CY150,DA150,DK150, DD150, DC150,FM150)</f>
        <v>1595.4066666666665</v>
      </c>
      <c r="DF150" s="4"/>
      <c r="DG150" s="4"/>
      <c r="DH150" s="4"/>
      <c r="DJ150" s="4"/>
      <c r="DK150" s="14">
        <f>SUM(DF150:DJ150)</f>
        <v>0</v>
      </c>
      <c r="DL150" s="24" t="s">
        <v>2773</v>
      </c>
      <c r="DM150" s="4">
        <v>20500</v>
      </c>
      <c r="DN150" s="4">
        <v>59500</v>
      </c>
      <c r="DO150" s="25">
        <f>SUM(DM150+DN150)</f>
        <v>80000</v>
      </c>
      <c r="DP150" s="35">
        <v>1.79</v>
      </c>
      <c r="HX150" s="9"/>
      <c r="II150" s="14">
        <f ca="1">SUM(HY150-DE150-FM150-IG150)</f>
        <v>-1595.4066666666665</v>
      </c>
      <c r="IJ150" s="9"/>
      <c r="IK150" s="9"/>
      <c r="IL150" s="9"/>
      <c r="IM150" s="9"/>
      <c r="IN150" s="9"/>
    </row>
    <row r="151" spans="1:263" s="240" customFormat="1" ht="15" customHeight="1">
      <c r="A151" s="19">
        <v>102022113</v>
      </c>
      <c r="B151" t="s">
        <v>2853</v>
      </c>
      <c r="C151"/>
      <c r="D151" s="1" t="s">
        <v>3460</v>
      </c>
      <c r="E151" s="3"/>
      <c r="F151" s="3"/>
      <c r="G151"/>
      <c r="H151"/>
      <c r="I151"/>
      <c r="J151" t="s">
        <v>554</v>
      </c>
      <c r="K151" t="s">
        <v>632</v>
      </c>
      <c r="L151" t="s">
        <v>400</v>
      </c>
      <c r="M151" t="s">
        <v>357</v>
      </c>
      <c r="N151" t="s">
        <v>470</v>
      </c>
      <c r="O151"/>
      <c r="P151" t="s">
        <v>632</v>
      </c>
      <c r="Q151" t="s">
        <v>3112</v>
      </c>
      <c r="R151" t="s">
        <v>357</v>
      </c>
      <c r="S151"/>
      <c r="T151"/>
      <c r="U151"/>
      <c r="V151"/>
      <c r="W151"/>
      <c r="X151"/>
      <c r="Y151"/>
      <c r="Z151"/>
      <c r="AA151"/>
      <c r="AB151"/>
      <c r="AC151"/>
      <c r="AD151"/>
      <c r="AE151"/>
      <c r="AF151"/>
      <c r="AG151" s="43"/>
      <c r="AH151"/>
      <c r="AI151"/>
      <c r="AJ151"/>
      <c r="AK151"/>
      <c r="AL151"/>
      <c r="AM151"/>
      <c r="AN151"/>
      <c r="AO151" s="3" t="s">
        <v>3113</v>
      </c>
      <c r="AP151" s="3" t="s">
        <v>258</v>
      </c>
      <c r="AQ151" t="s">
        <v>267</v>
      </c>
      <c r="AR151" t="s">
        <v>260</v>
      </c>
      <c r="AS151" s="1"/>
      <c r="AT151" s="1"/>
      <c r="AU151" s="1"/>
      <c r="AV151" s="1"/>
      <c r="AW151" s="1"/>
      <c r="AX151" s="2"/>
      <c r="AY151" s="116"/>
      <c r="AZ151" s="115"/>
      <c r="BA151" s="2"/>
      <c r="BB151" s="2"/>
      <c r="BC151" s="2"/>
      <c r="BD151" s="2"/>
      <c r="BE151" s="2"/>
      <c r="BF151" s="2"/>
      <c r="BG151" s="20">
        <f ca="1">SUM(CY151)+214.5</f>
        <v>828.96053333333327</v>
      </c>
      <c r="BH151" s="22">
        <f ca="1">PMT(10%/12,12,BG151,0,0)</f>
        <v>-72.878800766661939</v>
      </c>
      <c r="BI151" s="22">
        <f ca="1">SUM(BH151*-1)</f>
        <v>72.878800766661939</v>
      </c>
      <c r="BJ151" s="14">
        <f>SUM(DI151*0.0052)/12</f>
        <v>20.626666666666665</v>
      </c>
      <c r="BK151" s="22">
        <f ca="1">SUM(BI151+BJ151)</f>
        <v>93.505467433328604</v>
      </c>
      <c r="BL151" s="14"/>
      <c r="BM151" s="14">
        <f>SUM(BL151*0.1)</f>
        <v>0</v>
      </c>
      <c r="BN151" s="14">
        <f ca="1">SUM(BO151*BP151)</f>
        <v>0</v>
      </c>
      <c r="BO151" s="17">
        <f>SUM((BL151+BM151)*0.00833333333333333)</f>
        <v>0</v>
      </c>
      <c r="BP151" s="23">
        <f ca="1">MONTH(TODAY())+49</f>
        <v>53</v>
      </c>
      <c r="BQ151" s="14">
        <f ca="1">SUM(BL151,BM151,BN151)</f>
        <v>0</v>
      </c>
      <c r="BR151" s="14"/>
      <c r="BS151" s="14">
        <f>SUM(BR151*0.1)</f>
        <v>0</v>
      </c>
      <c r="BT151" s="14">
        <f ca="1">SUM(BU151*BV151)</f>
        <v>0</v>
      </c>
      <c r="BU151" s="17">
        <f>SUM((BR151+BS151)*0.00833333333333333)</f>
        <v>0</v>
      </c>
      <c r="BV151" s="23">
        <f ca="1">MONTH(TODAY())+37</f>
        <v>41</v>
      </c>
      <c r="BW151" s="14">
        <f ca="1">SUM(BR151,BS151,BT151)</f>
        <v>0</v>
      </c>
      <c r="BX151" s="14"/>
      <c r="BY151" s="14">
        <f>SUM(BX151*0.1)</f>
        <v>0</v>
      </c>
      <c r="BZ151" s="14">
        <f ca="1">SUM(CA151*CB151)</f>
        <v>0</v>
      </c>
      <c r="CA151" s="17">
        <f>SUM((BX151+BY151)*0.00833333333333333)</f>
        <v>0</v>
      </c>
      <c r="CB151" s="23">
        <f ca="1">MONTH(TODAY())+25</f>
        <v>29</v>
      </c>
      <c r="CC151" s="14">
        <f ca="1">SUM(BX151,BY151,BZ151)</f>
        <v>0</v>
      </c>
      <c r="CD151" s="14">
        <f>SUM(DI151*0.0052)</f>
        <v>247.51999999999998</v>
      </c>
      <c r="CE151" s="14">
        <f>SUM(CD151*0.1)</f>
        <v>24.751999999999999</v>
      </c>
      <c r="CF151" s="14">
        <f ca="1">SUM(CG151*CH151)</f>
        <v>38.571866666666644</v>
      </c>
      <c r="CG151" s="17">
        <f>SUM((CD151+CE151)*0.00833333333333333)</f>
        <v>2.2689333333333321</v>
      </c>
      <c r="CH151" s="23">
        <f ca="1">MONTH(TODAY())+13</f>
        <v>17</v>
      </c>
      <c r="CI151" s="14">
        <f ca="1">SUM(CD151,CE151,CF151)</f>
        <v>310.84386666666666</v>
      </c>
      <c r="CJ151" s="14">
        <f>SUM(DI151*0.0052)</f>
        <v>247.51999999999998</v>
      </c>
      <c r="CK151" s="14">
        <f>SUM(CJ151*0.1)</f>
        <v>24.751999999999999</v>
      </c>
      <c r="CL151" s="14">
        <f ca="1">SUM(CM151*CN151)</f>
        <v>11.344666666666662</v>
      </c>
      <c r="CM151" s="17">
        <f>SUM((CJ151+CK151)*0.00833333333333333)</f>
        <v>2.2689333333333321</v>
      </c>
      <c r="CN151" s="23">
        <f ca="1">MONTH(TODAY())+1</f>
        <v>5</v>
      </c>
      <c r="CO151" s="14">
        <f ca="1">SUM(CJ151,CK151,CL151)</f>
        <v>283.61666666666667</v>
      </c>
      <c r="CP151" s="14">
        <f>SUM(BL151, BR151,BX151,CD151,CJ151)</f>
        <v>495.03999999999996</v>
      </c>
      <c r="CQ151" s="14">
        <f>SUM(BM151, BS151,BY151,CE151,CK151)</f>
        <v>49.503999999999998</v>
      </c>
      <c r="CR151" s="14">
        <f ca="1">SUM(BN151, BT151,BZ151,CF151,CL151)</f>
        <v>49.916533333333305</v>
      </c>
      <c r="CS151" s="14">
        <f ca="1">SUM(CP151:CR151)</f>
        <v>594.46053333333327</v>
      </c>
      <c r="CT151" s="47">
        <f ca="1">SUM(CS151/DI151)</f>
        <v>1.2488666666666665E-2</v>
      </c>
      <c r="CU151" s="14">
        <v>19.5</v>
      </c>
      <c r="CV151" s="32">
        <f>COUNTIF(DB151, "*")+COUNTIF(AO151, "*")+COUNTIF(AJ151, "*")+COUNTIF(AA151, "*")+COUNTIF(DY151, "*")+COUNTIF(EE151, "*")+COUNTIF(EK151, "*")+COUNTIF(EO151, "*")+COUNTIF(EV151, "*")+COUNTIF(FC151, "*")+COUNTIF(FJ151, "*")+COUNTIF(FU151, "*")+COUNTIF(GF151, "*")+COUNTIF(GN151, "*")+COUNTIF(GV151, "*")+COUNTIF(HD151, "*")+COUNTIF(HL151, "*")</f>
        <v>1</v>
      </c>
      <c r="CW151" s="14">
        <f>CV151*0.5</f>
        <v>0.5</v>
      </c>
      <c r="CX151" s="4"/>
      <c r="CY151" s="14">
        <f ca="1">SUM(CS151,CU151,DE151, CX151, CW151,FG151)</f>
        <v>614.46053333333327</v>
      </c>
      <c r="CZ151" s="4"/>
      <c r="DA151"/>
      <c r="DB151"/>
      <c r="DC151"/>
      <c r="DD151"/>
      <c r="DE151" s="14">
        <f>SUM(CZ151:DD151)</f>
        <v>0</v>
      </c>
      <c r="DF151" s="24" t="s">
        <v>2773</v>
      </c>
      <c r="DG151" s="4">
        <v>15800</v>
      </c>
      <c r="DH151" s="4">
        <v>31800</v>
      </c>
      <c r="DI151" s="25">
        <f>SUM(DG151+DH151)</f>
        <v>47600</v>
      </c>
      <c r="DJ151" s="35">
        <v>0.72</v>
      </c>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s="4"/>
      <c r="ID151"/>
      <c r="IE151"/>
      <c r="IF151"/>
      <c r="IG151"/>
      <c r="IH151"/>
      <c r="II151"/>
      <c r="IJ151"/>
      <c r="IK151"/>
      <c r="IL151"/>
      <c r="IM151"/>
      <c r="IN151"/>
      <c r="IO151"/>
      <c r="IP151"/>
      <c r="IQ151"/>
      <c r="IR151"/>
      <c r="IS151"/>
      <c r="IT151"/>
      <c r="IU151"/>
      <c r="IV151"/>
      <c r="IW151"/>
      <c r="IX151"/>
      <c r="IY151"/>
      <c r="IZ151" s="18"/>
      <c r="JA151"/>
      <c r="JB151"/>
      <c r="JC151"/>
    </row>
    <row r="152" spans="1:263" ht="15" customHeight="1">
      <c r="A152" s="2">
        <v>102024051</v>
      </c>
      <c r="B152" t="s">
        <v>5102</v>
      </c>
      <c r="D152" s="1"/>
      <c r="E152" s="3"/>
      <c r="G152" s="3"/>
      <c r="K152" t="s">
        <v>5209</v>
      </c>
      <c r="O152" s="3"/>
      <c r="Z152" t="s">
        <v>5210</v>
      </c>
      <c r="AA152" t="s">
        <v>5211</v>
      </c>
      <c r="AB152" t="s">
        <v>267</v>
      </c>
      <c r="AC152" t="s">
        <v>260</v>
      </c>
      <c r="AG152" s="43"/>
      <c r="AJ152" t="s">
        <v>5212</v>
      </c>
      <c r="AK152" s="1" t="s">
        <v>258</v>
      </c>
      <c r="AL152" t="s">
        <v>267</v>
      </c>
      <c r="AM152" t="s">
        <v>260</v>
      </c>
      <c r="AN152"/>
      <c r="AO152" t="s">
        <v>5211</v>
      </c>
      <c r="AP152" s="1" t="s">
        <v>258</v>
      </c>
      <c r="AQ152" t="s">
        <v>267</v>
      </c>
      <c r="AR152" t="s">
        <v>260</v>
      </c>
      <c r="AX152" s="1"/>
      <c r="AY152" s="1"/>
      <c r="AZ152" s="1"/>
      <c r="BA152" s="1"/>
      <c r="BB152" s="1"/>
      <c r="BC152" s="2"/>
      <c r="BD152" s="116"/>
      <c r="BE152" s="115"/>
      <c r="BF152" s="2"/>
      <c r="BG152" s="2"/>
      <c r="BH152" s="2"/>
      <c r="BI152" s="2"/>
      <c r="BJ152" s="2"/>
      <c r="BK152" s="2"/>
      <c r="BL152" s="20">
        <f ca="1">SUM(EB152)+220</f>
        <v>4186.2271999999994</v>
      </c>
      <c r="BM152" s="22">
        <f ca="1">PMT(10%/12,12,BL152,0,0)</f>
        <v>-368.0358784343988</v>
      </c>
      <c r="BN152" s="22">
        <f ca="1">SUM(BM152*-1)</f>
        <v>368.0358784343988</v>
      </c>
      <c r="BO152" s="14">
        <f>SUM(EJ152*0.0052)/12</f>
        <v>110.93333333333334</v>
      </c>
      <c r="BP152" s="22">
        <f ca="1">SUM(BN152+BO152)</f>
        <v>478.96921176773213</v>
      </c>
      <c r="BQ152" s="14"/>
      <c r="BR152" s="14">
        <f>SUM(BQ152*0.1)</f>
        <v>0</v>
      </c>
      <c r="BS152" s="14">
        <f ca="1">SUM(BT152*BU152)</f>
        <v>0</v>
      </c>
      <c r="BT152" s="17">
        <f>SUM((BQ152+BR152)*0.00833333333333333)</f>
        <v>0</v>
      </c>
      <c r="BU152" s="23">
        <f ca="1">MONTH(TODAY())+61</f>
        <v>65</v>
      </c>
      <c r="BV152" s="14">
        <f ca="1">SUM(BQ152,BR152,BS152)</f>
        <v>0</v>
      </c>
      <c r="BW152" s="14"/>
      <c r="BX152" s="14">
        <f>SUM(BW152*0.1)</f>
        <v>0</v>
      </c>
      <c r="BY152" s="14">
        <f ca="1">SUM(BZ152*CA152)</f>
        <v>0</v>
      </c>
      <c r="BZ152" s="17">
        <f>SUM((BW152+BX152)*0.00833333333333333)</f>
        <v>0</v>
      </c>
      <c r="CA152" s="23">
        <f ca="1">MONTH(TODAY())+49</f>
        <v>53</v>
      </c>
      <c r="CB152" s="14">
        <f ca="1">SUM(BW152,BX152,BY152)</f>
        <v>0</v>
      </c>
      <c r="CC152" s="14">
        <v>0</v>
      </c>
      <c r="CD152" s="14">
        <f>SUM(CC152*0.1)</f>
        <v>0</v>
      </c>
      <c r="CE152" s="14">
        <f ca="1">SUM(CF152*CG152)</f>
        <v>0</v>
      </c>
      <c r="CF152" s="17">
        <f>SUM((CC152+CD152)*0.00833333333333333)</f>
        <v>0</v>
      </c>
      <c r="CG152" s="23">
        <f ca="1">MONTH(TODAY())+37</f>
        <v>41</v>
      </c>
      <c r="CH152" s="14">
        <f ca="1">SUM(CC152,CD152,CE152)</f>
        <v>0</v>
      </c>
      <c r="CI152" s="14">
        <f>SUM(EG152*0.0052)</f>
        <v>974.4799999999999</v>
      </c>
      <c r="CJ152" s="14">
        <f>SUM(CI152*0.1)</f>
        <v>97.447999999999993</v>
      </c>
      <c r="CK152" s="14">
        <f ca="1">SUM(CL152*CM152)</f>
        <v>259.04926666666648</v>
      </c>
      <c r="CL152" s="17">
        <f>SUM((CI152+CJ152)*0.00833333333333333)</f>
        <v>8.9327333333333279</v>
      </c>
      <c r="CM152" s="23">
        <f ca="1">MONTH(TODAY())+25</f>
        <v>29</v>
      </c>
      <c r="CN152" s="14">
        <f ca="1">SUM(CI152,CJ152,CK152)</f>
        <v>1330.9772666666663</v>
      </c>
      <c r="CO152" s="14">
        <f>SUM(EG152*0.0052)/2</f>
        <v>487.23999999999995</v>
      </c>
      <c r="CP152" s="14">
        <f>SUM(CO152*0.1)</f>
        <v>48.723999999999997</v>
      </c>
      <c r="CQ152" s="14">
        <f ca="1">SUM(CR152*CS152)</f>
        <v>93.793699999999944</v>
      </c>
      <c r="CR152" s="17">
        <f>SUM((CO152+CP152)*0.00833333333333333)</f>
        <v>4.4663666666666639</v>
      </c>
      <c r="CS152" s="23">
        <f ca="1">MONTH(TODAY())+17</f>
        <v>21</v>
      </c>
      <c r="CT152" s="23">
        <f ca="1">SUM(CO152,CP152,CQ152)</f>
        <v>629.75769999999989</v>
      </c>
      <c r="CU152" s="14">
        <f>SUM(EG152*0.0052)/2</f>
        <v>487.23999999999995</v>
      </c>
      <c r="CV152" s="14">
        <f>SUM(CU152*0.1)</f>
        <v>48.723999999999997</v>
      </c>
      <c r="CW152" s="14">
        <f ca="1">SUM(CX152*CY152)</f>
        <v>75.928233333333282</v>
      </c>
      <c r="CX152" s="17">
        <f>SUM((CU152+CV152)*0.00833333333333333)</f>
        <v>4.4663666666666639</v>
      </c>
      <c r="CY152" s="23">
        <f ca="1">MONTH(TODAY())+13</f>
        <v>17</v>
      </c>
      <c r="CZ152" s="23">
        <f ca="1">SUM(CU152,CV152,CW152)</f>
        <v>611.89223333333325</v>
      </c>
      <c r="DA152" s="14">
        <f>SUM(EJ152*0.0045)/2</f>
        <v>576</v>
      </c>
      <c r="DB152" s="14">
        <f>SUM(DA152*0.1)</f>
        <v>57.6</v>
      </c>
      <c r="DC152" s="14">
        <f ca="1">SUM(DD152*DE152)</f>
        <v>58.07999999999997</v>
      </c>
      <c r="DD152" s="17">
        <f>SUM((DA152+DB152)*0.00833333333333333)</f>
        <v>5.2799999999999976</v>
      </c>
      <c r="DE152" s="23">
        <f ca="1">MONTH(TODAY())+7</f>
        <v>11</v>
      </c>
      <c r="DF152" s="23">
        <f ca="1">SUM(DA152,DB152,DC152)</f>
        <v>691.68</v>
      </c>
      <c r="DG152" s="14">
        <f>SUM(EJ152*0.0045)/2</f>
        <v>576</v>
      </c>
      <c r="DH152" s="14">
        <f>SUM(DG152*0.1)</f>
        <v>57.6</v>
      </c>
      <c r="DI152" s="14">
        <f ca="1">SUM(DJ152*DK152)</f>
        <v>26.399999999999988</v>
      </c>
      <c r="DJ152" s="17">
        <f>SUM((DG152+DH152)*0.00833333333333333)</f>
        <v>5.2799999999999976</v>
      </c>
      <c r="DK152" s="23">
        <f ca="1">MONTH(TODAY())+1</f>
        <v>5</v>
      </c>
      <c r="DL152" s="14">
        <f ca="1">SUM(DG152,DH152,DI152)</f>
        <v>660</v>
      </c>
      <c r="DM152" s="14">
        <f>SUM( BQ152, BW152, CC152, CI152, CO152,CU152,DA152,DG152)</f>
        <v>3100.96</v>
      </c>
      <c r="DN152" s="14">
        <f t="shared" ref="DN152:DO154" si="33">SUM(BR152,BX152,CD152,CJ152, CP152,CV152,DB152,DH152)</f>
        <v>310.096</v>
      </c>
      <c r="DO152" s="14">
        <f t="shared" ca="1" si="33"/>
        <v>513.2511999999997</v>
      </c>
      <c r="DP152" s="25">
        <f ca="1">SUM(DM152:DO152)</f>
        <v>3924.3071999999997</v>
      </c>
      <c r="DQ152" s="47">
        <f ca="1">SUM(DP152/EG152)</f>
        <v>2.0940806830309498E-2</v>
      </c>
      <c r="DR152" s="14">
        <v>40</v>
      </c>
      <c r="DS152" s="32">
        <f>COUNTIF(AO152, "*")+COUNTIF(AJ152, "*")+COUNTIF(AA152, "*")+COUNTIF(EU152, "*")+COUNTIF(FA152, "*")+COUNTIF(FG152, "*")+COUNTIF(FK152, "*")+COUNTIF(FR152, "*")+COUNTIF(AT152, "*")+COUNTIF(GA152, "*")+COUNTIF(GL152, "*")+COUNTIF(GW152, "*")+COUNTIF(HE152, "*")+COUNTIF(HM152, "*")+COUNTIF(HU152, "*")</f>
        <v>3</v>
      </c>
      <c r="DT152" s="14">
        <f>DS152*0.64</f>
        <v>1.92</v>
      </c>
      <c r="DU152" s="4"/>
      <c r="DV152" s="4"/>
      <c r="DW152" s="4"/>
      <c r="DX152" s="4"/>
      <c r="DZ152" s="4"/>
      <c r="EA152" s="14">
        <f>SUM(DV152:DZ152)</f>
        <v>0</v>
      </c>
      <c r="EB152" s="14">
        <f ca="1">SUM(DP152,DR152,EA152, DU152, DT152,FX152)</f>
        <v>3966.2271999999998</v>
      </c>
      <c r="EC152" s="24" t="s">
        <v>4944</v>
      </c>
      <c r="ED152" s="130">
        <f>0.08+0.1+0.11+0.12</f>
        <v>0.41</v>
      </c>
      <c r="EE152" s="14">
        <f>8300+8300+7500+5300</f>
        <v>29400</v>
      </c>
      <c r="EF152" s="14">
        <v>158000</v>
      </c>
      <c r="EG152" s="14">
        <f>SUM(EE152+EF152)</f>
        <v>187400</v>
      </c>
      <c r="EH152" s="14">
        <f>8300+8300+7500+5300</f>
        <v>29400</v>
      </c>
      <c r="EI152" s="14">
        <v>226600</v>
      </c>
      <c r="EJ152" s="14">
        <f>SUM(EH152+EI152)</f>
        <v>256000</v>
      </c>
      <c r="FX152" s="4"/>
      <c r="HY152" s="9"/>
      <c r="IJ152" s="4"/>
      <c r="IK152" s="4"/>
      <c r="IL152" s="4"/>
      <c r="IM152" s="9"/>
      <c r="IN152" s="9"/>
      <c r="IO152" s="9"/>
      <c r="IP152" s="9"/>
      <c r="IQ152" s="9"/>
    </row>
    <row r="153" spans="1:263" ht="15" customHeight="1">
      <c r="A153" s="2">
        <v>102024050</v>
      </c>
      <c r="B153" t="s">
        <v>5088</v>
      </c>
      <c r="D153" s="1"/>
      <c r="E153" s="3"/>
      <c r="G153" s="3"/>
      <c r="K153" t="s">
        <v>5209</v>
      </c>
      <c r="O153" s="3"/>
      <c r="Z153" t="s">
        <v>5210</v>
      </c>
      <c r="AA153" t="s">
        <v>5211</v>
      </c>
      <c r="AB153" t="s">
        <v>267</v>
      </c>
      <c r="AC153" t="s">
        <v>260</v>
      </c>
      <c r="AG153" s="43"/>
      <c r="AJ153" t="s">
        <v>328</v>
      </c>
      <c r="AK153" s="1"/>
      <c r="AL153" t="s">
        <v>267</v>
      </c>
      <c r="AM153"/>
      <c r="AN153"/>
      <c r="AO153" t="s">
        <v>5211</v>
      </c>
      <c r="AP153" s="1" t="s">
        <v>258</v>
      </c>
      <c r="AQ153" t="s">
        <v>267</v>
      </c>
      <c r="AR153" t="s">
        <v>260</v>
      </c>
      <c r="AX153" s="1"/>
      <c r="AY153" s="1"/>
      <c r="AZ153" s="1"/>
      <c r="BA153" s="1"/>
      <c r="BB153" s="1"/>
      <c r="BC153" s="2"/>
      <c r="BD153" s="116"/>
      <c r="BE153" s="115"/>
      <c r="BF153" s="2"/>
      <c r="BG153" s="2"/>
      <c r="BH153" s="2"/>
      <c r="BI153" s="2"/>
      <c r="BJ153" s="2"/>
      <c r="BK153" s="2"/>
      <c r="BL153" s="20">
        <f ca="1">SUM(EB153)+220</f>
        <v>448.19839999999999</v>
      </c>
      <c r="BM153" s="22">
        <f ca="1">PMT(10%/12,12,BL153,0,0)</f>
        <v>-39.403759991070729</v>
      </c>
      <c r="BN153" s="22">
        <f ca="1">SUM(BM153*-1)</f>
        <v>39.403759991070729</v>
      </c>
      <c r="BO153" s="14">
        <f>SUM(EJ153*0.0052)/12</f>
        <v>4.246666666666667</v>
      </c>
      <c r="BP153" s="22">
        <f ca="1">SUM(BN153+BO153)</f>
        <v>43.650426657737398</v>
      </c>
      <c r="BQ153" s="14"/>
      <c r="BR153" s="14">
        <f>SUM(BQ153*0.1)</f>
        <v>0</v>
      </c>
      <c r="BS153" s="14">
        <f ca="1">SUM(BT153*BU153)</f>
        <v>0</v>
      </c>
      <c r="BT153" s="17">
        <f>SUM((BQ153+BR153)*0.00833333333333333)</f>
        <v>0</v>
      </c>
      <c r="BU153" s="23">
        <f ca="1">MONTH(TODAY())+61</f>
        <v>65</v>
      </c>
      <c r="BV153" s="14">
        <f ca="1">SUM(BQ153,BR153,BS153)</f>
        <v>0</v>
      </c>
      <c r="BW153" s="14"/>
      <c r="BX153" s="14">
        <f>SUM(BW153*0.1)</f>
        <v>0</v>
      </c>
      <c r="BY153" s="14">
        <f ca="1">SUM(BZ153*CA153)</f>
        <v>0</v>
      </c>
      <c r="BZ153" s="17">
        <f>SUM((BW153+BX153)*0.00833333333333333)</f>
        <v>0</v>
      </c>
      <c r="CA153" s="23">
        <f ca="1">MONTH(TODAY())+49</f>
        <v>53</v>
      </c>
      <c r="CB153" s="14">
        <f ca="1">SUM(BW153,BX153,BY153)</f>
        <v>0</v>
      </c>
      <c r="CC153" s="14">
        <v>0</v>
      </c>
      <c r="CD153" s="14">
        <f>SUM(CC153*0.1)</f>
        <v>0</v>
      </c>
      <c r="CE153" s="14">
        <f ca="1">SUM(CF153*CG153)</f>
        <v>0</v>
      </c>
      <c r="CF153" s="17">
        <f>SUM((CC153+CD153)*0.00833333333333333)</f>
        <v>0</v>
      </c>
      <c r="CG153" s="23">
        <f ca="1">MONTH(TODAY())+37</f>
        <v>41</v>
      </c>
      <c r="CH153" s="14">
        <f ca="1">SUM(CC153,CD153,CE153)</f>
        <v>0</v>
      </c>
      <c r="CI153" s="14">
        <f>SUM(EG153*0.0052)</f>
        <v>50.96</v>
      </c>
      <c r="CJ153" s="14">
        <f>SUM(CI153*0.1)</f>
        <v>5.0960000000000001</v>
      </c>
      <c r="CK153" s="14">
        <f ca="1">SUM(CL153*CM153)</f>
        <v>13.546866666666661</v>
      </c>
      <c r="CL153" s="17">
        <f>SUM((CI153+CJ153)*0.00833333333333333)</f>
        <v>0.46713333333333312</v>
      </c>
      <c r="CM153" s="23">
        <f ca="1">MONTH(TODAY())+25</f>
        <v>29</v>
      </c>
      <c r="CN153" s="14">
        <f ca="1">SUM(CI153,CJ153,CK153)</f>
        <v>69.602866666666657</v>
      </c>
      <c r="CO153" s="14">
        <f>SUM(EG153*0.0052)/2</f>
        <v>25.48</v>
      </c>
      <c r="CP153" s="14">
        <f>SUM(CO153*0.1)</f>
        <v>2.548</v>
      </c>
      <c r="CQ153" s="14">
        <f ca="1">SUM(CR153*CS153)</f>
        <v>4.9048999999999978</v>
      </c>
      <c r="CR153" s="17">
        <f>SUM((CO153+CP153)*0.00833333333333333)</f>
        <v>0.23356666666666656</v>
      </c>
      <c r="CS153" s="23">
        <f ca="1">MONTH(TODAY())+17</f>
        <v>21</v>
      </c>
      <c r="CT153" s="23">
        <f ca="1">SUM(CO153,CP153,CQ153)</f>
        <v>32.932899999999997</v>
      </c>
      <c r="CU153" s="14">
        <f>SUM(EG153*0.0052)/2</f>
        <v>25.48</v>
      </c>
      <c r="CV153" s="14">
        <f>SUM(CU153*0.1)</f>
        <v>2.548</v>
      </c>
      <c r="CW153" s="14">
        <f ca="1">SUM(CX153*CY153)</f>
        <v>3.9706333333333315</v>
      </c>
      <c r="CX153" s="17">
        <f>SUM((CU153+CV153)*0.00833333333333333)</f>
        <v>0.23356666666666656</v>
      </c>
      <c r="CY153" s="23">
        <f ca="1">MONTH(TODAY())+13</f>
        <v>17</v>
      </c>
      <c r="CZ153" s="23">
        <f ca="1">SUM(CU153,CV153,CW153)</f>
        <v>31.998633333333331</v>
      </c>
      <c r="DA153" s="14">
        <f>SUM(EJ153*0.0045)/2</f>
        <v>22.049999999999997</v>
      </c>
      <c r="DB153" s="14">
        <f>SUM(DA153*0.1)</f>
        <v>2.2049999999999996</v>
      </c>
      <c r="DC153" s="14">
        <f ca="1">SUM(DD153*DE153)</f>
        <v>2.223374999999999</v>
      </c>
      <c r="DD153" s="17">
        <f>SUM((DA153+DB153)*0.00833333333333333)</f>
        <v>0.20212499999999989</v>
      </c>
      <c r="DE153" s="23">
        <f ca="1">MONTH(TODAY())+7</f>
        <v>11</v>
      </c>
      <c r="DF153" s="23">
        <f ca="1">SUM(DA153,DB153,DC153)</f>
        <v>26.478374999999993</v>
      </c>
      <c r="DG153" s="14">
        <f>SUM(EJ153*0.0045)/2</f>
        <v>22.049999999999997</v>
      </c>
      <c r="DH153" s="14">
        <f>SUM(DG153*0.1)</f>
        <v>2.2049999999999996</v>
      </c>
      <c r="DI153" s="14">
        <f ca="1">SUM(DJ153*DK153)</f>
        <v>1.0106249999999994</v>
      </c>
      <c r="DJ153" s="17">
        <f>SUM((DG153+DH153)*0.00833333333333333)</f>
        <v>0.20212499999999989</v>
      </c>
      <c r="DK153" s="23">
        <f ca="1">MONTH(TODAY())+1</f>
        <v>5</v>
      </c>
      <c r="DL153" s="14">
        <f ca="1">SUM(DG153,DH153,DI153)</f>
        <v>25.265624999999996</v>
      </c>
      <c r="DM153" s="14">
        <f>SUM( BQ153, BW153, CC153, CI153, CO153,CU153,DA153,DG153)</f>
        <v>146.01999999999998</v>
      </c>
      <c r="DN153" s="14">
        <f t="shared" si="33"/>
        <v>14.602</v>
      </c>
      <c r="DO153" s="14">
        <f t="shared" ca="1" si="33"/>
        <v>25.656399999999987</v>
      </c>
      <c r="DP153" s="25">
        <f ca="1">SUM(DM153:DO153)</f>
        <v>186.27839999999998</v>
      </c>
      <c r="DQ153" s="47">
        <f ca="1">SUM(DP153/EG153)</f>
        <v>1.9007999999999997E-2</v>
      </c>
      <c r="DR153" s="14">
        <v>40</v>
      </c>
      <c r="DS153" s="32">
        <f>COUNTIF(AO153, "*")+COUNTIF(AJ153, "*")+COUNTIF(AA153, "*")+COUNTIF(EU153, "*")+COUNTIF(FA153, "*")+COUNTIF(FG153, "*")+COUNTIF(FK153, "*")+COUNTIF(FR153, "*")+COUNTIF(AT153, "*")+COUNTIF(GA153, "*")+COUNTIF(GL153, "*")+COUNTIF(GW153, "*")+COUNTIF(HE153, "*")+COUNTIF(HM153, "*")+COUNTIF(HU153, "*")</f>
        <v>3</v>
      </c>
      <c r="DT153" s="14">
        <f>DS153*0.64</f>
        <v>1.92</v>
      </c>
      <c r="DU153" s="4"/>
      <c r="DV153" s="4"/>
      <c r="DW153" s="4"/>
      <c r="DX153" s="4"/>
      <c r="DZ153" s="4"/>
      <c r="EA153" s="14">
        <f>SUM(DV153:DZ153)</f>
        <v>0</v>
      </c>
      <c r="EB153" s="14">
        <f ca="1">SUM(DP153,DR153,EA153, DU153, DT153,FX153)</f>
        <v>228.19839999999996</v>
      </c>
      <c r="EC153" s="24" t="s">
        <v>4944</v>
      </c>
      <c r="ED153" s="130">
        <v>0.5</v>
      </c>
      <c r="EE153" s="14">
        <v>9800</v>
      </c>
      <c r="EF153" s="14">
        <v>0</v>
      </c>
      <c r="EG153" s="14">
        <f>SUM(EE153+EF153)</f>
        <v>9800</v>
      </c>
      <c r="EH153" s="14">
        <v>9800</v>
      </c>
      <c r="EI153" s="14">
        <v>0</v>
      </c>
      <c r="EJ153" s="14">
        <f>SUM(EH153+EI153)</f>
        <v>9800</v>
      </c>
      <c r="FX153" s="4"/>
      <c r="HY153" s="9"/>
      <c r="IJ153" s="4"/>
      <c r="IK153" s="4"/>
      <c r="IL153" s="4"/>
      <c r="IM153" s="9"/>
      <c r="IN153" s="9"/>
      <c r="IO153" s="9"/>
      <c r="IP153" s="9"/>
      <c r="IQ153" s="9"/>
    </row>
    <row r="154" spans="1:263" ht="15" customHeight="1">
      <c r="A154" s="19">
        <v>102023106</v>
      </c>
      <c r="B154" s="18" t="s">
        <v>4381</v>
      </c>
      <c r="D154" s="1">
        <v>2025</v>
      </c>
      <c r="E154" s="3"/>
      <c r="G154" s="3"/>
      <c r="J154" s="18"/>
      <c r="K154" s="18" t="s">
        <v>4419</v>
      </c>
      <c r="L154" s="18"/>
      <c r="M154" s="18"/>
      <c r="N154" s="18"/>
      <c r="O154" s="19"/>
      <c r="P154" s="18"/>
      <c r="Q154" s="18"/>
      <c r="R154" s="18"/>
      <c r="S154" s="18"/>
      <c r="Z154" t="s">
        <v>4421</v>
      </c>
      <c r="AA154" t="s">
        <v>4420</v>
      </c>
      <c r="AB154" t="s">
        <v>290</v>
      </c>
      <c r="AC154" t="s">
        <v>260</v>
      </c>
      <c r="AG154" s="43"/>
      <c r="AJ154" t="s">
        <v>328</v>
      </c>
      <c r="AL154" s="18" t="s">
        <v>290</v>
      </c>
      <c r="AM154"/>
      <c r="AN154"/>
      <c r="AO154" s="18" t="s">
        <v>4420</v>
      </c>
      <c r="AP154" s="3" t="s">
        <v>258</v>
      </c>
      <c r="AQ154" s="18" t="s">
        <v>290</v>
      </c>
      <c r="AR154" s="18" t="s">
        <v>260</v>
      </c>
      <c r="AX154" s="1"/>
      <c r="AY154" s="1"/>
      <c r="AZ154" s="1"/>
      <c r="BA154" s="1"/>
      <c r="BB154" s="1"/>
      <c r="BC154" s="2"/>
      <c r="BD154" s="116"/>
      <c r="BE154" s="115"/>
      <c r="BF154" s="2"/>
      <c r="BG154" s="2"/>
      <c r="BH154" s="2"/>
      <c r="BI154" s="2"/>
      <c r="BJ154" s="2"/>
      <c r="BK154" s="2"/>
      <c r="BL154" s="20">
        <f ca="1">SUM(EB154)+220</f>
        <v>515.51520000000005</v>
      </c>
      <c r="BM154" s="22">
        <f ca="1">PMT(10%/12,12,BL154,0,0)</f>
        <v>-45.321976188555844</v>
      </c>
      <c r="BN154" s="22">
        <f ca="1">SUM(BM154*-1)</f>
        <v>45.321976188555844</v>
      </c>
      <c r="BO154" s="14">
        <f>SUM(EJ154*0.0052)/12</f>
        <v>6.2399999999999993</v>
      </c>
      <c r="BP154" s="22">
        <f ca="1">SUM(BN154+BO154)</f>
        <v>51.561976188555846</v>
      </c>
      <c r="BQ154" s="14"/>
      <c r="BR154" s="14">
        <f>SUM(BQ154*0.1)</f>
        <v>0</v>
      </c>
      <c r="BS154" s="14">
        <f ca="1">SUM(BT154*BU154)</f>
        <v>0</v>
      </c>
      <c r="BT154" s="17">
        <f>SUM((BQ154+BR154)*0.00833333333333333)</f>
        <v>0</v>
      </c>
      <c r="BU154" s="23">
        <f ca="1">MONTH(TODAY())+61</f>
        <v>65</v>
      </c>
      <c r="BV154" s="14">
        <f ca="1">SUM(BQ154,BR154,BS154)</f>
        <v>0</v>
      </c>
      <c r="BW154" s="14"/>
      <c r="BX154" s="14">
        <f>SUM(BW154*0.1)</f>
        <v>0</v>
      </c>
      <c r="BY154" s="14">
        <f ca="1">SUM(BZ154*CA154)</f>
        <v>0</v>
      </c>
      <c r="BZ154" s="17">
        <f>SUM((BW154+BX154)*0.00833333333333333)</f>
        <v>0</v>
      </c>
      <c r="CA154" s="23">
        <f ca="1">MONTH(TODAY())+49</f>
        <v>53</v>
      </c>
      <c r="CB154" s="14">
        <f ca="1">SUM(BW154,BX154,BY154)</f>
        <v>0</v>
      </c>
      <c r="CC154" s="14">
        <v>0</v>
      </c>
      <c r="CD154" s="14">
        <f>SUM(CC154*0.1)</f>
        <v>0</v>
      </c>
      <c r="CE154" s="14">
        <f ca="1">SUM(CF154*CG154)</f>
        <v>0</v>
      </c>
      <c r="CF154" s="17">
        <f>SUM((CC154+CD154)*0.00833333333333333)</f>
        <v>0</v>
      </c>
      <c r="CG154" s="23">
        <f ca="1">MONTH(TODAY())+37</f>
        <v>41</v>
      </c>
      <c r="CH154" s="14">
        <f ca="1">SUM(CC154,CD154,CE154)</f>
        <v>0</v>
      </c>
      <c r="CI154" s="14">
        <f>SUM(EG154*0.0052)</f>
        <v>74.88</v>
      </c>
      <c r="CJ154" s="14">
        <f>SUM(CI154*0.1)</f>
        <v>7.4879999999999995</v>
      </c>
      <c r="CK154" s="14">
        <f ca="1">SUM(CL154*CM154)</f>
        <v>19.905599999999989</v>
      </c>
      <c r="CL154" s="17">
        <f>SUM((CI154+CJ154)*0.00833333333333333)</f>
        <v>0.68639999999999968</v>
      </c>
      <c r="CM154" s="23">
        <f ca="1">MONTH(TODAY())+25</f>
        <v>29</v>
      </c>
      <c r="CN154" s="14">
        <f ca="1">SUM(CI154,CJ154,CK154)</f>
        <v>102.27359999999999</v>
      </c>
      <c r="CO154" s="14">
        <f>SUM(EG154*0.0052)/2</f>
        <v>37.44</v>
      </c>
      <c r="CP154" s="14">
        <f>SUM(CO154*0.1)</f>
        <v>3.7439999999999998</v>
      </c>
      <c r="CQ154" s="14">
        <f ca="1">SUM(CR154*CS154)</f>
        <v>7.2071999999999967</v>
      </c>
      <c r="CR154" s="17">
        <f>SUM((CO154+CP154)*0.00833333333333333)</f>
        <v>0.34319999999999984</v>
      </c>
      <c r="CS154" s="23">
        <f ca="1">MONTH(TODAY())+17</f>
        <v>21</v>
      </c>
      <c r="CT154" s="23">
        <f ca="1">SUM(CO154,CP154,CQ154)</f>
        <v>48.391199999999998</v>
      </c>
      <c r="CU154" s="14">
        <f>SUM(EG154*0.0052)/2</f>
        <v>37.44</v>
      </c>
      <c r="CV154" s="14">
        <f>SUM(CU154*0.1)</f>
        <v>3.7439999999999998</v>
      </c>
      <c r="CW154" s="14">
        <f ca="1">SUM(CX154*CY154)</f>
        <v>5.8343999999999969</v>
      </c>
      <c r="CX154" s="17">
        <f>SUM((CU154+CV154)*0.00833333333333333)</f>
        <v>0.34319999999999984</v>
      </c>
      <c r="CY154" s="23">
        <f ca="1">MONTH(TODAY())+13</f>
        <v>17</v>
      </c>
      <c r="CZ154" s="23">
        <f ca="1">SUM(CU154,CV154,CW154)</f>
        <v>47.018399999999993</v>
      </c>
      <c r="DA154" s="14">
        <f>SUM(EJ154*0.0045)/2</f>
        <v>32.4</v>
      </c>
      <c r="DB154" s="14">
        <f>SUM(DA154*0.1)</f>
        <v>3.24</v>
      </c>
      <c r="DC154" s="14">
        <f ca="1">SUM(DD154*DE154)</f>
        <v>3.2669999999999986</v>
      </c>
      <c r="DD154" s="17">
        <f>SUM((DA154+DB154)*0.00833333333333333)</f>
        <v>0.29699999999999988</v>
      </c>
      <c r="DE154" s="23">
        <f ca="1">MONTH(TODAY())+7</f>
        <v>11</v>
      </c>
      <c r="DF154" s="23">
        <f ca="1">SUM(DA154,DB154,DC154)</f>
        <v>38.906999999999996</v>
      </c>
      <c r="DG154" s="14">
        <f>SUM(EJ154*0.0045)/2</f>
        <v>32.4</v>
      </c>
      <c r="DH154" s="14">
        <f>SUM(DG154*0.1)</f>
        <v>3.24</v>
      </c>
      <c r="DI154" s="14">
        <f ca="1">SUM(DJ154*DK154)</f>
        <v>1.4849999999999994</v>
      </c>
      <c r="DJ154" s="17">
        <f>SUM((DG154+DH154)*0.00833333333333333)</f>
        <v>0.29699999999999988</v>
      </c>
      <c r="DK154" s="23">
        <f ca="1">MONTH(TODAY())+1</f>
        <v>5</v>
      </c>
      <c r="DL154" s="14">
        <f ca="1">SUM(DG154,DH154,DI154)</f>
        <v>37.125</v>
      </c>
      <c r="DM154" s="14">
        <f>SUM( BQ154, BW154, CC154, CI154, CO154,CU154,DA154,DG154)</f>
        <v>214.56</v>
      </c>
      <c r="DN154" s="14">
        <f t="shared" si="33"/>
        <v>21.456000000000003</v>
      </c>
      <c r="DO154" s="14">
        <f t="shared" ca="1" si="33"/>
        <v>37.699199999999976</v>
      </c>
      <c r="DP154" s="25">
        <f ca="1">SUM(DM154:DO154)</f>
        <v>273.71519999999998</v>
      </c>
      <c r="DQ154" s="47">
        <f ca="1">SUM(DP154/EG154)</f>
        <v>1.9007999999999997E-2</v>
      </c>
      <c r="DR154" s="14">
        <v>20</v>
      </c>
      <c r="DS154" s="32">
        <f>COUNTIF(DX154, "*")+COUNTIF(AO154, "*")+COUNTIF(AJ154, "*")+COUNTIF(AA154, "*")+COUNTIF(EU154, "*")+COUNTIF(FA154, "*")+COUNTIF(FG154, "*")+COUNTIF(FK154, "*")+COUNTIF(FR154, "*")+COUNTIF(AT154, "*")+COUNTIF(GA154, "*")+COUNTIF(GL154, "*")+COUNTIF(GW154, "*")+COUNTIF(HE154, "*")+COUNTIF(HM154, "*")+COUNTIF(HU154, "*")</f>
        <v>3</v>
      </c>
      <c r="DT154" s="14">
        <f>DS154*0.6</f>
        <v>1.7999999999999998</v>
      </c>
      <c r="DU154" s="4"/>
      <c r="DV154" s="4"/>
      <c r="DW154" s="4"/>
      <c r="DX154" s="4"/>
      <c r="DZ154" s="4"/>
      <c r="EA154" s="14">
        <f>SUM(DV154:DZ154)</f>
        <v>0</v>
      </c>
      <c r="EB154" s="14">
        <f ca="1">SUM(DP154,DR154,EA154, DU154, DT154,FX154)</f>
        <v>295.51519999999999</v>
      </c>
      <c r="EC154" s="24" t="s">
        <v>3879</v>
      </c>
      <c r="ED154" s="130">
        <v>0.48899999999999999</v>
      </c>
      <c r="EE154" s="14">
        <v>14400</v>
      </c>
      <c r="EF154" s="14">
        <v>0</v>
      </c>
      <c r="EG154" s="14">
        <f>SUM(EE154+EF154)</f>
        <v>14400</v>
      </c>
      <c r="EH154" s="14">
        <v>14400</v>
      </c>
      <c r="EI154" s="14">
        <v>0</v>
      </c>
      <c r="EJ154" s="14">
        <f>SUM(EH154+EI154)</f>
        <v>14400</v>
      </c>
      <c r="FX154" s="4"/>
      <c r="IA154" s="9"/>
      <c r="IL154" s="14">
        <f ca="1">SUM(IB154-EB154-FX154-IJ154)</f>
        <v>-295.51519999999999</v>
      </c>
      <c r="IM154" s="14"/>
      <c r="IN154" s="14"/>
      <c r="IO154" s="9"/>
      <c r="IP154" s="9"/>
      <c r="IQ154" s="9"/>
      <c r="IR154" s="9"/>
      <c r="IS154" s="9"/>
    </row>
    <row r="155" spans="1:263" ht="15" customHeight="1">
      <c r="A155" s="18">
        <v>102021070</v>
      </c>
      <c r="B155" s="18" t="s">
        <v>2031</v>
      </c>
      <c r="C155" s="28"/>
      <c r="D155" s="159"/>
      <c r="E155" s="150"/>
      <c r="F155" s="149"/>
      <c r="G155" s="150">
        <v>210001611</v>
      </c>
      <c r="H155" s="28"/>
      <c r="I155" s="28"/>
      <c r="J155" s="28" t="s">
        <v>253</v>
      </c>
      <c r="K155" s="28" t="s">
        <v>2002</v>
      </c>
      <c r="L155" s="28" t="s">
        <v>1310</v>
      </c>
      <c r="M155" s="28" t="s">
        <v>357</v>
      </c>
      <c r="N155" s="28"/>
      <c r="O155" s="150"/>
      <c r="P155" s="28"/>
      <c r="Q155" s="28"/>
      <c r="R155" s="28"/>
      <c r="S155" s="28"/>
      <c r="T155" s="28"/>
      <c r="U155" s="28"/>
      <c r="V155" s="28"/>
      <c r="W155" s="28"/>
      <c r="X155" s="28"/>
      <c r="Y155" s="28"/>
      <c r="Z155" s="28"/>
      <c r="AA155" s="28"/>
      <c r="AB155" s="28"/>
      <c r="AC155" s="28"/>
      <c r="AD155" s="28"/>
      <c r="AE155" s="28"/>
      <c r="AF155" s="28"/>
      <c r="AG155" s="148" t="s">
        <v>2245</v>
      </c>
      <c r="AH155" s="28"/>
      <c r="AI155" s="28"/>
      <c r="AJ155" s="18"/>
      <c r="AK155" s="13"/>
      <c r="AL155" s="18"/>
      <c r="AM155" s="18"/>
      <c r="AN155" s="18"/>
      <c r="AO155" s="18" t="s">
        <v>2196</v>
      </c>
      <c r="AP155" s="13" t="s">
        <v>258</v>
      </c>
      <c r="AQ155" s="18" t="s">
        <v>386</v>
      </c>
      <c r="AR155" s="18" t="s">
        <v>260</v>
      </c>
      <c r="AS155" s="18"/>
      <c r="AT155" s="18"/>
      <c r="AU155" s="18"/>
      <c r="AV155" s="18"/>
      <c r="AW155" s="18"/>
      <c r="AX155" s="13"/>
      <c r="AY155" s="13"/>
      <c r="AZ155" s="13"/>
      <c r="BA155" s="13"/>
      <c r="BB155" s="13"/>
      <c r="BC155" s="48"/>
      <c r="BD155" s="114"/>
      <c r="BE155" s="143"/>
      <c r="BF155" s="48"/>
      <c r="BG155" s="19"/>
      <c r="BH155" s="48"/>
      <c r="BI155" s="48"/>
      <c r="BJ155" s="48"/>
      <c r="BK155" s="48"/>
      <c r="BL155" s="20">
        <f ca="1">SUM(EH155)+220</f>
        <v>2038.146833333333</v>
      </c>
      <c r="BM155" s="22">
        <f ca="1">PMT(10%/12,12,BL155,0,0)</f>
        <v>-179.18548715753445</v>
      </c>
      <c r="BN155" s="22">
        <f ca="1">SUM(BM155*-1)</f>
        <v>179.18548715753445</v>
      </c>
      <c r="BO155" s="14">
        <f>SUM(EP155*0.0052)/12</f>
        <v>19.066666666666666</v>
      </c>
      <c r="BP155" s="22">
        <f ca="1">SUM(BN155+BO155)</f>
        <v>198.25215382420112</v>
      </c>
      <c r="BQ155" s="14">
        <f>SUM(EM155*0.0052)</f>
        <v>197.6</v>
      </c>
      <c r="BR155" s="14">
        <f>SUM(BQ155*0.1)</f>
        <v>19.760000000000002</v>
      </c>
      <c r="BS155" s="14">
        <f ca="1">SUM(BT155*BU155)</f>
        <v>96.000666666666618</v>
      </c>
      <c r="BT155" s="17">
        <f>SUM((BQ155+BR155)*0.00833333333333333)</f>
        <v>1.8113333333333324</v>
      </c>
      <c r="BU155" s="23">
        <f ca="1">MONTH(TODAY())+49</f>
        <v>53</v>
      </c>
      <c r="BV155" s="14">
        <f ca="1">SUM(BQ155,BR155,BS155)</f>
        <v>313.36066666666659</v>
      </c>
      <c r="BW155" s="14">
        <f>SUM(EM155*0.0052)</f>
        <v>197.6</v>
      </c>
      <c r="BX155" s="14">
        <f>SUM(BW155*0.1)</f>
        <v>19.760000000000002</v>
      </c>
      <c r="BY155" s="14">
        <f ca="1">SUM(BZ155*CA155)</f>
        <v>74.264666666666628</v>
      </c>
      <c r="BZ155" s="17">
        <f>SUM((BW155+BX155)*0.00833333333333333)</f>
        <v>1.8113333333333324</v>
      </c>
      <c r="CA155" s="23">
        <f ca="1">MONTH(TODAY())+37</f>
        <v>41</v>
      </c>
      <c r="CB155" s="14">
        <f ca="1">SUM(BW155,BX155,BY155)</f>
        <v>291.6246666666666</v>
      </c>
      <c r="CC155" s="14">
        <f>SUM(EM155*0.0052)</f>
        <v>197.6</v>
      </c>
      <c r="CD155" s="14">
        <f>SUM(CC155*0.1)</f>
        <v>19.760000000000002</v>
      </c>
      <c r="CE155" s="14">
        <f ca="1">SUM(CF155*CG155)</f>
        <v>52.528666666666638</v>
      </c>
      <c r="CF155" s="17">
        <f>SUM((CC155+CD155)*0.00833333333333333)</f>
        <v>1.8113333333333324</v>
      </c>
      <c r="CG155" s="23">
        <f ca="1">MONTH(TODAY())+25</f>
        <v>29</v>
      </c>
      <c r="CH155" s="14">
        <f ca="1">SUM(CC155,CD155,CE155)</f>
        <v>269.88866666666661</v>
      </c>
      <c r="CI155" s="14">
        <f>SUM(EM155*0.0052)/2</f>
        <v>98.8</v>
      </c>
      <c r="CJ155" s="14">
        <f>SUM(CI155*0.1)</f>
        <v>9.8800000000000008</v>
      </c>
      <c r="CK155" s="14">
        <f ca="1">SUM(CL155*CM155)</f>
        <v>19.018999999999991</v>
      </c>
      <c r="CL155" s="17">
        <f>SUM((CI155+CJ155)*0.00833333333333333)</f>
        <v>0.90566666666666618</v>
      </c>
      <c r="CM155" s="23">
        <f ca="1">MONTH(TODAY())+17</f>
        <v>21</v>
      </c>
      <c r="CN155" s="23">
        <f ca="1">SUM(CI155,CJ155,CK155)</f>
        <v>127.69899999999998</v>
      </c>
      <c r="CO155" s="14">
        <f>SUM(EM155*0.0052)/2</f>
        <v>98.8</v>
      </c>
      <c r="CP155" s="14">
        <f>SUM(CO155*0.1)</f>
        <v>9.8800000000000008</v>
      </c>
      <c r="CQ155" s="14">
        <f ca="1">SUM(CR155*CS155)</f>
        <v>15.396333333333326</v>
      </c>
      <c r="CR155" s="17">
        <f>SUM((CO155+CP155)*0.00833333333333333)</f>
        <v>0.90566666666666618</v>
      </c>
      <c r="CS155" s="23">
        <f ca="1">MONTH(TODAY())+13</f>
        <v>17</v>
      </c>
      <c r="CT155" s="14">
        <f ca="1">SUM(CO155,CP155,CQ155)</f>
        <v>124.07633333333332</v>
      </c>
      <c r="CU155" s="14">
        <f>SUM(EP155*0.0045)/2</f>
        <v>98.999999999999986</v>
      </c>
      <c r="CV155" s="14">
        <f>SUM(CU155*0.1)</f>
        <v>9.8999999999999986</v>
      </c>
      <c r="CW155" s="14">
        <f ca="1">SUM(CX155*CY155)</f>
        <v>9.9824999999999928</v>
      </c>
      <c r="CX155" s="17">
        <f>SUM((CU155+CV155)*0.00833333333333333)</f>
        <v>0.90749999999999942</v>
      </c>
      <c r="CY155" s="23">
        <f ca="1">MONTH(TODAY())+7</f>
        <v>11</v>
      </c>
      <c r="CZ155" s="14">
        <f ca="1">SUM(CU155,CV155,CW155)</f>
        <v>118.88249999999996</v>
      </c>
      <c r="DA155" s="14">
        <f>SUM(EP155*0.0045)/2</f>
        <v>98.999999999999986</v>
      </c>
      <c r="DB155" s="14">
        <f>SUM(DA155*0.1)</f>
        <v>9.8999999999999986</v>
      </c>
      <c r="DC155" s="14">
        <f ca="1">SUM(DD155*DE155)</f>
        <v>4.537499999999997</v>
      </c>
      <c r="DD155" s="17">
        <f>SUM((DA155+DB155)*0.00833333333333333)</f>
        <v>0.90749999999999942</v>
      </c>
      <c r="DE155" s="23">
        <f ca="1">MONTH(TODAY())+1</f>
        <v>5</v>
      </c>
      <c r="DF155" s="14">
        <f ca="1">SUM(DA155,DB155,DC155)</f>
        <v>113.43749999999997</v>
      </c>
      <c r="DG155" s="14">
        <f>SUM(EP155*0.0045)/2</f>
        <v>98.999999999999986</v>
      </c>
      <c r="DH155" s="14">
        <f>SUM(DG155*0.1)</f>
        <v>9.8999999999999986</v>
      </c>
      <c r="DI155" s="14">
        <f ca="1">SUM(DJ155*DK155)</f>
        <v>-2.7224999999999984</v>
      </c>
      <c r="DJ155" s="17">
        <f>SUM((DG155+DH155)*0.00833333333333333)</f>
        <v>0.90749999999999942</v>
      </c>
      <c r="DK155" s="23">
        <f ca="1">MONTH(TODAY())-7</f>
        <v>-3</v>
      </c>
      <c r="DL155" s="14">
        <f ca="1">SUM(DG155,DH155,DI155)</f>
        <v>106.17749999999998</v>
      </c>
      <c r="DM155" s="14">
        <f>SUM(EP155*0.0045)/2</f>
        <v>98.999999999999986</v>
      </c>
      <c r="DN155" s="14">
        <f>0</f>
        <v>0</v>
      </c>
      <c r="DO155" s="14">
        <f>SUM(DP155*DQ155)</f>
        <v>0</v>
      </c>
      <c r="DP155" s="17">
        <f>SUM((DM155+DN155)*0.00833333333333333)</f>
        <v>0.82499999999999951</v>
      </c>
      <c r="DQ155" s="23">
        <v>0</v>
      </c>
      <c r="DR155" s="14">
        <f>SUM(DM155,DN155,DO155)</f>
        <v>98.999999999999986</v>
      </c>
      <c r="DS155" s="14">
        <f>SUM(BQ155, BW155, CC155, CI155,CO155,CU155,DA155,DG155,DM155)</f>
        <v>1186.3999999999999</v>
      </c>
      <c r="DT155" s="14">
        <f>SUM(BR155,BX155,CD155, CJ155,CP155,CV155,DB155,DH155,DN155)</f>
        <v>108.74000000000001</v>
      </c>
      <c r="DU155" s="14">
        <f ca="1">SUM(BS155,BY155,CE155, CK155,CQ155,CW155,DC155,DI155,DO155)</f>
        <v>269.00683333333319</v>
      </c>
      <c r="DV155" s="25">
        <f ca="1">SUM(DS155:DU155)</f>
        <v>1564.146833333333</v>
      </c>
      <c r="DW155" s="47">
        <f ca="1">SUM(DV155/EM155)</f>
        <v>4.1161758771929818E-2</v>
      </c>
      <c r="DX155" s="14">
        <f>39+58.5+156</f>
        <v>253.5</v>
      </c>
      <c r="DY155" s="32">
        <f>COUNTIF(AO155, "*")+COUNTIF(AJ155, "*")+COUNTIF(AA155, "*")+COUNTIF(FA155, "*")+COUNTIF(FG155, "*")+COUNTIF(FM155, "*")+COUNTIF(FQ155, "*")+COUNTIF(FX155, "*")+COUNTIF(AT155, "*")+COUNTIF(GG155, "*")+COUNTIF(GR155, "*")+COUNTIF(HC155, "*")+COUNTIF(HK155, "*")+COUNTIF(HS155, "*")+COUNTIF(IA155, "*")</f>
        <v>1</v>
      </c>
      <c r="DZ155" s="14">
        <f>DY155*0.5</f>
        <v>0.5</v>
      </c>
      <c r="EA155" s="14"/>
      <c r="EB155" s="14"/>
      <c r="EC155" s="14"/>
      <c r="ED155" s="14"/>
      <c r="EE155" s="14"/>
      <c r="EF155" s="25"/>
      <c r="EG155" s="14">
        <f>SUM(EA155:EF155)</f>
        <v>0</v>
      </c>
      <c r="EH155" s="14">
        <f ca="1">SUM(DV155,DX155,EG155,DZ155,GD155)</f>
        <v>1818.146833333333</v>
      </c>
      <c r="EI155" s="24" t="s">
        <v>2769</v>
      </c>
      <c r="EJ155" s="23">
        <v>5.31</v>
      </c>
      <c r="EK155" s="14">
        <v>31600</v>
      </c>
      <c r="EL155" s="14">
        <v>6400</v>
      </c>
      <c r="EM155" s="14">
        <f>SUM(EK155+EL155)</f>
        <v>38000</v>
      </c>
      <c r="EN155" s="14">
        <v>37300</v>
      </c>
      <c r="EO155" s="14">
        <v>6700</v>
      </c>
      <c r="EP155" s="14">
        <f>SUM(EN155+EO155)</f>
        <v>44000</v>
      </c>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7"/>
      <c r="FV155" s="28"/>
      <c r="FW155" s="28"/>
      <c r="FX155" s="28"/>
      <c r="FY155" s="28"/>
      <c r="FZ155" s="28"/>
      <c r="GA155" s="28"/>
      <c r="GB155" s="27"/>
      <c r="GC155" s="28"/>
      <c r="GD155" s="28"/>
      <c r="GE155" s="28"/>
      <c r="GF155" s="28"/>
      <c r="GG155" s="28"/>
      <c r="GH155" s="28"/>
      <c r="GI155" s="28"/>
      <c r="GJ155" s="28"/>
      <c r="GK155" s="27"/>
      <c r="GL155" s="28"/>
      <c r="GM155" s="28"/>
      <c r="GN155" s="28"/>
      <c r="GO155" s="28"/>
      <c r="GP155" s="28"/>
      <c r="GQ155" s="28"/>
      <c r="GR155" s="28"/>
      <c r="GS155" s="28"/>
      <c r="GT155" s="28"/>
      <c r="GU155" s="28"/>
      <c r="GV155" s="27"/>
      <c r="GW155" s="28"/>
      <c r="GX155" s="28"/>
      <c r="GY155" s="28"/>
      <c r="GZ155" s="28"/>
      <c r="HA155" s="28"/>
      <c r="HB155" s="28"/>
      <c r="HC155" s="28"/>
      <c r="HD155" s="28"/>
      <c r="HE155" s="28"/>
      <c r="HF155" s="28"/>
      <c r="HG155" s="27"/>
      <c r="HH155" s="28"/>
      <c r="HI155" s="28"/>
      <c r="HJ155" s="28"/>
      <c r="HK155" s="28"/>
      <c r="HL155" s="28"/>
      <c r="HM155" s="28"/>
      <c r="HN155" s="28"/>
      <c r="HO155" s="27"/>
      <c r="HP155" s="28"/>
      <c r="HQ155" s="28"/>
      <c r="HR155" s="28"/>
      <c r="HS155" s="28"/>
      <c r="HT155" s="28"/>
      <c r="HU155" s="28"/>
      <c r="HV155" s="28"/>
      <c r="HW155" s="27"/>
      <c r="HX155" s="28"/>
      <c r="HY155" s="28"/>
      <c r="HZ155" s="28"/>
      <c r="IA155" s="28"/>
      <c r="IB155" s="28"/>
      <c r="IC155" s="28"/>
      <c r="ID155" s="28"/>
      <c r="IE155" s="27"/>
      <c r="IF155" s="14"/>
      <c r="IG155" s="14"/>
      <c r="IH155" s="28"/>
      <c r="II155" s="28"/>
      <c r="IJ155" s="28"/>
      <c r="IK155" s="28"/>
      <c r="IL155" s="14"/>
      <c r="IM155" s="14"/>
      <c r="IN155" s="14">
        <f ca="1">SUM(IF155-EH155-GD155-IL155)</f>
        <v>-1818.146833333333</v>
      </c>
      <c r="IO155" s="14"/>
      <c r="IP155" s="14"/>
      <c r="IQ155" s="27"/>
      <c r="IR155" s="27"/>
      <c r="IS155" s="27"/>
      <c r="IT155" s="27"/>
      <c r="IU155" s="27"/>
      <c r="IV155" s="27" t="s">
        <v>5913</v>
      </c>
    </row>
    <row r="156" spans="1:263" ht="15" customHeight="1">
      <c r="A156" s="2">
        <v>102017015</v>
      </c>
      <c r="B156" t="s">
        <v>806</v>
      </c>
      <c r="E156" t="s">
        <v>807</v>
      </c>
      <c r="F156">
        <v>180001813</v>
      </c>
      <c r="J156" t="s">
        <v>253</v>
      </c>
      <c r="K156" t="s">
        <v>808</v>
      </c>
      <c r="L156" t="s">
        <v>797</v>
      </c>
      <c r="M156" t="s">
        <v>256</v>
      </c>
      <c r="O156" s="1" t="s">
        <v>258</v>
      </c>
      <c r="T156" s="1"/>
      <c r="AE156" s="1"/>
      <c r="AR156" s="34"/>
      <c r="AS156" s="1"/>
      <c r="AT156" s="1"/>
      <c r="AU156" s="1"/>
      <c r="AV156" s="1"/>
      <c r="AW156" s="1"/>
      <c r="AX156" s="1"/>
      <c r="AY156" s="15"/>
      <c r="AZ156" s="15"/>
      <c r="BA156" s="15"/>
      <c r="BB156" s="1"/>
      <c r="BC156" s="15"/>
      <c r="BD156" s="15"/>
      <c r="BE156" s="15"/>
      <c r="BF156" s="15"/>
      <c r="BG156" s="5"/>
      <c r="BH156" s="16"/>
      <c r="BI156" s="16"/>
      <c r="BK156" s="4"/>
      <c r="BL156" s="4"/>
      <c r="BM156" s="6"/>
      <c r="BN156" s="7"/>
      <c r="BO156" s="4"/>
      <c r="BQ156" s="4"/>
      <c r="BR156" s="4"/>
      <c r="BS156" s="6"/>
      <c r="BT156" s="7"/>
      <c r="BU156" s="4"/>
      <c r="BV156" s="4"/>
      <c r="BW156" s="4"/>
      <c r="BX156" s="4"/>
      <c r="BY156" s="6"/>
      <c r="BZ156" s="7"/>
      <c r="CA156" s="4"/>
      <c r="CC156" s="4"/>
      <c r="CD156" s="4"/>
      <c r="CE156" s="6"/>
      <c r="CF156" s="7"/>
      <c r="CG156" s="4"/>
      <c r="CH156" s="4"/>
      <c r="CI156" s="4"/>
      <c r="CJ156" s="4"/>
      <c r="CK156" s="6"/>
      <c r="CL156" s="7"/>
      <c r="CM156" s="4"/>
      <c r="CN156" s="4"/>
      <c r="CO156" s="4"/>
      <c r="CP156" s="4"/>
      <c r="CQ156" s="6"/>
      <c r="CR156" s="7"/>
      <c r="CS156" s="4"/>
      <c r="CT156" s="4"/>
      <c r="CU156" s="4"/>
      <c r="CV156" s="4"/>
      <c r="CW156" s="6"/>
      <c r="CX156" s="7"/>
      <c r="CY156" s="4"/>
      <c r="CZ156" s="4"/>
      <c r="DA156" s="4"/>
      <c r="DB156" s="4"/>
      <c r="DC156" s="6"/>
      <c r="DD156" s="7"/>
      <c r="DE156" s="4"/>
      <c r="DF156" s="4"/>
      <c r="DG156" s="4"/>
      <c r="DH156" s="4"/>
      <c r="DI156" s="6"/>
      <c r="DJ156" s="7"/>
      <c r="DK156" s="4"/>
      <c r="DL156" s="4"/>
      <c r="DM156" s="4"/>
      <c r="DN156" s="4"/>
      <c r="DO156" s="4"/>
      <c r="DP156" s="4"/>
      <c r="DQ156" s="3"/>
      <c r="DR156" s="4"/>
      <c r="DS156" s="4"/>
      <c r="DT156" s="4"/>
      <c r="DU156" s="4"/>
      <c r="DV156" s="4"/>
      <c r="DW156" s="4"/>
      <c r="DX156" s="4"/>
      <c r="DY156" s="4"/>
      <c r="DZ156" s="4"/>
      <c r="EA156" s="4"/>
      <c r="EB156" s="4"/>
      <c r="EC156" s="4"/>
      <c r="ED156" s="4"/>
      <c r="FL156" s="9"/>
      <c r="FM156" s="10"/>
      <c r="FT156" s="10"/>
      <c r="FU156" s="9"/>
      <c r="GG156" s="9"/>
      <c r="IK156" s="9"/>
      <c r="IN156" t="s">
        <v>794</v>
      </c>
      <c r="IO156" t="s">
        <v>438</v>
      </c>
      <c r="IP156" s="4">
        <v>2269.59</v>
      </c>
      <c r="IQ156" s="9">
        <v>43160</v>
      </c>
      <c r="IR156" s="9">
        <v>43312</v>
      </c>
      <c r="IS156" s="9">
        <v>43328</v>
      </c>
      <c r="IT156" s="9">
        <v>43404</v>
      </c>
      <c r="IU156" s="9">
        <v>43406</v>
      </c>
      <c r="IW156" s="12"/>
      <c r="IX156" s="12"/>
      <c r="IY156" s="12"/>
    </row>
    <row r="157" spans="1:263" ht="15" customHeight="1">
      <c r="A157" s="2">
        <v>102019005</v>
      </c>
      <c r="B157" s="4" t="s">
        <v>534</v>
      </c>
      <c r="C157" s="5"/>
      <c r="D157" s="5"/>
      <c r="E157" s="5"/>
      <c r="F157" s="3"/>
      <c r="G157">
        <v>190000510</v>
      </c>
      <c r="J157" t="s">
        <v>253</v>
      </c>
      <c r="K157" t="s">
        <v>535</v>
      </c>
      <c r="L157" t="s">
        <v>536</v>
      </c>
      <c r="M157" t="s">
        <v>537</v>
      </c>
      <c r="O157" s="1"/>
      <c r="AC157" s="1"/>
      <c r="AG157"/>
      <c r="AK157" s="3"/>
      <c r="AO157" s="4"/>
      <c r="AP157" s="5"/>
      <c r="AS157" s="5"/>
      <c r="AT157" s="5"/>
      <c r="AU157" s="1"/>
      <c r="AV157" s="1"/>
      <c r="AW157" s="1"/>
      <c r="AX157" s="1"/>
      <c r="AY157" s="1"/>
      <c r="AZ157" s="1"/>
      <c r="BA157" s="1"/>
      <c r="BB157" s="1"/>
      <c r="BC157" s="1"/>
      <c r="BD157" s="1"/>
      <c r="BE157" s="1"/>
      <c r="BF157" s="1"/>
      <c r="BG157" s="5"/>
      <c r="BH157" s="16"/>
      <c r="BI157" s="16"/>
      <c r="BK157" s="4"/>
      <c r="BL157" s="4"/>
      <c r="BM157" s="6"/>
      <c r="BN157" s="7"/>
      <c r="BO157" s="4"/>
      <c r="BP157" s="4"/>
      <c r="BQ157" s="4"/>
      <c r="BR157" s="4"/>
      <c r="BS157" s="6"/>
      <c r="BT157" s="7"/>
      <c r="BU157" s="4"/>
      <c r="BV157" s="4"/>
      <c r="BW157" s="4"/>
      <c r="BX157" s="4"/>
      <c r="BY157" s="6"/>
      <c r="BZ157" s="7"/>
      <c r="CA157" s="4"/>
      <c r="CB157" s="4"/>
      <c r="CC157" s="4"/>
      <c r="CD157" s="4"/>
      <c r="CE157" s="6"/>
      <c r="CF157" s="7"/>
      <c r="CG157" s="4"/>
      <c r="CH157" s="4"/>
      <c r="CI157" s="4"/>
      <c r="CJ157" s="4"/>
      <c r="CK157" s="6"/>
      <c r="CL157" s="7"/>
      <c r="CM157" s="4"/>
      <c r="CN157" s="4"/>
      <c r="CO157" s="4"/>
      <c r="CP157" s="4"/>
      <c r="CQ157" s="6"/>
      <c r="CR157" s="7"/>
      <c r="CS157" s="4"/>
      <c r="CT157" s="4"/>
      <c r="CU157" s="4"/>
      <c r="CV157" s="4"/>
      <c r="CW157" s="6"/>
      <c r="CX157" s="7"/>
      <c r="CY157" s="4"/>
      <c r="CZ157" s="4"/>
      <c r="DA157" s="4"/>
      <c r="DB157" s="4"/>
      <c r="DC157" s="6"/>
      <c r="DD157" s="7"/>
      <c r="DE157" s="4"/>
      <c r="DF157" s="4"/>
      <c r="DG157" s="4"/>
      <c r="DH157" s="14"/>
      <c r="DI157" s="14"/>
      <c r="DJ157" s="4"/>
      <c r="DK157" s="3"/>
      <c r="DL157" s="4"/>
      <c r="DM157" s="234"/>
      <c r="DN157" s="4"/>
      <c r="DO157" s="4"/>
      <c r="DP157" s="4"/>
      <c r="DQ157" s="4"/>
      <c r="DR157" s="4"/>
      <c r="DS157" s="4"/>
      <c r="DT157" s="7"/>
      <c r="DU157" s="8"/>
      <c r="DV157" s="4"/>
      <c r="DW157" s="4"/>
      <c r="DX157" s="4"/>
      <c r="DY157" s="4"/>
      <c r="DZ157" s="33"/>
      <c r="EA157" s="251"/>
      <c r="EI157" s="11"/>
      <c r="EO157" s="11"/>
      <c r="EP157" s="11"/>
      <c r="EQ157" s="4"/>
      <c r="ER157" s="4"/>
      <c r="ES157" s="4"/>
      <c r="ET157" s="4"/>
      <c r="EU157" s="4"/>
      <c r="EV157" s="4"/>
      <c r="EW157" s="4"/>
      <c r="EX157" s="4"/>
      <c r="EY157" s="4"/>
      <c r="EZ157" s="4"/>
      <c r="FA157" s="4"/>
      <c r="FB157" s="4"/>
      <c r="FC157" s="4"/>
      <c r="FD157" s="4"/>
      <c r="FE157" s="4"/>
      <c r="FI157" s="9"/>
      <c r="FR157" s="9"/>
      <c r="FX157" s="4"/>
      <c r="GC157" s="10"/>
      <c r="GM157" s="10"/>
      <c r="HB157" s="9"/>
      <c r="II157" s="9"/>
      <c r="IJ157" s="4"/>
      <c r="IK157" s="4"/>
      <c r="IL157" s="9"/>
      <c r="IS157" s="4"/>
      <c r="IT157" s="4"/>
    </row>
    <row r="158" spans="1:263" ht="15" customHeight="1">
      <c r="A158" s="19">
        <v>102019005</v>
      </c>
      <c r="B158" t="s">
        <v>534</v>
      </c>
      <c r="D158" s="13"/>
      <c r="E158" s="3"/>
      <c r="F158" s="3"/>
      <c r="G158" s="3">
        <v>220001332</v>
      </c>
      <c r="J158" t="s">
        <v>253</v>
      </c>
      <c r="K158" t="s">
        <v>535</v>
      </c>
      <c r="L158" t="s">
        <v>536</v>
      </c>
      <c r="M158" t="s">
        <v>537</v>
      </c>
      <c r="O158" s="3"/>
      <c r="AG158" s="43" t="s">
        <v>3368</v>
      </c>
      <c r="AJ158" s="18"/>
      <c r="AL158" s="18"/>
      <c r="AM158"/>
      <c r="AN158"/>
      <c r="AO158" t="s">
        <v>538</v>
      </c>
      <c r="AP158" s="3" t="s">
        <v>258</v>
      </c>
      <c r="AQ158" t="s">
        <v>279</v>
      </c>
      <c r="AR158" t="s">
        <v>260</v>
      </c>
      <c r="AX158" s="1"/>
      <c r="AY158" s="1"/>
      <c r="AZ158" s="1"/>
      <c r="BA158" s="1"/>
      <c r="BB158" s="1"/>
      <c r="BC158" s="2"/>
      <c r="BD158" s="114">
        <v>44605</v>
      </c>
      <c r="BE158" s="115"/>
      <c r="BF158" s="2"/>
      <c r="BG158" s="2"/>
      <c r="BH158" s="2"/>
      <c r="BI158" s="2"/>
      <c r="BJ158" s="2"/>
      <c r="BK158" s="2"/>
      <c r="BL158" s="20">
        <f ca="1">SUM(EB158)+220</f>
        <v>2662.3872208333328</v>
      </c>
      <c r="BM158" s="22">
        <f ca="1">PMT(10%/12,12,BL158,0,0)</f>
        <v>-234.06613466940195</v>
      </c>
      <c r="BN158" s="22">
        <f ca="1">SUM(BM158*-1)</f>
        <v>234.06613466940195</v>
      </c>
      <c r="BO158" s="14">
        <f>SUM(EJ158*0.0052)/12</f>
        <v>53.603333333333332</v>
      </c>
      <c r="BP158" s="22">
        <f ca="1">SUM(BN158+BO158)</f>
        <v>287.6694680027353</v>
      </c>
      <c r="BQ158" s="14"/>
      <c r="BR158" s="14">
        <f>SUM(BQ158*0.1)</f>
        <v>0</v>
      </c>
      <c r="BS158" s="14">
        <f ca="1">SUM(BT158*BU158)</f>
        <v>0</v>
      </c>
      <c r="BT158" s="17">
        <f>SUM((BQ158+BR158)*0.00833333333333333)</f>
        <v>0</v>
      </c>
      <c r="BU158" s="23">
        <f ca="1">MONTH(TODAY())+49</f>
        <v>53</v>
      </c>
      <c r="BV158" s="14">
        <f ca="1">SUM(BQ158,BR158,BS158)</f>
        <v>0</v>
      </c>
      <c r="BW158" s="14">
        <v>0</v>
      </c>
      <c r="BX158" s="14">
        <f>SUM(BW158*0.1)</f>
        <v>0</v>
      </c>
      <c r="BY158" s="14">
        <f ca="1">SUM(BZ158*CA158)</f>
        <v>0</v>
      </c>
      <c r="BZ158" s="17">
        <f>SUM((BW158+BX158)*0.00833333333333333)</f>
        <v>0</v>
      </c>
      <c r="CA158" s="23">
        <f ca="1">MONTH(TODAY())+37</f>
        <v>41</v>
      </c>
      <c r="CB158" s="14">
        <f ca="1">SUM(BW158,BX158,BY158)</f>
        <v>0</v>
      </c>
      <c r="CC158" s="14">
        <f>SUM(EG158*0.0052)</f>
        <v>524.67999999999995</v>
      </c>
      <c r="CD158" s="14">
        <f>SUM(CC158*0.1)</f>
        <v>52.467999999999996</v>
      </c>
      <c r="CE158" s="14">
        <f ca="1">SUM(CF158*CG158)</f>
        <v>139.47743333333324</v>
      </c>
      <c r="CF158" s="17">
        <f>SUM((CC158+CD158)*0.00833333333333333)</f>
        <v>4.8095666666666634</v>
      </c>
      <c r="CG158" s="23">
        <f ca="1">MONTH(TODAY())+25</f>
        <v>29</v>
      </c>
      <c r="CH158" s="14">
        <f ca="1">SUM(CC158,CD158,CE158)</f>
        <v>716.62543333333315</v>
      </c>
      <c r="CI158" s="14">
        <f>SUM(EG158*0.0052)</f>
        <v>524.67999999999995</v>
      </c>
      <c r="CJ158" s="14">
        <f>SUM(CI158*0.1)</f>
        <v>52.467999999999996</v>
      </c>
      <c r="CK158" s="14">
        <f ca="1">SUM(CL158*CM158)</f>
        <v>81.762633333333284</v>
      </c>
      <c r="CL158" s="17">
        <f>SUM((CI158+CJ158)*0.00833333333333333)</f>
        <v>4.8095666666666634</v>
      </c>
      <c r="CM158" s="23">
        <f ca="1">MONTH(TODAY())+13</f>
        <v>17</v>
      </c>
      <c r="CN158" s="14">
        <f ca="1">SUM(CI158,CJ158,CK158)</f>
        <v>658.91063333333318</v>
      </c>
      <c r="CO158" s="14">
        <f>SUM(EG158*0.0052)/2</f>
        <v>262.33999999999997</v>
      </c>
      <c r="CP158" s="14">
        <f>SUM(CO158*0.1)</f>
        <v>26.233999999999998</v>
      </c>
      <c r="CQ158" s="14">
        <f ca="1">SUM(CR158*CS158)</f>
        <v>21.643049999999985</v>
      </c>
      <c r="CR158" s="17">
        <f>SUM((CO158+CP158)*0.00833333333333333)</f>
        <v>2.4047833333333317</v>
      </c>
      <c r="CS158" s="23">
        <f ca="1">MONTH(TODAY())+5</f>
        <v>9</v>
      </c>
      <c r="CT158" s="23">
        <f ca="1">SUM(CO158,CP158,CQ158)</f>
        <v>310.21704999999992</v>
      </c>
      <c r="CU158" s="14">
        <f>SUM(EG158*0.0052)/2</f>
        <v>262.33999999999997</v>
      </c>
      <c r="CV158" s="14">
        <f>SUM(CU158*0.1)</f>
        <v>26.233999999999998</v>
      </c>
      <c r="CW158" s="14">
        <f ca="1">SUM(CX158*CY158)</f>
        <v>12.023916666666658</v>
      </c>
      <c r="CX158" s="17">
        <f>SUM((CU158+CV158)*0.00833333333333333)</f>
        <v>2.4047833333333317</v>
      </c>
      <c r="CY158" s="23">
        <f ca="1">MONTH(TODAY())+1</f>
        <v>5</v>
      </c>
      <c r="CZ158" s="23">
        <f ca="1">SUM(CU158,CV158,CW158)</f>
        <v>300.59791666666661</v>
      </c>
      <c r="DA158" s="14">
        <f>SUM(EJ158*0.0045)/2</f>
        <v>278.32499999999999</v>
      </c>
      <c r="DB158" s="14">
        <f>SUM(DA158*0.1)</f>
        <v>27.8325</v>
      </c>
      <c r="DC158" s="14">
        <f ca="1">SUM(DD158*DE158)</f>
        <v>-2.5513124999999985</v>
      </c>
      <c r="DD158" s="17">
        <f>SUM((DA158+DB158)*0.00833333333333333)</f>
        <v>2.5513124999999985</v>
      </c>
      <c r="DE158" s="23">
        <f ca="1">MONTH(TODAY())-5</f>
        <v>-1</v>
      </c>
      <c r="DF158" s="23">
        <f ca="1">SUM(DA158,DB158,DC158)</f>
        <v>303.60618749999998</v>
      </c>
      <c r="DG158" s="14">
        <v>0</v>
      </c>
      <c r="DH158" s="14">
        <v>0</v>
      </c>
      <c r="DI158" s="14">
        <v>0</v>
      </c>
      <c r="DJ158" s="17">
        <f>SUM((DG158+DH158)*0.00833333333333333)</f>
        <v>0</v>
      </c>
      <c r="DK158" s="23">
        <f ca="1">MONTH(TODAY())+1</f>
        <v>5</v>
      </c>
      <c r="DL158" s="23">
        <f>SUM(DG158,DH158,DI158)</f>
        <v>0</v>
      </c>
      <c r="DM158" s="14">
        <f>SUM( BQ158, BW158, CC158, CI158, CO158,CU158,DA158,DG158)</f>
        <v>1852.3649999999998</v>
      </c>
      <c r="DN158" s="14">
        <f>SUM(BR158,BX158,CD158,CJ158, CP158,CV158,DB158,DH158)</f>
        <v>185.23650000000001</v>
      </c>
      <c r="DO158" s="14">
        <f ca="1">SUM(BS158,BY158,CE158,CK158, CQ158,CW158,DC158,DI158)</f>
        <v>252.35572083333315</v>
      </c>
      <c r="DP158" s="25">
        <f ca="1">SUM(DM158:DO158)</f>
        <v>2289.9572208333329</v>
      </c>
      <c r="DQ158" s="47">
        <f ca="1">SUM(DP158/EG158)</f>
        <v>2.2695314378923023E-2</v>
      </c>
      <c r="DR158" s="14">
        <f>19.5+19.5+58.5</f>
        <v>97.5</v>
      </c>
      <c r="DS158" s="32">
        <f>COUNTIF(DX158, "*")+COUNTIF(AO158, "*")+COUNTIF(AJ158, "*")+COUNTIF(AA158, "*")+COUNTIF(EY158, "*")+COUNTIF(FE158, "*")+COUNTIF(FK158, "*")+COUNTIF(FO158, "*")+COUNTIF(FV158, "*")+COUNTIF(AT158, "*")+COUNTIF(GE158, "*")+COUNTIF(GP158, "*")+COUNTIF(HA158, "*")+COUNTIF(HI158, "*")+COUNTIF(HQ158, "*")+COUNTIF(HY158, "*")+COUNTIF(IG158, "*")</f>
        <v>1</v>
      </c>
      <c r="DT158" s="14">
        <f>DS158*0.5</f>
        <v>0.5</v>
      </c>
      <c r="DU158" s="4"/>
      <c r="DV158" s="4">
        <v>54.43</v>
      </c>
      <c r="DW158" s="4"/>
      <c r="DX158" s="4"/>
      <c r="DZ158" s="4"/>
      <c r="EA158" s="14">
        <f>SUM(DV158:DZ158)</f>
        <v>54.43</v>
      </c>
      <c r="EB158" s="14">
        <f ca="1">SUM(DP158,DR158,EA158, DU158, DT158,GB158)</f>
        <v>2442.3872208333328</v>
      </c>
      <c r="EC158" s="24" t="s">
        <v>2770</v>
      </c>
      <c r="ED158" s="7">
        <v>5</v>
      </c>
      <c r="EE158" s="4">
        <v>40000</v>
      </c>
      <c r="EF158" s="4">
        <v>60900</v>
      </c>
      <c r="EG158" s="14">
        <f>SUM(EE158+EF158)</f>
        <v>100900</v>
      </c>
      <c r="EH158" s="14">
        <v>42000</v>
      </c>
      <c r="EI158" s="14">
        <v>81700</v>
      </c>
      <c r="EJ158" s="14">
        <f>SUM(EH158+EI158)</f>
        <v>123700</v>
      </c>
      <c r="IM158" s="9"/>
      <c r="IX158" s="14">
        <f ca="1">SUM(IN158-EB158-GB158-IV158)</f>
        <v>-2442.3872208333328</v>
      </c>
      <c r="IY158" s="9"/>
      <c r="IZ158" s="9"/>
      <c r="JA158" s="9"/>
      <c r="JB158" s="9"/>
      <c r="JC158" s="9"/>
    </row>
    <row r="159" spans="1:263" ht="15" customHeight="1">
      <c r="A159" s="19">
        <v>102022207</v>
      </c>
      <c r="B159" t="s">
        <v>2921</v>
      </c>
      <c r="D159" s="1"/>
      <c r="J159" t="s">
        <v>554</v>
      </c>
      <c r="K159" t="s">
        <v>2002</v>
      </c>
      <c r="L159" t="s">
        <v>926</v>
      </c>
      <c r="M159" t="s">
        <v>396</v>
      </c>
      <c r="P159" t="s">
        <v>2002</v>
      </c>
      <c r="Q159" t="s">
        <v>502</v>
      </c>
      <c r="R159" t="s">
        <v>392</v>
      </c>
      <c r="AG159" s="43"/>
      <c r="AJ159" t="s">
        <v>328</v>
      </c>
      <c r="AL159" s="3" t="s">
        <v>279</v>
      </c>
      <c r="AM159"/>
      <c r="AN159"/>
      <c r="AO159" s="3" t="s">
        <v>3280</v>
      </c>
      <c r="AP159" s="3" t="s">
        <v>258</v>
      </c>
      <c r="AQ159" s="3" t="s">
        <v>279</v>
      </c>
      <c r="AR159" t="s">
        <v>260</v>
      </c>
      <c r="AS159" s="1"/>
      <c r="AT159" s="1"/>
      <c r="AU159" s="1"/>
      <c r="AV159" s="1"/>
      <c r="AW159" s="1"/>
      <c r="AX159" s="2"/>
      <c r="AY159" s="116"/>
      <c r="AZ159" s="115"/>
      <c r="BA159" s="2"/>
      <c r="BB159" s="2"/>
      <c r="BC159" s="2"/>
      <c r="BD159" s="2"/>
      <c r="BE159" s="2"/>
      <c r="BF159" s="2"/>
      <c r="BG159" s="20">
        <f ca="1">SUM(CY159)+214.5</f>
        <v>807.89384166666662</v>
      </c>
      <c r="BH159" s="22">
        <f ca="1">PMT(10%/12,12,BG159,0,0)</f>
        <v>-71.026703877785891</v>
      </c>
      <c r="BI159" s="22">
        <f ca="1">SUM(BH159*-1)</f>
        <v>71.026703877785891</v>
      </c>
      <c r="BJ159" s="14">
        <f>SUM(DI159*0.0052)/12</f>
        <v>33.15</v>
      </c>
      <c r="BK159" s="22">
        <f ca="1">SUM(BI159+BJ159)</f>
        <v>104.17670387778588</v>
      </c>
      <c r="BL159" s="14"/>
      <c r="BM159" s="14">
        <f>SUM(BL159*0.1)</f>
        <v>0</v>
      </c>
      <c r="BN159" s="14">
        <f ca="1">SUM(BO159*BP159)</f>
        <v>0</v>
      </c>
      <c r="BO159" s="17">
        <f>SUM((BL159+BM159)*0.00833333333333333)</f>
        <v>0</v>
      </c>
      <c r="BP159" s="23">
        <f ca="1">MONTH(TODAY())+49</f>
        <v>53</v>
      </c>
      <c r="BQ159" s="14">
        <f ca="1">SUM(BL159,BM159,BN159)</f>
        <v>0</v>
      </c>
      <c r="BR159" s="14"/>
      <c r="BS159" s="14">
        <f>SUM(BR159*0.1)</f>
        <v>0</v>
      </c>
      <c r="BT159" s="14">
        <f ca="1">SUM(BU159*BV159)</f>
        <v>0</v>
      </c>
      <c r="BU159" s="17">
        <f>SUM((BR159+BS159)*0.00833333333333333)</f>
        <v>0</v>
      </c>
      <c r="BV159" s="23">
        <f ca="1">MONTH(TODAY())+37</f>
        <v>41</v>
      </c>
      <c r="BW159" s="14">
        <f ca="1">SUM(BR159,BS159,BT159)</f>
        <v>0</v>
      </c>
      <c r="BX159" s="14"/>
      <c r="BY159" s="14">
        <f>SUM(BX159*0.1)</f>
        <v>0</v>
      </c>
      <c r="BZ159" s="14">
        <f ca="1">SUM(CA159*CB159)</f>
        <v>0</v>
      </c>
      <c r="CA159" s="17">
        <f>SUM((BX159+BY159)*0.00833333333333333)</f>
        <v>0</v>
      </c>
      <c r="CB159" s="23">
        <f ca="1">MONTH(TODAY())+25</f>
        <v>29</v>
      </c>
      <c r="CC159" s="14">
        <f ca="1">SUM(BX159,BY159,BZ159)</f>
        <v>0</v>
      </c>
      <c r="CD159" s="14">
        <v>93.23</v>
      </c>
      <c r="CE159" s="14">
        <f>SUM(CD159*0.1)</f>
        <v>9.3230000000000004</v>
      </c>
      <c r="CF159" s="14">
        <f ca="1">SUM(CG159*CH159)</f>
        <v>14.528341666666661</v>
      </c>
      <c r="CG159" s="17">
        <f>SUM((CD159+CE159)*0.00833333333333333)</f>
        <v>0.85460833333333297</v>
      </c>
      <c r="CH159" s="23">
        <f ca="1">MONTH(TODAY())+13</f>
        <v>17</v>
      </c>
      <c r="CI159" s="14">
        <f ca="1">SUM(CD159,CE159,CF159)</f>
        <v>117.08134166666666</v>
      </c>
      <c r="CJ159" s="14">
        <f>SUM(DI159*0.0052)</f>
        <v>397.79999999999995</v>
      </c>
      <c r="CK159" s="14">
        <f>SUM(CJ159*0.1)</f>
        <v>39.78</v>
      </c>
      <c r="CL159" s="14">
        <f ca="1">SUM(CM159*CN159)</f>
        <v>18.232499999999987</v>
      </c>
      <c r="CM159" s="17">
        <f>SUM((CJ159+CK159)*0.00833333333333333)</f>
        <v>3.6464999999999979</v>
      </c>
      <c r="CN159" s="23">
        <f ca="1">MONTH(TODAY())+1</f>
        <v>5</v>
      </c>
      <c r="CO159" s="14">
        <f ca="1">SUM(CJ159,CK159,CL159)</f>
        <v>455.81249999999989</v>
      </c>
      <c r="CP159" s="14">
        <f t="shared" ref="CP159:CR161" si="34">SUM(BL159, BR159,BX159,CD159,CJ159)</f>
        <v>491.03</v>
      </c>
      <c r="CQ159" s="14">
        <f t="shared" si="34"/>
        <v>49.103000000000002</v>
      </c>
      <c r="CR159" s="14">
        <f t="shared" ca="1" si="34"/>
        <v>32.76084166666665</v>
      </c>
      <c r="CS159" s="14">
        <f ca="1">SUM(CP159:CR159)</f>
        <v>572.89384166666662</v>
      </c>
      <c r="CT159" s="47">
        <f ca="1">SUM(CS159/DI159)</f>
        <v>7.4888083877995637E-3</v>
      </c>
      <c r="CU159" s="14">
        <v>19.5</v>
      </c>
      <c r="CV159" s="32">
        <f>COUNTIF(DB159, "*")+COUNTIF(AO159, "*")+COUNTIF(AJ159, "*")+COUNTIF(AA159, "*")+COUNTIF(DY159, "*")+COUNTIF(EE159, "*")+COUNTIF(EK159, "*")+COUNTIF(EO159, "*")+COUNTIF(EV159, "*")+COUNTIF(FC159, "*")+COUNTIF(FJ159, "*")+COUNTIF(FU159, "*")+COUNTIF(GF159, "*")+COUNTIF(GN159, "*")+COUNTIF(GV159, "*")+COUNTIF(HD159, "*")+COUNTIF(HL159, "*")</f>
        <v>2</v>
      </c>
      <c r="CW159" s="14">
        <f>CV159*0.5</f>
        <v>1</v>
      </c>
      <c r="CX159" s="4"/>
      <c r="CY159" s="14">
        <f ca="1">SUM(CS159,CU159,DE159, CX159, CW159,FG159)</f>
        <v>593.39384166666662</v>
      </c>
      <c r="CZ159" s="4"/>
      <c r="DE159" s="14">
        <f>SUM(CZ159:DD159)</f>
        <v>0</v>
      </c>
      <c r="DF159" s="24" t="s">
        <v>2773</v>
      </c>
      <c r="DG159" s="4">
        <v>76500</v>
      </c>
      <c r="DH159" s="4">
        <v>0</v>
      </c>
      <c r="DI159" s="25">
        <f>SUM(DG159+DH159)</f>
        <v>76500</v>
      </c>
      <c r="DJ159" s="35">
        <v>59.76</v>
      </c>
      <c r="IC159" s="4"/>
    </row>
    <row r="160" spans="1:263" ht="15" customHeight="1">
      <c r="A160" s="19">
        <v>102022208</v>
      </c>
      <c r="B160" t="s">
        <v>2922</v>
      </c>
      <c r="D160" s="1"/>
      <c r="J160" t="s">
        <v>554</v>
      </c>
      <c r="K160" t="s">
        <v>2002</v>
      </c>
      <c r="L160" t="s">
        <v>926</v>
      </c>
      <c r="M160" t="s">
        <v>396</v>
      </c>
      <c r="P160" t="s">
        <v>2002</v>
      </c>
      <c r="Q160" t="s">
        <v>502</v>
      </c>
      <c r="R160" t="s">
        <v>392</v>
      </c>
      <c r="AG160" s="43"/>
      <c r="AJ160" t="s">
        <v>328</v>
      </c>
      <c r="AL160" s="3" t="s">
        <v>279</v>
      </c>
      <c r="AM160"/>
      <c r="AN160"/>
      <c r="AO160" s="3" t="s">
        <v>3280</v>
      </c>
      <c r="AP160" s="3" t="s">
        <v>258</v>
      </c>
      <c r="AQ160" s="3" t="s">
        <v>279</v>
      </c>
      <c r="AR160" t="s">
        <v>260</v>
      </c>
      <c r="AS160" s="1"/>
      <c r="AT160" s="1"/>
      <c r="AU160" s="1"/>
      <c r="AV160" s="1"/>
      <c r="AW160" s="1"/>
      <c r="AX160" s="2"/>
      <c r="AY160" s="116"/>
      <c r="AZ160" s="115">
        <v>44643</v>
      </c>
      <c r="BA160" s="2"/>
      <c r="BB160" s="2"/>
      <c r="BC160" s="2"/>
      <c r="BD160" s="2"/>
      <c r="BE160" s="2"/>
      <c r="BF160" s="2"/>
      <c r="BG160" s="20">
        <f ca="1">SUM(CY160)+214.5</f>
        <v>1192.28565</v>
      </c>
      <c r="BH160" s="22">
        <f ca="1">PMT(10%/12,12,BG160,0,0)</f>
        <v>-104.82085075135869</v>
      </c>
      <c r="BI160" s="22">
        <f ca="1">SUM(BH160*-1)</f>
        <v>104.82085075135869</v>
      </c>
      <c r="BJ160" s="14">
        <f>SUM(DI160*0.0052)/12</f>
        <v>33.973333333333336</v>
      </c>
      <c r="BK160" s="22">
        <f ca="1">SUM(BI160+BJ160)</f>
        <v>138.79418408469203</v>
      </c>
      <c r="BL160" s="14"/>
      <c r="BM160" s="14">
        <f>SUM(BL160*0.1)</f>
        <v>0</v>
      </c>
      <c r="BN160" s="14">
        <f ca="1">SUM(BO160*BP160)</f>
        <v>0</v>
      </c>
      <c r="BO160" s="17">
        <f>SUM((BL160+BM160)*0.00833333333333333)</f>
        <v>0</v>
      </c>
      <c r="BP160" s="23">
        <f ca="1">MONTH(TODAY())+49</f>
        <v>53</v>
      </c>
      <c r="BQ160" s="14">
        <f ca="1">SUM(BL160,BM160,BN160)</f>
        <v>0</v>
      </c>
      <c r="BR160" s="14"/>
      <c r="BS160" s="14">
        <f>SUM(BR160*0.1)</f>
        <v>0</v>
      </c>
      <c r="BT160" s="14">
        <f ca="1">SUM(BU160*BV160)</f>
        <v>0</v>
      </c>
      <c r="BU160" s="17">
        <f>SUM((BR160+BS160)*0.00833333333333333)</f>
        <v>0</v>
      </c>
      <c r="BV160" s="23">
        <f ca="1">MONTH(TODAY())+37</f>
        <v>41</v>
      </c>
      <c r="BW160" s="14">
        <f ca="1">SUM(BR160,BS160,BT160)</f>
        <v>0</v>
      </c>
      <c r="BX160" s="14"/>
      <c r="BY160" s="14">
        <f>SUM(BX160*0.1)</f>
        <v>0</v>
      </c>
      <c r="BZ160" s="14">
        <f ca="1">SUM(CA160*CB160)</f>
        <v>0</v>
      </c>
      <c r="CA160" s="17">
        <f>SUM((BX160+BY160)*0.00833333333333333)</f>
        <v>0</v>
      </c>
      <c r="CB160" s="23">
        <f ca="1">MONTH(TODAY())+25</f>
        <v>29</v>
      </c>
      <c r="CC160" s="14">
        <f ca="1">SUM(BX160,BY160,BZ160)</f>
        <v>0</v>
      </c>
      <c r="CD160" s="14">
        <v>59.54</v>
      </c>
      <c r="CE160" s="14">
        <f>SUM(CD160*0.1)</f>
        <v>5.9540000000000006</v>
      </c>
      <c r="CF160" s="14">
        <f ca="1">SUM(CG160*CH160)</f>
        <v>9.2783166666666617</v>
      </c>
      <c r="CG160" s="17">
        <f>SUM((CD160+CE160)*0.00833333333333333)</f>
        <v>0.54578333333333306</v>
      </c>
      <c r="CH160" s="23">
        <f ca="1">MONTH(TODAY())+13</f>
        <v>17</v>
      </c>
      <c r="CI160" s="14">
        <f ca="1">SUM(CD160,CE160,CF160)</f>
        <v>74.772316666666654</v>
      </c>
      <c r="CJ160" s="14">
        <f>SUM(DI160*0.0052)</f>
        <v>407.68</v>
      </c>
      <c r="CK160" s="14">
        <f>SUM(CJ160*0.1)</f>
        <v>40.768000000000001</v>
      </c>
      <c r="CL160" s="14">
        <f ca="1">SUM(CM160*CN160)</f>
        <v>18.685333333333325</v>
      </c>
      <c r="CM160" s="17">
        <f>SUM((CJ160+CK160)*0.00833333333333333)</f>
        <v>3.737066666666665</v>
      </c>
      <c r="CN160" s="23">
        <f ca="1">MONTH(TODAY())+1</f>
        <v>5</v>
      </c>
      <c r="CO160" s="14">
        <f ca="1">SUM(CJ160,CK160,CL160)</f>
        <v>467.13333333333333</v>
      </c>
      <c r="CP160" s="14">
        <f t="shared" si="34"/>
        <v>467.22</v>
      </c>
      <c r="CQ160" s="14">
        <f t="shared" si="34"/>
        <v>46.722000000000001</v>
      </c>
      <c r="CR160" s="14">
        <f t="shared" ca="1" si="34"/>
        <v>27.963649999999987</v>
      </c>
      <c r="CS160" s="14">
        <f ca="1">SUM(CP160:CR160)</f>
        <v>541.90565000000004</v>
      </c>
      <c r="CT160" s="47">
        <f ca="1">SUM(CS160/DI160)</f>
        <v>6.9120618622448985E-3</v>
      </c>
      <c r="CU160" s="14">
        <f>19.5+19.5+195</f>
        <v>234</v>
      </c>
      <c r="CV160" s="32">
        <f>COUNTIF(DB160, "*")+COUNTIF(AO160, "*")+COUNTIF(AJ160, "*")+COUNTIF(AA160, "*")+COUNTIF(DY160, "*")+COUNTIF(EE160, "*")+COUNTIF(EK160, "*")+COUNTIF(EO160, "*")+COUNTIF(EV160, "*")+COUNTIF(FC160, "*")+COUNTIF(FJ160, "*")+COUNTIF(FU160, "*")+COUNTIF(GF160, "*")+COUNTIF(GN160, "*")+COUNTIF(GV160, "*")+COUNTIF(HD160, "*")+COUNTIF(HL160, "*")</f>
        <v>3</v>
      </c>
      <c r="CW160" s="14">
        <f>CV160*0.5+CV160*6.66</f>
        <v>21.48</v>
      </c>
      <c r="CX160" s="4">
        <v>150</v>
      </c>
      <c r="CY160" s="14">
        <f ca="1">SUM(CS160,CU160,DE160, CX160, CW160,FG160)</f>
        <v>977.78565000000003</v>
      </c>
      <c r="CZ160" s="4">
        <v>30.4</v>
      </c>
      <c r="DE160" s="14">
        <f>SUM(CZ160:DD160)</f>
        <v>30.4</v>
      </c>
      <c r="DF160" s="24" t="s">
        <v>2773</v>
      </c>
      <c r="DG160" s="4">
        <v>78400</v>
      </c>
      <c r="DH160" s="4">
        <v>0</v>
      </c>
      <c r="DI160" s="25">
        <f>SUM(DG160+DH160)</f>
        <v>78400</v>
      </c>
      <c r="DJ160" s="35">
        <v>24.11</v>
      </c>
      <c r="DK160" t="s">
        <v>3569</v>
      </c>
      <c r="DL160" t="s">
        <v>3570</v>
      </c>
      <c r="DM160" t="s">
        <v>3571</v>
      </c>
      <c r="DN160" t="s">
        <v>3572</v>
      </c>
      <c r="DO160" t="s">
        <v>3573</v>
      </c>
      <c r="DP160" t="s">
        <v>3574</v>
      </c>
      <c r="EN160" t="s">
        <v>3575</v>
      </c>
      <c r="EO160" t="s">
        <v>936</v>
      </c>
      <c r="EQ160" t="s">
        <v>386</v>
      </c>
      <c r="ER160" t="s">
        <v>260</v>
      </c>
      <c r="ES160" s="9">
        <v>40228</v>
      </c>
      <c r="ET160" t="s">
        <v>3576</v>
      </c>
      <c r="IC160" s="4"/>
      <c r="II160" s="18"/>
      <c r="IJ160" s="18"/>
      <c r="IK160" s="18"/>
    </row>
    <row r="161" spans="1:263" ht="15" customHeight="1">
      <c r="A161" s="19">
        <v>102022209</v>
      </c>
      <c r="B161" t="s">
        <v>2923</v>
      </c>
      <c r="D161" s="1"/>
      <c r="E161" s="3"/>
      <c r="F161" s="3"/>
      <c r="J161" t="s">
        <v>554</v>
      </c>
      <c r="K161" t="s">
        <v>2002</v>
      </c>
      <c r="L161" t="s">
        <v>926</v>
      </c>
      <c r="M161" t="s">
        <v>396</v>
      </c>
      <c r="P161" t="s">
        <v>2002</v>
      </c>
      <c r="Q161" t="s">
        <v>502</v>
      </c>
      <c r="R161" t="s">
        <v>392</v>
      </c>
      <c r="AG161" s="43"/>
      <c r="AJ161" t="s">
        <v>328</v>
      </c>
      <c r="AL161" s="3" t="s">
        <v>279</v>
      </c>
      <c r="AM161"/>
      <c r="AN161"/>
      <c r="AO161" s="3" t="s">
        <v>3280</v>
      </c>
      <c r="AP161" s="3" t="s">
        <v>258</v>
      </c>
      <c r="AQ161" t="s">
        <v>279</v>
      </c>
      <c r="AR161" t="s">
        <v>260</v>
      </c>
      <c r="AS161" s="1"/>
      <c r="AT161" s="1"/>
      <c r="AU161" s="1"/>
      <c r="AV161" s="1"/>
      <c r="AW161" s="1"/>
      <c r="AX161" s="2"/>
      <c r="AY161" s="116"/>
      <c r="AZ161" s="115"/>
      <c r="BA161" s="2"/>
      <c r="BB161" s="2"/>
      <c r="BC161" s="2"/>
      <c r="BD161" s="2"/>
      <c r="BE161" s="2"/>
      <c r="BF161" s="2"/>
      <c r="BG161" s="20">
        <f ca="1">SUM(CY161)+214.5</f>
        <v>498.64909999999998</v>
      </c>
      <c r="BH161" s="22">
        <f ca="1">PMT(10%/12,12,BG161,0,0)</f>
        <v>-43.839178042945775</v>
      </c>
      <c r="BI161" s="22">
        <f ca="1">SUM(BH161*-1)</f>
        <v>43.839178042945775</v>
      </c>
      <c r="BJ161" s="14">
        <f>SUM(DI161*0.0052)/12</f>
        <v>9.5333333333333332</v>
      </c>
      <c r="BK161" s="22">
        <f ca="1">SUM(BI161+BJ161)</f>
        <v>53.372511376279107</v>
      </c>
      <c r="BL161" s="14"/>
      <c r="BM161" s="14">
        <f>SUM(BL161*0.1)</f>
        <v>0</v>
      </c>
      <c r="BN161" s="14">
        <f ca="1">SUM(BO161*BP161)</f>
        <v>0</v>
      </c>
      <c r="BO161" s="17">
        <f>SUM((BL161+BM161)*0.00833333333333333)</f>
        <v>0</v>
      </c>
      <c r="BP161" s="23">
        <f ca="1">MONTH(TODAY())+49</f>
        <v>53</v>
      </c>
      <c r="BQ161" s="14">
        <f ca="1">SUM(BL161,BM161,BN161)</f>
        <v>0</v>
      </c>
      <c r="BR161" s="14"/>
      <c r="BS161" s="14">
        <f>SUM(BR161*0.1)</f>
        <v>0</v>
      </c>
      <c r="BT161" s="14">
        <f ca="1">SUM(BU161*BV161)</f>
        <v>0</v>
      </c>
      <c r="BU161" s="17">
        <f>SUM((BR161+BS161)*0.00833333333333333)</f>
        <v>0</v>
      </c>
      <c r="BV161" s="23">
        <f ca="1">MONTH(TODAY())+37</f>
        <v>41</v>
      </c>
      <c r="BW161" s="14">
        <f ca="1">SUM(BR161,BS161,BT161)</f>
        <v>0</v>
      </c>
      <c r="BX161" s="14"/>
      <c r="BY161" s="14">
        <f>SUM(BX161*0.1)</f>
        <v>0</v>
      </c>
      <c r="BZ161" s="14">
        <f ca="1">SUM(CA161*CB161)</f>
        <v>0</v>
      </c>
      <c r="CA161" s="17">
        <f>SUM((BX161+BY161)*0.00833333333333333)</f>
        <v>0</v>
      </c>
      <c r="CB161" s="23">
        <f ca="1">MONTH(TODAY())+25</f>
        <v>29</v>
      </c>
      <c r="CC161" s="14">
        <f ca="1">SUM(BX161,BY161,BZ161)</f>
        <v>0</v>
      </c>
      <c r="CD161" s="14">
        <v>105.56</v>
      </c>
      <c r="CE161" s="14">
        <f>SUM(CD161*0.1)</f>
        <v>10.556000000000001</v>
      </c>
      <c r="CF161" s="14">
        <f ca="1">SUM(CG161*CH161)</f>
        <v>16.449766666666658</v>
      </c>
      <c r="CG161" s="17">
        <f>SUM((CD161+CE161)*0.00833333333333333)</f>
        <v>0.9676333333333329</v>
      </c>
      <c r="CH161" s="23">
        <f ca="1">MONTH(TODAY())+13</f>
        <v>17</v>
      </c>
      <c r="CI161" s="14">
        <f ca="1">SUM(CD161,CE161,CF161)</f>
        <v>132.56576666666666</v>
      </c>
      <c r="CJ161" s="14">
        <f>SUM(DI161*0.0052)</f>
        <v>114.39999999999999</v>
      </c>
      <c r="CK161" s="14">
        <f>SUM(CJ161*0.1)</f>
        <v>11.44</v>
      </c>
      <c r="CL161" s="14">
        <f ca="1">SUM(CM161*CN161)</f>
        <v>5.2433333333333305</v>
      </c>
      <c r="CM161" s="17">
        <f>SUM((CJ161+CK161)*0.00833333333333333)</f>
        <v>1.0486666666666662</v>
      </c>
      <c r="CN161" s="23">
        <f ca="1">MONTH(TODAY())+1</f>
        <v>5</v>
      </c>
      <c r="CO161" s="14">
        <f ca="1">SUM(CJ161,CK161,CL161)</f>
        <v>131.08333333333331</v>
      </c>
      <c r="CP161" s="14">
        <f t="shared" si="34"/>
        <v>219.95999999999998</v>
      </c>
      <c r="CQ161" s="14">
        <f t="shared" si="34"/>
        <v>21.996000000000002</v>
      </c>
      <c r="CR161" s="14">
        <f t="shared" ca="1" si="34"/>
        <v>21.693099999999987</v>
      </c>
      <c r="CS161" s="14">
        <f ca="1">SUM(CP161:CR161)</f>
        <v>263.64909999999998</v>
      </c>
      <c r="CT161" s="47">
        <f ca="1">SUM(CS161/DI161)</f>
        <v>1.198405E-2</v>
      </c>
      <c r="CU161" s="14">
        <v>19.5</v>
      </c>
      <c r="CV161" s="32">
        <f>COUNTIF(DB161, "*")+COUNTIF(AO161, "*")+COUNTIF(AJ161, "*")+COUNTIF(AA161, "*")+COUNTIF(DY161, "*")+COUNTIF(EE161, "*")+COUNTIF(EK161, "*")+COUNTIF(EO161, "*")+COUNTIF(EV161, "*")+COUNTIF(FC161, "*")+COUNTIF(FJ161, "*")+COUNTIF(FU161, "*")+COUNTIF(GF161, "*")+COUNTIF(GN161, "*")+COUNTIF(GV161, "*")+COUNTIF(HD161, "*")+COUNTIF(HL161, "*")</f>
        <v>2</v>
      </c>
      <c r="CW161" s="14">
        <f>CV161*0.5</f>
        <v>1</v>
      </c>
      <c r="CX161" s="4"/>
      <c r="CY161" s="14">
        <f ca="1">SUM(CS161,CU161,DE161, CX161, CW161,FG161)</f>
        <v>284.14909999999998</v>
      </c>
      <c r="CZ161" s="4"/>
      <c r="DE161" s="14">
        <f>SUM(CZ161:DD161)</f>
        <v>0</v>
      </c>
      <c r="DF161" s="24" t="s">
        <v>2773</v>
      </c>
      <c r="DG161" s="4">
        <v>22000</v>
      </c>
      <c r="DH161" s="4">
        <v>0</v>
      </c>
      <c r="DI161" s="25">
        <f>SUM(DG161+DH161)</f>
        <v>22000</v>
      </c>
      <c r="DJ161" s="35">
        <v>2</v>
      </c>
      <c r="IC161" s="4"/>
    </row>
    <row r="162" spans="1:263" ht="15" customHeight="1">
      <c r="A162" s="2">
        <v>102019052</v>
      </c>
      <c r="B162" s="4" t="s">
        <v>1377</v>
      </c>
      <c r="C162" s="4"/>
      <c r="E162" s="3"/>
      <c r="F162" s="2"/>
      <c r="G162" s="2"/>
      <c r="H162" s="2"/>
      <c r="J162" t="s">
        <v>554</v>
      </c>
      <c r="K162" t="s">
        <v>1378</v>
      </c>
      <c r="L162" t="s">
        <v>1379</v>
      </c>
      <c r="M162" t="s">
        <v>469</v>
      </c>
      <c r="T162" s="1"/>
      <c r="AF162" s="3"/>
      <c r="AG162" s="1"/>
      <c r="AJ162" s="4"/>
      <c r="AK162" s="4"/>
      <c r="AO162" s="4"/>
      <c r="AP162" s="5"/>
      <c r="AS162" s="5"/>
      <c r="AT162" s="5"/>
      <c r="AU162" s="1"/>
      <c r="AV162" s="1"/>
      <c r="AW162" s="1"/>
      <c r="AX162" s="1"/>
      <c r="AY162" s="1"/>
      <c r="AZ162" s="15"/>
      <c r="BA162" s="1"/>
      <c r="BB162" s="1"/>
      <c r="BC162" s="1"/>
      <c r="BD162" s="1"/>
      <c r="BE162" s="1"/>
      <c r="BF162" s="1"/>
      <c r="BG162" s="5"/>
      <c r="BH162" s="16"/>
      <c r="BI162" s="16"/>
      <c r="BJ162" s="4"/>
      <c r="BK162" s="4"/>
      <c r="BL162" s="4"/>
      <c r="BM162" s="6"/>
      <c r="BN162" s="7"/>
      <c r="BO162" s="4"/>
      <c r="BP162" s="7"/>
      <c r="BQ162" s="4"/>
      <c r="BR162" s="4"/>
      <c r="BS162" s="6"/>
      <c r="BT162" s="7"/>
      <c r="BU162" s="4"/>
      <c r="BV162" s="4"/>
      <c r="BW162" s="4"/>
      <c r="BX162" s="4"/>
      <c r="BY162" s="6"/>
      <c r="BZ162" s="7"/>
      <c r="CA162" s="4"/>
      <c r="CB162" s="4"/>
      <c r="CC162" s="4"/>
      <c r="CD162" s="4"/>
      <c r="CE162" s="6"/>
      <c r="CF162" s="7"/>
      <c r="CG162" s="4"/>
      <c r="CH162" s="4"/>
      <c r="CI162" s="4"/>
      <c r="CJ162" s="4"/>
      <c r="CK162" s="6"/>
      <c r="CL162" s="7"/>
      <c r="CM162" s="4"/>
      <c r="CN162" s="4"/>
      <c r="CO162" s="4"/>
      <c r="CP162" s="4"/>
      <c r="CQ162" s="6"/>
      <c r="CR162" s="7"/>
      <c r="CS162" s="4"/>
      <c r="CT162" s="4"/>
      <c r="CU162" s="4"/>
      <c r="CV162" s="4"/>
      <c r="CW162" s="6"/>
      <c r="CX162" s="7"/>
      <c r="CY162" s="4"/>
      <c r="CZ162" s="4"/>
      <c r="DA162" s="4"/>
      <c r="DB162" s="4"/>
      <c r="DC162" s="6"/>
      <c r="DD162" s="7"/>
      <c r="DE162" s="4"/>
      <c r="DF162" s="4"/>
      <c r="DG162" s="4"/>
      <c r="DH162" s="14"/>
      <c r="DI162" s="14"/>
      <c r="DJ162" s="4"/>
      <c r="DL162" s="4"/>
      <c r="DM162" s="234"/>
      <c r="DN162" s="4"/>
      <c r="DO162" s="4"/>
      <c r="DP162" s="4"/>
      <c r="DQ162" s="4"/>
      <c r="DR162" s="4"/>
      <c r="DS162" s="4"/>
      <c r="DT162" s="7"/>
      <c r="DU162" s="8"/>
      <c r="DV162" s="4"/>
      <c r="DW162" s="8"/>
      <c r="DX162" s="4"/>
      <c r="DY162" s="14"/>
      <c r="DZ162" s="23"/>
      <c r="EI162" s="11"/>
      <c r="EO162" s="11"/>
      <c r="EP162" s="11"/>
      <c r="EQ162" s="4"/>
      <c r="ER162" s="4"/>
      <c r="ES162" s="4"/>
      <c r="ET162" s="4"/>
      <c r="EU162" s="4"/>
      <c r="EV162" s="4"/>
      <c r="EW162" s="4"/>
      <c r="EX162" s="4"/>
      <c r="EY162" s="4"/>
      <c r="EZ162" s="4"/>
      <c r="FA162" s="4"/>
      <c r="FB162" s="4"/>
      <c r="FC162" s="4"/>
      <c r="FD162" s="4"/>
      <c r="FE162" s="4"/>
      <c r="FI162" s="9"/>
      <c r="FR162" s="9"/>
      <c r="FX162" s="4"/>
      <c r="GC162" s="10"/>
      <c r="GM162" s="10"/>
      <c r="HB162" s="9"/>
      <c r="IJ162" s="4"/>
      <c r="IK162" s="4"/>
      <c r="IL162" s="18"/>
      <c r="IM162" s="18"/>
      <c r="IN162" s="14"/>
      <c r="IO162" s="14"/>
      <c r="IP162" s="27">
        <v>43952</v>
      </c>
      <c r="IQ162" s="27">
        <v>43965</v>
      </c>
      <c r="IR162" s="18"/>
      <c r="IS162" s="18"/>
      <c r="IT162" s="18"/>
      <c r="IZ162" s="243"/>
      <c r="JA162" s="243"/>
      <c r="JB162" s="243"/>
      <c r="JC162" s="243"/>
    </row>
    <row r="163" spans="1:263" ht="15" customHeight="1">
      <c r="A163" s="2">
        <v>102024130</v>
      </c>
      <c r="B163" t="s">
        <v>5456</v>
      </c>
      <c r="D163" s="1"/>
      <c r="E163" s="3"/>
      <c r="G163" s="3"/>
      <c r="K163" t="s">
        <v>5457</v>
      </c>
      <c r="O163" s="3"/>
      <c r="Z163" t="s">
        <v>5458</v>
      </c>
      <c r="AA163" t="s">
        <v>5754</v>
      </c>
      <c r="AB163" t="s">
        <v>267</v>
      </c>
      <c r="AC163" t="s">
        <v>268</v>
      </c>
      <c r="AG163" s="43"/>
      <c r="AJ163" s="18" t="s">
        <v>328</v>
      </c>
      <c r="AK163" s="1"/>
      <c r="AL163" s="18" t="s">
        <v>279</v>
      </c>
      <c r="AM163"/>
      <c r="AN163"/>
      <c r="AO163" t="s">
        <v>5459</v>
      </c>
      <c r="AQ163" s="18" t="s">
        <v>2722</v>
      </c>
      <c r="AR163"/>
      <c r="AS163" s="10"/>
      <c r="AT163" s="10"/>
      <c r="AU163" s="10"/>
      <c r="AV163" s="10"/>
      <c r="AW163" s="1"/>
      <c r="AY163" s="1"/>
      <c r="AZ163" s="1"/>
      <c r="BA163" s="1"/>
      <c r="BB163" s="1"/>
      <c r="BC163" s="2"/>
      <c r="BD163" s="115">
        <v>45415</v>
      </c>
      <c r="BE163" s="144">
        <v>45434</v>
      </c>
      <c r="BF163" s="2"/>
      <c r="BG163" s="2"/>
      <c r="BH163" s="2"/>
      <c r="BI163" s="2"/>
      <c r="BJ163" s="2"/>
      <c r="BK163" s="2"/>
      <c r="BL163" s="20">
        <f ca="1">SUM(EH163)+220</f>
        <v>1021.7353333333333</v>
      </c>
      <c r="BM163" s="22">
        <f ca="1">PMT(10%/12,12,BL163,0,0)</f>
        <v>-89.826768344249587</v>
      </c>
      <c r="BN163" s="22">
        <f ca="1">SUM(BM163*-1)</f>
        <v>89.826768344249587</v>
      </c>
      <c r="BO163" s="14">
        <f>SUM(EP163*0.0052)/12</f>
        <v>14.733333333333333</v>
      </c>
      <c r="BP163" s="22">
        <f ca="1">SUM(BN163+BO163)</f>
        <v>104.56010167758292</v>
      </c>
      <c r="BQ163" s="14"/>
      <c r="BR163" s="14">
        <f>SUM(BQ163*0.1)</f>
        <v>0</v>
      </c>
      <c r="BS163" s="14">
        <f ca="1">SUM(BT163*BU163)</f>
        <v>0</v>
      </c>
      <c r="BT163" s="17">
        <f>SUM((BQ163+BR163)*0.00833333333333333)</f>
        <v>0</v>
      </c>
      <c r="BU163" s="23">
        <f ca="1">MONTH(TODAY())+49</f>
        <v>53</v>
      </c>
      <c r="BV163" s="14">
        <f ca="1">SUM(BQ163,BR163,BS163)</f>
        <v>0</v>
      </c>
      <c r="BW163" s="14">
        <v>0</v>
      </c>
      <c r="BX163" s="14">
        <f>SUM(BW163*0.1)</f>
        <v>0</v>
      </c>
      <c r="BY163" s="14">
        <f ca="1">SUM(BZ163*CA163)</f>
        <v>0</v>
      </c>
      <c r="BZ163" s="17">
        <f>SUM((BW163+BX163)*0.00833333333333333)</f>
        <v>0</v>
      </c>
      <c r="CA163" s="23">
        <f ca="1">MONTH(TODAY())+37</f>
        <v>41</v>
      </c>
      <c r="CB163" s="14">
        <f ca="1">SUM(BW163,BX163,BY163)</f>
        <v>0</v>
      </c>
      <c r="CC163" s="14">
        <v>0</v>
      </c>
      <c r="CD163" s="14">
        <f>SUM(CC163*0.1)</f>
        <v>0</v>
      </c>
      <c r="CE163" s="14">
        <f ca="1">SUM(CF163*CG163)</f>
        <v>0</v>
      </c>
      <c r="CF163" s="17">
        <f>SUM((CC163+CD163)*0.00833333333333333)</f>
        <v>0</v>
      </c>
      <c r="CG163" s="23">
        <f ca="1">MONTH(TODAY())+25</f>
        <v>29</v>
      </c>
      <c r="CH163" s="14">
        <f ca="1">SUM(CC163,CD163,CE163)</f>
        <v>0</v>
      </c>
      <c r="CI163" s="14">
        <v>0</v>
      </c>
      <c r="CJ163" s="14">
        <f>SUM(CI163*0.1)</f>
        <v>0</v>
      </c>
      <c r="CK163" s="14">
        <f ca="1">SUM(CL163*CM163)</f>
        <v>0</v>
      </c>
      <c r="CL163" s="17">
        <f>SUM((CI163+CJ163)*0.00833333333333333)</f>
        <v>0</v>
      </c>
      <c r="CM163" s="23">
        <f ca="1">MONTH(TODAY())+17</f>
        <v>21</v>
      </c>
      <c r="CN163" s="23">
        <f ca="1">SUM(CI163,CJ163,CK163)</f>
        <v>0</v>
      </c>
      <c r="CO163" s="14">
        <f>SUM(EM163*0.0052)/2</f>
        <v>83.2</v>
      </c>
      <c r="CP163" s="14">
        <f>SUM(CO163*0.1)</f>
        <v>8.32</v>
      </c>
      <c r="CQ163" s="14">
        <f ca="1">SUM(CR163*CS163)</f>
        <v>12.965333333333328</v>
      </c>
      <c r="CR163" s="17">
        <f>SUM((CO163+CP163)*0.00833333333333333)</f>
        <v>0.76266666666666638</v>
      </c>
      <c r="CS163" s="23">
        <f ca="1">MONTH(TODAY())+13</f>
        <v>17</v>
      </c>
      <c r="CT163" s="23">
        <f ca="1">SUM(CO163,CP163,CQ163)</f>
        <v>104.48533333333334</v>
      </c>
      <c r="CU163" s="14">
        <f>SUM(EP163*0.0045)/2</f>
        <v>76.5</v>
      </c>
      <c r="CV163" s="14">
        <f>SUM(CU163*0.1)</f>
        <v>7.65</v>
      </c>
      <c r="CW163" s="14">
        <f ca="1">SUM(CX163*CY163)</f>
        <v>7.7137499999999966</v>
      </c>
      <c r="CX163" s="17">
        <f>SUM((CU163+CV163)*0.00833333333333333)</f>
        <v>0.70124999999999971</v>
      </c>
      <c r="CY163" s="23">
        <f ca="1">MONTH(TODAY())+7</f>
        <v>11</v>
      </c>
      <c r="CZ163" s="23">
        <f ca="1">SUM(CU163,CV163,CW163)</f>
        <v>91.863749999999996</v>
      </c>
      <c r="DA163" s="14">
        <f>SUM(EP163*0.0045)/2</f>
        <v>76.5</v>
      </c>
      <c r="DB163" s="14">
        <f>SUM(DA163*0.1)</f>
        <v>7.65</v>
      </c>
      <c r="DC163" s="14">
        <f ca="1">SUM(DD163*DE163)</f>
        <v>3.5062499999999988</v>
      </c>
      <c r="DD163" s="17">
        <f>SUM((DA163+DB163)*0.00833333333333333)</f>
        <v>0.70124999999999971</v>
      </c>
      <c r="DE163" s="23">
        <f ca="1">MONTH(TODAY())+1</f>
        <v>5</v>
      </c>
      <c r="DF163" s="14">
        <f ca="1">SUM(DA163,DB163,DC163)</f>
        <v>87.65625</v>
      </c>
      <c r="DG163" s="14">
        <f>SUM(EP163*0.0045)/2</f>
        <v>76.5</v>
      </c>
      <c r="DH163" s="14">
        <f>0</f>
        <v>0</v>
      </c>
      <c r="DI163" s="14">
        <f>0</f>
        <v>0</v>
      </c>
      <c r="DJ163" s="17">
        <f>SUM((DG163+DH163)*0.00833333333333333)</f>
        <v>0.63749999999999973</v>
      </c>
      <c r="DK163" s="23">
        <f ca="1">MONTH(TODAY())+7</f>
        <v>11</v>
      </c>
      <c r="DL163" s="23">
        <f>SUM(DG163,DH163,DI163)</f>
        <v>76.5</v>
      </c>
      <c r="DM163" s="14">
        <f>0</f>
        <v>0</v>
      </c>
      <c r="DN163" s="14">
        <f>0</f>
        <v>0</v>
      </c>
      <c r="DO163" s="14">
        <f ca="1">SUM(DP163*DQ163)</f>
        <v>0</v>
      </c>
      <c r="DP163" s="17">
        <f>SUM((DM163+DN163)*0.00833333333333333)</f>
        <v>0</v>
      </c>
      <c r="DQ163" s="23">
        <f ca="1">MONTH(TODAY())+1</f>
        <v>5</v>
      </c>
      <c r="DR163" s="14">
        <f ca="1">SUM(DM163,DN163,DO163)</f>
        <v>0</v>
      </c>
      <c r="DS163" s="14">
        <f>SUM(BQ163, BW163, CC163, CI163,CO163,CU163,DA163,DG163,DM163)</f>
        <v>312.7</v>
      </c>
      <c r="DT163" s="14">
        <f>SUM(BR163,BX163,CD163, CJ163,CP163,CV163,DB163,DH163,DN163)</f>
        <v>23.62</v>
      </c>
      <c r="DU163" s="14">
        <f ca="1">SUM(BS163,BY163,CE163, CK163,CQ163,CW163,DC163,DI163,DO163)</f>
        <v>24.185333333333322</v>
      </c>
      <c r="DV163" s="25">
        <f ca="1">SUM(DS163:DU163)</f>
        <v>360.50533333333334</v>
      </c>
      <c r="DW163" s="47">
        <f ca="1">SUM(DV163/EM163)</f>
        <v>1.1265791666666667E-2</v>
      </c>
      <c r="DX163" s="14">
        <f>20+10+200</f>
        <v>230</v>
      </c>
      <c r="DY163" s="32">
        <f>COUNTIF(AO163, "*")+COUNTIF(AJ163, "*")+COUNTIF(AA163, "*")+COUNTIF(FA163, "*")+COUNTIF(FG163, "*")+COUNTIF(FM163, "*")+COUNTIF(FQ163, "*")+COUNTIF(FX163, "*")+COUNTIF(AS163, "*")+COUNTIF(GG163, "*")+COUNTIF(GR163, "*")+COUNTIF(HC163, "*")+COUNTIF(HK163, "*")+COUNTIF(HS163, "*")+COUNTIF(IA163, "*")</f>
        <v>4</v>
      </c>
      <c r="DZ163" s="14">
        <f>2.56+DY163*8</f>
        <v>34.56</v>
      </c>
      <c r="EA163" s="25">
        <v>150</v>
      </c>
      <c r="EB163" s="4">
        <v>26.67</v>
      </c>
      <c r="EC163" s="4"/>
      <c r="ED163" s="4"/>
      <c r="EF163" s="4"/>
      <c r="EG163" s="14">
        <f>SUM(EB163:EF163)</f>
        <v>26.67</v>
      </c>
      <c r="EH163" s="14">
        <f ca="1">SUM(DV163,DX163,EG163, EA163, DZ163,GD163)</f>
        <v>801.7353333333333</v>
      </c>
      <c r="EI163" s="24" t="s">
        <v>4935</v>
      </c>
      <c r="EJ163" s="23">
        <v>2.2200000000000002</v>
      </c>
      <c r="EK163" s="14">
        <v>32000</v>
      </c>
      <c r="EL163" s="14">
        <v>0</v>
      </c>
      <c r="EM163" s="14">
        <f>SUM(EK163+EL163)</f>
        <v>32000</v>
      </c>
      <c r="EN163" s="14">
        <v>34000</v>
      </c>
      <c r="EO163" s="14">
        <v>0</v>
      </c>
      <c r="EP163" s="14">
        <f>SUM(EN163+EO163)</f>
        <v>34000</v>
      </c>
      <c r="EQ163" s="10" t="s">
        <v>5757</v>
      </c>
      <c r="ER163" s="10" t="s">
        <v>5758</v>
      </c>
      <c r="ES163" s="10"/>
      <c r="ET163" s="10"/>
      <c r="EU163" s="10"/>
      <c r="EV163" s="10"/>
      <c r="EW163" s="10"/>
      <c r="EX163" s="10"/>
      <c r="EY163" t="s">
        <v>5755</v>
      </c>
      <c r="FA163" t="s">
        <v>5756</v>
      </c>
      <c r="FC163" t="s">
        <v>1331</v>
      </c>
      <c r="FD163" t="s">
        <v>301</v>
      </c>
      <c r="GD163" s="4"/>
      <c r="IE163" s="9"/>
      <c r="IN163" s="4"/>
      <c r="IO163" s="4"/>
      <c r="IP163" s="4"/>
      <c r="IQ163" s="9"/>
      <c r="IR163" s="9"/>
      <c r="IS163" s="9"/>
      <c r="IT163" s="9"/>
      <c r="IU163" s="9"/>
    </row>
    <row r="164" spans="1:263" ht="15" customHeight="1">
      <c r="A164" s="2">
        <v>102020042</v>
      </c>
      <c r="B164" t="s">
        <v>1650</v>
      </c>
      <c r="K164" t="s">
        <v>1649</v>
      </c>
      <c r="AG164" s="248"/>
      <c r="AO164" s="4"/>
      <c r="AZ164" s="9"/>
      <c r="BG164" s="5"/>
      <c r="BH164" s="16"/>
      <c r="BI164" s="16"/>
      <c r="BJ164" s="4"/>
      <c r="BK164" s="4"/>
      <c r="BL164" s="4"/>
      <c r="BM164" s="6"/>
      <c r="BN164" s="7"/>
      <c r="BO164" s="4"/>
      <c r="BP164" s="4"/>
      <c r="BQ164" s="4"/>
      <c r="BR164" s="4"/>
      <c r="BS164" s="6"/>
      <c r="BT164" s="7"/>
      <c r="BU164" s="4"/>
      <c r="BV164" s="4"/>
      <c r="BW164" s="4"/>
      <c r="BX164" s="4"/>
      <c r="BY164" s="6"/>
      <c r="BZ164" s="7"/>
      <c r="CA164" s="4"/>
      <c r="CB164" s="4"/>
      <c r="CC164" s="4"/>
      <c r="CD164" s="4"/>
      <c r="CE164" s="6"/>
      <c r="CF164" s="7"/>
      <c r="CG164" s="4"/>
      <c r="CH164" s="4"/>
      <c r="CI164" s="4"/>
      <c r="CJ164" s="4"/>
      <c r="CK164" s="6"/>
      <c r="CL164" s="7"/>
      <c r="CM164" s="4"/>
      <c r="CN164" s="4"/>
      <c r="CO164" s="4"/>
      <c r="CP164" s="4"/>
      <c r="CQ164" s="6"/>
      <c r="CR164" s="7"/>
      <c r="CS164" s="4"/>
      <c r="CT164" s="4"/>
      <c r="CU164" s="4"/>
      <c r="CV164" s="4"/>
      <c r="CW164" s="6"/>
      <c r="CX164" s="7"/>
      <c r="CY164" s="4"/>
      <c r="CZ164" s="4"/>
      <c r="DA164" s="4"/>
      <c r="DB164" s="4"/>
      <c r="DC164" s="4"/>
      <c r="DD164" s="3"/>
      <c r="DE164" s="4"/>
      <c r="DF164" s="234"/>
      <c r="DG164" s="4"/>
      <c r="DH164" s="4"/>
      <c r="DI164" s="4"/>
      <c r="DJ164" s="4"/>
      <c r="DK164" s="4"/>
      <c r="DL164" s="4"/>
      <c r="DM164" s="7"/>
      <c r="DN164" s="8"/>
      <c r="DO164" s="4"/>
      <c r="DP164" s="8"/>
      <c r="DQ164" s="8"/>
      <c r="DR164" s="8"/>
      <c r="DS164" s="35"/>
      <c r="EI164" s="278"/>
      <c r="IN164" s="66">
        <v>105.5</v>
      </c>
      <c r="IO164" s="66"/>
      <c r="IP164" s="9">
        <v>43549</v>
      </c>
      <c r="IQ164" s="9">
        <v>43565</v>
      </c>
      <c r="IR164" s="9">
        <v>43699</v>
      </c>
      <c r="IS164" s="9">
        <v>43711</v>
      </c>
    </row>
    <row r="165" spans="1:263" ht="15" customHeight="1">
      <c r="A165" s="2">
        <v>102020043</v>
      </c>
      <c r="B165" t="s">
        <v>1651</v>
      </c>
      <c r="K165" t="s">
        <v>1649</v>
      </c>
      <c r="AG165" s="248"/>
      <c r="AO165" s="4"/>
      <c r="BG165" s="5"/>
      <c r="BH165" s="16"/>
      <c r="BI165" s="16"/>
      <c r="BJ165" s="4"/>
      <c r="BK165" s="4"/>
      <c r="BL165" s="4"/>
      <c r="BM165" s="6"/>
      <c r="BN165" s="7"/>
      <c r="BO165" s="4"/>
      <c r="BP165" s="4"/>
      <c r="BQ165" s="4"/>
      <c r="BR165" s="4"/>
      <c r="BS165" s="6"/>
      <c r="BT165" s="7"/>
      <c r="BU165" s="4"/>
      <c r="BV165" s="4"/>
      <c r="BW165" s="4"/>
      <c r="BX165" s="4"/>
      <c r="BY165" s="6"/>
      <c r="BZ165" s="7"/>
      <c r="CA165" s="4"/>
      <c r="CB165" s="4"/>
      <c r="CC165" s="4"/>
      <c r="CD165" s="4"/>
      <c r="CE165" s="6"/>
      <c r="CF165" s="7"/>
      <c r="CG165" s="4"/>
      <c r="CH165" s="4"/>
      <c r="CI165" s="4"/>
      <c r="CJ165" s="4"/>
      <c r="CK165" s="6"/>
      <c r="CL165" s="7"/>
      <c r="CM165" s="4"/>
      <c r="CN165" s="4"/>
      <c r="CO165" s="4"/>
      <c r="CP165" s="4"/>
      <c r="CQ165" s="6"/>
      <c r="CR165" s="7"/>
      <c r="CS165" s="4"/>
      <c r="CT165" s="4"/>
      <c r="CU165" s="4"/>
      <c r="CV165" s="4"/>
      <c r="CW165" s="6"/>
      <c r="CX165" s="7"/>
      <c r="CY165" s="4"/>
      <c r="CZ165" s="4"/>
      <c r="DA165" s="4"/>
      <c r="DB165" s="4"/>
      <c r="DC165" s="4"/>
      <c r="DD165" s="3"/>
      <c r="DE165" s="4"/>
      <c r="DF165" s="234"/>
      <c r="DG165" s="4"/>
      <c r="DH165" s="4"/>
      <c r="DI165" s="4"/>
      <c r="DJ165" s="4"/>
      <c r="DK165" s="4"/>
      <c r="DL165" s="4"/>
      <c r="DM165" s="7"/>
      <c r="DN165" s="8"/>
      <c r="DO165" s="4"/>
      <c r="DP165" s="8"/>
      <c r="DQ165" s="8"/>
      <c r="DR165" s="8"/>
      <c r="DS165" s="35"/>
      <c r="IN165" s="66">
        <v>32</v>
      </c>
      <c r="IP165" s="9">
        <v>43549</v>
      </c>
      <c r="IQ165" s="9">
        <v>43565</v>
      </c>
      <c r="IR165" s="9">
        <v>43699</v>
      </c>
      <c r="IS165" s="9">
        <v>43711</v>
      </c>
    </row>
    <row r="166" spans="1:263" ht="15" customHeight="1">
      <c r="A166" s="2">
        <v>102018027</v>
      </c>
      <c r="B166" s="4" t="s">
        <v>1128</v>
      </c>
      <c r="J166" t="s">
        <v>305</v>
      </c>
      <c r="K166" t="s">
        <v>1125</v>
      </c>
      <c r="L166" t="s">
        <v>1126</v>
      </c>
      <c r="M166" t="s">
        <v>537</v>
      </c>
      <c r="O166" s="1"/>
      <c r="P166" t="s">
        <v>1125</v>
      </c>
      <c r="Q166" t="s">
        <v>1106</v>
      </c>
      <c r="R166" t="s">
        <v>403</v>
      </c>
      <c r="T166" s="1"/>
      <c r="AJ166" s="4"/>
      <c r="AK166" s="4"/>
      <c r="AO166" s="4"/>
      <c r="AP166" s="5"/>
      <c r="AQ166" s="34"/>
      <c r="AS166" s="1"/>
      <c r="AT166" s="1"/>
      <c r="AU166" s="29"/>
      <c r="AV166" s="1"/>
      <c r="AW166" s="1"/>
      <c r="AX166" s="1"/>
      <c r="AY166" s="1"/>
      <c r="AZ166" s="1"/>
      <c r="BA166" s="1"/>
      <c r="BB166" s="1"/>
      <c r="BC166" s="1"/>
      <c r="BD166" s="1"/>
      <c r="BE166" s="5"/>
      <c r="BF166" s="16"/>
      <c r="BG166" s="16"/>
      <c r="BI166" s="4"/>
      <c r="BJ166" s="4"/>
      <c r="BK166" s="6"/>
      <c r="BL166" s="7"/>
      <c r="BM166" s="4"/>
      <c r="BO166" s="4"/>
      <c r="BP166" s="4"/>
      <c r="BQ166" s="6"/>
      <c r="BR166" s="7"/>
      <c r="BS166" s="4"/>
      <c r="BU166" s="4"/>
      <c r="BV166" s="4"/>
      <c r="BW166" s="6"/>
      <c r="BX166" s="7"/>
      <c r="BY166" s="4"/>
      <c r="BZ166" s="6"/>
      <c r="CA166" s="4"/>
      <c r="CB166" s="4"/>
      <c r="CC166" s="6"/>
      <c r="CD166" s="7"/>
      <c r="CE166" s="4"/>
      <c r="CF166" s="6"/>
      <c r="CG166" s="4"/>
      <c r="CH166" s="4"/>
      <c r="CI166" s="6"/>
      <c r="CJ166" s="7"/>
      <c r="CK166" s="4"/>
      <c r="CL166" s="4"/>
      <c r="CM166" s="4"/>
      <c r="CN166" s="4"/>
      <c r="CO166" s="6"/>
      <c r="CP166" s="7"/>
      <c r="CQ166" s="4"/>
      <c r="CR166" s="4"/>
      <c r="CS166" s="4"/>
      <c r="CT166" s="4"/>
      <c r="CU166" s="6"/>
      <c r="CV166" s="7"/>
      <c r="CW166" s="4"/>
      <c r="CX166" s="4"/>
      <c r="CY166" s="4"/>
      <c r="CZ166" s="4"/>
      <c r="DA166" s="6"/>
      <c r="DB166" s="7"/>
      <c r="DC166" s="4"/>
      <c r="DD166" s="4"/>
      <c r="DE166" s="4"/>
      <c r="DF166" s="4"/>
      <c r="DG166" s="6"/>
      <c r="DH166" s="7"/>
      <c r="DI166" s="4"/>
      <c r="DJ166" s="4"/>
      <c r="DK166" s="4"/>
      <c r="DL166" s="4"/>
      <c r="DM166" s="4"/>
      <c r="DO166" s="4"/>
      <c r="DP166" s="4"/>
      <c r="DQ166" s="4"/>
      <c r="DR166" s="7"/>
      <c r="DS166" s="4"/>
      <c r="DT166" s="4"/>
      <c r="DU166" s="4"/>
      <c r="DV166" s="4"/>
      <c r="DW166" s="4"/>
      <c r="DX166" s="4"/>
      <c r="DY166" s="7"/>
      <c r="DZ166" s="4"/>
      <c r="EA166" s="4"/>
      <c r="EB166" s="4"/>
      <c r="EC166" s="4"/>
      <c r="ED166" s="11"/>
      <c r="EM166" s="11"/>
      <c r="ES166" s="11"/>
      <c r="ET166" s="4"/>
      <c r="EU166" s="4"/>
      <c r="EV166" s="4"/>
      <c r="EW166" s="4"/>
      <c r="EX166" s="4"/>
      <c r="EY166" s="4"/>
      <c r="EZ166" s="4"/>
      <c r="FA166" s="4"/>
      <c r="FB166" s="4"/>
      <c r="FC166" s="4"/>
      <c r="FD166" s="4"/>
      <c r="FE166" s="4"/>
      <c r="FF166" s="4"/>
      <c r="FG166" s="4"/>
      <c r="FM166" s="9"/>
      <c r="GC166" s="10"/>
      <c r="GM166" s="10"/>
      <c r="HB166" s="9"/>
    </row>
    <row r="167" spans="1:263" ht="15" customHeight="1">
      <c r="A167" s="19">
        <v>102023050</v>
      </c>
      <c r="B167" s="18" t="s">
        <v>1128</v>
      </c>
      <c r="D167" s="1">
        <v>2025</v>
      </c>
      <c r="E167" s="3"/>
      <c r="F167" s="3"/>
      <c r="G167" s="3"/>
      <c r="J167" s="18" t="s">
        <v>554</v>
      </c>
      <c r="K167" s="18" t="s">
        <v>1125</v>
      </c>
      <c r="L167" s="18" t="s">
        <v>1126</v>
      </c>
      <c r="M167" s="18" t="s">
        <v>537</v>
      </c>
      <c r="N167" s="18"/>
      <c r="O167" s="24"/>
      <c r="P167" s="18" t="s">
        <v>1125</v>
      </c>
      <c r="Q167" s="18" t="s">
        <v>1106</v>
      </c>
      <c r="R167" s="18"/>
      <c r="S167" s="18"/>
      <c r="AG167" s="43"/>
      <c r="AH167" s="3"/>
      <c r="AI167" s="3"/>
      <c r="AJ167" s="18" t="s">
        <v>328</v>
      </c>
      <c r="AK167" s="18"/>
      <c r="AL167" s="18" t="s">
        <v>279</v>
      </c>
      <c r="AM167" s="18"/>
      <c r="AN167" s="18"/>
      <c r="AO167" s="18" t="s">
        <v>4124</v>
      </c>
      <c r="AP167" s="18" t="s">
        <v>258</v>
      </c>
      <c r="AQ167" s="18" t="s">
        <v>300</v>
      </c>
      <c r="AR167" s="18" t="s">
        <v>301</v>
      </c>
      <c r="AY167" s="1"/>
      <c r="AZ167" s="1"/>
      <c r="BA167" s="1"/>
      <c r="BB167" s="1"/>
      <c r="BC167" s="2"/>
      <c r="BD167" s="116"/>
      <c r="BE167" s="115"/>
      <c r="BF167" s="2"/>
      <c r="BG167" s="2"/>
      <c r="BH167" s="2"/>
      <c r="BI167" s="2"/>
      <c r="BJ167" s="2"/>
      <c r="BK167" s="2"/>
      <c r="BL167" s="20">
        <f ca="1">SUM(EB167)+220</f>
        <v>388.02277499999991</v>
      </c>
      <c r="BM167" s="22">
        <f ca="1">PMT(10%/12,12,BL167,0,0)</f>
        <v>-34.11336652957538</v>
      </c>
      <c r="BN167" s="22">
        <f ca="1">SUM(BM167*-1)</f>
        <v>34.11336652957538</v>
      </c>
      <c r="BO167" s="14">
        <f>SUM(EJ167*0.0052)/12</f>
        <v>4.5933333333333328</v>
      </c>
      <c r="BP167" s="22">
        <f ca="1">SUM(BN167+BO167)</f>
        <v>38.706699862908714</v>
      </c>
      <c r="BQ167" s="14"/>
      <c r="BR167" s="14">
        <f>SUM(BQ167*0.1)</f>
        <v>0</v>
      </c>
      <c r="BS167" s="14">
        <f ca="1">SUM(BT167*BU167)</f>
        <v>0</v>
      </c>
      <c r="BT167" s="17">
        <f>SUM((BQ167+BR167)*0.00833333333333333)</f>
        <v>0</v>
      </c>
      <c r="BU167" s="23">
        <f ca="1">MONTH(TODAY())+49</f>
        <v>53</v>
      </c>
      <c r="BV167" s="14">
        <f ca="1">SUM(BQ167,BR167,BS167)</f>
        <v>0</v>
      </c>
      <c r="BW167" s="14"/>
      <c r="BX167" s="14">
        <f>SUM(BW167*0.1)</f>
        <v>0</v>
      </c>
      <c r="BY167" s="14">
        <f ca="1">SUM(BZ167*CA167)</f>
        <v>0</v>
      </c>
      <c r="BZ167" s="17">
        <f>SUM((BW167+BX167)*0.00833333333333333)</f>
        <v>0</v>
      </c>
      <c r="CA167" s="23">
        <f ca="1">MONTH(TODAY())+37</f>
        <v>41</v>
      </c>
      <c r="CB167" s="14">
        <f ca="1">SUM(BW167,BX167,BY167)</f>
        <v>0</v>
      </c>
      <c r="CC167" s="14">
        <v>0</v>
      </c>
      <c r="CD167" s="14">
        <f>SUM(CC167*0.1)</f>
        <v>0</v>
      </c>
      <c r="CE167" s="14">
        <f ca="1">SUM(CF167*CG167)</f>
        <v>0</v>
      </c>
      <c r="CF167" s="17">
        <f>SUM((CC167+CD167)*0.00833333333333333)</f>
        <v>0</v>
      </c>
      <c r="CG167" s="23">
        <f ca="1">MONTH(TODAY())+25</f>
        <v>29</v>
      </c>
      <c r="CH167" s="14">
        <f ca="1">SUM(CC167,CD167,CE167)</f>
        <v>0</v>
      </c>
      <c r="CI167" s="14">
        <f>SUM(EG167*0.0052)</f>
        <v>49.919999999999995</v>
      </c>
      <c r="CJ167" s="14">
        <f>SUM(CI167*0.1)</f>
        <v>4.992</v>
      </c>
      <c r="CK167" s="14">
        <f ca="1">SUM(CL167*CM167)</f>
        <v>7.779199999999995</v>
      </c>
      <c r="CL167" s="17">
        <f>SUM((CI167+CJ167)*0.00833333333333333)</f>
        <v>0.45759999999999973</v>
      </c>
      <c r="CM167" s="23">
        <f ca="1">MONTH(TODAY())+13</f>
        <v>17</v>
      </c>
      <c r="CN167" s="14">
        <f ca="1">SUM(CI167,CJ167,CK167)</f>
        <v>62.691199999999988</v>
      </c>
      <c r="CO167" s="14">
        <f>SUM(EG167*0.0052)/2</f>
        <v>24.959999999999997</v>
      </c>
      <c r="CP167" s="14">
        <f>SUM(CO167*0.1)</f>
        <v>2.496</v>
      </c>
      <c r="CQ167" s="14">
        <f ca="1">SUM(CR167*CS167)</f>
        <v>2.0591999999999988</v>
      </c>
      <c r="CR167" s="17">
        <f>SUM((CO167+CP167)*0.00833333333333333)</f>
        <v>0.22879999999999986</v>
      </c>
      <c r="CS167" s="23">
        <f ca="1">MONTH(TODAY())+5</f>
        <v>9</v>
      </c>
      <c r="CT167" s="23">
        <f ca="1">SUM(CO167,CP167,CQ167)</f>
        <v>29.515199999999993</v>
      </c>
      <c r="CU167" s="14">
        <f>SUM(EG167*0.0052)/2</f>
        <v>24.959999999999997</v>
      </c>
      <c r="CV167" s="14">
        <f>SUM(CU167*0.1)</f>
        <v>2.496</v>
      </c>
      <c r="CW167" s="14">
        <f ca="1">SUM(CX167*CY167)</f>
        <v>1.1439999999999992</v>
      </c>
      <c r="CX167" s="17">
        <f>SUM((CU167+CV167)*0.00833333333333333)</f>
        <v>0.22879999999999986</v>
      </c>
      <c r="CY167" s="23">
        <f ca="1">MONTH(TODAY())+1</f>
        <v>5</v>
      </c>
      <c r="CZ167" s="23">
        <f ca="1">SUM(CU167,CV167,CW167)</f>
        <v>28.599999999999994</v>
      </c>
      <c r="DA167" s="14">
        <f>SUM(EJ167*0.0045)/2</f>
        <v>23.849999999999998</v>
      </c>
      <c r="DB167" s="14">
        <f>SUM(DA167*0.1)</f>
        <v>2.3849999999999998</v>
      </c>
      <c r="DC167" s="14">
        <f ca="1">SUM(DD167*DE167)</f>
        <v>-0.2186249999999999</v>
      </c>
      <c r="DD167" s="17">
        <f>SUM((DA167+DB167)*0.00833333333333333)</f>
        <v>0.2186249999999999</v>
      </c>
      <c r="DE167" s="23">
        <f ca="1">MONTH(TODAY())-5</f>
        <v>-1</v>
      </c>
      <c r="DF167" s="23">
        <f ca="1">SUM(DA167,DB167,DC167)</f>
        <v>26.016375</v>
      </c>
      <c r="DG167" s="14">
        <v>0</v>
      </c>
      <c r="DH167" s="14">
        <v>0</v>
      </c>
      <c r="DI167" s="14">
        <v>0</v>
      </c>
      <c r="DJ167" s="17">
        <f>SUM((DG167+DH167)*0.00833333333333333)</f>
        <v>0</v>
      </c>
      <c r="DK167" s="23">
        <f ca="1">MONTH(TODAY())+1</f>
        <v>5</v>
      </c>
      <c r="DL167" s="23">
        <f>SUM(DG167,DH167,DI167)</f>
        <v>0</v>
      </c>
      <c r="DM167" s="14">
        <f>SUM( BQ167, BW167, CC167, CI167, CO167,CU167,DA167,DG167)</f>
        <v>123.68999999999998</v>
      </c>
      <c r="DN167" s="14">
        <f>SUM(BR167,BX167,CD167,CJ167, CP167,CV167,DB167,DH167)</f>
        <v>12.369</v>
      </c>
      <c r="DO167" s="14">
        <f ca="1">SUM(BS167,BY167,CE167,CK167, CQ167,CW167,DC167,DI167)</f>
        <v>10.763774999999992</v>
      </c>
      <c r="DP167" s="25">
        <f ca="1">SUM(DM167:DO167)</f>
        <v>146.82277499999995</v>
      </c>
      <c r="DQ167" s="47">
        <f ca="1">SUM(DP167/EG167)</f>
        <v>1.5294039062499995E-2</v>
      </c>
      <c r="DR167" s="14">
        <v>20</v>
      </c>
      <c r="DS167" s="32">
        <f>COUNTIF(DX167, "*")+COUNTIF(AO167, "*")+COUNTIF(AJ167, "*")+COUNTIF(AA167, "*")+COUNTIF(EY167, "*")+COUNTIF(FE167, "*")+COUNTIF(FK167, "*")+COUNTIF(FO167, "*")+COUNTIF(FV167, "*")+COUNTIF(AT167, "*")+COUNTIF(GE167, "*")+COUNTIF(GP167, "*")+COUNTIF(HA167, "*")+COUNTIF(HI167, "*")+COUNTIF(HQ167, "*")+COUNTIF(HY167, "*")+COUNTIF(IG167, "*")</f>
        <v>2</v>
      </c>
      <c r="DT167" s="14">
        <f>DS167*0.6</f>
        <v>1.2</v>
      </c>
      <c r="DU167" s="4"/>
      <c r="DV167" s="4"/>
      <c r="DW167" s="4"/>
      <c r="DX167" s="4"/>
      <c r="DZ167" s="4"/>
      <c r="EA167" s="14">
        <f>SUM(DV167:DZ167)</f>
        <v>0</v>
      </c>
      <c r="EB167" s="14">
        <f ca="1">SUM(DP167,DR167,EA167, DU167, DT167,GB167)</f>
        <v>168.02277499999994</v>
      </c>
      <c r="EC167" s="24" t="s">
        <v>3879</v>
      </c>
      <c r="ED167" s="130">
        <v>0.48</v>
      </c>
      <c r="EE167" s="14">
        <v>9600</v>
      </c>
      <c r="EF167" s="14">
        <v>0</v>
      </c>
      <c r="EG167" s="14">
        <v>9600</v>
      </c>
      <c r="EH167" s="14">
        <v>10600</v>
      </c>
      <c r="EI167" s="14">
        <v>0</v>
      </c>
      <c r="EJ167" s="14">
        <f>SUM(EH167+EI167)</f>
        <v>10600</v>
      </c>
      <c r="IM167" s="9"/>
      <c r="IX167" s="14">
        <f ca="1">SUM(IN167-EB167-GB167-IV167)</f>
        <v>-168.02277499999994</v>
      </c>
      <c r="IY167" s="9"/>
      <c r="IZ167" s="9"/>
      <c r="JA167" s="9"/>
      <c r="JB167" s="9"/>
      <c r="JC167" s="9"/>
    </row>
    <row r="168" spans="1:263" ht="15" customHeight="1">
      <c r="A168" s="19">
        <v>102021102</v>
      </c>
      <c r="B168" t="s">
        <v>2653</v>
      </c>
      <c r="D168" s="1"/>
      <c r="J168" t="s">
        <v>434</v>
      </c>
      <c r="K168" t="s">
        <v>2654</v>
      </c>
      <c r="L168" t="s">
        <v>657</v>
      </c>
      <c r="P168" t="s">
        <v>2655</v>
      </c>
      <c r="Q168" t="s">
        <v>2656</v>
      </c>
      <c r="R168" t="s">
        <v>392</v>
      </c>
      <c r="AM168"/>
      <c r="AN168"/>
      <c r="AO168" s="3" t="s">
        <v>2657</v>
      </c>
      <c r="AP168" s="1" t="s">
        <v>258</v>
      </c>
      <c r="AQ168" s="3" t="s">
        <v>600</v>
      </c>
      <c r="AR168" s="3" t="s">
        <v>260</v>
      </c>
      <c r="AT168" s="1"/>
      <c r="AU168" s="1"/>
      <c r="AV168" s="1"/>
      <c r="AW168" s="1"/>
      <c r="AX168" s="2"/>
      <c r="AY168" s="70"/>
      <c r="AZ168" s="70"/>
      <c r="BA168" s="2"/>
      <c r="BB168" s="2"/>
      <c r="BC168" s="2"/>
      <c r="BD168" s="2"/>
      <c r="BE168" s="2"/>
      <c r="BF168" s="2"/>
      <c r="BG168" s="20"/>
      <c r="BH168" s="22"/>
      <c r="BI168" s="22"/>
      <c r="BJ168" s="14"/>
      <c r="BK168" s="22"/>
      <c r="BL168" s="14"/>
      <c r="BM168" s="14"/>
      <c r="BN168" s="14"/>
      <c r="BO168" s="17"/>
      <c r="BP168" s="23"/>
      <c r="BQ168" s="14"/>
      <c r="BR168" s="14"/>
      <c r="BS168" s="14"/>
      <c r="BT168" s="14"/>
      <c r="BU168" s="17"/>
      <c r="BV168" s="23"/>
      <c r="BW168" s="14"/>
      <c r="BX168" s="14"/>
      <c r="BY168" s="14"/>
      <c r="BZ168" s="14"/>
      <c r="CA168" s="17"/>
      <c r="CB168" s="23"/>
      <c r="CC168" s="14"/>
      <c r="CD168" s="14"/>
      <c r="CE168" s="14"/>
      <c r="CF168" s="14"/>
      <c r="CG168" s="17"/>
      <c r="CH168" s="23"/>
      <c r="CI168" s="14"/>
      <c r="CJ168" s="14"/>
      <c r="CK168" s="14"/>
      <c r="CL168" s="14"/>
      <c r="CM168" s="17"/>
      <c r="CN168" s="23"/>
      <c r="CO168" s="14"/>
      <c r="CP168" s="14"/>
      <c r="CQ168" s="14"/>
      <c r="CR168" s="14"/>
      <c r="CS168" s="14"/>
      <c r="CT168" s="47"/>
      <c r="CU168" s="14"/>
      <c r="CV168" s="32"/>
      <c r="CW168" s="14"/>
      <c r="CX168" s="4"/>
      <c r="CY168" s="14"/>
      <c r="CZ168" s="14"/>
      <c r="DE168" s="14"/>
      <c r="DF168" s="24"/>
      <c r="DG168" s="4"/>
      <c r="DH168" s="4"/>
      <c r="DI168" s="25"/>
      <c r="DJ168" s="35">
        <v>1</v>
      </c>
      <c r="IC168" s="4"/>
    </row>
    <row r="169" spans="1:263" ht="15" customHeight="1">
      <c r="A169" s="2">
        <v>102024138</v>
      </c>
      <c r="B169" t="s">
        <v>2653</v>
      </c>
      <c r="C169" s="10"/>
      <c r="D169" s="161"/>
      <c r="E169" s="147" t="s">
        <v>5908</v>
      </c>
      <c r="F169" s="160">
        <v>240003259</v>
      </c>
      <c r="G169" s="147"/>
      <c r="H169" s="10"/>
      <c r="I169" s="10"/>
      <c r="J169" s="10" t="s">
        <v>253</v>
      </c>
      <c r="K169" s="10" t="s">
        <v>2654</v>
      </c>
      <c r="L169" s="10" t="s">
        <v>657</v>
      </c>
      <c r="M169" s="10"/>
      <c r="N169" s="10"/>
      <c r="O169" s="147" t="s">
        <v>258</v>
      </c>
      <c r="P169" s="10" t="s">
        <v>2655</v>
      </c>
      <c r="Q169" s="10" t="s">
        <v>2656</v>
      </c>
      <c r="R169" s="10" t="s">
        <v>392</v>
      </c>
      <c r="S169" s="10"/>
      <c r="T169" s="10"/>
      <c r="U169" s="10" t="s">
        <v>2655</v>
      </c>
      <c r="V169" s="10" t="s">
        <v>340</v>
      </c>
      <c r="W169" s="10" t="s">
        <v>357</v>
      </c>
      <c r="X169" s="10"/>
      <c r="Y169" s="10"/>
      <c r="Z169" s="10"/>
      <c r="AA169" s="10"/>
      <c r="AB169" s="10"/>
      <c r="AC169" s="10"/>
      <c r="AD169" s="10"/>
      <c r="AE169" s="10"/>
      <c r="AF169" s="10"/>
      <c r="AG169" s="141"/>
      <c r="AH169" s="10"/>
      <c r="AI169" s="10"/>
      <c r="AK169" s="1"/>
      <c r="AM169"/>
      <c r="AN169" t="s">
        <v>5599</v>
      </c>
      <c r="AO169" t="s">
        <v>2657</v>
      </c>
      <c r="AP169" s="1" t="s">
        <v>258</v>
      </c>
      <c r="AQ169" s="18" t="s">
        <v>600</v>
      </c>
      <c r="AR169" t="s">
        <v>260</v>
      </c>
      <c r="AW169" s="1"/>
      <c r="AY169" s="1" t="s">
        <v>258</v>
      </c>
      <c r="AZ169" s="1"/>
      <c r="BA169" s="1" t="s">
        <v>258</v>
      </c>
      <c r="BB169" s="1" t="s">
        <v>258</v>
      </c>
      <c r="BC169" s="70">
        <v>45482</v>
      </c>
      <c r="BD169" s="115">
        <v>45415</v>
      </c>
      <c r="BE169" s="144">
        <v>45441</v>
      </c>
      <c r="BF169" s="70">
        <v>45534</v>
      </c>
      <c r="BG169" s="20" t="s">
        <v>319</v>
      </c>
      <c r="BH169" s="21">
        <v>45520</v>
      </c>
      <c r="BI169" s="21">
        <v>45527</v>
      </c>
      <c r="BJ169" s="70">
        <v>45548</v>
      </c>
      <c r="BK169" s="70" t="s">
        <v>319</v>
      </c>
      <c r="BL169" s="20">
        <f ca="1">SUM(EB169)+220</f>
        <v>2649.2135666666668</v>
      </c>
      <c r="BM169" s="22">
        <f ca="1">PMT(10%/12,12,BL169,0,0)</f>
        <v>-232.90796117527819</v>
      </c>
      <c r="BN169" s="22">
        <f ca="1">SUM(BM169*-1)</f>
        <v>232.90796117527819</v>
      </c>
      <c r="BO169" s="14">
        <f>SUM(EJ169*0.0052)/12</f>
        <v>8.7966666666666651</v>
      </c>
      <c r="BP169" s="22">
        <f ca="1">SUM(BN169+BO169)</f>
        <v>241.70462784194484</v>
      </c>
      <c r="BQ169" s="14">
        <v>0</v>
      </c>
      <c r="BR169" s="14">
        <f>SUM(BQ169*0.1)</f>
        <v>0</v>
      </c>
      <c r="BS169" s="14">
        <f ca="1">SUM(BT169*BU169)</f>
        <v>0</v>
      </c>
      <c r="BT169" s="17">
        <f>SUM((BQ169+BR169)*0.00833333333333333)</f>
        <v>0</v>
      </c>
      <c r="BU169" s="23">
        <f ca="1">MONTH(TODAY())+37</f>
        <v>41</v>
      </c>
      <c r="BV169" s="14">
        <f ca="1">SUM(BQ169,BR169,BS169)</f>
        <v>0</v>
      </c>
      <c r="BW169" s="14">
        <v>0</v>
      </c>
      <c r="BX169" s="14">
        <f>SUM(BW169*0.1)</f>
        <v>0</v>
      </c>
      <c r="BY169" s="14">
        <f ca="1">SUM(BZ169*CA169)</f>
        <v>0</v>
      </c>
      <c r="BZ169" s="17">
        <f>SUM((BW169+BX169)*0.00833333333333333)</f>
        <v>0</v>
      </c>
      <c r="CA169" s="23">
        <f ca="1">MONTH(TODAY())+37</f>
        <v>41</v>
      </c>
      <c r="CB169" s="14">
        <f ca="1">SUM(BW169,BX169,BY169)</f>
        <v>0</v>
      </c>
      <c r="CC169" s="14">
        <f>SUM(EG169*0.0052)/2</f>
        <v>47.839999999999996</v>
      </c>
      <c r="CD169" s="14">
        <f>SUM(CC169*0.1)</f>
        <v>4.7839999999999998</v>
      </c>
      <c r="CE169" s="14">
        <f ca="1">SUM(CF169*CG169)</f>
        <v>14.471599999999993</v>
      </c>
      <c r="CF169" s="17">
        <f>SUM((CC169+CD169)*0.00833333333333333)</f>
        <v>0.43853333333333311</v>
      </c>
      <c r="CG169" s="23">
        <f ca="1">MONTH(TODAY())+29</f>
        <v>33</v>
      </c>
      <c r="CH169" s="23">
        <f ca="1">SUM(CC169,CD169,CE169)</f>
        <v>67.09559999999999</v>
      </c>
      <c r="CI169" s="14">
        <f>SUM(EG169*0.0052)/2</f>
        <v>47.839999999999996</v>
      </c>
      <c r="CJ169" s="14">
        <f>SUM(CI169*0.1)</f>
        <v>4.7839999999999998</v>
      </c>
      <c r="CK169" s="14">
        <f ca="1">SUM(CL169*CM169)</f>
        <v>12.71746666666666</v>
      </c>
      <c r="CL169" s="17">
        <f>SUM((CI169+CJ169)*0.00833333333333333)</f>
        <v>0.43853333333333311</v>
      </c>
      <c r="CM169" s="23">
        <f ca="1">MONTH(TODAY())+25</f>
        <v>29</v>
      </c>
      <c r="CN169" s="14">
        <f ca="1">SUM(CI169,CJ169,CK169)</f>
        <v>65.341466666666662</v>
      </c>
      <c r="CO169" s="14">
        <f>SUM(EJ169*0.0045)/2</f>
        <v>45.674999999999997</v>
      </c>
      <c r="CP169" s="14">
        <f>SUM(CO169*0.1)</f>
        <v>4.5674999999999999</v>
      </c>
      <c r="CQ169" s="14">
        <f ca="1">SUM(CR169*CS169)</f>
        <v>9.6298124999999963</v>
      </c>
      <c r="CR169" s="17">
        <f>SUM((CO169+CP169)*0.00833333333333333)</f>
        <v>0.41868749999999982</v>
      </c>
      <c r="CS169" s="23">
        <f ca="1">MONTH(TODAY())+19</f>
        <v>23</v>
      </c>
      <c r="CT169" s="14">
        <f ca="1">SUM(CO169,CP169,CQ169)</f>
        <v>59.872312499999992</v>
      </c>
      <c r="CU169" s="14">
        <f>SUM(EJ169*0.0045)/2</f>
        <v>45.674999999999997</v>
      </c>
      <c r="CV169" s="14">
        <f>SUM(CU169*0.1)</f>
        <v>4.5674999999999999</v>
      </c>
      <c r="CW169" s="14">
        <f ca="1">SUM(CX169*CY169)</f>
        <v>7.1176874999999971</v>
      </c>
      <c r="CX169" s="17">
        <f>SUM((CU169+CV169)*0.00833333333333333)</f>
        <v>0.41868749999999982</v>
      </c>
      <c r="CY169" s="23">
        <f ca="1">MONTH(TODAY())+13</f>
        <v>17</v>
      </c>
      <c r="CZ169" s="14">
        <f ca="1">SUM(CU169,CV169,CW169)</f>
        <v>57.360187499999995</v>
      </c>
      <c r="DA169" s="14">
        <f>SUM(EJ169*0.0045)/2</f>
        <v>45.674999999999997</v>
      </c>
      <c r="DB169" s="14">
        <f>SUM(DA169*0.1)</f>
        <v>4.5674999999999999</v>
      </c>
      <c r="DC169" s="14">
        <f ca="1">SUM(DD169*DE169)</f>
        <v>4.6055624999999978</v>
      </c>
      <c r="DD169" s="17">
        <f>SUM((DA169+DB169)*0.00833333333333333)</f>
        <v>0.41868749999999982</v>
      </c>
      <c r="DE169" s="23">
        <f ca="1">MONTH(TODAY())+7</f>
        <v>11</v>
      </c>
      <c r="DF169" s="14">
        <f ca="1">SUM(DA169,DB169,DC169)</f>
        <v>54.848062499999997</v>
      </c>
      <c r="DG169" s="14">
        <f>SUM(EJ169*0.0045)/2</f>
        <v>45.674999999999997</v>
      </c>
      <c r="DH169" s="14">
        <f>SUM(DG169*0.1)</f>
        <v>4.5674999999999999</v>
      </c>
      <c r="DI169" s="14">
        <f ca="1">SUM(DJ169*DK169)</f>
        <v>2.093437499999999</v>
      </c>
      <c r="DJ169" s="17">
        <f>SUM((DG169+DH169)*0.00833333333333333)</f>
        <v>0.41868749999999982</v>
      </c>
      <c r="DK169" s="23">
        <f ca="1">MONTH(TODAY())+1</f>
        <v>5</v>
      </c>
      <c r="DL169" s="14">
        <f ca="1">SUM(DG169,DH169,DI169)</f>
        <v>52.3359375</v>
      </c>
      <c r="DM169" s="14">
        <f>SUM(BQ169, BW169, CC169,CI169,CO169,CU169,DA169,DG169)</f>
        <v>278.38</v>
      </c>
      <c r="DN169" s="14">
        <f>SUM(BR169,BX169, CD169,CJ169,CP169,CV169,DB169,DH169)</f>
        <v>27.837999999999997</v>
      </c>
      <c r="DO169" s="14">
        <f ca="1">SUM(BS169,BY169, CE169,CK169,CQ169,CW169,DC169,DI169)</f>
        <v>50.635566666666641</v>
      </c>
      <c r="DP169" s="25">
        <f ca="1">SUM(DM169:DO169)</f>
        <v>356.85356666666667</v>
      </c>
      <c r="DQ169" s="47">
        <f ca="1">SUM(DP169/EG169)</f>
        <v>1.9394215579710144E-2</v>
      </c>
      <c r="DR169" s="14">
        <f>20+10+200+200+40+40+100+40+100</f>
        <v>750</v>
      </c>
      <c r="DS169" s="32">
        <f>COUNTIF(AO169, "*")+COUNTIF(AJ169, "*")+COUNTIF(AA169, "*")+COUNTIF(EU169, "*")+COUNTIF(FA169, "*")+COUNTIF(FG169, "*")+COUNTIF(FK169, "*")+COUNTIF(FR169, "*")+COUNTIF(AS169, "*")+COUNTIF(GA169, "*")+COUNTIF(GL169, "*")+COUNTIF(GW169, "*")+COUNTIF(HE169, "*")+COUNTIF(HM169, "*")+COUNTIF(HU169, "*")</f>
        <v>4</v>
      </c>
      <c r="DT169" s="14">
        <f>1.28+DS169*8</f>
        <v>33.28</v>
      </c>
      <c r="DU169" s="4">
        <f>26.67+471.66</f>
        <v>498.33000000000004</v>
      </c>
      <c r="DV169" s="25">
        <v>253</v>
      </c>
      <c r="DW169" s="4">
        <v>93.75</v>
      </c>
      <c r="DX169" s="4">
        <v>344</v>
      </c>
      <c r="DY169" s="14">
        <f>IF(SUM(EE169*0.004)&lt;100, 100, SUM(EE169*0.004))</f>
        <v>100</v>
      </c>
      <c r="DZ169" s="4"/>
      <c r="EA169" s="14">
        <f>SUM(DU169:DZ169)</f>
        <v>1289.08</v>
      </c>
      <c r="EB169" s="14">
        <f ca="1">SUM(DP169,DR169,EA169,DT169,FX169)</f>
        <v>2429.2135666666668</v>
      </c>
      <c r="EC169" s="24" t="s">
        <v>5914</v>
      </c>
      <c r="ED169" s="23">
        <v>1</v>
      </c>
      <c r="EE169" s="14">
        <v>16000</v>
      </c>
      <c r="EF169" s="14">
        <v>2400</v>
      </c>
      <c r="EG169" s="14">
        <f>SUM(EE169+EF169)</f>
        <v>18400</v>
      </c>
      <c r="EH169" s="14">
        <v>17600</v>
      </c>
      <c r="EI169" s="14">
        <v>2700</v>
      </c>
      <c r="EJ169" s="14">
        <f>SUM(EH169+EI169)</f>
        <v>20300</v>
      </c>
      <c r="EK169" s="10" t="s">
        <v>5785</v>
      </c>
      <c r="EL169" s="10" t="s">
        <v>5786</v>
      </c>
      <c r="EM169" s="10" t="s">
        <v>5788</v>
      </c>
      <c r="EN169" s="10" t="s">
        <v>5787</v>
      </c>
      <c r="EO169" s="10" t="s">
        <v>5789</v>
      </c>
      <c r="EP169" s="10"/>
      <c r="EQ169" s="10"/>
      <c r="ER169" s="10"/>
      <c r="ES169" s="10" t="s">
        <v>5599</v>
      </c>
      <c r="ET169" s="10"/>
      <c r="EU169" s="10" t="s">
        <v>2657</v>
      </c>
      <c r="EV169" s="10"/>
      <c r="EW169" s="10" t="s">
        <v>600</v>
      </c>
      <c r="EX169" s="10" t="s">
        <v>260</v>
      </c>
      <c r="EY169" s="10"/>
      <c r="EZ169" s="10"/>
      <c r="FA169" s="10"/>
      <c r="FB169" s="10"/>
      <c r="FC169" s="10"/>
      <c r="FD169" s="10"/>
      <c r="FE169" s="10"/>
      <c r="FF169" s="10"/>
      <c r="FG169" s="10"/>
      <c r="FH169" s="10"/>
      <c r="FI169" s="10"/>
      <c r="FJ169" s="10"/>
      <c r="FK169" s="10"/>
      <c r="FL169" s="10"/>
      <c r="FM169" s="10"/>
      <c r="FN169" s="10"/>
      <c r="FO169" s="9"/>
      <c r="FP169" s="10"/>
      <c r="FQ169" s="10"/>
      <c r="FR169" s="10"/>
      <c r="FS169" s="10"/>
      <c r="FT169" s="10"/>
      <c r="FU169" s="10"/>
      <c r="FV169" s="9"/>
      <c r="FW169" s="10"/>
      <c r="FX169" s="10"/>
      <c r="FY169" s="10" t="s">
        <v>439</v>
      </c>
      <c r="FZ169" s="10" t="s">
        <v>3638</v>
      </c>
      <c r="GA169" s="10" t="s">
        <v>298</v>
      </c>
      <c r="GB169" s="10" t="s">
        <v>440</v>
      </c>
      <c r="GC169" s="10" t="s">
        <v>274</v>
      </c>
      <c r="GD169" s="10" t="s">
        <v>275</v>
      </c>
      <c r="GE169" s="9">
        <v>40186</v>
      </c>
      <c r="GF169" s="10" t="s">
        <v>5921</v>
      </c>
      <c r="GG169" s="10"/>
      <c r="GH169" s="10"/>
      <c r="GI169" s="10"/>
      <c r="GJ169" s="28" t="s">
        <v>382</v>
      </c>
      <c r="GK169" s="28" t="s">
        <v>383</v>
      </c>
      <c r="GL169" s="28" t="s">
        <v>384</v>
      </c>
      <c r="GM169" s="28" t="s">
        <v>385</v>
      </c>
      <c r="GN169" s="28" t="s">
        <v>386</v>
      </c>
      <c r="GO169" s="28" t="s">
        <v>260</v>
      </c>
      <c r="GP169" s="9">
        <v>41739</v>
      </c>
      <c r="GQ169" s="10" t="s">
        <v>5922</v>
      </c>
      <c r="GR169" s="10"/>
      <c r="GS169" s="10"/>
      <c r="GT169" s="10"/>
      <c r="GU169" s="10"/>
      <c r="GV169" s="10"/>
      <c r="GW169" s="10"/>
      <c r="GX169" s="10"/>
      <c r="GY169" s="10"/>
      <c r="GZ169" s="10"/>
      <c r="HA169" s="9"/>
      <c r="HB169" s="10"/>
      <c r="HC169" s="10"/>
      <c r="HD169" s="10"/>
      <c r="HE169" s="10"/>
      <c r="HF169" s="10"/>
      <c r="HG169" s="10"/>
      <c r="HH169" s="10"/>
      <c r="HI169" s="9"/>
      <c r="HJ169" s="10"/>
      <c r="HK169" s="10"/>
      <c r="HL169" s="10"/>
      <c r="HM169" s="10"/>
      <c r="HN169" s="10"/>
      <c r="HO169" s="10"/>
      <c r="HP169" s="10"/>
      <c r="HQ169" s="9"/>
      <c r="HR169" s="10"/>
      <c r="HS169" s="10"/>
      <c r="HT169" s="10"/>
      <c r="HU169" s="10"/>
      <c r="HV169" s="10"/>
      <c r="HW169" s="10"/>
      <c r="HX169" s="10"/>
      <c r="HY169" s="9"/>
      <c r="HZ169" s="4"/>
      <c r="IA169" s="4"/>
      <c r="IB169" s="10"/>
      <c r="IC169" s="10"/>
      <c r="ID169" s="10"/>
      <c r="IE169" s="10"/>
      <c r="IF169" s="4"/>
      <c r="IG169" s="4"/>
      <c r="IH169" s="4"/>
      <c r="II169" s="4"/>
      <c r="IJ169" s="4"/>
      <c r="IK169" s="9"/>
      <c r="IL169" s="9"/>
      <c r="IM169" s="9"/>
      <c r="IN169" s="9"/>
      <c r="IO169" s="9"/>
      <c r="IP169" s="27" t="s">
        <v>5913</v>
      </c>
    </row>
    <row r="170" spans="1:263" ht="15" customHeight="1">
      <c r="A170" s="18">
        <v>102021006</v>
      </c>
      <c r="B170" s="18" t="s">
        <v>2038</v>
      </c>
      <c r="C170" s="28"/>
      <c r="D170" s="159"/>
      <c r="E170" s="150"/>
      <c r="F170" s="149"/>
      <c r="G170" s="150">
        <v>210001506</v>
      </c>
      <c r="H170" s="28"/>
      <c r="I170" s="28"/>
      <c r="J170" s="28" t="s">
        <v>253</v>
      </c>
      <c r="K170" s="28" t="s">
        <v>1119</v>
      </c>
      <c r="L170" s="28" t="s">
        <v>2039</v>
      </c>
      <c r="M170" s="28" t="s">
        <v>256</v>
      </c>
      <c r="N170" s="28"/>
      <c r="O170" s="150"/>
      <c r="P170" s="28"/>
      <c r="Q170" s="28"/>
      <c r="R170" s="28"/>
      <c r="S170" s="28"/>
      <c r="T170" s="28"/>
      <c r="U170" s="28"/>
      <c r="V170" s="28"/>
      <c r="W170" s="28"/>
      <c r="X170" s="28"/>
      <c r="Y170" s="28"/>
      <c r="Z170" s="28"/>
      <c r="AA170" s="28"/>
      <c r="AB170" s="28"/>
      <c r="AC170" s="28"/>
      <c r="AD170" s="28"/>
      <c r="AE170" s="28"/>
      <c r="AF170" s="28"/>
      <c r="AG170" s="148" t="s">
        <v>2360</v>
      </c>
      <c r="AH170" s="28"/>
      <c r="AI170" s="28"/>
      <c r="AJ170" s="18"/>
      <c r="AK170" s="13"/>
      <c r="AL170" s="18"/>
      <c r="AM170" s="18"/>
      <c r="AN170" s="18"/>
      <c r="AO170" s="18" t="s">
        <v>2132</v>
      </c>
      <c r="AP170" s="13" t="s">
        <v>258</v>
      </c>
      <c r="AQ170" s="18" t="s">
        <v>279</v>
      </c>
      <c r="AR170" s="18" t="s">
        <v>260</v>
      </c>
      <c r="AS170" s="18"/>
      <c r="AT170" s="18"/>
      <c r="AU170" s="18"/>
      <c r="AV170" s="18"/>
      <c r="AW170" s="18"/>
      <c r="AX170" s="13"/>
      <c r="AY170" s="13"/>
      <c r="AZ170" s="13"/>
      <c r="BA170" s="13"/>
      <c r="BB170" s="13"/>
      <c r="BC170" s="48"/>
      <c r="BD170" s="114">
        <v>44248</v>
      </c>
      <c r="BE170" s="143"/>
      <c r="BF170" s="48"/>
      <c r="BG170" s="19"/>
      <c r="BH170" s="48"/>
      <c r="BI170" s="48"/>
      <c r="BJ170" s="48"/>
      <c r="BK170" s="48"/>
      <c r="BL170" s="20">
        <f ca="1">SUM(EH170)+220</f>
        <v>6286.7085124999994</v>
      </c>
      <c r="BM170" s="22">
        <f ca="1">PMT(10%/12,12,BL170,0,0)</f>
        <v>-552.70155663289131</v>
      </c>
      <c r="BN170" s="22">
        <f ca="1">SUM(BM170*-1)</f>
        <v>552.70155663289131</v>
      </c>
      <c r="BO170" s="14">
        <f>SUM(EP170*0.0052)/12</f>
        <v>71.456666666666663</v>
      </c>
      <c r="BP170" s="22">
        <f ca="1">SUM(BN170+BO170)</f>
        <v>624.15822329955802</v>
      </c>
      <c r="BQ170" s="14">
        <f>SUM(EM170*0.0052)</f>
        <v>673.92</v>
      </c>
      <c r="BR170" s="14">
        <f>SUM(BQ170*0.1)</f>
        <v>67.391999999999996</v>
      </c>
      <c r="BS170" s="14">
        <f ca="1">SUM(BT170*BU170)</f>
        <v>327.41279999999983</v>
      </c>
      <c r="BT170" s="17">
        <f>SUM((BQ170+BR170)*0.00833333333333333)</f>
        <v>6.1775999999999964</v>
      </c>
      <c r="BU170" s="23">
        <f ca="1">MONTH(TODAY())+49</f>
        <v>53</v>
      </c>
      <c r="BV170" s="14">
        <f ca="1">SUM(BQ170,BR170,BS170)</f>
        <v>1068.7247999999997</v>
      </c>
      <c r="BW170" s="14">
        <f>SUM(EM170*0.0052)</f>
        <v>673.92</v>
      </c>
      <c r="BX170" s="14">
        <f>SUM(BW170*0.1)</f>
        <v>67.391999999999996</v>
      </c>
      <c r="BY170" s="14">
        <f ca="1">SUM(BZ170*CA170)</f>
        <v>253.28159999999986</v>
      </c>
      <c r="BZ170" s="17">
        <f>SUM((BW170+BX170)*0.00833333333333333)</f>
        <v>6.1775999999999964</v>
      </c>
      <c r="CA170" s="23">
        <f ca="1">MONTH(TODAY())+37</f>
        <v>41</v>
      </c>
      <c r="CB170" s="14">
        <f ca="1">SUM(BW170,BX170,BY170)</f>
        <v>994.5935999999997</v>
      </c>
      <c r="CC170" s="14">
        <f>SUM(EM170*0.0052)</f>
        <v>673.92</v>
      </c>
      <c r="CD170" s="14">
        <f>SUM(CC170*0.1)</f>
        <v>67.391999999999996</v>
      </c>
      <c r="CE170" s="14">
        <f ca="1">SUM(CF170*CG170)</f>
        <v>179.15039999999991</v>
      </c>
      <c r="CF170" s="17">
        <f>SUM((CC170+CD170)*0.00833333333333333)</f>
        <v>6.1775999999999964</v>
      </c>
      <c r="CG170" s="23">
        <f ca="1">MONTH(TODAY())+25</f>
        <v>29</v>
      </c>
      <c r="CH170" s="14">
        <f ca="1">SUM(CC170,CD170,CE170)</f>
        <v>920.46239999999977</v>
      </c>
      <c r="CI170" s="14">
        <f>SUM(EM170*0.0052)/2</f>
        <v>336.96</v>
      </c>
      <c r="CJ170" s="14">
        <f>SUM(CI170*0.1)</f>
        <v>33.695999999999998</v>
      </c>
      <c r="CK170" s="14">
        <f ca="1">SUM(CL170*CM170)</f>
        <v>64.86479999999996</v>
      </c>
      <c r="CL170" s="17">
        <f>SUM((CI170+CJ170)*0.00833333333333333)</f>
        <v>3.0887999999999982</v>
      </c>
      <c r="CM170" s="23">
        <f ca="1">MONTH(TODAY())+17</f>
        <v>21</v>
      </c>
      <c r="CN170" s="23">
        <f ca="1">SUM(CI170,CJ170,CK170)</f>
        <v>435.52079999999989</v>
      </c>
      <c r="CO170" s="14">
        <f>SUM(EM170*0.0052)/2</f>
        <v>336.96</v>
      </c>
      <c r="CP170" s="14">
        <f>SUM(CO170*0.1)</f>
        <v>33.695999999999998</v>
      </c>
      <c r="CQ170" s="14">
        <f ca="1">SUM(CR170*CS170)</f>
        <v>52.509599999999971</v>
      </c>
      <c r="CR170" s="17">
        <f>SUM((CO170+CP170)*0.00833333333333333)</f>
        <v>3.0887999999999982</v>
      </c>
      <c r="CS170" s="23">
        <f ca="1">MONTH(TODAY())+13</f>
        <v>17</v>
      </c>
      <c r="CT170" s="14">
        <f ca="1">SUM(CO170,CP170,CQ170)</f>
        <v>423.16559999999993</v>
      </c>
      <c r="CU170" s="14">
        <f>SUM(EP170*0.0045)/2</f>
        <v>371.02499999999998</v>
      </c>
      <c r="CV170" s="14">
        <f>SUM(CU170*0.1)</f>
        <v>37.102499999999999</v>
      </c>
      <c r="CW170" s="14">
        <f ca="1">SUM(CX170*CY170)</f>
        <v>37.411687499999985</v>
      </c>
      <c r="CX170" s="17">
        <f>SUM((CU170+CV170)*0.00833333333333333)</f>
        <v>3.4010624999999983</v>
      </c>
      <c r="CY170" s="23">
        <f ca="1">MONTH(TODAY())+7</f>
        <v>11</v>
      </c>
      <c r="CZ170" s="14">
        <f ca="1">SUM(CU170,CV170,CW170)</f>
        <v>445.53918749999997</v>
      </c>
      <c r="DA170" s="14">
        <f>SUM(EP170*0.0045)/2</f>
        <v>371.02499999999998</v>
      </c>
      <c r="DB170" s="14">
        <f>SUM(DA170*0.1)</f>
        <v>37.102499999999999</v>
      </c>
      <c r="DC170" s="14">
        <f ca="1">SUM(DD170*DE170)</f>
        <v>17.005312499999992</v>
      </c>
      <c r="DD170" s="17">
        <f>SUM((DA170+DB170)*0.00833333333333333)</f>
        <v>3.4010624999999983</v>
      </c>
      <c r="DE170" s="23">
        <f ca="1">MONTH(TODAY())+1</f>
        <v>5</v>
      </c>
      <c r="DF170" s="14">
        <f ca="1">SUM(DA170,DB170,DC170)</f>
        <v>425.1328125</v>
      </c>
      <c r="DG170" s="14">
        <f>SUM(EP170*0.0045)/2</f>
        <v>371.02499999999998</v>
      </c>
      <c r="DH170" s="14">
        <f>SUM(DG170*0.1)</f>
        <v>37.102499999999999</v>
      </c>
      <c r="DI170" s="14">
        <f ca="1">SUM(DJ170*DK170)</f>
        <v>-10.203187499999995</v>
      </c>
      <c r="DJ170" s="17">
        <f>SUM((DG170+DH170)*0.00833333333333333)</f>
        <v>3.4010624999999983</v>
      </c>
      <c r="DK170" s="23">
        <f ca="1">MONTH(TODAY())-7</f>
        <v>-3</v>
      </c>
      <c r="DL170" s="14">
        <f ca="1">SUM(DG170,DH170,DI170)</f>
        <v>397.92431249999998</v>
      </c>
      <c r="DM170" s="14">
        <f>SUM(EP170*0.0045)/2</f>
        <v>371.02499999999998</v>
      </c>
      <c r="DN170" s="14">
        <f>0</f>
        <v>0</v>
      </c>
      <c r="DO170" s="14">
        <f>SUM(DP170*DQ170)</f>
        <v>0</v>
      </c>
      <c r="DP170" s="17">
        <f>SUM((DM170+DN170)*0.00833333333333333)</f>
        <v>3.0918749999999986</v>
      </c>
      <c r="DQ170" s="23">
        <v>0</v>
      </c>
      <c r="DR170" s="14">
        <f>SUM(DM170,DN170,DO170)</f>
        <v>371.02499999999998</v>
      </c>
      <c r="DS170" s="14">
        <f>SUM(BQ170, BW170, CC170, CI170,CO170,CU170,DA170,DG170,DM170)</f>
        <v>4179.78</v>
      </c>
      <c r="DT170" s="14">
        <f>SUM(BR170,BX170,CD170, CJ170,CP170,CV170,DB170,DH170,DN170)</f>
        <v>380.87550000000005</v>
      </c>
      <c r="DU170" s="14">
        <f ca="1">SUM(BS170,BY170,CE170, CK170,CQ170,CW170,DC170,DI170,DO170)</f>
        <v>921.43301249999934</v>
      </c>
      <c r="DV170" s="25">
        <f ca="1">SUM(DS170:DU170)</f>
        <v>5482.0885124999995</v>
      </c>
      <c r="DW170" s="47">
        <f ca="1">SUM(DV170/EM170)</f>
        <v>4.2300065682870369E-2</v>
      </c>
      <c r="DX170" s="14">
        <v>370.5</v>
      </c>
      <c r="DY170" s="32">
        <f>COUNTIF(AO170, "*")+COUNTIF(AJ170, "*")+COUNTIF(AA170, "*")+COUNTIF(FA170, "*")+COUNTIF(FG170, "*")+COUNTIF(FM170, "*")+COUNTIF(FQ170, "*")+COUNTIF(FX170, "*")+COUNTIF(AT170, "*")+COUNTIF(GG170, "*")+COUNTIF(GR170, "*")+COUNTIF(HC170, "*")+COUNTIF(HK170, "*")+COUNTIF(HS170, "*")+COUNTIF(IA170, "*")</f>
        <v>1</v>
      </c>
      <c r="DZ170" s="14">
        <f>DY170*0.5+DY170*6.36+6.37+6.36</f>
        <v>19.59</v>
      </c>
      <c r="EA170" s="14">
        <v>44.53</v>
      </c>
      <c r="EB170" s="14">
        <v>150</v>
      </c>
      <c r="EC170" s="14"/>
      <c r="ED170" s="14"/>
      <c r="EE170" s="14"/>
      <c r="EF170" s="25"/>
      <c r="EG170" s="14">
        <f>SUM(EA170:EF170)</f>
        <v>194.53</v>
      </c>
      <c r="EH170" s="14">
        <f ca="1">SUM(DV170,DX170,EG170,DZ170,GD170)</f>
        <v>6066.7085124999994</v>
      </c>
      <c r="EI170" s="24" t="s">
        <v>1997</v>
      </c>
      <c r="EJ170" s="23">
        <v>3.16</v>
      </c>
      <c r="EK170" s="14">
        <v>30800</v>
      </c>
      <c r="EL170" s="14">
        <v>98800</v>
      </c>
      <c r="EM170" s="14">
        <f>SUM(EK170+EL170)</f>
        <v>129600</v>
      </c>
      <c r="EN170" s="14">
        <v>32800</v>
      </c>
      <c r="EO170" s="14">
        <v>132100</v>
      </c>
      <c r="EP170" s="14">
        <f>SUM(EN170+EO170)</f>
        <v>164900</v>
      </c>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7"/>
      <c r="FV170" s="28"/>
      <c r="FW170" s="28"/>
      <c r="FX170" s="28"/>
      <c r="FY170" s="28"/>
      <c r="FZ170" s="28"/>
      <c r="GA170" s="28"/>
      <c r="GB170" s="27"/>
      <c r="GC170" s="28"/>
      <c r="GD170" s="28"/>
      <c r="GE170" s="28"/>
      <c r="GF170" s="28"/>
      <c r="GG170" s="28"/>
      <c r="GH170" s="28"/>
      <c r="GI170" s="28"/>
      <c r="GJ170" s="28"/>
      <c r="GK170" s="27"/>
      <c r="GL170" s="28"/>
      <c r="GM170" s="28"/>
      <c r="GN170" s="28"/>
      <c r="GO170" s="28"/>
      <c r="GP170" s="28"/>
      <c r="GQ170" s="28"/>
      <c r="GR170" s="28"/>
      <c r="GS170" s="28"/>
      <c r="GT170" s="28"/>
      <c r="GU170" s="28"/>
      <c r="GV170" s="27"/>
      <c r="GW170" s="28"/>
      <c r="GX170" s="28"/>
      <c r="GY170" s="28"/>
      <c r="GZ170" s="28"/>
      <c r="HA170" s="28"/>
      <c r="HB170" s="28"/>
      <c r="HC170" s="28"/>
      <c r="HD170" s="28"/>
      <c r="HE170" s="28"/>
      <c r="HF170" s="28"/>
      <c r="HG170" s="27"/>
      <c r="HH170" s="28"/>
      <c r="HI170" s="28"/>
      <c r="HJ170" s="28"/>
      <c r="HK170" s="28"/>
      <c r="HL170" s="28"/>
      <c r="HM170" s="28"/>
      <c r="HN170" s="28"/>
      <c r="HO170" s="27"/>
      <c r="HP170" s="28"/>
      <c r="HQ170" s="28"/>
      <c r="HR170" s="28"/>
      <c r="HS170" s="28"/>
      <c r="HT170" s="28"/>
      <c r="HU170" s="28"/>
      <c r="HV170" s="28"/>
      <c r="HW170" s="27"/>
      <c r="HX170" s="28"/>
      <c r="HY170" s="28"/>
      <c r="HZ170" s="28"/>
      <c r="IA170" s="28"/>
      <c r="IB170" s="28"/>
      <c r="IC170" s="28"/>
      <c r="ID170" s="28"/>
      <c r="IE170" s="27"/>
      <c r="IF170" s="14"/>
      <c r="IG170" s="14"/>
      <c r="IH170" s="28"/>
      <c r="II170" s="28"/>
      <c r="IJ170" s="28"/>
      <c r="IK170" s="28"/>
      <c r="IL170" s="14"/>
      <c r="IM170" s="14"/>
      <c r="IN170" s="14">
        <f ca="1">SUM(IF170-EH170-GD170-IL170)</f>
        <v>-6066.7085124999994</v>
      </c>
      <c r="IO170" s="14"/>
      <c r="IP170" s="14"/>
      <c r="IQ170" s="27"/>
      <c r="IR170" s="27"/>
      <c r="IS170" s="27"/>
      <c r="IT170" s="27"/>
      <c r="IU170" s="27"/>
      <c r="IV170" t="s">
        <v>5913</v>
      </c>
    </row>
    <row r="171" spans="1:263" s="18" customFormat="1" ht="15" customHeight="1">
      <c r="A171" s="2">
        <v>102021021</v>
      </c>
      <c r="B171" t="s">
        <v>2096</v>
      </c>
      <c r="C171"/>
      <c r="D171"/>
      <c r="E171" t="s">
        <v>2469</v>
      </c>
      <c r="F171">
        <v>210002684</v>
      </c>
      <c r="G171"/>
      <c r="H171"/>
      <c r="I171"/>
      <c r="J171" t="s">
        <v>253</v>
      </c>
      <c r="K171" t="s">
        <v>2036</v>
      </c>
      <c r="L171" t="s">
        <v>817</v>
      </c>
      <c r="M171" t="s">
        <v>763</v>
      </c>
      <c r="N171"/>
      <c r="O171"/>
      <c r="P171"/>
      <c r="Q171"/>
      <c r="R171"/>
      <c r="S171"/>
      <c r="T171"/>
      <c r="U171"/>
      <c r="V171"/>
      <c r="W171"/>
      <c r="X171"/>
      <c r="Y171"/>
      <c r="Z171"/>
      <c r="AA171"/>
      <c r="AB171"/>
      <c r="AC171"/>
      <c r="AD171"/>
      <c r="AE171"/>
      <c r="AF171"/>
      <c r="AG171" s="248"/>
      <c r="AH171"/>
      <c r="AI171"/>
      <c r="AJ171" s="4" t="s">
        <v>2149</v>
      </c>
      <c r="AK171" t="s">
        <v>258</v>
      </c>
      <c r="AL171" t="s">
        <v>279</v>
      </c>
      <c r="AM171" s="3" t="s">
        <v>260</v>
      </c>
      <c r="AN171" s="3"/>
      <c r="AO171" t="s">
        <v>2148</v>
      </c>
      <c r="AP171" s="1" t="s">
        <v>258</v>
      </c>
      <c r="AQ171" s="3" t="s">
        <v>600</v>
      </c>
      <c r="AR171" s="3" t="s">
        <v>260</v>
      </c>
      <c r="AS171" s="1"/>
      <c r="AT171" s="1"/>
      <c r="AU171" s="1"/>
      <c r="AV171" s="1"/>
      <c r="AW171" s="1"/>
      <c r="AX171" s="70"/>
      <c r="AY171" s="70"/>
      <c r="AZ171" s="70"/>
      <c r="BA171" s="70"/>
      <c r="BB171" s="2"/>
      <c r="BC171" s="70"/>
      <c r="BD171" s="70"/>
      <c r="BE171" s="48"/>
      <c r="BF171" s="19"/>
      <c r="BG171" s="5"/>
      <c r="BH171" s="16"/>
      <c r="BI171" s="16"/>
      <c r="BJ171" s="4"/>
      <c r="BK171" s="16"/>
      <c r="BL171" s="4"/>
      <c r="BM171" s="4"/>
      <c r="BN171" s="4"/>
      <c r="BO171" s="6"/>
      <c r="BP171" s="7"/>
      <c r="BQ171" s="4"/>
      <c r="BR171" s="4"/>
      <c r="BS171" s="4"/>
      <c r="BT171" s="4"/>
      <c r="BU171" s="6"/>
      <c r="BV171" s="7"/>
      <c r="BW171" s="4"/>
      <c r="BX171" s="4"/>
      <c r="BY171" s="4"/>
      <c r="BZ171" s="4"/>
      <c r="CA171" s="6"/>
      <c r="CB171" s="7"/>
      <c r="CC171" s="4"/>
      <c r="CD171" s="4"/>
      <c r="CE171" s="4"/>
      <c r="CF171" s="14"/>
      <c r="CG171" s="6"/>
      <c r="CH171" s="7"/>
      <c r="CI171" s="4"/>
      <c r="CJ171" s="4"/>
      <c r="CK171" s="4"/>
      <c r="CL171" s="4"/>
      <c r="CM171" s="6"/>
      <c r="CN171" s="7"/>
      <c r="CO171" s="4"/>
      <c r="CP171" s="4"/>
      <c r="CQ171" s="4"/>
      <c r="CR171" s="4"/>
      <c r="CS171" s="6"/>
      <c r="CT171" s="7"/>
      <c r="CU171" s="4"/>
      <c r="CV171" s="14"/>
      <c r="CW171" s="14"/>
      <c r="CX171" s="14"/>
      <c r="CY171" s="14"/>
      <c r="CZ171" s="14"/>
      <c r="DA171" s="14"/>
      <c r="DB171" s="14"/>
      <c r="DC171" s="14"/>
      <c r="DD171" s="14"/>
      <c r="DE171" s="14"/>
      <c r="DF171" s="282"/>
      <c r="DG171" s="4"/>
      <c r="DH171" s="234"/>
      <c r="DI171" s="4"/>
      <c r="DJ171" s="4">
        <v>200</v>
      </c>
      <c r="DK171" s="4">
        <f>SUM(DE171,DG171,DQ171, DJ171, DI171,FS171)</f>
        <v>1212.6599999999999</v>
      </c>
      <c r="DL171" s="4">
        <f>47.41+699</f>
        <v>746.41</v>
      </c>
      <c r="DM171" s="4">
        <f>93.75+110</f>
        <v>203.75</v>
      </c>
      <c r="DN171" s="4">
        <v>62.5</v>
      </c>
      <c r="DO171" s="4"/>
      <c r="DP171" s="8"/>
      <c r="DQ171" s="4">
        <f>SUM(DL171:DP171)</f>
        <v>1012.66</v>
      </c>
      <c r="DR171" s="3" t="s">
        <v>1997</v>
      </c>
      <c r="DS171" s="8">
        <v>18000</v>
      </c>
      <c r="DT171" s="8">
        <v>6000</v>
      </c>
      <c r="DU171" s="8">
        <f>SUM(DS171+DT171)</f>
        <v>24000</v>
      </c>
      <c r="DV171" s="35">
        <v>1</v>
      </c>
      <c r="DW171" t="s">
        <v>2345</v>
      </c>
      <c r="DX171" t="s">
        <v>2346</v>
      </c>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P171" s="240"/>
      <c r="IQ171" s="240"/>
      <c r="IR171" s="240"/>
      <c r="IS171" s="240"/>
      <c r="IT171" s="240"/>
      <c r="IU171" s="240"/>
      <c r="IV171" s="240"/>
      <c r="IW171" s="240"/>
      <c r="IX171" s="240"/>
      <c r="IY171" s="240"/>
      <c r="IZ171"/>
      <c r="JA171"/>
      <c r="JB171"/>
      <c r="JC171"/>
    </row>
    <row r="172" spans="1:263" s="18" customFormat="1" ht="15" customHeight="1">
      <c r="A172" s="19">
        <v>102021021</v>
      </c>
      <c r="B172" s="18" t="s">
        <v>2096</v>
      </c>
      <c r="C172" s="13"/>
      <c r="E172" s="18" t="s">
        <v>2469</v>
      </c>
      <c r="F172" s="18">
        <v>210002684</v>
      </c>
      <c r="J172" s="18" t="s">
        <v>253</v>
      </c>
      <c r="K172" s="18" t="s">
        <v>2036</v>
      </c>
      <c r="L172" s="18" t="s">
        <v>817</v>
      </c>
      <c r="M172" s="18" t="s">
        <v>763</v>
      </c>
      <c r="AG172" s="37"/>
      <c r="AJ172" s="14" t="s">
        <v>2149</v>
      </c>
      <c r="AK172" s="18" t="s">
        <v>258</v>
      </c>
      <c r="AL172" s="18" t="s">
        <v>279</v>
      </c>
      <c r="AM172" s="18" t="s">
        <v>260</v>
      </c>
      <c r="AO172" s="24" t="s">
        <v>2148</v>
      </c>
      <c r="AP172" s="24" t="s">
        <v>258</v>
      </c>
      <c r="AQ172" s="24" t="s">
        <v>600</v>
      </c>
      <c r="AR172" s="18" t="s">
        <v>260</v>
      </c>
      <c r="AS172" s="13"/>
      <c r="AT172" s="13"/>
      <c r="AU172" s="13" t="s">
        <v>258</v>
      </c>
      <c r="AV172" s="13" t="s">
        <v>258</v>
      </c>
      <c r="AW172" s="13" t="s">
        <v>258</v>
      </c>
      <c r="AX172" s="48">
        <v>44294</v>
      </c>
      <c r="AY172" s="48">
        <v>44262</v>
      </c>
      <c r="AZ172" s="48">
        <v>44245</v>
      </c>
      <c r="BA172" s="48">
        <v>44330</v>
      </c>
      <c r="BB172" s="19" t="s">
        <v>318</v>
      </c>
      <c r="BC172" s="48">
        <v>44316</v>
      </c>
      <c r="BD172" s="48">
        <v>44323</v>
      </c>
      <c r="BE172" s="48">
        <v>44358</v>
      </c>
      <c r="BF172" s="19" t="s">
        <v>319</v>
      </c>
      <c r="BG172" s="20">
        <v>2585.3406666666665</v>
      </c>
      <c r="BH172" s="22">
        <v>-227.29251850182447</v>
      </c>
      <c r="BI172" s="22">
        <v>227.29251850182447</v>
      </c>
      <c r="BJ172" s="14">
        <v>10.4</v>
      </c>
      <c r="BK172" s="22">
        <v>237.69251850182448</v>
      </c>
      <c r="BL172" s="14"/>
      <c r="BM172" s="14">
        <v>0</v>
      </c>
      <c r="BN172" s="14">
        <v>0</v>
      </c>
      <c r="BO172" s="17">
        <v>0</v>
      </c>
      <c r="BP172" s="23">
        <v>70</v>
      </c>
      <c r="BQ172" s="14">
        <v>0</v>
      </c>
      <c r="BR172" s="14"/>
      <c r="BS172" s="14">
        <v>0</v>
      </c>
      <c r="BT172" s="14">
        <v>0</v>
      </c>
      <c r="BU172" s="17">
        <v>0</v>
      </c>
      <c r="BV172" s="23">
        <v>58</v>
      </c>
      <c r="BW172" s="14">
        <v>0</v>
      </c>
      <c r="BX172" s="14"/>
      <c r="BY172" s="14">
        <v>0</v>
      </c>
      <c r="BZ172" s="14">
        <f>SUM(CA172*CB172)</f>
        <v>0</v>
      </c>
      <c r="CA172" s="17">
        <f>SUM((BX172+BY172)*0.00833333333333333)</f>
        <v>0</v>
      </c>
      <c r="CB172" s="23">
        <v>49</v>
      </c>
      <c r="CC172" s="14">
        <f>SUM(BX172,BY172,BZ172)</f>
        <v>0</v>
      </c>
      <c r="CD172" s="14">
        <v>98.8</v>
      </c>
      <c r="CE172" s="14">
        <f>SUM(CD172*0.1)</f>
        <v>9.8800000000000008</v>
      </c>
      <c r="CF172" s="14">
        <f>SUM(CG172*CH172)</f>
        <v>33.509666666666647</v>
      </c>
      <c r="CG172" s="17">
        <f>SUM((CD172+CE172)*0.00833333333333333)</f>
        <v>0.90566666666666618</v>
      </c>
      <c r="CH172" s="23">
        <v>37</v>
      </c>
      <c r="CI172" s="14">
        <f>SUM(CD172,CE172,CF172)</f>
        <v>142.18966666666665</v>
      </c>
      <c r="CJ172" s="14">
        <v>124.8</v>
      </c>
      <c r="CK172" s="14">
        <v>12.48</v>
      </c>
      <c r="CL172" s="14">
        <f>SUM(CM172*CN172)</f>
        <v>28.599999999999987</v>
      </c>
      <c r="CM172" s="17">
        <f>SUM((CJ172+CK172)*0.00833333333333333)</f>
        <v>1.1439999999999995</v>
      </c>
      <c r="CN172" s="23">
        <v>25</v>
      </c>
      <c r="CO172" s="14">
        <f>SUM(CJ172,CK172,CL172)</f>
        <v>165.88</v>
      </c>
      <c r="CP172" s="14">
        <v>124.8</v>
      </c>
      <c r="CQ172" s="14">
        <v>12.48</v>
      </c>
      <c r="CR172" s="14">
        <f>SUM(CS172*CT172)</f>
        <v>14.871999999999993</v>
      </c>
      <c r="CS172" s="17">
        <f>SUM((CP172+CQ172)*0.00833333333333333)</f>
        <v>1.1439999999999995</v>
      </c>
      <c r="CT172" s="23">
        <v>13</v>
      </c>
      <c r="CU172" s="14">
        <f>SUM(CP172,CQ172,CR172)</f>
        <v>152.15199999999999</v>
      </c>
      <c r="CV172" s="14">
        <f>SUM(DP172*0.0052)</f>
        <v>124.8</v>
      </c>
      <c r="CW172" s="14">
        <f>SUM(BL172, BR172, BX172, CD172,CJ172,CP172, CV172)</f>
        <v>473.2</v>
      </c>
      <c r="CX172" s="14">
        <f>SUM(BM172, BS172, BY172, CE172,CK172,CQ172)</f>
        <v>34.840000000000003</v>
      </c>
      <c r="CY172" s="14">
        <f>SUM(BN172, BT172, BZ172, CF172,CL172,CR172)</f>
        <v>76.981666666666626</v>
      </c>
      <c r="CZ172" s="14">
        <f>SUM(CW172:CY172)</f>
        <v>585.02166666666653</v>
      </c>
      <c r="DA172" s="47">
        <v>1.8776694444444443E-2</v>
      </c>
      <c r="DB172" s="14">
        <v>1371.5</v>
      </c>
      <c r="DC172" s="32">
        <v>2</v>
      </c>
      <c r="DD172" s="14">
        <f>18.54+25.03</f>
        <v>43.57</v>
      </c>
      <c r="DE172" s="14">
        <v>200</v>
      </c>
      <c r="DF172"/>
      <c r="DG172" s="14">
        <f>746.41+182.42</f>
        <v>928.82999999999993</v>
      </c>
      <c r="DH172" s="14">
        <v>203.75</v>
      </c>
      <c r="DI172" s="14">
        <v>62.5</v>
      </c>
      <c r="DJ172" s="14">
        <v>100</v>
      </c>
      <c r="DK172" s="25">
        <v>475</v>
      </c>
      <c r="DL172" s="14">
        <f>SUM(DG172:DK172)</f>
        <v>1770.08</v>
      </c>
      <c r="DM172" s="24" t="s">
        <v>1997</v>
      </c>
      <c r="DN172" s="25">
        <v>18000</v>
      </c>
      <c r="DO172" s="25">
        <v>6000</v>
      </c>
      <c r="DP172" s="25">
        <v>24000</v>
      </c>
      <c r="DQ172" s="36">
        <v>1</v>
      </c>
      <c r="DR172" s="18" t="s">
        <v>2345</v>
      </c>
      <c r="DS172" s="18" t="s">
        <v>2346</v>
      </c>
      <c r="EB172" s="14">
        <f>SUM(CZ172,DB172,DL172, DE172, DD172,FK172)</f>
        <v>3970.1716666666666</v>
      </c>
      <c r="FK172" s="14"/>
      <c r="HV172"/>
      <c r="HW172"/>
      <c r="HX172"/>
      <c r="HY172"/>
      <c r="HZ172"/>
      <c r="IA172" s="27">
        <v>44499</v>
      </c>
      <c r="IB172" s="18">
        <v>12500</v>
      </c>
      <c r="IC172" s="14">
        <v>1300</v>
      </c>
      <c r="IF172" s="18" t="s">
        <v>2733</v>
      </c>
      <c r="IG172" s="18" t="s">
        <v>2734</v>
      </c>
      <c r="IH172" s="18" t="s">
        <v>349</v>
      </c>
      <c r="IK172" s="14">
        <v>151</v>
      </c>
      <c r="IL172" s="14">
        <f>SUM(IB172-EB172-IJ172)</f>
        <v>8529.8283333333329</v>
      </c>
      <c r="IM172" s="14"/>
      <c r="IN172" s="14"/>
      <c r="IO172" s="27">
        <v>44377</v>
      </c>
      <c r="IP172" s="27">
        <v>44397</v>
      </c>
      <c r="IQ172" s="27">
        <v>44501</v>
      </c>
      <c r="IR172" s="27">
        <v>44505</v>
      </c>
      <c r="IT172"/>
      <c r="IU172"/>
      <c r="IV172"/>
      <c r="IW172"/>
      <c r="IX172"/>
      <c r="IY172"/>
      <c r="IZ172"/>
      <c r="JA172"/>
      <c r="JB172"/>
      <c r="JC172"/>
    </row>
    <row r="173" spans="1:263" ht="15" customHeight="1">
      <c r="A173" s="2">
        <v>102020041</v>
      </c>
      <c r="B173" t="s">
        <v>1648</v>
      </c>
      <c r="K173" t="s">
        <v>1649</v>
      </c>
      <c r="AG173" s="248"/>
      <c r="BG173" s="5"/>
      <c r="BH173" s="16"/>
      <c r="BI173" s="16"/>
      <c r="BJ173" s="4"/>
      <c r="BK173" s="4"/>
      <c r="BL173" s="4"/>
      <c r="BM173" s="6"/>
      <c r="BN173" s="7"/>
      <c r="BO173" s="4"/>
      <c r="BP173" s="4"/>
      <c r="BQ173" s="4"/>
      <c r="BR173" s="4"/>
      <c r="BS173" s="6"/>
      <c r="BT173" s="7"/>
      <c r="BU173" s="4"/>
      <c r="BV173" s="4"/>
      <c r="BW173" s="4"/>
      <c r="BX173" s="4"/>
      <c r="BY173" s="6"/>
      <c r="BZ173" s="7"/>
      <c r="CA173" s="4"/>
      <c r="CB173" s="4"/>
      <c r="CC173" s="4"/>
      <c r="CD173" s="4"/>
      <c r="CE173" s="6"/>
      <c r="CF173" s="7"/>
      <c r="CG173" s="4"/>
      <c r="CH173" s="4"/>
      <c r="CI173" s="4"/>
      <c r="CJ173" s="4"/>
      <c r="CK173" s="6"/>
      <c r="CL173" s="7"/>
      <c r="CM173" s="4"/>
      <c r="CN173" s="4"/>
      <c r="CO173" s="4"/>
      <c r="CP173" s="4"/>
      <c r="CQ173" s="6"/>
      <c r="CR173" s="7"/>
      <c r="CS173" s="4"/>
      <c r="CT173" s="4"/>
      <c r="CU173" s="4"/>
      <c r="CV173" s="4"/>
      <c r="CW173" s="6"/>
      <c r="CX173" s="7"/>
      <c r="CY173" s="4"/>
      <c r="CZ173" s="4"/>
      <c r="DA173" s="4"/>
      <c r="DB173" s="4"/>
      <c r="DC173" s="4"/>
      <c r="DD173" s="3"/>
      <c r="DE173" s="4"/>
      <c r="DF173" s="234"/>
      <c r="DG173" s="4"/>
      <c r="DH173" s="4"/>
      <c r="DI173" s="4"/>
      <c r="DJ173" s="4"/>
      <c r="DK173" s="4"/>
      <c r="DL173" s="4"/>
      <c r="DM173" s="7"/>
      <c r="DN173" s="8"/>
      <c r="DO173" s="4"/>
      <c r="DP173" s="8"/>
      <c r="DQ173" s="8"/>
      <c r="DR173" s="8"/>
      <c r="DS173" s="35"/>
    </row>
    <row r="174" spans="1:263" ht="15" customHeight="1">
      <c r="A174" s="19">
        <v>102022162</v>
      </c>
      <c r="B174" t="s">
        <v>2892</v>
      </c>
      <c r="D174" s="1">
        <v>2025</v>
      </c>
      <c r="E174" s="3"/>
      <c r="F174" s="3"/>
      <c r="J174" t="s">
        <v>253</v>
      </c>
      <c r="K174" t="s">
        <v>1386</v>
      </c>
      <c r="L174" t="s">
        <v>3195</v>
      </c>
      <c r="M174" t="s">
        <v>392</v>
      </c>
      <c r="AG174" s="43"/>
      <c r="AJ174" s="18" t="s">
        <v>328</v>
      </c>
      <c r="AL174" t="s">
        <v>279</v>
      </c>
      <c r="AM174"/>
      <c r="AN174"/>
      <c r="AO174" s="3" t="s">
        <v>3196</v>
      </c>
      <c r="AP174" s="3" t="s">
        <v>258</v>
      </c>
      <c r="AQ174" t="s">
        <v>600</v>
      </c>
      <c r="AR174" t="s">
        <v>260</v>
      </c>
      <c r="AS174" s="1"/>
      <c r="AT174" s="1"/>
      <c r="AU174" s="1"/>
      <c r="AV174" s="1"/>
      <c r="AW174" s="1"/>
      <c r="AX174" s="2"/>
      <c r="AY174" s="116"/>
      <c r="AZ174" s="115"/>
      <c r="BA174" s="2"/>
      <c r="BB174" s="2"/>
      <c r="BC174" s="2"/>
      <c r="BD174" s="2"/>
      <c r="BE174" s="2"/>
      <c r="BF174" s="2"/>
      <c r="BG174" s="20">
        <f ca="1">SUM(CZ174)+214.5</f>
        <v>247.07093333333333</v>
      </c>
      <c r="BH174" s="22">
        <f ca="1">PMT(10%/12,12,BG174,0,0)</f>
        <v>-21.721460312746551</v>
      </c>
      <c r="BI174" s="22">
        <f ca="1">SUM(BH174*-1)</f>
        <v>21.721460312746551</v>
      </c>
      <c r="BJ174" s="14">
        <f>SUM(DJ174*0.0052)/12</f>
        <v>0.34666666666666668</v>
      </c>
      <c r="BK174" s="22">
        <f ca="1">SUM(BI174+BJ174)</f>
        <v>22.068126979413218</v>
      </c>
      <c r="BL174" s="14"/>
      <c r="BM174" s="14">
        <f>SUM(BL174*0.1)</f>
        <v>0</v>
      </c>
      <c r="BN174" s="14">
        <f ca="1">SUM(BO174*BP174)</f>
        <v>0</v>
      </c>
      <c r="BO174" s="17">
        <f>SUM((BL174+BM174)*0.00833333333333333)</f>
        <v>0</v>
      </c>
      <c r="BP174" s="23">
        <f ca="1">MONTH(TODAY())+49</f>
        <v>53</v>
      </c>
      <c r="BQ174" s="14">
        <f ca="1">SUM(BL174,BM174,BN174)</f>
        <v>0</v>
      </c>
      <c r="BR174" s="14"/>
      <c r="BS174" s="14">
        <f>SUM(BR174*0.1)</f>
        <v>0</v>
      </c>
      <c r="BT174" s="14">
        <f ca="1">SUM(BU174*BV174)</f>
        <v>0</v>
      </c>
      <c r="BU174" s="17">
        <f>SUM((BR174+BS174)*0.00833333333333333)</f>
        <v>0</v>
      </c>
      <c r="BV174" s="23">
        <f ca="1">MONTH(TODAY())+37</f>
        <v>41</v>
      </c>
      <c r="BW174" s="14">
        <f ca="1">SUM(BR174,BS174,BT174)</f>
        <v>0</v>
      </c>
      <c r="BX174" s="14"/>
      <c r="BY174" s="14">
        <f>SUM(BX174*0.1)</f>
        <v>0</v>
      </c>
      <c r="BZ174" s="14">
        <f ca="1">SUM(CA174*CB174)</f>
        <v>0</v>
      </c>
      <c r="CA174" s="17">
        <f>SUM((BX174+BY174)*0.00833333333333333)</f>
        <v>0</v>
      </c>
      <c r="CB174" s="23">
        <f ca="1">MONTH(TODAY())+25</f>
        <v>29</v>
      </c>
      <c r="CC174" s="14">
        <f ca="1">SUM(BX174,BY174,BZ174)</f>
        <v>0</v>
      </c>
      <c r="CD174" s="14">
        <f>SUM(DJ174*0.0052)</f>
        <v>4.16</v>
      </c>
      <c r="CE174" s="14">
        <f>SUM(CD174*0.1)</f>
        <v>0.41600000000000004</v>
      </c>
      <c r="CF174" s="14">
        <f ca="1">SUM(CG174*CH174)</f>
        <v>0.64826666666666655</v>
      </c>
      <c r="CG174" s="17">
        <f>SUM((CD174+CE174)*0.00833333333333333)</f>
        <v>3.8133333333333325E-2</v>
      </c>
      <c r="CH174" s="23">
        <f ca="1">MONTH(TODAY())+13</f>
        <v>17</v>
      </c>
      <c r="CI174" s="14">
        <f ca="1">SUM(CD174,CE174,CF174)</f>
        <v>5.2242666666666668</v>
      </c>
      <c r="CJ174" s="14">
        <f>SUM(DJ174*0.0052)</f>
        <v>4.16</v>
      </c>
      <c r="CK174" s="14">
        <f>SUM(CJ174*0.1)</f>
        <v>0.41600000000000004</v>
      </c>
      <c r="CL174" s="14">
        <f ca="1">SUM(CM174*CN174)</f>
        <v>0.19066666666666662</v>
      </c>
      <c r="CM174" s="17">
        <f>SUM((CJ174+CK174)*0.00833333333333333)</f>
        <v>3.8133333333333325E-2</v>
      </c>
      <c r="CN174" s="23">
        <f ca="1">MONTH(TODAY())+1</f>
        <v>5</v>
      </c>
      <c r="CO174" s="14">
        <f ca="1">SUM(CJ174,CK174,CL174)</f>
        <v>4.7666666666666675</v>
      </c>
      <c r="CP174" s="14">
        <f>SUM(DJ174*0.0052)/2</f>
        <v>2.08</v>
      </c>
      <c r="CQ174" s="14">
        <f>SUM(BL174, BR174, BX174, CD174, CJ174, CP174)</f>
        <v>10.4</v>
      </c>
      <c r="CR174" s="14">
        <f>SUM(BM174, BS174,BY174,CE174,CK174)</f>
        <v>0.83200000000000007</v>
      </c>
      <c r="CS174" s="14">
        <f ca="1">SUM(BN174, BT174,BZ174,CF174,CL174)</f>
        <v>0.8389333333333332</v>
      </c>
      <c r="CT174" s="14">
        <f ca="1">SUM(CQ174:CS174)</f>
        <v>12.070933333333334</v>
      </c>
      <c r="CU174" s="47">
        <f ca="1">SUM(CT174/DJ174)</f>
        <v>1.5088666666666669E-2</v>
      </c>
      <c r="CV174" s="14">
        <v>19.5</v>
      </c>
      <c r="CW174" s="32">
        <f>COUNTIF(DC174, "*")+COUNTIF(AO174, "*")+COUNTIF(AJ174, "*")+COUNTIF(AA174, "*")+COUNTIF(DZ174, "*")+COUNTIF(EF174, "*")+COUNTIF(EL174, "*")+COUNTIF(EP174, "*")+COUNTIF(EW174, "*")+COUNTIF(FD174, "*")+COUNTIF(FK174, "*")+COUNTIF(FV174, "*")+COUNTIF(GG174, "*")+COUNTIF(GO174, "*")+COUNTIF(GW174, "*")+COUNTIF(HE174, "*")+COUNTIF(HM174, "*")</f>
        <v>2</v>
      </c>
      <c r="CX174" s="14">
        <f>CW174*0.5</f>
        <v>1</v>
      </c>
      <c r="CY174" s="4"/>
      <c r="CZ174" s="14">
        <f ca="1">SUM(CT174,CV174,DF174, CY174, CX174,FH174)</f>
        <v>32.570933333333336</v>
      </c>
      <c r="DA174" s="4"/>
      <c r="DF174" s="14">
        <f>SUM(DA174:DE174)</f>
        <v>0</v>
      </c>
      <c r="DG174" s="24" t="s">
        <v>2773</v>
      </c>
      <c r="DH174" s="4">
        <v>800</v>
      </c>
      <c r="DI174" s="4">
        <v>0</v>
      </c>
      <c r="DJ174" s="25">
        <f>SUM(DH174+DI174)</f>
        <v>800</v>
      </c>
      <c r="DK174" s="35">
        <v>0.12</v>
      </c>
      <c r="ID174" s="4"/>
    </row>
    <row r="175" spans="1:263" ht="15" customHeight="1">
      <c r="A175" s="2">
        <v>102024047</v>
      </c>
      <c r="B175" t="s">
        <v>5207</v>
      </c>
      <c r="D175" s="1">
        <v>2025</v>
      </c>
      <c r="E175" s="3"/>
      <c r="G175" s="3"/>
      <c r="J175" t="s">
        <v>554</v>
      </c>
      <c r="K175" t="s">
        <v>4339</v>
      </c>
      <c r="L175" t="s">
        <v>5204</v>
      </c>
      <c r="M175" t="s">
        <v>650</v>
      </c>
      <c r="O175" s="3"/>
      <c r="P175" t="s">
        <v>4339</v>
      </c>
      <c r="Q175" t="s">
        <v>5205</v>
      </c>
      <c r="R175" t="s">
        <v>1220</v>
      </c>
      <c r="AG175" s="43"/>
      <c r="AJ175" t="s">
        <v>328</v>
      </c>
      <c r="AK175" s="1"/>
      <c r="AL175" t="s">
        <v>279</v>
      </c>
      <c r="AM175"/>
      <c r="AN175"/>
      <c r="AO175" t="s">
        <v>5206</v>
      </c>
      <c r="AP175" s="1" t="s">
        <v>258</v>
      </c>
      <c r="AQ175" t="s">
        <v>279</v>
      </c>
      <c r="AR175" t="s">
        <v>260</v>
      </c>
      <c r="AX175" s="1"/>
      <c r="AY175" s="1"/>
      <c r="AZ175" s="1"/>
      <c r="BA175" s="1"/>
      <c r="BB175" s="1"/>
      <c r="BC175" s="2"/>
      <c r="BD175" s="116"/>
      <c r="BE175" s="115"/>
      <c r="BF175" s="2"/>
      <c r="BG175" s="2"/>
      <c r="BH175" s="2"/>
      <c r="BI175" s="2"/>
      <c r="BJ175" s="2"/>
      <c r="BK175" s="2"/>
      <c r="BL175" s="20">
        <f ca="1">SUM(EB175)+220</f>
        <v>286.01093333333336</v>
      </c>
      <c r="BM175" s="22">
        <f ca="1">PMT(10%/12,12,BL175,0,0)</f>
        <v>-25.144904961483128</v>
      </c>
      <c r="BN175" s="22">
        <f ca="1">SUM(BM175*-1)</f>
        <v>25.144904961483128</v>
      </c>
      <c r="BO175" s="14">
        <f>SUM(EJ175*0.0052)/12</f>
        <v>0.69333333333333336</v>
      </c>
      <c r="BP175" s="22">
        <f ca="1">SUM(BN175+BO175)</f>
        <v>25.838238294816463</v>
      </c>
      <c r="BQ175" s="14"/>
      <c r="BR175" s="14">
        <f>SUM(BQ175*0.1)</f>
        <v>0</v>
      </c>
      <c r="BS175" s="14">
        <f ca="1">SUM(BT175*BU175)</f>
        <v>0</v>
      </c>
      <c r="BT175" s="17">
        <f>SUM((BQ175+BR175)*0.00833333333333333)</f>
        <v>0</v>
      </c>
      <c r="BU175" s="23">
        <f ca="1">MONTH(TODAY())+61</f>
        <v>65</v>
      </c>
      <c r="BV175" s="14">
        <f ca="1">SUM(BQ175,BR175,BS175)</f>
        <v>0</v>
      </c>
      <c r="BW175" s="14"/>
      <c r="BX175" s="14">
        <f>SUM(BW175*0.1)</f>
        <v>0</v>
      </c>
      <c r="BY175" s="14">
        <f ca="1">SUM(BZ175*CA175)</f>
        <v>0</v>
      </c>
      <c r="BZ175" s="17">
        <f>SUM((BW175+BX175)*0.00833333333333333)</f>
        <v>0</v>
      </c>
      <c r="CA175" s="23">
        <f ca="1">MONTH(TODAY())+49</f>
        <v>53</v>
      </c>
      <c r="CB175" s="14">
        <f ca="1">SUM(BW175,BX175,BY175)</f>
        <v>0</v>
      </c>
      <c r="CC175" s="14">
        <v>0</v>
      </c>
      <c r="CD175" s="14">
        <f>SUM(CC175*0.1)</f>
        <v>0</v>
      </c>
      <c r="CE175" s="14">
        <f ca="1">SUM(CF175*CG175)</f>
        <v>0</v>
      </c>
      <c r="CF175" s="17">
        <f>SUM((CC175+CD175)*0.00833333333333333)</f>
        <v>0</v>
      </c>
      <c r="CG175" s="23">
        <f ca="1">MONTH(TODAY())+37</f>
        <v>41</v>
      </c>
      <c r="CH175" s="14">
        <f ca="1">SUM(CC175,CD175,CE175)</f>
        <v>0</v>
      </c>
      <c r="CI175" s="14">
        <f>4.16</f>
        <v>4.16</v>
      </c>
      <c r="CJ175" s="14">
        <f>SUM(CI175*0.1)</f>
        <v>0.41600000000000004</v>
      </c>
      <c r="CK175" s="14">
        <f ca="1">SUM(CL175*CM175)</f>
        <v>1.1058666666666663</v>
      </c>
      <c r="CL175" s="17">
        <f>SUM((CI175+CJ175)*0.00833333333333333)</f>
        <v>3.8133333333333325E-2</v>
      </c>
      <c r="CM175" s="23">
        <f ca="1">MONTH(TODAY())+25</f>
        <v>29</v>
      </c>
      <c r="CN175" s="14">
        <f ca="1">SUM(CI175,CJ175,CK175)</f>
        <v>5.6818666666666671</v>
      </c>
      <c r="CO175" s="14">
        <f>SUM(EG175*0.0052)/2</f>
        <v>4.16</v>
      </c>
      <c r="CP175" s="14">
        <f>SUM(CO175*0.1)</f>
        <v>0.41600000000000004</v>
      </c>
      <c r="CQ175" s="14">
        <f ca="1">SUM(CR175*CS175)</f>
        <v>0.80079999999999985</v>
      </c>
      <c r="CR175" s="17">
        <f>SUM((CO175+CP175)*0.00833333333333333)</f>
        <v>3.8133333333333325E-2</v>
      </c>
      <c r="CS175" s="23">
        <f ca="1">MONTH(TODAY())+17</f>
        <v>21</v>
      </c>
      <c r="CT175" s="23">
        <f ca="1">SUM(CO175,CP175,CQ175)</f>
        <v>5.3768000000000002</v>
      </c>
      <c r="CU175" s="14">
        <f>SUM(EG175*0.0052)/2</f>
        <v>4.16</v>
      </c>
      <c r="CV175" s="14">
        <f>SUM(CU175*0.1)</f>
        <v>0.41600000000000004</v>
      </c>
      <c r="CW175" s="14">
        <f ca="1">SUM(CX175*CY175)</f>
        <v>0.64826666666666655</v>
      </c>
      <c r="CX175" s="17">
        <f>SUM((CU175+CV175)*0.00833333333333333)</f>
        <v>3.8133333333333325E-2</v>
      </c>
      <c r="CY175" s="23">
        <f ca="1">MONTH(TODAY())+13</f>
        <v>17</v>
      </c>
      <c r="CZ175" s="23">
        <f ca="1">SUM(CU175,CV175,CW175)</f>
        <v>5.2242666666666668</v>
      </c>
      <c r="DA175" s="14">
        <f>SUM(EJ175*0.0045)/2</f>
        <v>3.5999999999999996</v>
      </c>
      <c r="DB175" s="14">
        <f>SUM(DA175*0.1)</f>
        <v>0.36</v>
      </c>
      <c r="DC175" s="14">
        <f ca="1">SUM(DD175*DE175)</f>
        <v>0.36299999999999977</v>
      </c>
      <c r="DD175" s="17">
        <f>SUM((DA175+DB175)*0.00833333333333333)</f>
        <v>3.2999999999999981E-2</v>
      </c>
      <c r="DE175" s="23">
        <f ca="1">MONTH(TODAY())+7</f>
        <v>11</v>
      </c>
      <c r="DF175" s="23">
        <f ca="1">SUM(DA175,DB175,DC175)</f>
        <v>4.3229999999999995</v>
      </c>
      <c r="DG175" s="14">
        <f>SUM(EJ175*0.0045)/2</f>
        <v>3.5999999999999996</v>
      </c>
      <c r="DH175" s="14">
        <f>SUM(DG175*0.1)</f>
        <v>0.36</v>
      </c>
      <c r="DI175" s="14">
        <f ca="1">SUM(DJ175*DK175)</f>
        <v>0.1649999999999999</v>
      </c>
      <c r="DJ175" s="17">
        <f>SUM((DG175+DH175)*0.00833333333333333)</f>
        <v>3.2999999999999981E-2</v>
      </c>
      <c r="DK175" s="23">
        <f ca="1">MONTH(TODAY())+1</f>
        <v>5</v>
      </c>
      <c r="DL175" s="14">
        <f ca="1">SUM(DG175,DH175,DI175)</f>
        <v>4.1249999999999991</v>
      </c>
      <c r="DM175" s="14">
        <f>SUM( BQ175, BW175, CC175, CI175, CO175,CU175,DA175,DG175)</f>
        <v>19.68</v>
      </c>
      <c r="DN175" s="14">
        <f>SUM(BR175,BX175,CD175,CJ175, CP175,CV175,DB175,DH175)</f>
        <v>1.968</v>
      </c>
      <c r="DO175" s="14">
        <f ca="1">SUM(BS175,BY175,CE175,CK175, CQ175,CW175,DC175,DI175)</f>
        <v>3.0829333333333322</v>
      </c>
      <c r="DP175" s="25">
        <f ca="1">SUM(DM175:DO175)</f>
        <v>24.730933333333333</v>
      </c>
      <c r="DQ175" s="47">
        <f ca="1">SUM(DP175/EG175)</f>
        <v>1.5456833333333333E-2</v>
      </c>
      <c r="DR175" s="14">
        <v>40</v>
      </c>
      <c r="DS175" s="32">
        <f>COUNTIF(AO175, "*")+COUNTIF(AJ175, "*")+COUNTIF(AA175, "*")+COUNTIF(EU175, "*")+COUNTIF(FA175, "*")+COUNTIF(FG175, "*")+COUNTIF(FK175, "*")+COUNTIF(FR175, "*")+COUNTIF(AT175, "*")+COUNTIF(GA175, "*")+COUNTIF(GL175, "*")+COUNTIF(GW175, "*")+COUNTIF(HE175, "*")+COUNTIF(HM175, "*")+COUNTIF(HU175, "*")</f>
        <v>2</v>
      </c>
      <c r="DT175" s="14">
        <f>DS175*0.64</f>
        <v>1.28</v>
      </c>
      <c r="DU175" s="4"/>
      <c r="DV175" s="4"/>
      <c r="DW175" s="4"/>
      <c r="DX175" s="4"/>
      <c r="DZ175" s="4"/>
      <c r="EA175" s="14">
        <f>SUM(DV175:DZ175)</f>
        <v>0</v>
      </c>
      <c r="EB175" s="14">
        <f ca="1">SUM(DP175,DR175,EA175, DU175, DT175,FX175)</f>
        <v>66.010933333333327</v>
      </c>
      <c r="EC175" s="24" t="s">
        <v>4944</v>
      </c>
      <c r="ED175" s="130">
        <f>0.11+0.16</f>
        <v>0.27</v>
      </c>
      <c r="EE175" s="14">
        <f>800*2</f>
        <v>1600</v>
      </c>
      <c r="EF175" s="14">
        <v>0</v>
      </c>
      <c r="EG175" s="14">
        <f>SUM(EE175+EF175)</f>
        <v>1600</v>
      </c>
      <c r="EH175" s="14">
        <f>800*2</f>
        <v>1600</v>
      </c>
      <c r="EI175" s="14">
        <v>0</v>
      </c>
      <c r="EJ175" s="14">
        <f>SUM(EH175+EI175)</f>
        <v>1600</v>
      </c>
      <c r="FX175" s="4"/>
      <c r="HY175" s="9"/>
      <c r="IJ175" s="4"/>
      <c r="IK175" s="4"/>
      <c r="IL175" s="4"/>
      <c r="IM175" s="9"/>
      <c r="IN175" s="9"/>
      <c r="IO175" s="9"/>
      <c r="IP175" s="9"/>
      <c r="IQ175" s="9"/>
    </row>
    <row r="176" spans="1:263" ht="15" customHeight="1">
      <c r="A176" s="2">
        <v>102020030</v>
      </c>
      <c r="B176" t="s">
        <v>1619</v>
      </c>
      <c r="J176" t="s">
        <v>253</v>
      </c>
      <c r="K176" t="s">
        <v>609</v>
      </c>
      <c r="L176" t="s">
        <v>1618</v>
      </c>
      <c r="M176" t="s">
        <v>403</v>
      </c>
      <c r="AG176" s="248"/>
      <c r="BG176" s="5"/>
      <c r="BH176" s="16"/>
      <c r="BI176" s="16"/>
      <c r="BJ176" s="4"/>
      <c r="BK176" s="4"/>
      <c r="BL176" s="4"/>
      <c r="BM176" s="6"/>
      <c r="BN176" s="7"/>
      <c r="BO176" s="4"/>
      <c r="BP176" s="4"/>
      <c r="BQ176" s="4"/>
      <c r="BR176" s="4"/>
      <c r="BS176" s="6"/>
      <c r="BT176" s="7"/>
      <c r="BU176" s="4"/>
      <c r="BV176" s="4"/>
      <c r="BW176" s="4"/>
      <c r="BX176" s="4"/>
      <c r="BY176" s="6"/>
      <c r="BZ176" s="7"/>
      <c r="CA176" s="4"/>
      <c r="CB176" s="4"/>
      <c r="CC176" s="4"/>
      <c r="CD176" s="4"/>
      <c r="CE176" s="6"/>
      <c r="CF176" s="7"/>
      <c r="CG176" s="4"/>
      <c r="CH176" s="4"/>
      <c r="CI176" s="4"/>
      <c r="CJ176" s="4"/>
      <c r="CK176" s="6"/>
      <c r="CL176" s="7"/>
      <c r="CM176" s="4"/>
      <c r="CN176" s="4"/>
      <c r="CO176" s="4"/>
      <c r="CP176" s="4"/>
      <c r="CQ176" s="6"/>
      <c r="CR176" s="7"/>
      <c r="CS176" s="4"/>
      <c r="CT176" s="4"/>
      <c r="CU176" s="4"/>
      <c r="CV176" s="4"/>
      <c r="CW176" s="6"/>
      <c r="CX176" s="7"/>
      <c r="CY176" s="4"/>
      <c r="CZ176" s="4"/>
      <c r="DA176" s="4"/>
      <c r="DB176" s="4"/>
      <c r="DC176" s="4"/>
      <c r="DD176" s="3"/>
      <c r="DE176" s="4"/>
      <c r="DF176" s="234"/>
      <c r="DG176" s="4"/>
      <c r="DH176" s="4"/>
      <c r="DI176" s="4"/>
      <c r="DJ176" s="4"/>
      <c r="DK176" s="4"/>
      <c r="DL176" s="4"/>
      <c r="DM176" s="7"/>
      <c r="DN176" s="8"/>
      <c r="DO176" s="4"/>
      <c r="DP176" s="8"/>
      <c r="DQ176" s="8"/>
      <c r="DR176" s="8"/>
      <c r="DS176" s="35"/>
      <c r="IZ176" s="18"/>
      <c r="JA176" s="18"/>
    </row>
    <row r="177" spans="1:263" ht="15" customHeight="1">
      <c r="A177" s="19">
        <v>102022075</v>
      </c>
      <c r="B177" t="s">
        <v>2820</v>
      </c>
      <c r="D177" s="1">
        <v>2025</v>
      </c>
      <c r="J177" t="s">
        <v>554</v>
      </c>
      <c r="K177" t="s">
        <v>3074</v>
      </c>
      <c r="L177" t="s">
        <v>1006</v>
      </c>
      <c r="M177" t="s">
        <v>326</v>
      </c>
      <c r="P177" t="s">
        <v>3074</v>
      </c>
      <c r="Q177" t="s">
        <v>3075</v>
      </c>
      <c r="R177" t="s">
        <v>256</v>
      </c>
      <c r="AJ177" s="18" t="s">
        <v>328</v>
      </c>
      <c r="AL177" t="s">
        <v>279</v>
      </c>
      <c r="AM177"/>
      <c r="AN177"/>
      <c r="AO177" s="3" t="s">
        <v>3076</v>
      </c>
      <c r="AP177" s="1" t="s">
        <v>258</v>
      </c>
      <c r="AQ177" t="s">
        <v>279</v>
      </c>
      <c r="AR177" t="s">
        <v>260</v>
      </c>
      <c r="AS177" s="1"/>
      <c r="AT177" s="1"/>
      <c r="AU177" s="1"/>
      <c r="AV177" s="1"/>
      <c r="AW177" s="1"/>
      <c r="AX177" s="2"/>
      <c r="AY177" s="2"/>
      <c r="AZ177" s="70"/>
      <c r="BA177" s="2"/>
      <c r="BB177" s="2"/>
      <c r="BC177" s="2"/>
      <c r="BD177" s="2"/>
      <c r="BE177" s="2"/>
      <c r="BF177" s="2"/>
      <c r="BG177" s="20"/>
      <c r="BH177" s="22"/>
      <c r="BI177" s="22"/>
      <c r="BJ177" s="14"/>
      <c r="BK177" s="22"/>
      <c r="BL177" s="14"/>
      <c r="BM177" s="14"/>
      <c r="BN177" s="14"/>
      <c r="BO177" s="17"/>
      <c r="BP177" s="23"/>
      <c r="BQ177" s="14"/>
      <c r="BR177" s="14"/>
      <c r="BS177" s="14"/>
      <c r="BT177" s="14"/>
      <c r="BU177" s="17"/>
      <c r="BV177" s="23"/>
      <c r="BW177" s="14"/>
      <c r="BX177" s="14"/>
      <c r="BY177" s="14"/>
      <c r="BZ177" s="14"/>
      <c r="CA177" s="17"/>
      <c r="CB177" s="23"/>
      <c r="CC177" s="14"/>
      <c r="CD177" s="14"/>
      <c r="CE177" s="14"/>
      <c r="CF177" s="14"/>
      <c r="CG177" s="17"/>
      <c r="CH177" s="23"/>
      <c r="CI177" s="14"/>
      <c r="CJ177" s="14"/>
      <c r="CK177" s="14"/>
      <c r="CL177" s="14"/>
      <c r="CM177" s="17"/>
      <c r="CN177" s="23"/>
      <c r="CO177" s="14"/>
      <c r="CP177" s="14"/>
      <c r="CQ177" s="14"/>
      <c r="CR177" s="14"/>
      <c r="CS177" s="14"/>
      <c r="CT177" s="47"/>
      <c r="CU177" s="14"/>
      <c r="CV177" s="32"/>
      <c r="CW177" s="14"/>
      <c r="CX177" s="4"/>
      <c r="CY177" s="14"/>
      <c r="DE177" s="14"/>
      <c r="DF177" s="24"/>
      <c r="DG177" s="4"/>
      <c r="DH177" s="4"/>
      <c r="DI177" s="25"/>
      <c r="DJ177" s="35">
        <v>0.06</v>
      </c>
      <c r="IC177" s="4"/>
    </row>
    <row r="178" spans="1:263" ht="15" customHeight="1">
      <c r="A178" s="2">
        <v>102019031</v>
      </c>
      <c r="B178" s="4" t="s">
        <v>1344</v>
      </c>
      <c r="C178" s="4"/>
      <c r="D178" s="3"/>
      <c r="E178" s="2"/>
      <c r="F178" s="2"/>
      <c r="G178" s="2"/>
      <c r="H178" s="2"/>
      <c r="J178" t="s">
        <v>311</v>
      </c>
      <c r="K178" t="s">
        <v>1342</v>
      </c>
      <c r="L178" t="s">
        <v>577</v>
      </c>
      <c r="M178" t="s">
        <v>448</v>
      </c>
      <c r="N178" t="s">
        <v>445</v>
      </c>
      <c r="O178" s="1"/>
      <c r="T178" s="1"/>
      <c r="AJ178" s="4"/>
      <c r="AK178" s="4"/>
      <c r="AO178" s="4"/>
      <c r="AP178" s="5"/>
      <c r="AQ178" s="34"/>
      <c r="AS178" s="1"/>
      <c r="AT178" s="1"/>
      <c r="AU178" s="29"/>
      <c r="AV178" s="1"/>
      <c r="AW178" s="1"/>
      <c r="AX178" s="15"/>
      <c r="AY178" s="15"/>
      <c r="AZ178" s="15"/>
      <c r="BA178" s="15"/>
      <c r="BB178" s="1"/>
      <c r="BC178" s="15"/>
      <c r="BD178" s="15"/>
      <c r="BE178" s="15"/>
      <c r="BF178" s="21"/>
      <c r="BG178" s="5"/>
      <c r="BH178" s="16"/>
      <c r="BI178" s="16"/>
      <c r="BK178" s="4"/>
      <c r="BL178" s="4"/>
      <c r="BM178" s="6"/>
      <c r="BN178" s="7"/>
      <c r="BO178" s="4"/>
      <c r="BP178" s="6"/>
      <c r="BQ178" s="4"/>
      <c r="BR178" s="4"/>
      <c r="BS178" s="6"/>
      <c r="BT178" s="7"/>
      <c r="BU178" s="4"/>
      <c r="BV178" s="4"/>
      <c r="BW178" s="4"/>
      <c r="BX178" s="4"/>
      <c r="BY178" s="6"/>
      <c r="BZ178" s="7"/>
      <c r="CA178" s="4"/>
      <c r="CB178" s="4"/>
      <c r="CC178" s="4"/>
      <c r="CD178" s="4"/>
      <c r="CE178" s="6"/>
      <c r="CF178" s="7"/>
      <c r="CG178" s="4"/>
      <c r="CH178" s="4"/>
      <c r="CI178" s="4"/>
      <c r="CJ178" s="4"/>
      <c r="CK178" s="6"/>
      <c r="CL178" s="23"/>
      <c r="CM178" s="4"/>
      <c r="CN178" s="4"/>
      <c r="CO178" s="4"/>
      <c r="CP178" s="4"/>
      <c r="CQ178" s="6"/>
      <c r="CR178" s="7"/>
      <c r="CS178" s="4"/>
      <c r="CT178" s="4"/>
      <c r="CU178" s="4"/>
      <c r="CV178" s="4"/>
      <c r="CW178" s="6"/>
      <c r="CX178" s="23"/>
      <c r="CY178" s="4"/>
      <c r="CZ178" s="4"/>
      <c r="DA178" s="4"/>
      <c r="DB178" s="4"/>
      <c r="DC178" s="6"/>
      <c r="DD178" s="7"/>
      <c r="DE178" s="4"/>
      <c r="DF178" s="4"/>
      <c r="DG178" s="4"/>
      <c r="DH178" s="14"/>
      <c r="DI178" s="14"/>
      <c r="DJ178" s="4"/>
      <c r="DL178" s="4"/>
      <c r="DM178" s="234"/>
      <c r="DN178" s="4"/>
      <c r="DO178" s="4"/>
      <c r="DP178" s="4"/>
      <c r="DQ178" s="7"/>
      <c r="DR178" s="7"/>
      <c r="DS178" s="4"/>
      <c r="DT178" s="4"/>
      <c r="DU178" s="8"/>
      <c r="DV178" s="4"/>
      <c r="DW178" s="8"/>
      <c r="DX178" s="4"/>
      <c r="DY178" s="4"/>
      <c r="DZ178" s="7"/>
      <c r="EG178" s="11"/>
      <c r="EM178" s="271"/>
      <c r="EN178" s="4"/>
      <c r="EO178" s="11"/>
      <c r="ER178" s="4"/>
      <c r="ES178" s="271"/>
      <c r="EU178" s="4"/>
      <c r="EV178" s="4"/>
      <c r="EW178" s="4"/>
      <c r="EX178" s="4"/>
      <c r="EY178" s="4"/>
      <c r="EZ178" s="4"/>
      <c r="FA178" s="4"/>
      <c r="FB178" s="4"/>
      <c r="FC178" s="4"/>
      <c r="FI178" s="9"/>
      <c r="FR178" s="9"/>
      <c r="FX178" s="4"/>
      <c r="GA178" s="10"/>
      <c r="GK178" s="10"/>
      <c r="GZ178" s="9"/>
      <c r="II178" s="27"/>
      <c r="IJ178" s="4"/>
      <c r="IK178" s="4"/>
      <c r="IL178" s="9"/>
      <c r="IN178" s="18" t="s">
        <v>1410</v>
      </c>
      <c r="IO178" s="18" t="s">
        <v>846</v>
      </c>
      <c r="IP178" s="18" t="s">
        <v>386</v>
      </c>
      <c r="IS178" s="4">
        <v>41.5</v>
      </c>
      <c r="IT178" s="14">
        <f>SUM(IJ178-DP178-IR178)</f>
        <v>0</v>
      </c>
      <c r="IU178" s="27">
        <v>43643</v>
      </c>
      <c r="IV178" s="9">
        <v>43661</v>
      </c>
      <c r="IW178" s="27">
        <v>43699</v>
      </c>
      <c r="IX178" s="27">
        <v>43711</v>
      </c>
    </row>
    <row r="179" spans="1:263" ht="15" customHeight="1">
      <c r="A179" s="2">
        <v>102019032</v>
      </c>
      <c r="B179" s="4" t="s">
        <v>1346</v>
      </c>
      <c r="C179" s="4"/>
      <c r="D179" s="3"/>
      <c r="E179" s="2"/>
      <c r="F179" s="2"/>
      <c r="G179" s="2"/>
      <c r="H179" s="2"/>
      <c r="J179" t="s">
        <v>311</v>
      </c>
      <c r="K179" t="s">
        <v>1342</v>
      </c>
      <c r="L179" t="s">
        <v>577</v>
      </c>
      <c r="M179" t="s">
        <v>448</v>
      </c>
      <c r="N179" t="s">
        <v>445</v>
      </c>
      <c r="O179" s="1"/>
      <c r="T179" s="1"/>
      <c r="AJ179" s="4"/>
      <c r="AK179" s="4"/>
      <c r="AO179" s="4"/>
      <c r="AP179" s="5"/>
      <c r="AQ179" s="34"/>
      <c r="AS179" s="1"/>
      <c r="AT179" s="1"/>
      <c r="AU179" s="29"/>
      <c r="AV179" s="1"/>
      <c r="AW179" s="1"/>
      <c r="AX179" s="15"/>
      <c r="AY179" s="15"/>
      <c r="AZ179" s="15"/>
      <c r="BA179" s="15"/>
      <c r="BB179" s="1"/>
      <c r="BC179" s="15"/>
      <c r="BD179" s="15"/>
      <c r="BE179" s="15"/>
      <c r="BF179" s="21"/>
      <c r="BG179" s="5"/>
      <c r="BH179" s="16"/>
      <c r="BI179" s="16"/>
      <c r="BK179" s="4"/>
      <c r="BL179" s="4"/>
      <c r="BM179" s="6"/>
      <c r="BN179" s="7"/>
      <c r="BO179" s="4"/>
      <c r="BP179" s="6"/>
      <c r="BQ179" s="4"/>
      <c r="BR179" s="4"/>
      <c r="BS179" s="6"/>
      <c r="BT179" s="7"/>
      <c r="BU179" s="4"/>
      <c r="BV179" s="4"/>
      <c r="BW179" s="4"/>
      <c r="BX179" s="4"/>
      <c r="BY179" s="6"/>
      <c r="BZ179" s="7"/>
      <c r="CA179" s="4"/>
      <c r="CB179" s="4"/>
      <c r="CC179" s="4"/>
      <c r="CD179" s="4"/>
      <c r="CE179" s="6"/>
      <c r="CF179" s="7"/>
      <c r="CG179" s="4"/>
      <c r="CH179" s="4"/>
      <c r="CI179" s="4"/>
      <c r="CJ179" s="4"/>
      <c r="CK179" s="6"/>
      <c r="CL179" s="23"/>
      <c r="CM179" s="4"/>
      <c r="CN179" s="4"/>
      <c r="CO179" s="4"/>
      <c r="CP179" s="4"/>
      <c r="CQ179" s="6"/>
      <c r="CR179" s="7"/>
      <c r="CS179" s="4"/>
      <c r="CT179" s="4"/>
      <c r="CU179" s="4"/>
      <c r="CV179" s="4"/>
      <c r="CW179" s="6"/>
      <c r="CX179" s="23"/>
      <c r="CY179" s="4"/>
      <c r="CZ179" s="4"/>
      <c r="DA179" s="4"/>
      <c r="DB179" s="4"/>
      <c r="DC179" s="6"/>
      <c r="DD179" s="7"/>
      <c r="DE179" s="4"/>
      <c r="DF179" s="4"/>
      <c r="DG179" s="4"/>
      <c r="DH179" s="14"/>
      <c r="DI179" s="14"/>
      <c r="DJ179" s="4"/>
      <c r="DL179" s="4"/>
      <c r="DM179" s="234"/>
      <c r="DN179" s="4"/>
      <c r="DO179" s="4"/>
      <c r="DP179" s="4"/>
      <c r="DQ179" s="7"/>
      <c r="DR179" s="7"/>
      <c r="DS179" s="4"/>
      <c r="DT179" s="4"/>
      <c r="DU179" s="8"/>
      <c r="DV179" s="4"/>
      <c r="DW179" s="8"/>
      <c r="DX179" s="4"/>
      <c r="DY179" s="4"/>
      <c r="DZ179" s="7"/>
      <c r="EG179" s="11"/>
      <c r="EM179" s="271"/>
      <c r="EN179" s="4"/>
      <c r="EO179" s="11"/>
      <c r="ER179" s="4"/>
      <c r="ES179" s="271"/>
      <c r="EU179" s="4"/>
      <c r="EV179" s="4"/>
      <c r="EW179" s="4"/>
      <c r="EX179" s="4"/>
      <c r="EY179" s="4"/>
      <c r="EZ179" s="4"/>
      <c r="FA179" s="4"/>
      <c r="FB179" s="4"/>
      <c r="FC179" s="4"/>
      <c r="FI179" s="9"/>
      <c r="FR179" s="9"/>
      <c r="FX179" s="4"/>
      <c r="GA179" s="10"/>
      <c r="GK179" s="10"/>
      <c r="GZ179" s="9"/>
      <c r="II179" s="27"/>
      <c r="IJ179" s="4"/>
      <c r="IK179" s="4"/>
      <c r="IL179" s="9"/>
      <c r="IS179" s="4"/>
      <c r="IT179" s="4"/>
    </row>
    <row r="180" spans="1:263" ht="15" customHeight="1">
      <c r="A180" s="2">
        <v>102019030</v>
      </c>
      <c r="B180" s="4" t="s">
        <v>1343</v>
      </c>
      <c r="C180" s="4"/>
      <c r="D180" s="3"/>
      <c r="E180" s="2"/>
      <c r="F180" s="2"/>
      <c r="G180" s="2"/>
      <c r="H180" s="2"/>
      <c r="J180" t="s">
        <v>311</v>
      </c>
      <c r="K180" t="s">
        <v>1342</v>
      </c>
      <c r="L180" t="s">
        <v>577</v>
      </c>
      <c r="M180" t="s">
        <v>448</v>
      </c>
      <c r="N180" t="s">
        <v>445</v>
      </c>
      <c r="O180" s="1"/>
      <c r="T180" s="1"/>
      <c r="AH180" s="4"/>
      <c r="AI180" s="4"/>
      <c r="AK180" s="11"/>
      <c r="AO180" s="4"/>
      <c r="AP180" s="5"/>
      <c r="AQ180" s="34"/>
      <c r="AR180" s="34"/>
      <c r="AS180" s="29"/>
      <c r="AT180" s="1"/>
      <c r="AU180" s="1"/>
      <c r="AV180" s="1"/>
      <c r="AW180" s="1"/>
      <c r="AX180" s="1"/>
      <c r="AY180" s="1"/>
      <c r="AZ180" s="1"/>
      <c r="BA180" s="1"/>
      <c r="BB180" s="1"/>
      <c r="BC180" s="1"/>
      <c r="BD180" s="1"/>
      <c r="BE180" s="1"/>
      <c r="BF180" s="1"/>
      <c r="BG180" s="5"/>
      <c r="BH180" s="16"/>
      <c r="BI180" s="16"/>
      <c r="BJ180" s="4"/>
      <c r="BK180" s="4"/>
      <c r="BL180" s="4"/>
      <c r="BM180" s="6"/>
      <c r="BN180" s="7"/>
      <c r="BO180" s="4"/>
      <c r="BQ180" s="4"/>
      <c r="BR180" s="4"/>
      <c r="BS180" s="6"/>
      <c r="BT180" s="7"/>
      <c r="BU180" s="4"/>
      <c r="BV180" s="4"/>
      <c r="BW180" s="4"/>
      <c r="BX180" s="4"/>
      <c r="BY180" s="6"/>
      <c r="BZ180" s="7"/>
      <c r="CA180" s="4"/>
      <c r="CB180" s="4"/>
      <c r="CC180" s="4"/>
      <c r="CD180" s="4"/>
      <c r="CE180" s="6"/>
      <c r="CF180" s="7"/>
      <c r="CG180" s="4"/>
      <c r="CH180" s="4"/>
      <c r="CI180" s="4"/>
      <c r="CJ180" s="4"/>
      <c r="CK180" s="6"/>
      <c r="CL180" s="7"/>
      <c r="CM180" s="4"/>
      <c r="CN180" s="4"/>
      <c r="CO180" s="4"/>
      <c r="CP180" s="4"/>
      <c r="CQ180" s="6"/>
      <c r="CR180" s="7"/>
      <c r="CS180" s="4"/>
      <c r="CT180" s="4"/>
      <c r="CU180" s="4"/>
      <c r="CV180" s="4"/>
      <c r="CW180" s="6"/>
      <c r="CX180" s="7"/>
      <c r="CY180" s="4"/>
      <c r="CZ180" s="4"/>
      <c r="DA180" s="4"/>
      <c r="DB180" s="4"/>
      <c r="DC180" s="6"/>
      <c r="DD180" s="7"/>
      <c r="DE180" s="4"/>
      <c r="DF180" s="4"/>
      <c r="DG180" s="4"/>
      <c r="DH180" s="14"/>
      <c r="DI180" s="14"/>
      <c r="DJ180" s="4"/>
      <c r="DL180" s="4"/>
      <c r="DM180" s="234"/>
      <c r="DN180" s="4"/>
      <c r="DO180" s="4"/>
      <c r="DP180" s="4"/>
      <c r="DQ180" s="4"/>
      <c r="DR180" s="4"/>
      <c r="DS180" s="4"/>
      <c r="DT180" s="4"/>
      <c r="DU180" s="8"/>
      <c r="DV180" s="4"/>
      <c r="DW180" s="8"/>
      <c r="DX180" s="4"/>
      <c r="DY180" s="4"/>
      <c r="DZ180" s="7"/>
      <c r="EA180" s="4"/>
      <c r="EB180" s="4"/>
      <c r="EC180" s="4"/>
      <c r="ED180" s="4"/>
      <c r="EE180" s="4"/>
      <c r="EF180" s="4"/>
      <c r="EG180" s="4"/>
      <c r="EH180" s="4"/>
      <c r="EI180" s="4"/>
      <c r="EJ180" s="4"/>
      <c r="EK180" s="4"/>
      <c r="EL180" s="4"/>
      <c r="FI180" s="9"/>
      <c r="FJ180" s="10"/>
      <c r="FQ180" s="10"/>
      <c r="FR180" s="9"/>
      <c r="FX180" s="4"/>
      <c r="GE180" s="9"/>
      <c r="IJ180" s="4"/>
      <c r="IK180" s="4"/>
      <c r="IL180" s="9"/>
      <c r="IN180" s="4" t="s">
        <v>1359</v>
      </c>
      <c r="IO180" t="s">
        <v>1032</v>
      </c>
      <c r="IP180" t="s">
        <v>259</v>
      </c>
      <c r="IS180" s="4">
        <v>181.67</v>
      </c>
      <c r="IT180" s="14">
        <f>SUM(IJ180-DP180-IR180)</f>
        <v>0</v>
      </c>
      <c r="IU180" s="27">
        <v>43643</v>
      </c>
      <c r="IV180" s="9">
        <v>43452</v>
      </c>
      <c r="IW180" s="27">
        <v>43699</v>
      </c>
      <c r="IX180" s="27">
        <v>43711</v>
      </c>
    </row>
    <row r="181" spans="1:263" ht="15" customHeight="1">
      <c r="A181" s="2">
        <v>102019029</v>
      </c>
      <c r="B181" s="4" t="s">
        <v>1341</v>
      </c>
      <c r="C181" s="4"/>
      <c r="D181" s="3"/>
      <c r="E181" s="2"/>
      <c r="F181" s="2"/>
      <c r="G181" s="2"/>
      <c r="H181" s="2"/>
      <c r="J181" t="s">
        <v>311</v>
      </c>
      <c r="K181" t="s">
        <v>1342</v>
      </c>
      <c r="L181" t="s">
        <v>577</v>
      </c>
      <c r="M181" t="s">
        <v>448</v>
      </c>
      <c r="N181" t="s">
        <v>445</v>
      </c>
      <c r="O181" s="1"/>
      <c r="T181" s="1"/>
      <c r="X181" s="18"/>
      <c r="Y181" s="18"/>
      <c r="Z181" s="18"/>
      <c r="AA181" s="18"/>
      <c r="AB181" s="18"/>
      <c r="AC181" s="18"/>
      <c r="AD181" s="18"/>
      <c r="AE181" s="13"/>
      <c r="AF181" s="18"/>
      <c r="AG181" s="24"/>
      <c r="AH181" s="18"/>
      <c r="AI181" s="18"/>
      <c r="AJ181" s="14"/>
      <c r="AK181" s="14"/>
      <c r="AL181" s="14"/>
      <c r="AM181" s="63"/>
      <c r="AN181" s="24"/>
      <c r="AO181" s="18"/>
      <c r="AP181" s="13"/>
      <c r="AQ181" s="24"/>
      <c r="AR181" s="63"/>
      <c r="AS181" s="20"/>
      <c r="AT181" s="13"/>
      <c r="AU181" s="13"/>
      <c r="AV181" s="13"/>
      <c r="AW181" s="13"/>
      <c r="AX181" s="21"/>
      <c r="AY181" s="21"/>
      <c r="AZ181" s="21"/>
      <c r="BA181" s="21"/>
      <c r="BB181" s="13"/>
      <c r="BC181" s="21"/>
      <c r="BD181" s="21"/>
      <c r="BE181" s="21"/>
      <c r="BF181" s="21"/>
      <c r="BG181" s="20"/>
      <c r="BH181" s="22"/>
      <c r="BI181" s="22"/>
      <c r="BJ181" s="14"/>
      <c r="BK181" s="14"/>
      <c r="BL181" s="14"/>
      <c r="BM181" s="17"/>
      <c r="BN181" s="23"/>
      <c r="BO181" s="14"/>
      <c r="BP181" s="18"/>
      <c r="BQ181" s="14"/>
      <c r="BR181" s="14"/>
      <c r="BS181" s="17"/>
      <c r="BT181" s="23"/>
      <c r="BU181" s="14"/>
      <c r="BV181" s="14"/>
      <c r="BW181" s="14"/>
      <c r="BX181" s="14"/>
      <c r="BY181" s="17"/>
      <c r="BZ181" s="23"/>
      <c r="CA181" s="14"/>
      <c r="CB181" s="14"/>
      <c r="CC181" s="14"/>
      <c r="CD181" s="14"/>
      <c r="CE181" s="17"/>
      <c r="CF181" s="7"/>
      <c r="CG181" s="14"/>
      <c r="CH181" s="14"/>
      <c r="CI181" s="14"/>
      <c r="CJ181" s="14"/>
      <c r="CK181" s="17"/>
      <c r="CL181" s="23"/>
      <c r="CM181" s="14"/>
      <c r="CN181" s="14"/>
      <c r="CO181" s="14"/>
      <c r="CP181" s="14"/>
      <c r="CQ181" s="17"/>
      <c r="CR181" s="7"/>
      <c r="CS181" s="14"/>
      <c r="CT181" s="14"/>
      <c r="CU181" s="14"/>
      <c r="CV181" s="14"/>
      <c r="CW181" s="17"/>
      <c r="CX181" s="23"/>
      <c r="CY181" s="14"/>
      <c r="CZ181" s="14"/>
      <c r="DA181" s="14"/>
      <c r="DB181" s="14"/>
      <c r="DC181" s="17"/>
      <c r="DD181" s="7"/>
      <c r="DE181" s="14"/>
      <c r="DF181" s="4"/>
      <c r="DG181" s="4"/>
      <c r="DH181" s="14"/>
      <c r="DI181" s="14"/>
      <c r="DJ181" s="14"/>
      <c r="DK181" s="24"/>
      <c r="DL181" s="14"/>
      <c r="DM181" s="234"/>
      <c r="DN181" s="14"/>
      <c r="DO181" s="14"/>
      <c r="DP181" s="4"/>
      <c r="DQ181" s="14"/>
      <c r="DR181" s="14"/>
      <c r="DS181" s="14"/>
      <c r="DT181" s="14"/>
      <c r="DU181" s="25"/>
      <c r="DV181" s="14"/>
      <c r="DW181" s="25"/>
      <c r="DX181" s="14"/>
      <c r="DY181" s="14"/>
      <c r="DZ181" s="23"/>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27"/>
      <c r="FJ181" s="28"/>
      <c r="FK181" s="18"/>
      <c r="FL181" s="18"/>
      <c r="FM181" s="18"/>
      <c r="FN181" s="18"/>
      <c r="FO181" s="18"/>
      <c r="FP181" s="18"/>
      <c r="FQ181" s="28"/>
      <c r="FR181" s="27"/>
      <c r="FS181" s="18"/>
      <c r="FT181" s="18"/>
      <c r="FU181" s="18"/>
      <c r="FV181" s="18"/>
      <c r="FW181" s="18"/>
      <c r="FX181" s="14"/>
      <c r="FY181" s="18"/>
      <c r="FZ181" s="18"/>
      <c r="GA181" s="18"/>
      <c r="GB181" s="18"/>
      <c r="GC181" s="18"/>
      <c r="GD181" s="18"/>
      <c r="GE181" s="27"/>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27"/>
      <c r="IJ181" s="4"/>
      <c r="IK181" s="4"/>
      <c r="IL181" s="9"/>
      <c r="IN181" s="18" t="s">
        <v>1410</v>
      </c>
      <c r="IO181" s="18" t="s">
        <v>846</v>
      </c>
      <c r="IP181" s="18" t="s">
        <v>386</v>
      </c>
      <c r="IS181" s="4">
        <v>33</v>
      </c>
      <c r="IT181" s="14">
        <f>SUM(IJ181-DP181-IR181)</f>
        <v>0</v>
      </c>
      <c r="IU181" s="27">
        <v>43643</v>
      </c>
      <c r="IV181" s="9">
        <v>43661</v>
      </c>
      <c r="IW181" s="27">
        <v>43699</v>
      </c>
      <c r="IX181" s="27">
        <v>43711</v>
      </c>
    </row>
    <row r="182" spans="1:263" ht="15" customHeight="1">
      <c r="A182" s="2">
        <v>102024046</v>
      </c>
      <c r="B182" t="s">
        <v>5087</v>
      </c>
      <c r="D182" s="1"/>
      <c r="E182" s="3"/>
      <c r="G182" s="3"/>
      <c r="J182" t="s">
        <v>253</v>
      </c>
      <c r="K182" t="s">
        <v>5167</v>
      </c>
      <c r="L182" t="s">
        <v>1029</v>
      </c>
      <c r="M182" t="s">
        <v>426</v>
      </c>
      <c r="O182" s="3"/>
      <c r="AG182" s="43"/>
      <c r="AJ182" t="s">
        <v>328</v>
      </c>
      <c r="AK182" s="1"/>
      <c r="AL182" t="s">
        <v>600</v>
      </c>
      <c r="AM182"/>
      <c r="AN182"/>
      <c r="AO182" t="s">
        <v>5169</v>
      </c>
      <c r="AP182" s="1" t="s">
        <v>258</v>
      </c>
      <c r="AQ182" t="s">
        <v>279</v>
      </c>
      <c r="AR182" t="s">
        <v>260</v>
      </c>
      <c r="AS182" s="10"/>
      <c r="AT182" s="10"/>
      <c r="AU182" s="10"/>
      <c r="AV182" s="10"/>
      <c r="AW182" s="10"/>
      <c r="AX182" s="1"/>
      <c r="AY182" s="1"/>
      <c r="AZ182" s="1"/>
      <c r="BA182" s="1"/>
      <c r="BB182" s="1"/>
      <c r="BC182" s="2"/>
      <c r="BD182" s="115">
        <v>45382</v>
      </c>
      <c r="BE182" s="115"/>
      <c r="BF182" s="2"/>
      <c r="BG182" s="2"/>
      <c r="BH182" s="2"/>
      <c r="BI182" s="2"/>
      <c r="BJ182" s="2"/>
      <c r="BK182" s="2"/>
      <c r="BL182" s="20">
        <f ca="1">SUM(EB182)+220</f>
        <v>663.468975</v>
      </c>
      <c r="BM182" s="22">
        <f ca="1">PMT(10%/12,12,BL182,0,0)</f>
        <v>-58.329463586710055</v>
      </c>
      <c r="BN182" s="22">
        <f ca="1">SUM(BM182*-1)</f>
        <v>58.329463586710055</v>
      </c>
      <c r="BO182" s="14">
        <f>SUM(EJ182*0.0052)/12</f>
        <v>13.26</v>
      </c>
      <c r="BP182" s="22">
        <f ca="1">SUM(BN182+BO182)</f>
        <v>71.589463586710053</v>
      </c>
      <c r="BQ182" s="14"/>
      <c r="BR182" s="14">
        <f>SUM(BQ182*0.1)</f>
        <v>0</v>
      </c>
      <c r="BS182" s="14">
        <f ca="1">SUM(BT182*BU182)</f>
        <v>0</v>
      </c>
      <c r="BT182" s="17">
        <f>SUM((BQ182+BR182)*0.00833333333333333)</f>
        <v>0</v>
      </c>
      <c r="BU182" s="23">
        <f ca="1">MONTH(TODAY())+61</f>
        <v>65</v>
      </c>
      <c r="BV182" s="14">
        <f ca="1">SUM(BQ182,BR182,BS182)</f>
        <v>0</v>
      </c>
      <c r="BW182" s="14"/>
      <c r="BX182" s="14">
        <f>SUM(BW182*0.1)</f>
        <v>0</v>
      </c>
      <c r="BY182" s="14">
        <f ca="1">SUM(BZ182*CA182)</f>
        <v>0</v>
      </c>
      <c r="BZ182" s="17">
        <f>SUM((BW182+BX182)*0.00833333333333333)</f>
        <v>0</v>
      </c>
      <c r="CA182" s="23">
        <f ca="1">MONTH(TODAY())+49</f>
        <v>53</v>
      </c>
      <c r="CB182" s="14">
        <f ca="1">SUM(BW182,BX182,BY182)</f>
        <v>0</v>
      </c>
      <c r="CC182" s="14">
        <v>0</v>
      </c>
      <c r="CD182" s="14">
        <f>SUM(CC182*0.1)</f>
        <v>0</v>
      </c>
      <c r="CE182" s="14">
        <f ca="1">SUM(CF182*CG182)</f>
        <v>0</v>
      </c>
      <c r="CF182" s="17">
        <f>SUM((CC182+CD182)*0.00833333333333333)</f>
        <v>0</v>
      </c>
      <c r="CG182" s="23">
        <f ca="1">MONTH(TODAY())+37</f>
        <v>41</v>
      </c>
      <c r="CH182" s="14">
        <f ca="1">SUM(CC182,CD182,CE182)</f>
        <v>0</v>
      </c>
      <c r="CI182" s="14">
        <f>SUM(EG182*0.0052)-141.09</f>
        <v>8.6699999999999875</v>
      </c>
      <c r="CJ182" s="14">
        <f>SUM(CI182*0.1)</f>
        <v>0.86699999999999877</v>
      </c>
      <c r="CK182" s="14">
        <f ca="1">SUM(CL182*CM182)</f>
        <v>2.3047749999999958</v>
      </c>
      <c r="CL182" s="17">
        <f>SUM((CI182+CJ182)*0.00833333333333333)</f>
        <v>7.9474999999999851E-2</v>
      </c>
      <c r="CM182" s="23">
        <f ca="1">MONTH(TODAY())+25</f>
        <v>29</v>
      </c>
      <c r="CN182" s="14">
        <f ca="1">SUM(CI182,CJ182,CK182)</f>
        <v>11.841774999999982</v>
      </c>
      <c r="CO182" s="14">
        <f>SUM(EG182*0.0052)/2</f>
        <v>74.88</v>
      </c>
      <c r="CP182" s="14">
        <f>SUM(CO182*0.1)</f>
        <v>7.4879999999999995</v>
      </c>
      <c r="CQ182" s="14">
        <f ca="1">SUM(CR182*CS182)</f>
        <v>14.414399999999993</v>
      </c>
      <c r="CR182" s="17">
        <f>SUM((CO182+CP182)*0.00833333333333333)</f>
        <v>0.68639999999999968</v>
      </c>
      <c r="CS182" s="23">
        <f ca="1">MONTH(TODAY())+17</f>
        <v>21</v>
      </c>
      <c r="CT182" s="23">
        <f ca="1">SUM(CO182,CP182,CQ182)</f>
        <v>96.782399999999996</v>
      </c>
      <c r="CU182" s="14">
        <f>SUM(EG182*0.0052)/2</f>
        <v>74.88</v>
      </c>
      <c r="CV182" s="14">
        <f>SUM(CU182*0.1)</f>
        <v>7.4879999999999995</v>
      </c>
      <c r="CW182" s="14">
        <f ca="1">SUM(CX182*CY182)</f>
        <v>11.668799999999994</v>
      </c>
      <c r="CX182" s="17">
        <f>SUM((CU182+CV182)*0.00833333333333333)</f>
        <v>0.68639999999999968</v>
      </c>
      <c r="CY182" s="23">
        <f ca="1">MONTH(TODAY())+13</f>
        <v>17</v>
      </c>
      <c r="CZ182" s="23">
        <f ca="1">SUM(CU182,CV182,CW182)</f>
        <v>94.036799999999985</v>
      </c>
      <c r="DA182" s="14">
        <f>SUM(EJ182*0.0045)/2</f>
        <v>68.849999999999994</v>
      </c>
      <c r="DB182" s="14">
        <f>SUM(DA182*0.1)</f>
        <v>6.8849999999999998</v>
      </c>
      <c r="DC182" s="14">
        <f ca="1">SUM(DD182*DE182)</f>
        <v>6.9423749999999966</v>
      </c>
      <c r="DD182" s="17">
        <f>SUM((DA182+DB182)*0.00833333333333333)</f>
        <v>0.63112499999999971</v>
      </c>
      <c r="DE182" s="23">
        <f ca="1">MONTH(TODAY())+7</f>
        <v>11</v>
      </c>
      <c r="DF182" s="23">
        <f ca="1">SUM(DA182,DB182,DC182)</f>
        <v>82.677374999999998</v>
      </c>
      <c r="DG182" s="14">
        <f>SUM(EJ182*0.0045)/2</f>
        <v>68.849999999999994</v>
      </c>
      <c r="DH182" s="14">
        <f>SUM(DG182*0.1)</f>
        <v>6.8849999999999998</v>
      </c>
      <c r="DI182" s="14">
        <f ca="1">SUM(DJ182*DK182)</f>
        <v>3.1556249999999988</v>
      </c>
      <c r="DJ182" s="17">
        <f>SUM((DG182+DH182)*0.00833333333333333)</f>
        <v>0.63112499999999971</v>
      </c>
      <c r="DK182" s="23">
        <f ca="1">MONTH(TODAY())+1</f>
        <v>5</v>
      </c>
      <c r="DL182" s="14">
        <f ca="1">SUM(DG182,DH182,DI182)</f>
        <v>78.890625</v>
      </c>
      <c r="DM182" s="14">
        <f>SUM( BQ182, BW182, CC182, CI182, CO182,CU182,DA182,DG182)</f>
        <v>296.13</v>
      </c>
      <c r="DN182" s="14">
        <f>SUM(BR182,BX182,CD182,CJ182, CP182,CV182,DB182,DH182)</f>
        <v>29.613</v>
      </c>
      <c r="DO182" s="14">
        <f ca="1">SUM(BS182,BY182,CE182,CK182, CQ182,CW182,DC182,DI182)</f>
        <v>38.485974999999982</v>
      </c>
      <c r="DP182" s="25">
        <f ca="1">SUM(DM182:DO182)</f>
        <v>364.22897499999999</v>
      </c>
      <c r="DQ182" s="47">
        <f ca="1">SUM(DP182/EG182)</f>
        <v>1.2646839409722221E-2</v>
      </c>
      <c r="DR182" s="14">
        <f>40+10</f>
        <v>50</v>
      </c>
      <c r="DS182" s="32">
        <f>COUNTIF(AO182, "*")+COUNTIF(AJ182, "*")+COUNTIF(AA182, "*")+COUNTIF(EU182, "*")+COUNTIF(FA182, "*")+COUNTIF(FG182, "*")+COUNTIF(FK182, "*")+COUNTIF(FR182, "*")+COUNTIF(AT182, "*")+COUNTIF(GA182, "*")+COUNTIF(GL182, "*")+COUNTIF(GW182, "*")+COUNTIF(HE182, "*")+COUNTIF(HM182, "*")+COUNTIF(HU182, "*")</f>
        <v>2</v>
      </c>
      <c r="DT182" s="14">
        <f>DS182*0.64</f>
        <v>1.28</v>
      </c>
      <c r="DU182" s="4"/>
      <c r="DV182" s="4">
        <v>27.96</v>
      </c>
      <c r="DW182" s="4"/>
      <c r="DX182" s="4"/>
      <c r="DZ182" s="4"/>
      <c r="EA182" s="14">
        <f>SUM(DV182:DZ182)</f>
        <v>27.96</v>
      </c>
      <c r="EB182" s="14">
        <f ca="1">SUM(DP182,DR182,EA182, DU182, DT182,FX182)</f>
        <v>443.46897499999994</v>
      </c>
      <c r="EC182" s="24" t="s">
        <v>4944</v>
      </c>
      <c r="ED182" s="130">
        <v>0.65</v>
      </c>
      <c r="EE182" s="14">
        <v>28800</v>
      </c>
      <c r="EF182" s="14">
        <v>0</v>
      </c>
      <c r="EG182" s="14">
        <f>SUM(EE182+EF182)</f>
        <v>28800</v>
      </c>
      <c r="EH182" s="14">
        <v>30600</v>
      </c>
      <c r="EI182" s="14">
        <v>0</v>
      </c>
      <c r="EJ182" s="14">
        <f>SUM(EH182+EI182)</f>
        <v>30600</v>
      </c>
      <c r="EK182" s="10"/>
      <c r="EL182" s="10"/>
      <c r="EM182" s="10"/>
      <c r="EN182" s="10"/>
      <c r="EO182" s="10"/>
      <c r="EP182" s="10"/>
      <c r="EQ182" s="10"/>
      <c r="ER182" s="10"/>
      <c r="FX182" s="4"/>
      <c r="HY182" s="9"/>
      <c r="IJ182" s="4"/>
      <c r="IK182" s="4"/>
      <c r="IL182" s="4"/>
      <c r="IM182" s="9"/>
      <c r="IN182" s="9"/>
      <c r="IO182" s="9"/>
      <c r="IP182" s="9"/>
      <c r="IQ182" s="9"/>
    </row>
    <row r="183" spans="1:263" ht="15" customHeight="1">
      <c r="A183">
        <v>102024179</v>
      </c>
      <c r="B183" t="s">
        <v>5583</v>
      </c>
      <c r="C183" s="10"/>
      <c r="D183" s="161"/>
      <c r="E183" s="147" t="s">
        <v>5905</v>
      </c>
      <c r="F183" s="160">
        <v>240003251</v>
      </c>
      <c r="G183" s="147"/>
      <c r="H183" s="10"/>
      <c r="I183" s="10"/>
      <c r="J183" s="10" t="s">
        <v>554</v>
      </c>
      <c r="K183" s="10" t="s">
        <v>1720</v>
      </c>
      <c r="L183" s="10" t="s">
        <v>3270</v>
      </c>
      <c r="M183" s="10" t="s">
        <v>428</v>
      </c>
      <c r="N183" s="10"/>
      <c r="O183" s="147"/>
      <c r="P183" s="10" t="s">
        <v>1720</v>
      </c>
      <c r="Q183" s="10" t="s">
        <v>1029</v>
      </c>
      <c r="R183" s="10" t="s">
        <v>469</v>
      </c>
      <c r="S183" s="10"/>
      <c r="T183" s="10"/>
      <c r="U183" s="10"/>
      <c r="V183" s="10"/>
      <c r="W183" s="10"/>
      <c r="X183" s="10"/>
      <c r="Y183" s="10"/>
      <c r="Z183" s="10"/>
      <c r="AA183" s="10"/>
      <c r="AB183" s="10"/>
      <c r="AC183" s="10"/>
      <c r="AD183" s="10"/>
      <c r="AE183" s="10"/>
      <c r="AF183" s="10"/>
      <c r="AG183" s="141"/>
      <c r="AH183" s="10"/>
      <c r="AI183" s="10"/>
      <c r="AJ183" s="18" t="s">
        <v>328</v>
      </c>
      <c r="AK183" s="1"/>
      <c r="AL183" t="s">
        <v>279</v>
      </c>
      <c r="AM183"/>
      <c r="AN183"/>
      <c r="AO183" t="s">
        <v>5584</v>
      </c>
      <c r="AP183" s="1" t="s">
        <v>258</v>
      </c>
      <c r="AQ183" t="s">
        <v>279</v>
      </c>
      <c r="AR183" t="s">
        <v>260</v>
      </c>
      <c r="AX183" s="1"/>
      <c r="AY183" s="1" t="s">
        <v>258</v>
      </c>
      <c r="AZ183" s="1"/>
      <c r="BA183" s="1"/>
      <c r="BB183" s="1"/>
      <c r="BC183" s="70">
        <v>45476</v>
      </c>
      <c r="BD183" s="115">
        <v>45415</v>
      </c>
      <c r="BE183" s="144">
        <v>45440</v>
      </c>
      <c r="BF183" s="70"/>
      <c r="BG183" s="2"/>
      <c r="BH183" s="70"/>
      <c r="BI183" s="70"/>
      <c r="BJ183" s="70">
        <v>45548</v>
      </c>
      <c r="BK183" s="70" t="s">
        <v>319</v>
      </c>
      <c r="BL183" s="20">
        <f ca="1">SUM(EH183)+220</f>
        <v>1620.2266666666667</v>
      </c>
      <c r="BM183" s="22">
        <f ca="1">PMT(10%/12,12,BL183,0,0)</f>
        <v>-142.44366491372102</v>
      </c>
      <c r="BN183" s="22">
        <f ca="1">SUM(BM183*-1)</f>
        <v>142.44366491372102</v>
      </c>
      <c r="BO183" s="14">
        <f>SUM(EP183*0.0052)/12</f>
        <v>10.4</v>
      </c>
      <c r="BP183" s="22">
        <f ca="1">SUM(BN183+BO183)</f>
        <v>152.84366491372103</v>
      </c>
      <c r="BQ183" s="14"/>
      <c r="BR183" s="14">
        <f>SUM(BQ183*0.1)</f>
        <v>0</v>
      </c>
      <c r="BS183" s="14">
        <f ca="1">SUM(BT183*BU183)</f>
        <v>0</v>
      </c>
      <c r="BT183" s="17">
        <f>SUM((BQ183+BR183)*0.00833333333333333)</f>
        <v>0</v>
      </c>
      <c r="BU183" s="23">
        <f ca="1">MONTH(TODAY())+49</f>
        <v>53</v>
      </c>
      <c r="BV183" s="14">
        <f ca="1">SUM(BQ183,BR183,BS183)</f>
        <v>0</v>
      </c>
      <c r="BW183" s="14">
        <v>0</v>
      </c>
      <c r="BX183" s="14">
        <f>SUM(BW183*0.1)</f>
        <v>0</v>
      </c>
      <c r="BY183" s="14">
        <f ca="1">SUM(BZ183*CA183)</f>
        <v>0</v>
      </c>
      <c r="BZ183" s="17">
        <f>SUM((BW183+BX183)*0.00833333333333333)</f>
        <v>0</v>
      </c>
      <c r="CA183" s="23">
        <f ca="1">MONTH(TODAY())+37</f>
        <v>41</v>
      </c>
      <c r="CB183" s="14">
        <f ca="1">SUM(BW183,BX183,BY183)</f>
        <v>0</v>
      </c>
      <c r="CC183" s="14">
        <v>0</v>
      </c>
      <c r="CD183" s="14">
        <f>SUM(CC183*0.1)</f>
        <v>0</v>
      </c>
      <c r="CE183" s="14">
        <f ca="1">SUM(CF183*CG183)</f>
        <v>0</v>
      </c>
      <c r="CF183" s="17">
        <f>SUM((CC183+CD183)*0.00833333333333333)</f>
        <v>0</v>
      </c>
      <c r="CG183" s="23">
        <f ca="1">MONTH(TODAY())+25</f>
        <v>29</v>
      </c>
      <c r="CH183" s="14">
        <f ca="1">SUM(CC183,CD183,CE183)</f>
        <v>0</v>
      </c>
      <c r="CI183" s="14">
        <f>SUM(EM183*0.0052)/2</f>
        <v>65</v>
      </c>
      <c r="CJ183" s="14">
        <f>SUM(CI183*0.1)</f>
        <v>6.5</v>
      </c>
      <c r="CK183" s="14">
        <f ca="1">SUM(CL183*CM183)</f>
        <v>12.512499999999996</v>
      </c>
      <c r="CL183" s="17">
        <f>SUM((CI183+CJ183)*0.00833333333333333)</f>
        <v>0.5958333333333331</v>
      </c>
      <c r="CM183" s="23">
        <f ca="1">MONTH(TODAY())+17</f>
        <v>21</v>
      </c>
      <c r="CN183" s="23">
        <f ca="1">SUM(CI183,CJ183,CK183)</f>
        <v>84.012499999999989</v>
      </c>
      <c r="CO183" s="14">
        <f>SUM(EM183*0.0052)/2</f>
        <v>65</v>
      </c>
      <c r="CP183" s="14">
        <f>SUM(CO183*0.1)</f>
        <v>6.5</v>
      </c>
      <c r="CQ183" s="14">
        <f ca="1">SUM(CR183*CS183)</f>
        <v>10.129166666666663</v>
      </c>
      <c r="CR183" s="17">
        <f>SUM((CO183+CP183)*0.00833333333333333)</f>
        <v>0.5958333333333331</v>
      </c>
      <c r="CS183" s="23">
        <f ca="1">MONTH(TODAY())+13</f>
        <v>17</v>
      </c>
      <c r="CT183" s="14">
        <f ca="1">SUM(CO183,CP183,CQ183)</f>
        <v>81.629166666666663</v>
      </c>
      <c r="CU183" s="14">
        <f>SUM(EP183*0.0045)/2</f>
        <v>53.999999999999993</v>
      </c>
      <c r="CV183" s="14">
        <f>SUM(CU183*0.1)</f>
        <v>5.3999999999999995</v>
      </c>
      <c r="CW183" s="14">
        <f ca="1">SUM(CX183*CY183)</f>
        <v>5.4449999999999967</v>
      </c>
      <c r="CX183" s="17">
        <f>SUM((CU183+CV183)*0.00833333333333333)</f>
        <v>0.49499999999999972</v>
      </c>
      <c r="CY183" s="23">
        <f ca="1">MONTH(TODAY())+7</f>
        <v>11</v>
      </c>
      <c r="CZ183" s="14">
        <f ca="1">SUM(CU183,CV183,CW183)</f>
        <v>64.844999999999985</v>
      </c>
      <c r="DA183" s="14">
        <f>SUM(EP183*0.0045)/2</f>
        <v>53.999999999999993</v>
      </c>
      <c r="DB183" s="14">
        <f>SUM(DA183*0.1)</f>
        <v>5.3999999999999995</v>
      </c>
      <c r="DC183" s="14">
        <f ca="1">SUM(DD183*DE183)</f>
        <v>2.4749999999999988</v>
      </c>
      <c r="DD183" s="17">
        <f>SUM((DA183+DB183)*0.00833333333333333)</f>
        <v>0.49499999999999972</v>
      </c>
      <c r="DE183" s="23">
        <f ca="1">MONTH(TODAY())+1</f>
        <v>5</v>
      </c>
      <c r="DF183" s="14">
        <f ca="1">SUM(DA183,DB183,DC183)</f>
        <v>61.874999999999993</v>
      </c>
      <c r="DG183" s="14">
        <f>SUM(EP183*0.0045)/2</f>
        <v>53.999999999999993</v>
      </c>
      <c r="DH183" s="14">
        <f>SUM(DG183*0.1)</f>
        <v>5.3999999999999995</v>
      </c>
      <c r="DI183" s="14">
        <f ca="1">SUM(DJ183*DK183)</f>
        <v>-1.4849999999999992</v>
      </c>
      <c r="DJ183" s="17">
        <f>SUM((DG183+DH183)*0.00833333333333333)</f>
        <v>0.49499999999999972</v>
      </c>
      <c r="DK183" s="23">
        <f ca="1">MONTH(TODAY())-7</f>
        <v>-3</v>
      </c>
      <c r="DL183" s="14">
        <f ca="1">SUM(DG183,DH183,DI183)</f>
        <v>57.914999999999992</v>
      </c>
      <c r="DM183" s="14">
        <f>0</f>
        <v>0</v>
      </c>
      <c r="DN183" s="14">
        <f>0</f>
        <v>0</v>
      </c>
      <c r="DO183" s="14">
        <f ca="1">SUM(DP183*DQ183)</f>
        <v>0</v>
      </c>
      <c r="DP183" s="17">
        <f>SUM((DM183+DN183)*0.00833333333333333)</f>
        <v>0</v>
      </c>
      <c r="DQ183" s="23">
        <f ca="1">MONTH(TODAY())+1</f>
        <v>5</v>
      </c>
      <c r="DR183" s="14">
        <f ca="1">SUM(DM183,DN183,DO183)</f>
        <v>0</v>
      </c>
      <c r="DS183" s="14">
        <f>SUM(BQ183, BW183, CC183, CI183,CO183,CU183,DA183,DG183,DM183)</f>
        <v>292</v>
      </c>
      <c r="DT183" s="14">
        <f>SUM(BR183,BX183,CD183, CJ183,CP183,CV183,DB183,DH183,DN183)</f>
        <v>29.199999999999996</v>
      </c>
      <c r="DU183" s="14">
        <f ca="1">SUM(BS183,BY183,CE183, CK183,CQ183,CW183,DC183,DI183,DO183)</f>
        <v>29.076666666666654</v>
      </c>
      <c r="DV183" s="25">
        <f ca="1">SUM(DS183:DU183)</f>
        <v>350.27666666666664</v>
      </c>
      <c r="DW183" s="47">
        <f ca="1">SUM(DV183/EN183)</f>
        <v>1.4594861111111111E-2</v>
      </c>
      <c r="DX183" s="14">
        <f>20+10+200+200+40+40+40+40</f>
        <v>590</v>
      </c>
      <c r="DY183" s="32">
        <f>COUNTIF(AO183, "*")+COUNTIF(AJ183, "*")+COUNTIF(AA183, "*")+COUNTIF(FA183, "*")+COUNTIF(FG183, "*")+COUNTIF(FM183, "*")+COUNTIF(FQ183, "*")+COUNTIF(FX183, "*")+COUNTIF(AS183, "*")+COUNTIF(GG183, "*")+COUNTIF(GR183, "*")+COUNTIF(HC183, "*")+COUNTIF(HK183, "*")+COUNTIF(HS183, "*")+COUNTIF(IA183, "*")</f>
        <v>4</v>
      </c>
      <c r="DZ183" s="14">
        <f>1.28+DY183*8</f>
        <v>33.28</v>
      </c>
      <c r="EA183" s="4">
        <v>26.67</v>
      </c>
      <c r="EB183" s="25">
        <v>150</v>
      </c>
      <c r="EC183" s="4"/>
      <c r="ED183" s="4"/>
      <c r="EE183" s="4"/>
      <c r="EF183" s="4">
        <v>100</v>
      </c>
      <c r="EG183" s="14">
        <f>SUM(EA183:EF183)</f>
        <v>276.67</v>
      </c>
      <c r="EH183" s="14">
        <f ca="1">SUM(DV183,DX183,EG183, EB183, DZ183,GD183)</f>
        <v>1400.2266666666667</v>
      </c>
      <c r="EI183" s="24" t="s">
        <v>4935</v>
      </c>
      <c r="EJ183" s="23">
        <v>0.56000000000000005</v>
      </c>
      <c r="EK183" s="14">
        <v>25000</v>
      </c>
      <c r="EL183" s="14">
        <v>0</v>
      </c>
      <c r="EM183" s="4">
        <f>SUM(EK183+EL183)</f>
        <v>25000</v>
      </c>
      <c r="EN183" s="14">
        <v>24000</v>
      </c>
      <c r="EO183" s="14">
        <v>0</v>
      </c>
      <c r="EP183" s="4">
        <f>SUM(EN183+EO183)</f>
        <v>24000</v>
      </c>
      <c r="EQ183" s="10" t="s">
        <v>5775</v>
      </c>
      <c r="ER183" s="10" t="s">
        <v>5777</v>
      </c>
      <c r="ES183" s="10" t="s">
        <v>5779</v>
      </c>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t="s">
        <v>3990</v>
      </c>
      <c r="FQ183" s="10" t="s">
        <v>4553</v>
      </c>
      <c r="FR183" s="147"/>
      <c r="FS183" s="10" t="s">
        <v>3476</v>
      </c>
      <c r="FT183" s="10" t="s">
        <v>496</v>
      </c>
      <c r="FU183" s="9">
        <v>44798</v>
      </c>
      <c r="FV183" s="10" t="s">
        <v>5776</v>
      </c>
      <c r="FW183" s="10" t="s">
        <v>3990</v>
      </c>
      <c r="FX183" s="10" t="s">
        <v>4553</v>
      </c>
      <c r="FY183" s="147"/>
      <c r="FZ183" s="10" t="s">
        <v>3476</v>
      </c>
      <c r="GA183" s="10" t="s">
        <v>496</v>
      </c>
      <c r="GB183" s="9">
        <v>45319</v>
      </c>
      <c r="GC183" s="10" t="s">
        <v>5778</v>
      </c>
      <c r="GD183" s="10"/>
      <c r="GE183" s="10"/>
      <c r="GF183" s="10"/>
      <c r="GG183" s="10"/>
      <c r="GH183" s="10"/>
      <c r="GI183" s="10"/>
      <c r="GJ183" s="10"/>
      <c r="GK183" s="9"/>
      <c r="GL183" s="10"/>
      <c r="GM183" s="10"/>
      <c r="GN183" s="10"/>
      <c r="GO183" s="10"/>
      <c r="GP183" s="10"/>
      <c r="GQ183" s="10"/>
      <c r="GR183" s="10"/>
      <c r="GS183" s="10"/>
      <c r="GT183" s="10"/>
      <c r="GU183" s="10"/>
      <c r="GV183" s="9"/>
      <c r="GW183" s="10"/>
      <c r="GX183" s="10"/>
      <c r="GY183" s="10"/>
      <c r="GZ183" s="10"/>
      <c r="HA183" s="10"/>
      <c r="HB183" s="10"/>
      <c r="HC183" s="10"/>
      <c r="HD183" s="10"/>
      <c r="HE183" s="10"/>
      <c r="HF183" s="10"/>
      <c r="HG183" s="9"/>
      <c r="HH183" s="10"/>
      <c r="HI183" s="10"/>
      <c r="HJ183" s="10"/>
      <c r="HK183" s="10"/>
      <c r="HL183" s="10"/>
      <c r="HM183" s="10"/>
      <c r="HN183" s="10"/>
      <c r="HO183" s="9"/>
      <c r="HP183" s="10"/>
      <c r="HQ183" s="10"/>
      <c r="HR183" s="10"/>
      <c r="HS183" s="10"/>
      <c r="HT183" s="10"/>
      <c r="HU183" s="10"/>
      <c r="HV183" s="10"/>
      <c r="HW183" s="9"/>
      <c r="HX183" s="10"/>
      <c r="HY183" s="10"/>
      <c r="HZ183" s="10"/>
      <c r="IA183" s="10"/>
      <c r="IB183" s="10"/>
      <c r="IC183" s="10"/>
      <c r="ID183" s="10"/>
      <c r="IE183" s="9"/>
      <c r="IF183" s="4"/>
      <c r="IG183" s="4"/>
      <c r="IH183" s="10"/>
      <c r="II183" s="10"/>
      <c r="IJ183" s="10"/>
      <c r="IK183" s="10"/>
      <c r="IL183" s="4"/>
      <c r="IM183" s="4"/>
      <c r="IN183" s="4"/>
      <c r="IO183" s="4"/>
      <c r="IP183" s="4"/>
      <c r="IQ183" s="9"/>
      <c r="IR183" s="9"/>
      <c r="IS183" s="9"/>
      <c r="IT183" s="9"/>
      <c r="IU183" s="9"/>
      <c r="IV183" t="s">
        <v>5913</v>
      </c>
    </row>
    <row r="184" spans="1:263" ht="15" customHeight="1">
      <c r="A184" s="2">
        <v>102018031</v>
      </c>
      <c r="B184" s="4" t="s">
        <v>1136</v>
      </c>
      <c r="J184" t="s">
        <v>311</v>
      </c>
      <c r="K184" t="s">
        <v>1125</v>
      </c>
      <c r="L184" t="s">
        <v>1137</v>
      </c>
      <c r="M184" t="s">
        <v>392</v>
      </c>
      <c r="O184" s="1" t="s">
        <v>258</v>
      </c>
      <c r="P184" t="s">
        <v>1138</v>
      </c>
      <c r="Q184" t="s">
        <v>392</v>
      </c>
      <c r="R184" t="s">
        <v>1139</v>
      </c>
      <c r="T184" s="1"/>
      <c r="AJ184" s="4"/>
      <c r="AK184" s="4"/>
      <c r="AN184" s="34"/>
      <c r="AO184" s="4"/>
      <c r="AP184" s="5"/>
      <c r="AQ184" s="34"/>
      <c r="AS184" s="1"/>
      <c r="AT184" s="1"/>
      <c r="AU184" s="29"/>
      <c r="AV184" s="1"/>
      <c r="AW184" s="1"/>
      <c r="AX184" s="1"/>
      <c r="AY184" s="1"/>
      <c r="AZ184" s="1"/>
      <c r="BA184" s="1"/>
      <c r="BB184" s="1"/>
      <c r="BC184" s="1"/>
      <c r="BD184" s="1"/>
      <c r="BE184" s="1"/>
      <c r="BF184" s="1"/>
      <c r="BG184" s="5"/>
      <c r="BH184" s="16"/>
      <c r="BI184" s="16"/>
      <c r="BK184" s="4"/>
      <c r="BL184" s="4"/>
      <c r="BM184" s="6"/>
      <c r="BN184" s="7"/>
      <c r="BO184" s="4"/>
      <c r="BP184" s="6"/>
      <c r="BQ184" s="4"/>
      <c r="BR184" s="4"/>
      <c r="BS184" s="6"/>
      <c r="BT184" s="7"/>
      <c r="BU184" s="4"/>
      <c r="BV184" s="4"/>
      <c r="BW184" s="4"/>
      <c r="BX184" s="4"/>
      <c r="BY184" s="6"/>
      <c r="BZ184" s="7"/>
      <c r="CA184" s="4"/>
      <c r="CB184" s="4"/>
      <c r="CC184" s="4"/>
      <c r="CD184" s="4"/>
      <c r="CE184" s="6"/>
      <c r="CF184" s="7"/>
      <c r="CG184" s="4"/>
      <c r="CH184" s="4"/>
      <c r="CI184" s="4"/>
      <c r="CJ184" s="4"/>
      <c r="CK184" s="6"/>
      <c r="CL184" s="7"/>
      <c r="CM184" s="4"/>
      <c r="CN184" s="4"/>
      <c r="CO184" s="4"/>
      <c r="CP184" s="4"/>
      <c r="CQ184" s="6"/>
      <c r="CR184" s="7"/>
      <c r="CS184" s="4"/>
      <c r="CT184" s="4"/>
      <c r="CU184" s="4"/>
      <c r="CV184" s="4"/>
      <c r="CW184" s="6"/>
      <c r="CX184" s="7"/>
      <c r="CY184" s="4"/>
      <c r="CZ184" s="4"/>
      <c r="DA184" s="4"/>
      <c r="DB184" s="4"/>
      <c r="DC184" s="6"/>
      <c r="DD184" s="7"/>
      <c r="DE184" s="4"/>
      <c r="DF184" s="4"/>
      <c r="DG184" s="14"/>
      <c r="DH184" s="14"/>
      <c r="DI184" s="4"/>
      <c r="DK184" s="4"/>
      <c r="DL184" s="4"/>
      <c r="DM184" s="4"/>
      <c r="DN184" s="4"/>
      <c r="DO184" s="7"/>
      <c r="DP184" s="7"/>
      <c r="DQ184" s="4"/>
      <c r="DR184" s="4"/>
      <c r="DS184" s="4"/>
      <c r="DT184" s="4"/>
      <c r="DU184" s="4"/>
      <c r="DV184" s="4"/>
      <c r="DW184" s="4"/>
      <c r="ED184" s="11"/>
      <c r="EJ184" s="11"/>
      <c r="EK184" s="4"/>
      <c r="EL184" s="4"/>
      <c r="EM184" s="4"/>
      <c r="EN184" s="4"/>
      <c r="EO184" s="4"/>
      <c r="EP184" s="4"/>
      <c r="EQ184" s="4"/>
      <c r="ER184" s="4"/>
      <c r="ES184" s="4"/>
      <c r="ET184" s="4"/>
      <c r="EU184" s="4"/>
      <c r="EV184" s="4"/>
      <c r="EW184" s="4"/>
      <c r="EX184" s="4"/>
      <c r="EY184" s="4"/>
      <c r="EZ184" s="4"/>
      <c r="FF184" s="9"/>
      <c r="FO184" s="9"/>
      <c r="FW184" s="10"/>
      <c r="GG184" s="10"/>
      <c r="GV184" s="9"/>
      <c r="IJ184" s="4"/>
      <c r="IL184" s="9"/>
      <c r="IN184" s="4" t="s">
        <v>1172</v>
      </c>
      <c r="IO184" t="s">
        <v>1173</v>
      </c>
      <c r="IP184" t="s">
        <v>438</v>
      </c>
      <c r="IS184" s="4">
        <v>48.17</v>
      </c>
      <c r="IT184" s="4"/>
      <c r="IU184" s="27">
        <v>43643</v>
      </c>
    </row>
    <row r="185" spans="1:263" ht="15" customHeight="1">
      <c r="A185" s="2">
        <v>102024045</v>
      </c>
      <c r="B185" t="s">
        <v>5086</v>
      </c>
      <c r="D185" s="1"/>
      <c r="E185" s="3"/>
      <c r="G185" s="3"/>
      <c r="J185" t="s">
        <v>253</v>
      </c>
      <c r="K185" t="s">
        <v>5167</v>
      </c>
      <c r="L185" t="s">
        <v>1029</v>
      </c>
      <c r="M185" t="s">
        <v>426</v>
      </c>
      <c r="O185" s="3"/>
      <c r="AG185" s="43"/>
      <c r="AJ185" t="s">
        <v>5203</v>
      </c>
      <c r="AK185" s="1" t="s">
        <v>258</v>
      </c>
      <c r="AL185" t="s">
        <v>600</v>
      </c>
      <c r="AM185" t="s">
        <v>260</v>
      </c>
      <c r="AN185"/>
      <c r="AO185" t="s">
        <v>5169</v>
      </c>
      <c r="AP185" s="1" t="s">
        <v>258</v>
      </c>
      <c r="AQ185" t="s">
        <v>279</v>
      </c>
      <c r="AR185" t="s">
        <v>260</v>
      </c>
      <c r="AS185" s="10"/>
      <c r="AT185" s="10"/>
      <c r="AU185" s="10"/>
      <c r="AV185" s="10"/>
      <c r="AW185" s="10"/>
      <c r="AX185" s="1"/>
      <c r="AY185" s="1"/>
      <c r="AZ185" s="1"/>
      <c r="BA185" s="1"/>
      <c r="BB185" s="1"/>
      <c r="BC185" s="2"/>
      <c r="BD185" s="115">
        <v>45382</v>
      </c>
      <c r="BE185" s="115"/>
      <c r="BF185" s="2"/>
      <c r="BG185" s="2"/>
      <c r="BH185" s="2"/>
      <c r="BI185" s="2"/>
      <c r="BJ185" s="2"/>
      <c r="BK185" s="2"/>
      <c r="BL185" s="20">
        <f ca="1">SUM(EB185)+220</f>
        <v>2154.5135999999998</v>
      </c>
      <c r="BM185" s="22">
        <f ca="1">PMT(10%/12,12,BL185,0,0)</f>
        <v>-189.41597469312197</v>
      </c>
      <c r="BN185" s="22">
        <f ca="1">SUM(BM185*-1)</f>
        <v>189.41597469312197</v>
      </c>
      <c r="BO185" s="14">
        <f>SUM(EJ185*0.0052)/12</f>
        <v>35.49</v>
      </c>
      <c r="BP185" s="22">
        <f ca="1">SUM(BN185+BO185)</f>
        <v>224.90597469312198</v>
      </c>
      <c r="BQ185" s="14"/>
      <c r="BR185" s="14">
        <f>SUM(BQ185*0.1)</f>
        <v>0</v>
      </c>
      <c r="BS185" s="14">
        <f ca="1">SUM(BT185*BU185)</f>
        <v>0</v>
      </c>
      <c r="BT185" s="17">
        <f>SUM((BQ185+BR185)*0.00833333333333333)</f>
        <v>0</v>
      </c>
      <c r="BU185" s="23">
        <f ca="1">MONTH(TODAY())+61</f>
        <v>65</v>
      </c>
      <c r="BV185" s="14">
        <f ca="1">SUM(BQ185,BR185,BS185)</f>
        <v>0</v>
      </c>
      <c r="BW185" s="14"/>
      <c r="BX185" s="14">
        <f>SUM(BW185*0.1)</f>
        <v>0</v>
      </c>
      <c r="BY185" s="14">
        <f ca="1">SUM(BZ185*CA185)</f>
        <v>0</v>
      </c>
      <c r="BZ185" s="17">
        <f>SUM((BW185+BX185)*0.00833333333333333)</f>
        <v>0</v>
      </c>
      <c r="CA185" s="23">
        <f ca="1">MONTH(TODAY())+49</f>
        <v>53</v>
      </c>
      <c r="CB185" s="14">
        <f ca="1">SUM(BW185,BX185,BY185)</f>
        <v>0</v>
      </c>
      <c r="CC185" s="14">
        <v>0</v>
      </c>
      <c r="CD185" s="14">
        <f>SUM(CC185*0.1)</f>
        <v>0</v>
      </c>
      <c r="CE185" s="14">
        <f ca="1">SUM(CF185*CG185)</f>
        <v>0</v>
      </c>
      <c r="CF185" s="17">
        <f>SUM((CC185+CD185)*0.00833333333333333)</f>
        <v>0</v>
      </c>
      <c r="CG185" s="23">
        <f ca="1">MONTH(TODAY())+37</f>
        <v>41</v>
      </c>
      <c r="CH185" s="14">
        <f ca="1">SUM(CC185,CD185,CE185)</f>
        <v>0</v>
      </c>
      <c r="CI185" s="14">
        <f>SUM(EG185*0.0052)</f>
        <v>362.44</v>
      </c>
      <c r="CJ185" s="14">
        <f>SUM(CI185*0.1)</f>
        <v>36.244</v>
      </c>
      <c r="CK185" s="14">
        <f ca="1">SUM(CL185*CM185)</f>
        <v>96.348633333333282</v>
      </c>
      <c r="CL185" s="17">
        <f>SUM((CI185+CJ185)*0.00833333333333333)</f>
        <v>3.3223666666666651</v>
      </c>
      <c r="CM185" s="23">
        <f ca="1">MONTH(TODAY())+25</f>
        <v>29</v>
      </c>
      <c r="CN185" s="14">
        <f ca="1">SUM(CI185,CJ185,CK185)</f>
        <v>495.03263333333325</v>
      </c>
      <c r="CO185" s="14">
        <f>SUM(EG185*0.0052)/2</f>
        <v>181.22</v>
      </c>
      <c r="CP185" s="14">
        <f>SUM(CO185*0.1)</f>
        <v>18.122</v>
      </c>
      <c r="CQ185" s="14">
        <f ca="1">SUM(CR185*CS185)</f>
        <v>34.884849999999986</v>
      </c>
      <c r="CR185" s="17">
        <f>SUM((CO185+CP185)*0.00833333333333333)</f>
        <v>1.6611833333333326</v>
      </c>
      <c r="CS185" s="23">
        <f ca="1">MONTH(TODAY())+17</f>
        <v>21</v>
      </c>
      <c r="CT185" s="23">
        <f ca="1">SUM(CO185,CP185,CQ185)</f>
        <v>234.22684999999996</v>
      </c>
      <c r="CU185" s="14">
        <f>SUM(EG185*0.0052)/2</f>
        <v>181.22</v>
      </c>
      <c r="CV185" s="14">
        <f>SUM(CU185*0.1)</f>
        <v>18.122</v>
      </c>
      <c r="CW185" s="14">
        <f ca="1">SUM(CX185*CY185)</f>
        <v>28.240116666666655</v>
      </c>
      <c r="CX185" s="17">
        <f>SUM((CU185+CV185)*0.00833333333333333)</f>
        <v>1.6611833333333326</v>
      </c>
      <c r="CY185" s="23">
        <f ca="1">MONTH(TODAY())+13</f>
        <v>17</v>
      </c>
      <c r="CZ185" s="23">
        <f ca="1">SUM(CU185,CV185,CW185)</f>
        <v>227.58211666666665</v>
      </c>
      <c r="DA185" s="14">
        <f>SUM(EJ185*0.0045)/2</f>
        <v>184.27499999999998</v>
      </c>
      <c r="DB185" s="14">
        <f>SUM(DA185*0.1)</f>
        <v>18.427499999999998</v>
      </c>
      <c r="DC185" s="14">
        <f ca="1">SUM(DD185*DE185)</f>
        <v>18.581062499999991</v>
      </c>
      <c r="DD185" s="17">
        <f>SUM((DA185+DB185)*0.00833333333333333)</f>
        <v>1.6891874999999992</v>
      </c>
      <c r="DE185" s="23">
        <f ca="1">MONTH(TODAY())+7</f>
        <v>11</v>
      </c>
      <c r="DF185" s="23">
        <f ca="1">SUM(DA185,DB185,DC185)</f>
        <v>221.28356249999999</v>
      </c>
      <c r="DG185" s="14">
        <f>SUM(EJ185*0.0045)/2</f>
        <v>184.27499999999998</v>
      </c>
      <c r="DH185" s="14">
        <f>SUM(DG185*0.1)</f>
        <v>18.427499999999998</v>
      </c>
      <c r="DI185" s="14">
        <f ca="1">SUM(DJ185*DK185)</f>
        <v>8.4459374999999959</v>
      </c>
      <c r="DJ185" s="17">
        <f>SUM((DG185+DH185)*0.00833333333333333)</f>
        <v>1.6891874999999992</v>
      </c>
      <c r="DK185" s="23">
        <f ca="1">MONTH(TODAY())+1</f>
        <v>5</v>
      </c>
      <c r="DL185" s="14">
        <f ca="1">SUM(DG185,DH185,DI185)</f>
        <v>211.14843749999997</v>
      </c>
      <c r="DM185" s="14">
        <f>SUM( BQ185, BW185, CC185, CI185, CO185,CU185,DA185,DG185)</f>
        <v>1093.4299999999998</v>
      </c>
      <c r="DN185" s="14">
        <f>SUM(BR185,BX185,CD185,CJ185, CP185,CV185,DB185,DH185)</f>
        <v>109.34299999999999</v>
      </c>
      <c r="DO185" s="14">
        <f ca="1">SUM(BS185,BY185,CE185,CK185, CQ185,CW185,DC185,DI185)</f>
        <v>186.50059999999991</v>
      </c>
      <c r="DP185" s="25">
        <f ca="1">SUM(DM185:DO185)</f>
        <v>1389.2735999999998</v>
      </c>
      <c r="DQ185" s="47">
        <f ca="1">SUM(DP185/EG185)</f>
        <v>1.9932189383070297E-2</v>
      </c>
      <c r="DR185" s="14">
        <f>40+10+200</f>
        <v>250</v>
      </c>
      <c r="DS185" s="32">
        <f>COUNTIF(AO185, "*")+COUNTIF(AJ185, "*")+COUNTIF(AA185, "*")+COUNTIF(EU185, "*")+COUNTIF(FA185, "*")+COUNTIF(FG185, "*")+COUNTIF(FK185, "*")+COUNTIF(FR185, "*")+COUNTIF(AT185, "*")+COUNTIF(GA185, "*")+COUNTIF(GL185, "*")+COUNTIF(GW185, "*")+COUNTIF(HE185, "*")+COUNTIF(HM185, "*")+COUNTIF(HU185, "*")</f>
        <v>2</v>
      </c>
      <c r="DT185" s="14">
        <f>DS185*0.64+DS185*8</f>
        <v>17.28</v>
      </c>
      <c r="DU185" s="4">
        <v>250</v>
      </c>
      <c r="DV185" s="4">
        <v>27.96</v>
      </c>
      <c r="DW185" s="4"/>
      <c r="DX185" s="4"/>
      <c r="DZ185" s="4"/>
      <c r="EA185" s="14">
        <f>SUM(DV185:DZ185)</f>
        <v>27.96</v>
      </c>
      <c r="EB185" s="14">
        <f ca="1">SUM(DP185,DR185,EA185, DU185, DT185,FX185)</f>
        <v>1934.5135999999998</v>
      </c>
      <c r="EC185" s="24" t="s">
        <v>4944</v>
      </c>
      <c r="ED185" s="130">
        <v>0.37</v>
      </c>
      <c r="EE185" s="14">
        <v>25000</v>
      </c>
      <c r="EF185" s="14">
        <v>44700</v>
      </c>
      <c r="EG185" s="14">
        <f>SUM(EE185+EF185)</f>
        <v>69700</v>
      </c>
      <c r="EH185" s="14">
        <v>24000</v>
      </c>
      <c r="EI185" s="14">
        <v>57900</v>
      </c>
      <c r="EJ185" s="14">
        <f>SUM(EH185+EI185)</f>
        <v>81900</v>
      </c>
      <c r="EK185" s="10"/>
      <c r="EL185" s="10"/>
      <c r="EM185" s="10"/>
      <c r="EN185" s="10"/>
      <c r="EO185" s="10"/>
      <c r="EP185" s="10"/>
      <c r="EQ185" s="10"/>
      <c r="ER185" s="10"/>
      <c r="FX185" s="4"/>
      <c r="HY185" s="9"/>
      <c r="IJ185" s="4"/>
      <c r="IK185" s="4"/>
      <c r="IL185" s="4"/>
      <c r="IM185" s="9"/>
      <c r="IN185" s="9"/>
      <c r="IO185" s="9"/>
      <c r="IP185" s="9"/>
      <c r="IQ185" s="9"/>
    </row>
    <row r="186" spans="1:263" s="18" customFormat="1" ht="15" customHeight="1">
      <c r="A186" s="19">
        <v>102021044</v>
      </c>
      <c r="B186" s="18" t="s">
        <v>2057</v>
      </c>
      <c r="D186" s="13"/>
      <c r="G186" s="18">
        <v>210000847</v>
      </c>
      <c r="J186" s="18" t="s">
        <v>311</v>
      </c>
      <c r="K186" s="18" t="s">
        <v>959</v>
      </c>
      <c r="L186" s="18" t="s">
        <v>2058</v>
      </c>
      <c r="M186" s="18" t="s">
        <v>396</v>
      </c>
      <c r="AG186" s="231" t="s">
        <v>2215</v>
      </c>
      <c r="AM186" s="24"/>
      <c r="AN186" s="24"/>
      <c r="AO186" s="18" t="s">
        <v>2169</v>
      </c>
      <c r="AP186" s="13" t="s">
        <v>258</v>
      </c>
      <c r="AQ186" s="24" t="s">
        <v>600</v>
      </c>
      <c r="AR186" s="24" t="s">
        <v>260</v>
      </c>
      <c r="AS186" s="13"/>
      <c r="AT186" s="13"/>
      <c r="AU186" s="13"/>
      <c r="AV186" s="13"/>
      <c r="AW186" s="13"/>
      <c r="AX186" s="19"/>
      <c r="AY186" s="19"/>
      <c r="AZ186" s="48"/>
      <c r="BA186" s="19"/>
      <c r="BB186" s="19"/>
      <c r="BC186" s="19"/>
      <c r="BD186" s="19"/>
      <c r="BE186" s="19"/>
      <c r="BF186" s="19"/>
      <c r="BG186" s="20"/>
      <c r="BH186" s="22"/>
      <c r="BI186" s="22"/>
      <c r="BJ186" s="14"/>
      <c r="BK186" s="22"/>
      <c r="BL186" s="14"/>
      <c r="BM186" s="14"/>
      <c r="BN186" s="14"/>
      <c r="BO186" s="17"/>
      <c r="BP186" s="23"/>
      <c r="BQ186" s="14"/>
      <c r="BR186" s="14"/>
      <c r="BS186" s="14"/>
      <c r="BT186" s="14"/>
      <c r="BU186" s="17"/>
      <c r="BV186" s="23"/>
      <c r="BW186" s="14"/>
      <c r="BX186" s="14"/>
      <c r="BY186" s="14"/>
      <c r="BZ186" s="14"/>
      <c r="CA186" s="17"/>
      <c r="CB186" s="23"/>
      <c r="CC186" s="14"/>
      <c r="CD186" s="14"/>
      <c r="CE186" s="14"/>
      <c r="CF186" s="14"/>
      <c r="CG186" s="17"/>
      <c r="CH186" s="23"/>
      <c r="CI186" s="14"/>
      <c r="CJ186" s="14"/>
      <c r="CK186" s="14"/>
      <c r="CL186" s="14"/>
      <c r="CM186" s="17"/>
      <c r="CN186" s="23"/>
      <c r="CO186" s="14"/>
      <c r="CP186" s="14"/>
      <c r="CQ186" s="14"/>
      <c r="CR186" s="14"/>
      <c r="CS186" s="14"/>
      <c r="CT186" s="47"/>
      <c r="CU186" s="14"/>
      <c r="CV186" s="32"/>
      <c r="CW186" s="14"/>
      <c r="CX186" s="14"/>
      <c r="CY186" s="14"/>
      <c r="CZ186" s="14"/>
      <c r="DA186" s="14"/>
      <c r="DB186" s="14"/>
      <c r="DC186" s="23"/>
      <c r="DD186" s="25"/>
      <c r="DE186" s="14"/>
      <c r="DF186" s="24"/>
      <c r="DG186" s="25"/>
      <c r="DH186" s="25"/>
      <c r="DI186" s="25"/>
      <c r="DJ186" s="36">
        <v>0.75</v>
      </c>
      <c r="IC186" s="14"/>
      <c r="IM186" s="14"/>
      <c r="IN186" s="14"/>
      <c r="IT186"/>
      <c r="IU186"/>
      <c r="IV186"/>
      <c r="IW186"/>
      <c r="IX186"/>
      <c r="IY186"/>
      <c r="IZ186"/>
      <c r="JA186"/>
      <c r="JB186"/>
      <c r="JC186"/>
    </row>
    <row r="187" spans="1:263" ht="15" customHeight="1">
      <c r="A187" s="2">
        <v>102019063</v>
      </c>
      <c r="B187" s="4" t="s">
        <v>1397</v>
      </c>
      <c r="D187" s="3"/>
      <c r="E187" s="3"/>
      <c r="F187" s="3"/>
      <c r="G187" s="3"/>
      <c r="H187" s="3"/>
      <c r="J187" t="s">
        <v>253</v>
      </c>
      <c r="K187" t="s">
        <v>1398</v>
      </c>
      <c r="L187" t="s">
        <v>915</v>
      </c>
      <c r="M187" t="s">
        <v>598</v>
      </c>
      <c r="O187" s="1"/>
      <c r="T187" s="1"/>
      <c r="AX187" s="9"/>
      <c r="AY187" s="9"/>
      <c r="AZ187" s="9"/>
      <c r="BA187" s="9"/>
      <c r="BC187" s="9"/>
      <c r="BD187" s="9"/>
      <c r="BE187" s="9"/>
      <c r="BG187" s="66"/>
      <c r="BH187" s="66"/>
      <c r="BI187" s="66"/>
      <c r="BK187" s="66"/>
      <c r="BL187" s="66"/>
      <c r="BO187" s="66"/>
      <c r="BQ187" s="66"/>
      <c r="BR187" s="66"/>
      <c r="BU187" s="66"/>
      <c r="BW187" s="66"/>
      <c r="BX187" s="66"/>
      <c r="CA187" s="66"/>
      <c r="CB187" s="66"/>
      <c r="CC187" s="66"/>
      <c r="CD187" s="66"/>
      <c r="CG187" s="66"/>
      <c r="CH187" s="66"/>
      <c r="CI187" s="66"/>
      <c r="CJ187" s="66"/>
      <c r="CM187" s="66"/>
      <c r="CN187" s="66"/>
      <c r="CO187" s="66"/>
      <c r="CP187" s="66"/>
      <c r="CS187" s="66"/>
      <c r="CT187" s="66"/>
      <c r="CU187" s="66"/>
      <c r="CV187" s="66"/>
      <c r="CY187" s="66"/>
      <c r="CZ187" s="66"/>
      <c r="DA187" s="66"/>
      <c r="DB187" s="66"/>
      <c r="DE187" s="66"/>
      <c r="DF187" s="66"/>
      <c r="DG187" s="66"/>
      <c r="DH187" s="66"/>
      <c r="DI187" s="66"/>
      <c r="DJ187" s="66"/>
      <c r="DL187" s="66"/>
      <c r="DN187" s="66"/>
      <c r="DO187" s="66"/>
      <c r="DP187" s="66"/>
      <c r="DQ187" s="66"/>
      <c r="DR187" s="66"/>
      <c r="DS187" s="66"/>
      <c r="DT187" s="66"/>
      <c r="DU187" s="66"/>
      <c r="DV187" s="66"/>
      <c r="DW187" s="66"/>
      <c r="DX187" s="66"/>
      <c r="DY187" s="66"/>
      <c r="FR187" s="9"/>
      <c r="FX187" s="66"/>
      <c r="GE187" s="9"/>
      <c r="II187" s="9"/>
      <c r="IJ187" s="66"/>
      <c r="IK187" s="66"/>
      <c r="IL187" s="27"/>
      <c r="IM187" s="18"/>
      <c r="IN187" s="18"/>
      <c r="IO187" s="18"/>
      <c r="IP187" s="18"/>
      <c r="IQ187" s="18"/>
      <c r="IR187" s="18"/>
      <c r="IS187" s="14"/>
      <c r="IT187" s="14"/>
      <c r="IU187" s="18"/>
      <c r="IV187" s="18"/>
    </row>
    <row r="188" spans="1:263" ht="15" customHeight="1">
      <c r="A188" s="2">
        <v>102024044</v>
      </c>
      <c r="B188" t="s">
        <v>5085</v>
      </c>
      <c r="D188" s="1"/>
      <c r="E188" s="3"/>
      <c r="G188" s="3"/>
      <c r="J188" t="s">
        <v>554</v>
      </c>
      <c r="K188" t="s">
        <v>5199</v>
      </c>
      <c r="L188" t="s">
        <v>5200</v>
      </c>
      <c r="M188" t="s">
        <v>448</v>
      </c>
      <c r="O188" s="3"/>
      <c r="P188" t="s">
        <v>5199</v>
      </c>
      <c r="Q188" t="s">
        <v>915</v>
      </c>
      <c r="R188" t="s">
        <v>469</v>
      </c>
      <c r="AG188" s="43"/>
      <c r="AJ188" t="s">
        <v>5201</v>
      </c>
      <c r="AK188" s="1" t="s">
        <v>258</v>
      </c>
      <c r="AL188" t="s">
        <v>600</v>
      </c>
      <c r="AM188" t="s">
        <v>260</v>
      </c>
      <c r="AN188"/>
      <c r="AO188" t="s">
        <v>5202</v>
      </c>
      <c r="AP188" s="1" t="s">
        <v>258</v>
      </c>
      <c r="AQ188" t="s">
        <v>290</v>
      </c>
      <c r="AR188" t="s">
        <v>268</v>
      </c>
      <c r="AX188" s="1"/>
      <c r="AY188" s="1"/>
      <c r="AZ188" s="1"/>
      <c r="BA188" s="1"/>
      <c r="BB188" s="1"/>
      <c r="BC188" s="2"/>
      <c r="BD188" s="115">
        <v>45382</v>
      </c>
      <c r="BE188" s="115"/>
      <c r="BF188" s="2"/>
      <c r="BG188" s="2"/>
      <c r="BH188" s="2"/>
      <c r="BI188" s="2"/>
      <c r="BJ188" s="2"/>
      <c r="BK188" s="2"/>
      <c r="BL188" s="20">
        <f ca="1">SUM(EB188)+220</f>
        <v>2060.6480000000001</v>
      </c>
      <c r="BM188" s="22">
        <f ca="1">PMT(10%/12,12,BL188,0,0)</f>
        <v>-181.16369718874481</v>
      </c>
      <c r="BN188" s="22">
        <f ca="1">SUM(BM188*-1)</f>
        <v>181.16369718874481</v>
      </c>
      <c r="BO188" s="14">
        <f>SUM(EJ188*0.0052)/12</f>
        <v>44.286666666666662</v>
      </c>
      <c r="BP188" s="22">
        <f ca="1">SUM(BN188+BO188)</f>
        <v>225.45036385541147</v>
      </c>
      <c r="BQ188" s="14"/>
      <c r="BR188" s="14">
        <f>SUM(BQ188*0.1)</f>
        <v>0</v>
      </c>
      <c r="BS188" s="14">
        <f ca="1">SUM(BT188*BU188)</f>
        <v>0</v>
      </c>
      <c r="BT188" s="17">
        <f>SUM((BQ188+BR188)*0.00833333333333333)</f>
        <v>0</v>
      </c>
      <c r="BU188" s="23">
        <f ca="1">MONTH(TODAY())+61</f>
        <v>65</v>
      </c>
      <c r="BV188" s="14">
        <f ca="1">SUM(BQ188,BR188,BS188)</f>
        <v>0</v>
      </c>
      <c r="BW188" s="14"/>
      <c r="BX188" s="14">
        <f>SUM(BW188*0.1)</f>
        <v>0</v>
      </c>
      <c r="BY188" s="14">
        <f ca="1">SUM(BZ188*CA188)</f>
        <v>0</v>
      </c>
      <c r="BZ188" s="17">
        <f>SUM((BW188+BX188)*0.00833333333333333)</f>
        <v>0</v>
      </c>
      <c r="CA188" s="23">
        <f ca="1">MONTH(TODAY())+49</f>
        <v>53</v>
      </c>
      <c r="CB188" s="14">
        <f ca="1">SUM(BW188,BX188,BY188)</f>
        <v>0</v>
      </c>
      <c r="CC188" s="14">
        <v>0</v>
      </c>
      <c r="CD188" s="14">
        <f>SUM(CC188*0.1)</f>
        <v>0</v>
      </c>
      <c r="CE188" s="14">
        <f ca="1">SUM(CF188*CG188)</f>
        <v>0</v>
      </c>
      <c r="CF188" s="17">
        <f>SUM((CC188+CD188)*0.00833333333333333)</f>
        <v>0</v>
      </c>
      <c r="CG188" s="23">
        <f ca="1">MONTH(TODAY())+37</f>
        <v>41</v>
      </c>
      <c r="CH188" s="14">
        <f ca="1">SUM(CC188,CD188,CE188)</f>
        <v>0</v>
      </c>
      <c r="CI188" s="14">
        <f>SUM(EG188*0.0052)</f>
        <v>462.79999999999995</v>
      </c>
      <c r="CJ188" s="14">
        <f>SUM(CI188*0.1)</f>
        <v>46.28</v>
      </c>
      <c r="CK188" s="14">
        <f ca="1">SUM(CL188*CM188)</f>
        <v>123.0276666666666</v>
      </c>
      <c r="CL188" s="17">
        <f>SUM((CI188+CJ188)*0.00833333333333333)</f>
        <v>4.2423333333333311</v>
      </c>
      <c r="CM188" s="23">
        <f ca="1">MONTH(TODAY())+25</f>
        <v>29</v>
      </c>
      <c r="CN188" s="14">
        <f ca="1">SUM(CI188,CJ188,CK188)</f>
        <v>632.10766666666655</v>
      </c>
      <c r="CO188" s="14">
        <f>SUM(EG188*0.0052)/2</f>
        <v>231.39999999999998</v>
      </c>
      <c r="CP188" s="14">
        <f>SUM(CO188*0.1)</f>
        <v>23.14</v>
      </c>
      <c r="CQ188" s="14">
        <f ca="1">SUM(CR188*CS188)</f>
        <v>44.544499999999978</v>
      </c>
      <c r="CR188" s="17">
        <f>SUM((CO188+CP188)*0.00833333333333333)</f>
        <v>2.1211666666666655</v>
      </c>
      <c r="CS188" s="23">
        <f ca="1">MONTH(TODAY())+17</f>
        <v>21</v>
      </c>
      <c r="CT188" s="23">
        <f ca="1">SUM(CO188,CP188,CQ188)</f>
        <v>299.08449999999993</v>
      </c>
      <c r="CU188" s="14">
        <f>SUM(EG188*0.0052)/2</f>
        <v>231.39999999999998</v>
      </c>
      <c r="CV188" s="14">
        <f>SUM(CU188*0.1)</f>
        <v>23.14</v>
      </c>
      <c r="CW188" s="14">
        <f ca="1">SUM(CX188*CY188)</f>
        <v>36.059833333333316</v>
      </c>
      <c r="CX188" s="17">
        <f>SUM((CU188+CV188)*0.00833333333333333)</f>
        <v>2.1211666666666655</v>
      </c>
      <c r="CY188" s="23">
        <f ca="1">MONTH(TODAY())+13</f>
        <v>17</v>
      </c>
      <c r="CZ188" s="23">
        <f ca="1">SUM(CU188,CV188,CW188)</f>
        <v>290.59983333333327</v>
      </c>
      <c r="DA188" s="14">
        <f>SUM(EJ188*0.0045)/2</f>
        <v>229.95</v>
      </c>
      <c r="DB188" s="14">
        <f>SUM(DA188*0.1)</f>
        <v>22.995000000000001</v>
      </c>
      <c r="DC188" s="14">
        <f ca="1">SUM(DD188*DE188)</f>
        <v>23.186624999999989</v>
      </c>
      <c r="DD188" s="17">
        <f>SUM((DA188+DB188)*0.00833333333333333)</f>
        <v>2.1078749999999991</v>
      </c>
      <c r="DE188" s="23">
        <f ca="1">MONTH(TODAY())+7</f>
        <v>11</v>
      </c>
      <c r="DF188" s="23">
        <f ca="1">SUM(DA188,DB188,DC188)</f>
        <v>276.13162499999999</v>
      </c>
      <c r="DG188" s="14">
        <f>SUM(EJ188*0.0045)/2</f>
        <v>229.95</v>
      </c>
      <c r="DH188" s="14">
        <f>SUM(DG188*0.1)</f>
        <v>22.995000000000001</v>
      </c>
      <c r="DI188" s="14">
        <f ca="1">SUM(DJ188*DK188)</f>
        <v>10.539374999999996</v>
      </c>
      <c r="DJ188" s="17">
        <f>SUM((DG188+DH188)*0.00833333333333333)</f>
        <v>2.1078749999999991</v>
      </c>
      <c r="DK188" s="23">
        <f ca="1">MONTH(TODAY())+1</f>
        <v>5</v>
      </c>
      <c r="DL188" s="14">
        <f ca="1">SUM(DG188,DH188,DI188)</f>
        <v>263.484375</v>
      </c>
      <c r="DM188" s="14">
        <f>SUM( BQ188, BW188, CC188, CI188, CO188,CU188,DA188,DG188)</f>
        <v>1385.5</v>
      </c>
      <c r="DN188" s="14">
        <f>SUM(BR188,BX188,CD188,CJ188, CP188,CV188,DB188,DH188)</f>
        <v>138.55000000000001</v>
      </c>
      <c r="DO188" s="14">
        <f ca="1">SUM(BS188,BY188,CE188,CK188, CQ188,CW188,DC188,DI188)</f>
        <v>237.35799999999989</v>
      </c>
      <c r="DP188" s="25">
        <f ca="1">SUM(DM188:DO188)</f>
        <v>1761.4079999999999</v>
      </c>
      <c r="DQ188" s="47">
        <f ca="1">SUM(DP188/EH188)</f>
        <v>7.3391999999999999E-2</v>
      </c>
      <c r="DR188" s="14">
        <f>40+10</f>
        <v>50</v>
      </c>
      <c r="DS188" s="32">
        <f>COUNTIF(AO188, "*")+COUNTIF(AJ188, "*")+COUNTIF(AA188, "*")+COUNTIF(EU188, "*")+COUNTIF(FA188, "*")+COUNTIF(FG188, "*")+COUNTIF(FK188, "*")+COUNTIF(FR188, "*")+COUNTIF(AT188, "*")+COUNTIF(GA188, "*")+COUNTIF(GL188, "*")+COUNTIF(GW188, "*")+COUNTIF(HE188, "*")+COUNTIF(HM188, "*")+COUNTIF(HU188, "*")</f>
        <v>2</v>
      </c>
      <c r="DT188" s="14">
        <f>DS188*0.64</f>
        <v>1.28</v>
      </c>
      <c r="DU188" s="4"/>
      <c r="DV188" s="4">
        <v>27.96</v>
      </c>
      <c r="DW188" s="4"/>
      <c r="DX188" s="4"/>
      <c r="DZ188" s="4"/>
      <c r="EA188" s="14">
        <f>SUM(DV188:DZ188)</f>
        <v>27.96</v>
      </c>
      <c r="EB188" s="14">
        <f ca="1">SUM(DP188,DR188,EA188, DU188, DT188,FX188)</f>
        <v>1840.6479999999999</v>
      </c>
      <c r="EC188" s="24" t="s">
        <v>4944</v>
      </c>
      <c r="ED188" s="130">
        <v>0.49</v>
      </c>
      <c r="EE188" s="14">
        <v>25000</v>
      </c>
      <c r="EF188" s="14">
        <v>64000</v>
      </c>
      <c r="EG188" s="4">
        <f>SUM(EE188+EF188)</f>
        <v>89000</v>
      </c>
      <c r="EH188" s="14">
        <v>24000</v>
      </c>
      <c r="EI188" s="14">
        <v>78200</v>
      </c>
      <c r="EJ188" s="4">
        <f>SUM(EH188+EI188)</f>
        <v>102200</v>
      </c>
      <c r="FX188" s="4"/>
      <c r="HY188" s="9"/>
      <c r="IJ188" s="4"/>
      <c r="IK188" s="4"/>
      <c r="IL188" s="4"/>
      <c r="IM188" s="9"/>
      <c r="IN188" s="9"/>
      <c r="IO188" s="9"/>
      <c r="IP188" s="9"/>
      <c r="IQ188" s="9"/>
    </row>
    <row r="189" spans="1:263" ht="15" customHeight="1">
      <c r="A189" s="19">
        <v>102021111</v>
      </c>
      <c r="B189" t="s">
        <v>2689</v>
      </c>
      <c r="D189" s="13">
        <v>2023</v>
      </c>
      <c r="J189" t="s">
        <v>311</v>
      </c>
      <c r="K189" t="s">
        <v>2690</v>
      </c>
      <c r="L189" t="s">
        <v>1394</v>
      </c>
      <c r="M189" t="s">
        <v>426</v>
      </c>
      <c r="AG189" s="248"/>
      <c r="AJ189" s="18" t="s">
        <v>328</v>
      </c>
      <c r="AK189" s="18"/>
      <c r="AL189" s="18" t="s">
        <v>600</v>
      </c>
      <c r="AO189" t="s">
        <v>2691</v>
      </c>
      <c r="AQ189" s="3" t="s">
        <v>600</v>
      </c>
      <c r="AS189" s="1"/>
      <c r="AT189" s="1"/>
      <c r="AU189" s="1"/>
      <c r="AV189" s="1"/>
      <c r="AW189" s="1"/>
      <c r="AX189" s="2"/>
      <c r="AY189" s="2"/>
      <c r="AZ189" s="70"/>
      <c r="BA189" s="2"/>
      <c r="BB189" s="2"/>
      <c r="BC189" s="2"/>
      <c r="BD189" s="2"/>
      <c r="BE189" s="2"/>
      <c r="BF189" s="2"/>
      <c r="BG189" s="20"/>
      <c r="BH189" s="22"/>
      <c r="BI189" s="22"/>
      <c r="BJ189" s="14"/>
      <c r="BK189" s="22"/>
      <c r="BL189" s="14"/>
      <c r="BM189" s="14"/>
      <c r="BN189" s="14"/>
      <c r="BO189" s="17"/>
      <c r="BP189" s="23"/>
      <c r="BQ189" s="14"/>
      <c r="BR189" s="14"/>
      <c r="BS189" s="14"/>
      <c r="BT189" s="14"/>
      <c r="BU189" s="17"/>
      <c r="BV189" s="23"/>
      <c r="BW189" s="14"/>
      <c r="BX189" s="14"/>
      <c r="BY189" s="14"/>
      <c r="BZ189" s="14"/>
      <c r="CA189" s="17"/>
      <c r="CB189" s="23"/>
      <c r="CC189" s="14"/>
      <c r="CD189" s="14"/>
      <c r="CE189" s="14"/>
      <c r="CF189" s="14"/>
      <c r="CG189" s="17"/>
      <c r="CH189" s="23"/>
      <c r="CI189" s="14"/>
      <c r="CJ189" s="14"/>
      <c r="CK189" s="14"/>
      <c r="CL189" s="14"/>
      <c r="CM189" s="17"/>
      <c r="CN189" s="23"/>
      <c r="CO189" s="14"/>
      <c r="CP189" s="14"/>
      <c r="CQ189" s="14"/>
      <c r="CR189" s="14"/>
      <c r="CS189" s="17"/>
      <c r="CT189" s="23"/>
      <c r="CU189" s="14"/>
      <c r="CV189" s="14"/>
      <c r="DA189" s="14"/>
      <c r="DB189" s="14"/>
      <c r="DC189" s="14"/>
      <c r="DD189" s="14"/>
      <c r="DE189" s="14"/>
      <c r="DF189" s="47"/>
      <c r="DG189" s="14"/>
      <c r="DH189" s="32"/>
      <c r="DI189" s="14"/>
      <c r="DK189" s="14">
        <f>SUM(DE189,DG189,DQ189, DJ189, DI189,FS189)</f>
        <v>0</v>
      </c>
      <c r="DQ189" s="14">
        <f>SUM(DL189:DP189)</f>
        <v>0</v>
      </c>
      <c r="DR189" s="24" t="s">
        <v>1944</v>
      </c>
      <c r="DS189" s="4">
        <v>5000</v>
      </c>
      <c r="DT189" s="4">
        <v>0</v>
      </c>
      <c r="DU189" s="25">
        <f>SUM(DS189+DT189)</f>
        <v>5000</v>
      </c>
      <c r="DV189" s="35">
        <v>0.21</v>
      </c>
    </row>
    <row r="190" spans="1:263" s="18" customFormat="1" ht="15" customHeight="1">
      <c r="A190" s="19">
        <v>102022150</v>
      </c>
      <c r="B190" t="s">
        <v>2881</v>
      </c>
      <c r="C190"/>
      <c r="D190" s="1"/>
      <c r="E190" s="3" t="s">
        <v>3869</v>
      </c>
      <c r="F190" s="3"/>
      <c r="G190"/>
      <c r="H190"/>
      <c r="I190"/>
      <c r="J190" t="s">
        <v>434</v>
      </c>
      <c r="K190" t="s">
        <v>3172</v>
      </c>
      <c r="L190" t="s">
        <v>776</v>
      </c>
      <c r="M190" t="s">
        <v>256</v>
      </c>
      <c r="N190"/>
      <c r="O190"/>
      <c r="P190" t="s">
        <v>1814</v>
      </c>
      <c r="Q190" t="s">
        <v>3173</v>
      </c>
      <c r="R190" t="s">
        <v>403</v>
      </c>
      <c r="S190"/>
      <c r="T190"/>
      <c r="U190" t="s">
        <v>3172</v>
      </c>
      <c r="V190" t="s">
        <v>400</v>
      </c>
      <c r="W190" t="s">
        <v>396</v>
      </c>
      <c r="X190"/>
      <c r="Y190"/>
      <c r="Z190"/>
      <c r="AA190"/>
      <c r="AB190"/>
      <c r="AC190"/>
      <c r="AD190"/>
      <c r="AE190"/>
      <c r="AF190"/>
      <c r="AG190" s="43"/>
      <c r="AH190"/>
      <c r="AI190"/>
      <c r="AJ190" s="18" t="s">
        <v>328</v>
      </c>
      <c r="AK190"/>
      <c r="AL190" t="s">
        <v>349</v>
      </c>
      <c r="AM190"/>
      <c r="AN190"/>
      <c r="AO190" s="3" t="s">
        <v>3174</v>
      </c>
      <c r="AP190" s="3" t="s">
        <v>258</v>
      </c>
      <c r="AQ190" t="s">
        <v>300</v>
      </c>
      <c r="AR190" t="s">
        <v>260</v>
      </c>
      <c r="AS190" s="1"/>
      <c r="AT190" s="1"/>
      <c r="AU190" s="1"/>
      <c r="AV190" s="1"/>
      <c r="AW190" s="1"/>
      <c r="AX190" s="70"/>
      <c r="AY190" s="115">
        <v>44661</v>
      </c>
      <c r="AZ190" s="115">
        <v>44693</v>
      </c>
      <c r="BA190" s="70"/>
      <c r="BB190" s="2"/>
      <c r="BC190" s="70"/>
      <c r="BD190" s="70"/>
      <c r="BE190" s="2"/>
      <c r="BF190" s="2"/>
      <c r="BG190" s="20">
        <f ca="1">SUM(CY190)+214.5</f>
        <v>1042.2906666666668</v>
      </c>
      <c r="BH190" s="22">
        <f ca="1">PMT(10%/12,12,BG190,0,0)</f>
        <v>-91.633908711558192</v>
      </c>
      <c r="BI190" s="22">
        <f ca="1">SUM(BH190*-1)</f>
        <v>91.633908711558192</v>
      </c>
      <c r="BJ190" s="14">
        <f>SUM(DI190*0.0052)/12</f>
        <v>9.5333333333333332</v>
      </c>
      <c r="BK190" s="22">
        <f ca="1">SUM(BI190+BJ190)</f>
        <v>101.16724204489152</v>
      </c>
      <c r="BL190" s="14"/>
      <c r="BM190" s="14">
        <f>SUM(BL190*0.1)</f>
        <v>0</v>
      </c>
      <c r="BN190" s="14">
        <f ca="1">SUM(BO190*BP190)</f>
        <v>0</v>
      </c>
      <c r="BO190" s="17">
        <f>SUM((BL190+BM190)*0.00833333333333333)</f>
        <v>0</v>
      </c>
      <c r="BP190" s="23">
        <f ca="1">MONTH(TODAY())+49</f>
        <v>53</v>
      </c>
      <c r="BQ190" s="14">
        <f ca="1">SUM(BL190,BM190,BN190)</f>
        <v>0</v>
      </c>
      <c r="BR190" s="14"/>
      <c r="BS190" s="14">
        <f>SUM(BR190*0.1)</f>
        <v>0</v>
      </c>
      <c r="BT190" s="14">
        <f ca="1">SUM(BU190*BV190)</f>
        <v>0</v>
      </c>
      <c r="BU190" s="17">
        <f>SUM((BR190+BS190)*0.00833333333333333)</f>
        <v>0</v>
      </c>
      <c r="BV190" s="23">
        <f ca="1">MONTH(TODAY())+37</f>
        <v>41</v>
      </c>
      <c r="BW190" s="14">
        <f ca="1">SUM(BR190,BS190,BT190)</f>
        <v>0</v>
      </c>
      <c r="BX190" s="14"/>
      <c r="BY190" s="14">
        <f>SUM(BX190*0.1)</f>
        <v>0</v>
      </c>
      <c r="BZ190" s="14">
        <f ca="1">SUM(CA190*CB190)</f>
        <v>0</v>
      </c>
      <c r="CA190" s="17">
        <f>SUM((BX190+BY190)*0.00833333333333333)</f>
        <v>0</v>
      </c>
      <c r="CB190" s="23">
        <f ca="1">MONTH(TODAY())+25</f>
        <v>29</v>
      </c>
      <c r="CC190" s="14">
        <f ca="1">SUM(BX190,BY190,BZ190)</f>
        <v>0</v>
      </c>
      <c r="CD190" s="14">
        <f>SUM(DI190*0.0052)</f>
        <v>114.39999999999999</v>
      </c>
      <c r="CE190" s="14">
        <f>SUM(CD190*0.1)</f>
        <v>11.44</v>
      </c>
      <c r="CF190" s="14">
        <f ca="1">SUM(CG190*CH190)</f>
        <v>17.827333333333325</v>
      </c>
      <c r="CG190" s="17">
        <f>SUM((CD190+CE190)*0.00833333333333333)</f>
        <v>1.0486666666666662</v>
      </c>
      <c r="CH190" s="23">
        <f ca="1">MONTH(TODAY())+13</f>
        <v>17</v>
      </c>
      <c r="CI190" s="14">
        <f ca="1">SUM(CD190,CE190,CF190)</f>
        <v>143.66733333333332</v>
      </c>
      <c r="CJ190" s="14">
        <f>SUM(DI190*0.0052)</f>
        <v>114.39999999999999</v>
      </c>
      <c r="CK190" s="14">
        <f>SUM(CJ190*0.1)</f>
        <v>11.44</v>
      </c>
      <c r="CL190" s="14">
        <f ca="1">SUM(CM190*CN190)</f>
        <v>5.2433333333333305</v>
      </c>
      <c r="CM190" s="17">
        <f>SUM((CJ190+CK190)*0.00833333333333333)</f>
        <v>1.0486666666666662</v>
      </c>
      <c r="CN190" s="23">
        <f ca="1">MONTH(TODAY())+1</f>
        <v>5</v>
      </c>
      <c r="CO190" s="14">
        <f ca="1">SUM(CJ190,CK190,CL190)</f>
        <v>131.08333333333331</v>
      </c>
      <c r="CP190" s="14">
        <f>SUM(BL190, BR190,BX190,CD190,CJ190)</f>
        <v>228.79999999999998</v>
      </c>
      <c r="CQ190" s="14">
        <f>SUM(BM190, BS190,BY190,CE190,CK190)</f>
        <v>22.88</v>
      </c>
      <c r="CR190" s="14">
        <f ca="1">SUM(BN190, BT190,BZ190,CF190,CL190)</f>
        <v>23.070666666666654</v>
      </c>
      <c r="CS190" s="14">
        <f ca="1">SUM(CP190:CR190)</f>
        <v>274.75066666666663</v>
      </c>
      <c r="CT190" s="47">
        <f ca="1">SUM(CS190/DI190)</f>
        <v>1.2488666666666665E-2</v>
      </c>
      <c r="CU190" s="14">
        <f>19.5+19.5+195+97.5</f>
        <v>331.5</v>
      </c>
      <c r="CV190" s="32">
        <f>COUNTIF(DB190, "*")+COUNTIF(AO190, "*")+COUNTIF(AJ190, "*")+COUNTIF(AA190, "*")+COUNTIF(DY190, "*")+COUNTIF(EE190, "*")+COUNTIF(EK190, "*")+COUNTIF(EO190, "*")+COUNTIF(EV190, "*")+COUNTIF(FC190, "*")+COUNTIF(FJ190, "*")+COUNTIF(FU190, "*")+COUNTIF(GF190, "*")+COUNTIF(GN190, "*")+COUNTIF(GV190, "*")+COUNTIF(HD190, "*")+COUNTIF(HL190, "*")</f>
        <v>3</v>
      </c>
      <c r="CW190" s="14">
        <f>21.48+CV190*6.66</f>
        <v>41.46</v>
      </c>
      <c r="CX190" s="4">
        <v>150</v>
      </c>
      <c r="CY190" s="14">
        <f ca="1">SUM(CS190,CU190,DE190, CX190, CW190,FG190)</f>
        <v>827.79066666666665</v>
      </c>
      <c r="CZ190" s="14">
        <v>30.08</v>
      </c>
      <c r="DA190"/>
      <c r="DB190"/>
      <c r="DC190"/>
      <c r="DD190"/>
      <c r="DE190" s="14">
        <f>SUM(CZ190:DD190)</f>
        <v>30.08</v>
      </c>
      <c r="DF190" s="24" t="s">
        <v>2773</v>
      </c>
      <c r="DG190" s="4">
        <v>22000</v>
      </c>
      <c r="DH190" s="4">
        <v>0</v>
      </c>
      <c r="DI190" s="25">
        <f>SUM(DG190+DH190)</f>
        <v>22000</v>
      </c>
      <c r="DJ190" s="35">
        <v>2</v>
      </c>
      <c r="DK190" t="s">
        <v>3702</v>
      </c>
      <c r="DL190" t="s">
        <v>3703</v>
      </c>
      <c r="DM190" t="s">
        <v>3705</v>
      </c>
      <c r="DN190" t="s">
        <v>3706</v>
      </c>
      <c r="DO190" t="s">
        <v>3707</v>
      </c>
      <c r="DP190" t="s">
        <v>3704</v>
      </c>
      <c r="DQ190"/>
      <c r="DR190"/>
      <c r="DS190"/>
      <c r="DT190"/>
      <c r="DU190"/>
      <c r="DV190"/>
      <c r="DW190" t="s">
        <v>3700</v>
      </c>
      <c r="DX190"/>
      <c r="DY190" t="s">
        <v>3701</v>
      </c>
      <c r="DZ190"/>
      <c r="EA190" t="s">
        <v>267</v>
      </c>
      <c r="EB190" t="s">
        <v>260</v>
      </c>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s="4"/>
      <c r="ID190"/>
      <c r="IE190"/>
      <c r="IF190"/>
      <c r="IG190"/>
      <c r="IH190"/>
      <c r="II190"/>
      <c r="IJ190"/>
      <c r="IK190"/>
      <c r="IL190"/>
      <c r="IM190"/>
      <c r="IN190"/>
      <c r="IO190"/>
      <c r="IP190"/>
      <c r="IQ190"/>
      <c r="IR190"/>
      <c r="IS190"/>
      <c r="IT190"/>
      <c r="IU190"/>
      <c r="IV190"/>
      <c r="IW190"/>
      <c r="IX190"/>
      <c r="IY190"/>
    </row>
    <row r="191" spans="1:263" ht="15" customHeight="1">
      <c r="A191" s="19">
        <v>102022222</v>
      </c>
      <c r="B191" t="s">
        <v>3870</v>
      </c>
      <c r="D191" s="1"/>
      <c r="E191" s="3"/>
      <c r="G191" s="3" t="s">
        <v>4659</v>
      </c>
      <c r="J191" t="s">
        <v>434</v>
      </c>
      <c r="K191" t="s">
        <v>3172</v>
      </c>
      <c r="L191" t="s">
        <v>776</v>
      </c>
      <c r="M191" t="s">
        <v>256</v>
      </c>
      <c r="O191" s="3"/>
      <c r="P191" t="s">
        <v>1814</v>
      </c>
      <c r="Q191" t="s">
        <v>3173</v>
      </c>
      <c r="R191" t="s">
        <v>403</v>
      </c>
      <c r="U191" t="s">
        <v>3172</v>
      </c>
      <c r="V191" t="s">
        <v>400</v>
      </c>
      <c r="W191" t="s">
        <v>396</v>
      </c>
      <c r="AG191" s="43"/>
      <c r="AM191"/>
      <c r="AN191"/>
      <c r="AO191" t="s">
        <v>3174</v>
      </c>
      <c r="AP191" s="3" t="s">
        <v>258</v>
      </c>
      <c r="AQ191" t="s">
        <v>300</v>
      </c>
      <c r="AR191" t="s">
        <v>260</v>
      </c>
      <c r="AX191" s="1"/>
      <c r="AY191" s="1" t="s">
        <v>258</v>
      </c>
      <c r="AZ191" s="1"/>
      <c r="BA191" s="1"/>
      <c r="BB191" s="1"/>
      <c r="BC191" s="2"/>
      <c r="BD191" s="116"/>
      <c r="BE191" s="115"/>
      <c r="BF191" s="2"/>
      <c r="BG191" s="2"/>
      <c r="BH191" s="2"/>
      <c r="BI191" s="2"/>
      <c r="BJ191" s="2"/>
      <c r="BK191" s="2"/>
      <c r="BL191" s="20">
        <f ca="1">SUM(EB191)+220</f>
        <v>1037.0593749999998</v>
      </c>
      <c r="BM191" s="22">
        <f ca="1">PMT(10%/12,12,BL191,0,0)</f>
        <v>-91.173995063324213</v>
      </c>
      <c r="BN191" s="22">
        <f ca="1">SUM(BM191*-1)</f>
        <v>91.173995063324213</v>
      </c>
      <c r="BO191" s="14">
        <f>SUM(EJ191*0.0052)/12</f>
        <v>125.75333333333333</v>
      </c>
      <c r="BP191" s="22">
        <f ca="1">SUM(BN191+BO191)</f>
        <v>216.92732839665754</v>
      </c>
      <c r="BQ191" s="14"/>
      <c r="BR191" s="14">
        <f>SUM(BQ191*0.1)</f>
        <v>0</v>
      </c>
      <c r="BS191" s="14">
        <f ca="1">SUM(BT191*BU191)</f>
        <v>0</v>
      </c>
      <c r="BT191" s="17">
        <f>SUM((BQ191+BR191)*0.00833333333333333)</f>
        <v>0</v>
      </c>
      <c r="BU191" s="23">
        <f ca="1">MONTH(TODAY())+61</f>
        <v>65</v>
      </c>
      <c r="BV191" s="14">
        <f ca="1">SUM(BQ191,BR191,BS191)</f>
        <v>0</v>
      </c>
      <c r="BW191" s="14"/>
      <c r="BX191" s="14">
        <f>SUM(BW191*0.1)</f>
        <v>0</v>
      </c>
      <c r="BY191" s="14">
        <f ca="1">SUM(BZ191*CA191)</f>
        <v>0</v>
      </c>
      <c r="BZ191" s="17">
        <f>SUM((BW191+BX191)*0.00833333333333333)</f>
        <v>0</v>
      </c>
      <c r="CA191" s="23">
        <f ca="1">MONTH(TODAY())+49</f>
        <v>53</v>
      </c>
      <c r="CB191" s="14">
        <f ca="1">SUM(BW191,BX191,BY191)</f>
        <v>0</v>
      </c>
      <c r="CC191" s="14">
        <v>0</v>
      </c>
      <c r="CD191" s="14">
        <f>SUM(CC191*0.1)</f>
        <v>0</v>
      </c>
      <c r="CE191" s="14">
        <f ca="1">SUM(CF191*CG191)</f>
        <v>0</v>
      </c>
      <c r="CF191" s="17">
        <f>SUM((CC191+CD191)*0.00833333333333333)</f>
        <v>0</v>
      </c>
      <c r="CG191" s="23">
        <f ca="1">MONTH(TODAY())+37</f>
        <v>41</v>
      </c>
      <c r="CH191" s="14">
        <f ca="1">SUM(CC191,CD191,CE191)</f>
        <v>0</v>
      </c>
      <c r="CI191" s="14">
        <v>0</v>
      </c>
      <c r="CJ191" s="14">
        <f>SUM(CI191*0.1)</f>
        <v>0</v>
      </c>
      <c r="CK191" s="14">
        <f ca="1">SUM(CL191*CM191)</f>
        <v>0</v>
      </c>
      <c r="CL191" s="17">
        <f>SUM((CI191+CJ191)*0.00833333333333333)</f>
        <v>0</v>
      </c>
      <c r="CM191" s="23">
        <f ca="1">MONTH(TODAY())+25</f>
        <v>29</v>
      </c>
      <c r="CN191" s="14">
        <f ca="1">SUM(CI191,CJ191,CK191)</f>
        <v>0</v>
      </c>
      <c r="CO191" s="14">
        <v>0</v>
      </c>
      <c r="CP191" s="14">
        <f>SUM(CO191*0.1)</f>
        <v>0</v>
      </c>
      <c r="CQ191" s="14">
        <f ca="1">SUM(CR191*CS191)</f>
        <v>0</v>
      </c>
      <c r="CR191" s="17">
        <f>SUM((CO191+CP191)*0.00833333333333333)</f>
        <v>0</v>
      </c>
      <c r="CS191" s="23">
        <f ca="1">MONTH(TODAY())+17</f>
        <v>21</v>
      </c>
      <c r="CT191" s="23">
        <f ca="1">SUM(CO191,CP191,CQ191)</f>
        <v>0</v>
      </c>
      <c r="CU191" s="14">
        <v>0</v>
      </c>
      <c r="CV191" s="14">
        <f>SUM(CU191*0.1)</f>
        <v>0</v>
      </c>
      <c r="CW191" s="14">
        <f ca="1">SUM(CX191*CY191)</f>
        <v>0</v>
      </c>
      <c r="CX191" s="17">
        <f>SUM((CU191+CV191)*0.00833333333333333)</f>
        <v>0</v>
      </c>
      <c r="CY191" s="23">
        <f ca="1">MONTH(TODAY())+13</f>
        <v>17</v>
      </c>
      <c r="CZ191" s="23">
        <f ca="1">SUM(CU191,CV191,CW191)</f>
        <v>0</v>
      </c>
      <c r="DA191" s="14">
        <v>0</v>
      </c>
      <c r="DB191" s="14">
        <f>SUM(DA191*0.1)</f>
        <v>0</v>
      </c>
      <c r="DC191" s="14">
        <f ca="1">SUM(DD191*DE191)</f>
        <v>0</v>
      </c>
      <c r="DD191" s="17">
        <f>SUM((DA191+DB191)*0.00833333333333333)</f>
        <v>0</v>
      </c>
      <c r="DE191" s="23">
        <f ca="1">MONTH(TODAY())+7</f>
        <v>11</v>
      </c>
      <c r="DF191" s="23">
        <f ca="1">SUM(DA191,DB191,DC191)</f>
        <v>0</v>
      </c>
      <c r="DG191" s="14">
        <f>SUM(EJ191*0.0045)/2-203.4</f>
        <v>449.54999999999995</v>
      </c>
      <c r="DH191" s="14">
        <f>SUM(DG191*0.1)</f>
        <v>44.954999999999998</v>
      </c>
      <c r="DI191" s="14">
        <f ca="1">SUM(DJ191*DK191)</f>
        <v>20.60437499999999</v>
      </c>
      <c r="DJ191" s="17">
        <f>SUM((DG191+DH191)*0.00833333333333333)</f>
        <v>4.1208749999999981</v>
      </c>
      <c r="DK191" s="23">
        <f ca="1">MONTH(TODAY())+1</f>
        <v>5</v>
      </c>
      <c r="DL191" s="14">
        <f ca="1">SUM(DG191,DH191,DI191)</f>
        <v>515.10937499999989</v>
      </c>
      <c r="DM191" s="14">
        <f>SUM( BQ191, BW191, CC191, CI191, CO191,CU191,DA191,DG191)</f>
        <v>449.54999999999995</v>
      </c>
      <c r="DN191" s="14">
        <f>SUM(BR191,BX191,CD191,CJ191, CP191,CV191,DB191,DH191)</f>
        <v>44.954999999999998</v>
      </c>
      <c r="DO191" s="14">
        <f ca="1">SUM(BS191,BY191,CE191,CK191, CQ191,CW191,DC191,DI191)</f>
        <v>20.60437499999999</v>
      </c>
      <c r="DP191" s="25">
        <f ca="1">SUM(DM191:DO191)</f>
        <v>515.10937499999989</v>
      </c>
      <c r="DQ191" s="47">
        <f ca="1">SUM(DP191/EG191)</f>
        <v>2.1947566041755429E-3</v>
      </c>
      <c r="DR191" s="14">
        <f>19.5+58.5+156+60</f>
        <v>294</v>
      </c>
      <c r="DS191" s="32">
        <f>COUNTIF(DX191, "*")+COUNTIF(AO191, "*")+COUNTIF(AJ191, "*")+COUNTIF(AA191, "*")+COUNTIF(EU191, "*")+COUNTIF(FA191, "*")+COUNTIF(FG191, "*")+COUNTIF(FK191, "*")+COUNTIF(FR191, "*")+COUNTIF(AT191, "*")+COUNTIF(GA191, "*")+COUNTIF(GL191, "*")+COUNTIF(GW191, "*")+COUNTIF(HE191, "*")+COUNTIF(HM191, "*")+COUNTIF(HU191, "*")</f>
        <v>1</v>
      </c>
      <c r="DT191" s="14">
        <f>DS191*0.5+7.45</f>
        <v>7.95</v>
      </c>
      <c r="DU191" s="4"/>
      <c r="DV191" s="4"/>
      <c r="DW191" s="4"/>
      <c r="DX191" s="4"/>
      <c r="DZ191" s="4"/>
      <c r="EA191" s="14">
        <f>SUM(DV191:DZ191)</f>
        <v>0</v>
      </c>
      <c r="EB191" s="14">
        <f ca="1">SUM(DP191,DR191,EA191, DU191, DT191,FX191)</f>
        <v>817.05937499999993</v>
      </c>
      <c r="EC191" s="24" t="s">
        <v>2773</v>
      </c>
      <c r="ED191" s="7">
        <v>11.31</v>
      </c>
      <c r="EE191" s="4">
        <v>87100</v>
      </c>
      <c r="EF191" s="4">
        <v>147600</v>
      </c>
      <c r="EG191" s="14">
        <f>SUM(EE191+EF191)</f>
        <v>234700</v>
      </c>
      <c r="EH191" s="14">
        <v>106200</v>
      </c>
      <c r="EI191" s="14">
        <v>184000</v>
      </c>
      <c r="EJ191" s="14">
        <f>SUM(EH191+EI191)</f>
        <v>290200</v>
      </c>
      <c r="FX191" s="4"/>
      <c r="IA191" s="9"/>
      <c r="IL191" s="14">
        <f ca="1">SUM(IB191-EB191-FX191-IJ191)</f>
        <v>-817.05937499999993</v>
      </c>
      <c r="IM191" s="14"/>
      <c r="IN191" s="14"/>
      <c r="IO191" s="9"/>
      <c r="IP191" s="9"/>
      <c r="IQ191" s="9"/>
      <c r="IR191" s="9"/>
      <c r="IS191" s="9"/>
    </row>
    <row r="192" spans="1:263" ht="15" customHeight="1">
      <c r="A192" s="19">
        <v>102022134</v>
      </c>
      <c r="B192" t="s">
        <v>2869</v>
      </c>
      <c r="D192" s="1"/>
      <c r="K192" t="s">
        <v>3394</v>
      </c>
      <c r="Z192" t="s">
        <v>3148</v>
      </c>
      <c r="AA192" t="s">
        <v>3149</v>
      </c>
      <c r="AB192" t="s">
        <v>349</v>
      </c>
      <c r="AC192" t="s">
        <v>260</v>
      </c>
      <c r="AP192" s="272"/>
      <c r="AS192" s="1"/>
      <c r="AT192" s="1"/>
      <c r="AU192" s="1"/>
      <c r="AV192" s="1"/>
      <c r="AW192" s="1"/>
      <c r="AX192" s="2"/>
      <c r="AY192" s="114"/>
      <c r="AZ192" s="115"/>
      <c r="BA192" s="2"/>
      <c r="BB192" s="2"/>
      <c r="BC192" s="2"/>
      <c r="BD192" s="2"/>
      <c r="BE192" s="2"/>
      <c r="BF192" s="2"/>
      <c r="BG192" s="20"/>
      <c r="BH192" s="22"/>
      <c r="BI192" s="22"/>
      <c r="BJ192" s="14"/>
      <c r="BK192" s="22"/>
      <c r="BL192" s="14"/>
      <c r="BM192" s="14"/>
      <c r="BN192" s="14"/>
      <c r="BO192" s="17"/>
      <c r="BP192" s="23"/>
      <c r="BQ192" s="14"/>
      <c r="BR192" s="14"/>
      <c r="BS192" s="14"/>
      <c r="BT192" s="14"/>
      <c r="BU192" s="17"/>
      <c r="BV192" s="23"/>
      <c r="BW192" s="14"/>
      <c r="BX192" s="14"/>
      <c r="BY192" s="14"/>
      <c r="BZ192" s="14"/>
      <c r="CA192" s="17"/>
      <c r="CB192" s="23"/>
      <c r="CC192" s="14"/>
      <c r="CD192" s="14"/>
      <c r="CE192" s="14"/>
      <c r="CF192" s="14"/>
      <c r="CG192" s="17"/>
      <c r="CH192" s="23"/>
      <c r="CI192" s="14"/>
      <c r="CJ192" s="14"/>
      <c r="CK192" s="14"/>
      <c r="CL192" s="14"/>
      <c r="CM192" s="17"/>
      <c r="CN192" s="23"/>
      <c r="CO192" s="14"/>
      <c r="CP192" s="14"/>
      <c r="CQ192" s="14"/>
      <c r="CR192" s="14"/>
      <c r="CS192" s="14"/>
      <c r="CT192" s="47"/>
      <c r="CU192" s="14"/>
      <c r="CV192" s="32"/>
      <c r="CW192" s="14"/>
      <c r="CX192" s="4"/>
      <c r="CY192" s="14"/>
      <c r="CZ192" s="4"/>
      <c r="DE192" s="14"/>
      <c r="DF192" s="24"/>
      <c r="DG192" s="4"/>
      <c r="DH192" s="4"/>
      <c r="DI192" s="25"/>
      <c r="DJ192" s="35">
        <v>1.7</v>
      </c>
      <c r="DK192" t="s">
        <v>3395</v>
      </c>
      <c r="DL192" t="s">
        <v>3396</v>
      </c>
      <c r="DM192" t="s">
        <v>3397</v>
      </c>
      <c r="EN192" t="s">
        <v>3398</v>
      </c>
      <c r="EO192" t="s">
        <v>3399</v>
      </c>
      <c r="EQ192" t="s">
        <v>274</v>
      </c>
      <c r="ER192" t="s">
        <v>275</v>
      </c>
      <c r="ES192" s="9">
        <v>43182</v>
      </c>
      <c r="ET192" t="s">
        <v>3400</v>
      </c>
      <c r="IC192" s="4"/>
    </row>
    <row r="193" spans="1:263" ht="15" customHeight="1">
      <c r="A193" s="2">
        <v>102024043</v>
      </c>
      <c r="B193" t="s">
        <v>5084</v>
      </c>
      <c r="D193" s="1"/>
      <c r="E193" s="3"/>
      <c r="G193" s="3"/>
      <c r="J193" t="s">
        <v>554</v>
      </c>
      <c r="K193" t="s">
        <v>511</v>
      </c>
      <c r="L193" t="s">
        <v>5183</v>
      </c>
      <c r="M193" t="s">
        <v>598</v>
      </c>
      <c r="O193" s="3"/>
      <c r="P193" t="s">
        <v>511</v>
      </c>
      <c r="Q193" t="s">
        <v>5197</v>
      </c>
      <c r="R193" t="s">
        <v>396</v>
      </c>
      <c r="AG193" s="43"/>
      <c r="AK193" s="1"/>
      <c r="AM193"/>
      <c r="AN193"/>
      <c r="AO193" t="s">
        <v>5198</v>
      </c>
      <c r="AP193" s="1" t="s">
        <v>258</v>
      </c>
      <c r="AQ193" t="s">
        <v>300</v>
      </c>
      <c r="AR193" t="s">
        <v>260</v>
      </c>
      <c r="AX193" s="1"/>
      <c r="AY193" s="1"/>
      <c r="AZ193" s="1"/>
      <c r="BA193" s="1"/>
      <c r="BB193" s="1"/>
      <c r="BC193" s="2"/>
      <c r="BD193" s="116"/>
      <c r="BE193" s="115"/>
      <c r="BF193" s="2"/>
      <c r="BG193" s="2"/>
      <c r="BH193" s="2"/>
      <c r="BI193" s="2"/>
      <c r="BJ193" s="2"/>
      <c r="BK193" s="2"/>
      <c r="BL193" s="20">
        <f ca="1">SUM(EB193)+220</f>
        <v>3591.2639999999997</v>
      </c>
      <c r="BM193" s="22">
        <f ca="1">PMT(10%/12,12,BL193,0,0)</f>
        <v>-315.72916083719315</v>
      </c>
      <c r="BN193" s="22">
        <f ca="1">SUM(BM193*-1)</f>
        <v>315.72916083719315</v>
      </c>
      <c r="BO193" s="14">
        <f>SUM(EJ193*0.0052)/12</f>
        <v>94.206666666666663</v>
      </c>
      <c r="BP193" s="22">
        <f ca="1">SUM(BN193+BO193)</f>
        <v>409.9358275038598</v>
      </c>
      <c r="BQ193" s="14"/>
      <c r="BR193" s="14">
        <f>SUM(BQ193*0.1)</f>
        <v>0</v>
      </c>
      <c r="BS193" s="14">
        <f ca="1">SUM(BT193*BU193)</f>
        <v>0</v>
      </c>
      <c r="BT193" s="17">
        <f>SUM((BQ193+BR193)*0.00833333333333333)</f>
        <v>0</v>
      </c>
      <c r="BU193" s="23">
        <f ca="1">MONTH(TODAY())+61</f>
        <v>65</v>
      </c>
      <c r="BV193" s="14">
        <f ca="1">SUM(BQ193,BR193,BS193)</f>
        <v>0</v>
      </c>
      <c r="BW193" s="14"/>
      <c r="BX193" s="14">
        <f>SUM(BW193*0.1)</f>
        <v>0</v>
      </c>
      <c r="BY193" s="14">
        <f ca="1">SUM(BZ193*CA193)</f>
        <v>0</v>
      </c>
      <c r="BZ193" s="17">
        <f>SUM((BW193+BX193)*0.00833333333333333)</f>
        <v>0</v>
      </c>
      <c r="CA193" s="23">
        <f ca="1">MONTH(TODAY())+49</f>
        <v>53</v>
      </c>
      <c r="CB193" s="14">
        <f ca="1">SUM(BW193,BX193,BY193)</f>
        <v>0</v>
      </c>
      <c r="CC193" s="14">
        <v>0</v>
      </c>
      <c r="CD193" s="14">
        <f>SUM(CC193*0.1)</f>
        <v>0</v>
      </c>
      <c r="CE193" s="14">
        <f ca="1">SUM(CF193*CG193)</f>
        <v>0</v>
      </c>
      <c r="CF193" s="17">
        <f>SUM((CC193+CD193)*0.00833333333333333)</f>
        <v>0</v>
      </c>
      <c r="CG193" s="23">
        <f ca="1">MONTH(TODAY())+37</f>
        <v>41</v>
      </c>
      <c r="CH193" s="14">
        <f ca="1">SUM(CC193,CD193,CE193)</f>
        <v>0</v>
      </c>
      <c r="CI193" s="14">
        <f>SUM(EG193*0.0052)</f>
        <v>826.8</v>
      </c>
      <c r="CJ193" s="14">
        <f>SUM(CI193*0.1)</f>
        <v>82.68</v>
      </c>
      <c r="CK193" s="14">
        <f ca="1">SUM(CL193*CM193)</f>
        <v>219.79099999999991</v>
      </c>
      <c r="CL193" s="17">
        <f>SUM((CI193+CJ193)*0.00833333333333333)</f>
        <v>7.5789999999999971</v>
      </c>
      <c r="CM193" s="23">
        <f ca="1">MONTH(TODAY())+25</f>
        <v>29</v>
      </c>
      <c r="CN193" s="14">
        <f ca="1">SUM(CI193,CJ193,CK193)</f>
        <v>1129.271</v>
      </c>
      <c r="CO193" s="14">
        <f>SUM(EG193*0.0052)/2</f>
        <v>413.4</v>
      </c>
      <c r="CP193" s="14">
        <f>SUM(CO193*0.1)</f>
        <v>41.34</v>
      </c>
      <c r="CQ193" s="14">
        <f ca="1">SUM(CR193*CS193)</f>
        <v>79.579499999999967</v>
      </c>
      <c r="CR193" s="17">
        <f>SUM((CO193+CP193)*0.00833333333333333)</f>
        <v>3.7894999999999985</v>
      </c>
      <c r="CS193" s="23">
        <f ca="1">MONTH(TODAY())+17</f>
        <v>21</v>
      </c>
      <c r="CT193" s="23">
        <f ca="1">SUM(CO193,CP193,CQ193)</f>
        <v>534.31949999999995</v>
      </c>
      <c r="CU193" s="14">
        <f>SUM(EG193*0.0052)/2</f>
        <v>413.4</v>
      </c>
      <c r="CV193" s="14">
        <f>SUM(CU193*0.1)</f>
        <v>41.34</v>
      </c>
      <c r="CW193" s="14">
        <f ca="1">SUM(CX193*CY193)</f>
        <v>64.42149999999998</v>
      </c>
      <c r="CX193" s="17">
        <f>SUM((CU193+CV193)*0.00833333333333333)</f>
        <v>3.7894999999999985</v>
      </c>
      <c r="CY193" s="23">
        <f ca="1">MONTH(TODAY())+13</f>
        <v>17</v>
      </c>
      <c r="CZ193" s="23">
        <f ca="1">SUM(CU193,CV193,CW193)</f>
        <v>519.16149999999993</v>
      </c>
      <c r="DA193" s="14">
        <f>SUM(EJ193*0.0045)/2</f>
        <v>489.15</v>
      </c>
      <c r="DB193" s="14">
        <f>SUM(DA193*0.1)</f>
        <v>48.914999999999999</v>
      </c>
      <c r="DC193" s="14">
        <f ca="1">SUM(DD193*DE193)</f>
        <v>49.322624999999974</v>
      </c>
      <c r="DD193" s="17">
        <f>SUM((DA193+DB193)*0.00833333333333333)</f>
        <v>4.4838749999999976</v>
      </c>
      <c r="DE193" s="23">
        <f ca="1">MONTH(TODAY())+7</f>
        <v>11</v>
      </c>
      <c r="DF193" s="23">
        <f ca="1">SUM(DA193,DB193,DC193)</f>
        <v>587.38762499999996</v>
      </c>
      <c r="DG193" s="14">
        <f>SUM(EJ193*0.0045)/2</f>
        <v>489.15</v>
      </c>
      <c r="DH193" s="14">
        <f>SUM(DG193*0.1)</f>
        <v>48.914999999999999</v>
      </c>
      <c r="DI193" s="14">
        <f ca="1">SUM(DJ193*DK193)</f>
        <v>22.419374999999988</v>
      </c>
      <c r="DJ193" s="17">
        <f>SUM((DG193+DH193)*0.00833333333333333)</f>
        <v>4.4838749999999976</v>
      </c>
      <c r="DK193" s="23">
        <f ca="1">MONTH(TODAY())+1</f>
        <v>5</v>
      </c>
      <c r="DL193" s="14">
        <f ca="1">SUM(DG193,DH193,DI193)</f>
        <v>560.48437499999989</v>
      </c>
      <c r="DM193" s="14">
        <f>SUM( BQ193, BW193, CC193, CI193, CO193,CU193,DA193,DG193)</f>
        <v>2631.9</v>
      </c>
      <c r="DN193" s="14">
        <f>SUM(BR193,BX193,CD193,CJ193, CP193,CV193,DB193,DH193)</f>
        <v>263.19</v>
      </c>
      <c r="DO193" s="14">
        <f ca="1">SUM(BS193,BY193,CE193,CK193, CQ193,CW193,DC193,DI193)</f>
        <v>435.53399999999982</v>
      </c>
      <c r="DP193" s="25">
        <f ca="1">SUM(DM193:DO193)</f>
        <v>3330.6239999999998</v>
      </c>
      <c r="DQ193" s="47">
        <f ca="1">SUM(DP193/EG193)</f>
        <v>2.0947320754716978E-2</v>
      </c>
      <c r="DR193" s="14">
        <v>40</v>
      </c>
      <c r="DS193" s="32">
        <f>COUNTIF(AO193, "*")+COUNTIF(AJ193, "*")+COUNTIF(AA193, "*")+COUNTIF(EU193, "*")+COUNTIF(FA193, "*")+COUNTIF(FG193, "*")+COUNTIF(FK193, "*")+COUNTIF(FR193, "*")+COUNTIF(AT193, "*")+COUNTIF(GA193, "*")+COUNTIF(GL193, "*")+COUNTIF(GW193, "*")+COUNTIF(HE193, "*")+COUNTIF(HM193, "*")+COUNTIF(HU193, "*")</f>
        <v>1</v>
      </c>
      <c r="DT193" s="14">
        <f>DS193*0.64</f>
        <v>0.64</v>
      </c>
      <c r="DU193" s="4"/>
      <c r="DV193" s="4"/>
      <c r="DW193" s="4"/>
      <c r="DX193" s="4"/>
      <c r="DZ193" s="4"/>
      <c r="EA193" s="14">
        <f>SUM(DV193:DZ193)</f>
        <v>0</v>
      </c>
      <c r="EB193" s="14">
        <f ca="1">SUM(DP193,DR193,EA193, DU193, DT193,FX193)</f>
        <v>3371.2639999999997</v>
      </c>
      <c r="EC193" s="24" t="s">
        <v>4944</v>
      </c>
      <c r="ED193" s="130">
        <v>0.53</v>
      </c>
      <c r="EE193" s="14">
        <v>25000</v>
      </c>
      <c r="EF193" s="14">
        <v>134000</v>
      </c>
      <c r="EG193" s="14">
        <f>SUM(EE193+EF193)</f>
        <v>159000</v>
      </c>
      <c r="EH193" s="14">
        <v>45000</v>
      </c>
      <c r="EI193" s="14">
        <v>172400</v>
      </c>
      <c r="EJ193" s="14">
        <f>SUM(EH193+EI193)</f>
        <v>217400</v>
      </c>
      <c r="FX193" s="4"/>
      <c r="HY193" s="9"/>
      <c r="IJ193" s="4"/>
      <c r="IK193" s="4"/>
      <c r="IL193" s="4"/>
      <c r="IM193" s="9"/>
      <c r="IN193" s="9"/>
      <c r="IO193" s="9"/>
      <c r="IP193" s="9"/>
      <c r="IQ193" s="9"/>
    </row>
    <row r="194" spans="1:263" ht="15" customHeight="1">
      <c r="A194" s="2">
        <v>102019075</v>
      </c>
      <c r="B194" s="4" t="s">
        <v>1449</v>
      </c>
      <c r="D194" s="3"/>
      <c r="E194" s="3"/>
      <c r="F194" s="3"/>
      <c r="G194" s="3"/>
      <c r="H194" s="3"/>
      <c r="J194" t="s">
        <v>554</v>
      </c>
      <c r="K194" t="s">
        <v>1039</v>
      </c>
      <c r="L194" t="s">
        <v>1450</v>
      </c>
      <c r="M194" t="s">
        <v>396</v>
      </c>
      <c r="O194" s="1"/>
      <c r="P194" t="s">
        <v>1039</v>
      </c>
      <c r="Q194" t="s">
        <v>1113</v>
      </c>
      <c r="R194" t="s">
        <v>976</v>
      </c>
      <c r="T194" s="1"/>
      <c r="AX194" s="9"/>
      <c r="AY194" s="9"/>
      <c r="AZ194" s="9"/>
      <c r="BA194" s="9"/>
      <c r="BC194" s="9"/>
      <c r="BD194" s="9"/>
      <c r="BE194" s="9"/>
      <c r="BG194" s="66"/>
      <c r="BH194" s="66"/>
      <c r="BI194" s="66"/>
      <c r="BK194" s="66"/>
      <c r="BL194" s="66"/>
      <c r="BO194" s="66"/>
      <c r="BQ194" s="66"/>
      <c r="BR194" s="66"/>
      <c r="BU194" s="66"/>
      <c r="BW194" s="66"/>
      <c r="BX194" s="66"/>
      <c r="CA194" s="66"/>
      <c r="CC194" s="66"/>
      <c r="CD194" s="66"/>
      <c r="CG194" s="66"/>
      <c r="CH194" s="66"/>
      <c r="CI194" s="66"/>
      <c r="CJ194" s="66"/>
      <c r="CM194" s="66"/>
      <c r="CN194" s="66"/>
      <c r="CO194" s="66"/>
      <c r="CP194" s="66"/>
      <c r="CS194" s="66"/>
      <c r="CT194" s="66"/>
      <c r="CU194" s="66"/>
      <c r="CV194" s="66"/>
      <c r="CY194" s="66"/>
      <c r="CZ194" s="66"/>
      <c r="DA194" s="66"/>
      <c r="DB194" s="66"/>
      <c r="DE194" s="66"/>
      <c r="DF194" s="66"/>
      <c r="DG194" s="66"/>
      <c r="DH194" s="66"/>
      <c r="DI194" s="66"/>
      <c r="DJ194" s="66"/>
      <c r="DL194" s="66"/>
      <c r="DN194" s="66"/>
      <c r="DO194" s="66"/>
      <c r="DP194" s="66"/>
      <c r="DS194" s="66"/>
      <c r="DT194" s="66"/>
      <c r="DU194" s="66"/>
      <c r="DV194" s="66"/>
      <c r="DW194" s="66"/>
      <c r="DX194" s="66"/>
      <c r="DY194" s="66"/>
      <c r="FR194" s="9"/>
      <c r="II194" s="9"/>
      <c r="IJ194" s="66"/>
      <c r="IK194" s="66"/>
      <c r="IL194" s="18"/>
      <c r="IM194" s="18"/>
      <c r="IN194" s="14">
        <v>128.33000000000001</v>
      </c>
      <c r="IO194" s="14"/>
      <c r="IP194" s="18"/>
      <c r="IQ194" s="18"/>
      <c r="IR194" s="18"/>
      <c r="IS194" s="18"/>
      <c r="IT194" s="18"/>
    </row>
    <row r="195" spans="1:263" ht="15" customHeight="1">
      <c r="A195" s="2">
        <v>102020070</v>
      </c>
      <c r="B195" t="s">
        <v>1722</v>
      </c>
      <c r="D195" s="1"/>
      <c r="E195" t="s">
        <v>1823</v>
      </c>
      <c r="F195">
        <v>200002167</v>
      </c>
      <c r="K195" t="s">
        <v>1723</v>
      </c>
      <c r="T195" s="1"/>
      <c r="AG195" s="248"/>
      <c r="AH195" s="4"/>
      <c r="AI195" s="4"/>
      <c r="AJ195" s="4"/>
      <c r="AK195" s="4"/>
      <c r="AO195" s="4"/>
      <c r="AP195" s="5"/>
      <c r="AQ195" s="34"/>
      <c r="AS195" s="1"/>
      <c r="AT195" s="1"/>
      <c r="AU195" s="29"/>
      <c r="AV195" s="1"/>
      <c r="AW195" s="1"/>
      <c r="AX195" s="1"/>
      <c r="AY195" s="1"/>
      <c r="AZ195" s="1"/>
      <c r="BA195" s="1"/>
      <c r="BB195" s="1"/>
      <c r="BC195" s="1"/>
      <c r="BD195" s="1"/>
      <c r="BE195" s="1"/>
      <c r="BF195" s="1"/>
      <c r="BG195" s="5"/>
      <c r="BH195" s="16"/>
      <c r="BI195" s="16"/>
      <c r="BJ195" s="4"/>
      <c r="BK195" s="4"/>
      <c r="BL195" s="4"/>
      <c r="BM195" s="6"/>
      <c r="BN195" s="7"/>
      <c r="BO195" s="4"/>
      <c r="BP195" s="4"/>
      <c r="BQ195" s="4"/>
      <c r="BR195" s="4"/>
      <c r="BS195" s="6"/>
      <c r="BT195" s="7"/>
      <c r="BU195" s="4"/>
      <c r="BV195" s="4"/>
      <c r="BW195" s="4"/>
      <c r="BX195" s="4"/>
      <c r="BY195" s="6"/>
      <c r="BZ195" s="7"/>
      <c r="CA195" s="4"/>
      <c r="CB195" s="4"/>
      <c r="CC195" s="4"/>
      <c r="CD195" s="4"/>
      <c r="CE195" s="6"/>
      <c r="CF195" s="7"/>
      <c r="CG195" s="4"/>
      <c r="CH195" s="4"/>
      <c r="CI195" s="4"/>
      <c r="CJ195" s="4"/>
      <c r="CK195" s="6"/>
      <c r="CL195" s="7"/>
      <c r="CM195" s="4"/>
      <c r="CN195" s="4"/>
      <c r="CO195" s="4"/>
      <c r="CP195" s="4"/>
      <c r="CQ195" s="6"/>
      <c r="CR195" s="7"/>
      <c r="CS195" s="4"/>
      <c r="CT195" s="4"/>
      <c r="CU195" s="4"/>
      <c r="CV195" s="4"/>
      <c r="CW195" s="6"/>
      <c r="CX195" s="7"/>
      <c r="CY195" s="4"/>
      <c r="CZ195" s="4"/>
      <c r="DA195" s="4"/>
      <c r="DB195" s="4"/>
      <c r="DC195" s="4"/>
      <c r="DE195" s="4"/>
      <c r="DF195" s="234"/>
      <c r="DG195" s="4"/>
      <c r="DH195" s="4"/>
      <c r="DI195" s="4"/>
      <c r="DJ195" s="7"/>
      <c r="DK195" s="7"/>
      <c r="DL195" s="4"/>
      <c r="DM195" s="4"/>
      <c r="DN195" s="8"/>
      <c r="DO195" s="4"/>
      <c r="DP195" s="8"/>
      <c r="DQ195" s="8"/>
      <c r="DR195" s="8"/>
      <c r="DS195" s="35"/>
      <c r="DZ195" s="11"/>
      <c r="EF195" s="4"/>
      <c r="EG195" s="4"/>
      <c r="EH195" s="11"/>
      <c r="EI195" s="4"/>
      <c r="EJ195" s="4"/>
      <c r="EK195" s="4"/>
      <c r="EL195" s="4"/>
      <c r="EM195" s="4"/>
      <c r="EN195" s="4"/>
      <c r="EO195" s="4"/>
      <c r="EP195" s="4"/>
      <c r="EQ195" s="4"/>
      <c r="ER195" s="4"/>
      <c r="ES195" s="4"/>
      <c r="ET195" s="4"/>
      <c r="EU195" s="4"/>
      <c r="EV195" s="4"/>
      <c r="FB195" s="9"/>
      <c r="FK195" s="9"/>
      <c r="FQ195" s="4"/>
      <c r="FT195" s="10"/>
      <c r="GD195" s="10"/>
      <c r="GS195" s="9"/>
      <c r="IC195" s="4"/>
      <c r="ID195" s="4"/>
      <c r="IE195" s="9"/>
    </row>
    <row r="196" spans="1:263" ht="15" customHeight="1">
      <c r="A196" s="2">
        <v>102019023</v>
      </c>
      <c r="B196" s="4" t="s">
        <v>1336</v>
      </c>
      <c r="C196" s="4"/>
      <c r="D196" s="3"/>
      <c r="E196" s="3"/>
      <c r="K196" t="s">
        <v>1337</v>
      </c>
      <c r="O196" s="1"/>
      <c r="T196" s="1"/>
      <c r="X196" s="18"/>
      <c r="Y196" s="18"/>
      <c r="Z196" s="18"/>
      <c r="AA196" s="18"/>
      <c r="AB196" s="18"/>
      <c r="AC196" s="18"/>
      <c r="AD196" s="18"/>
      <c r="AE196" s="13"/>
      <c r="AF196" s="18"/>
      <c r="AG196" s="24"/>
      <c r="AH196" s="18"/>
      <c r="AI196" s="18"/>
      <c r="AJ196" s="14"/>
      <c r="AK196" s="14"/>
      <c r="AL196" s="14"/>
      <c r="AM196" s="63"/>
      <c r="AN196" s="24"/>
      <c r="AO196" s="18"/>
      <c r="AP196" s="13"/>
      <c r="AQ196" s="24"/>
      <c r="AR196" s="63"/>
      <c r="AS196" s="20"/>
      <c r="AT196" s="13"/>
      <c r="AU196" s="13"/>
      <c r="AV196" s="13"/>
      <c r="AW196" s="13"/>
      <c r="AX196" s="21"/>
      <c r="AY196" s="21"/>
      <c r="AZ196" s="21"/>
      <c r="BA196" s="21"/>
      <c r="BB196" s="13"/>
      <c r="BC196" s="27"/>
      <c r="BD196" s="21"/>
      <c r="BE196" s="13"/>
      <c r="BF196" s="13"/>
      <c r="BG196" s="20"/>
      <c r="BH196" s="22"/>
      <c r="BI196" s="22"/>
      <c r="BJ196" s="14"/>
      <c r="BK196" s="14"/>
      <c r="BL196" s="14"/>
      <c r="BM196" s="17"/>
      <c r="BN196" s="23"/>
      <c r="BO196" s="14"/>
      <c r="BP196" s="18"/>
      <c r="BQ196" s="14"/>
      <c r="BR196" s="14"/>
      <c r="BS196" s="17"/>
      <c r="BT196" s="23"/>
      <c r="BU196" s="14"/>
      <c r="BV196" s="14"/>
      <c r="BW196" s="14"/>
      <c r="BX196" s="14"/>
      <c r="BY196" s="6"/>
      <c r="BZ196" s="23"/>
      <c r="CA196" s="14"/>
      <c r="CB196" s="14"/>
      <c r="CC196" s="14"/>
      <c r="CD196" s="14"/>
      <c r="CE196" s="6"/>
      <c r="CF196" s="7"/>
      <c r="CG196" s="14"/>
      <c r="CH196" s="14"/>
      <c r="CI196" s="14"/>
      <c r="CJ196" s="14"/>
      <c r="CK196" s="17"/>
      <c r="CL196" s="23"/>
      <c r="CM196" s="14"/>
      <c r="CN196" s="14"/>
      <c r="CO196" s="14"/>
      <c r="CP196" s="14"/>
      <c r="CQ196" s="6"/>
      <c r="CR196" s="7"/>
      <c r="CS196" s="14"/>
      <c r="CT196" s="14"/>
      <c r="CU196" s="14"/>
      <c r="CV196" s="14"/>
      <c r="CW196" s="17"/>
      <c r="CX196" s="23"/>
      <c r="CY196" s="14"/>
      <c r="CZ196" s="14"/>
      <c r="DA196" s="14"/>
      <c r="DB196" s="14"/>
      <c r="DC196" s="17"/>
      <c r="DD196" s="7"/>
      <c r="DE196" s="14"/>
      <c r="DF196" s="4"/>
      <c r="DG196" s="4"/>
      <c r="DH196" s="14"/>
      <c r="DI196" s="14"/>
      <c r="DJ196" s="14"/>
      <c r="DK196" s="24"/>
      <c r="DL196" s="14"/>
      <c r="DM196" s="234"/>
      <c r="DN196" s="14"/>
      <c r="DO196" s="14"/>
      <c r="DP196" s="4"/>
      <c r="DQ196" s="14"/>
      <c r="DR196" s="14"/>
      <c r="DS196" s="14"/>
      <c r="DT196" s="14"/>
      <c r="DU196" s="25"/>
      <c r="DV196" s="14"/>
      <c r="DW196" s="25"/>
      <c r="DX196" s="14"/>
      <c r="DY196" s="14"/>
      <c r="DZ196" s="23"/>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27"/>
      <c r="FJ196" s="28"/>
      <c r="FK196" s="18"/>
      <c r="FL196" s="18"/>
      <c r="FM196" s="18"/>
      <c r="FN196" s="18"/>
      <c r="FO196" s="18"/>
      <c r="FP196" s="18"/>
      <c r="FQ196" s="28"/>
      <c r="FR196" s="27"/>
      <c r="FS196" s="18"/>
      <c r="FT196" s="18"/>
      <c r="FU196" s="18"/>
      <c r="FV196" s="18"/>
      <c r="FW196" s="18"/>
      <c r="FX196" s="14"/>
      <c r="FY196" s="18"/>
      <c r="FZ196" s="18"/>
      <c r="GA196" s="18"/>
      <c r="GB196" s="18"/>
      <c r="GC196" s="18"/>
      <c r="GD196" s="18"/>
      <c r="GE196" s="27"/>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27"/>
      <c r="IJ196" s="4"/>
      <c r="IK196" s="4"/>
      <c r="IL196" s="9"/>
      <c r="IN196" t="s">
        <v>772</v>
      </c>
      <c r="IO196" t="s">
        <v>773</v>
      </c>
      <c r="IP196" t="s">
        <v>386</v>
      </c>
      <c r="IS196" s="4">
        <v>121</v>
      </c>
      <c r="IT196" s="14">
        <f>SUM(IJ196-DP196-IR196)</f>
        <v>0</v>
      </c>
      <c r="IU196" s="27">
        <v>43643</v>
      </c>
      <c r="IV196" s="27">
        <v>43661</v>
      </c>
      <c r="IW196" s="27">
        <v>43699</v>
      </c>
      <c r="IX196" s="27">
        <v>43711</v>
      </c>
    </row>
    <row r="197" spans="1:263" ht="15" customHeight="1">
      <c r="A197" s="2">
        <v>102020069</v>
      </c>
      <c r="B197" t="s">
        <v>1765</v>
      </c>
      <c r="D197" s="1"/>
      <c r="E197" t="s">
        <v>1822</v>
      </c>
      <c r="F197">
        <v>200002166</v>
      </c>
      <c r="K197" t="s">
        <v>1723</v>
      </c>
      <c r="T197" s="1"/>
      <c r="AG197" s="248"/>
      <c r="AJ197" s="4"/>
      <c r="AK197" s="4"/>
      <c r="AO197" s="4"/>
      <c r="AP197" s="5"/>
      <c r="AS197" s="5"/>
      <c r="AT197" s="5"/>
      <c r="AU197" s="1"/>
      <c r="AV197" s="1"/>
      <c r="AW197" s="1"/>
      <c r="AX197" s="1"/>
      <c r="AY197" s="15"/>
      <c r="AZ197" s="1"/>
      <c r="BA197" s="1"/>
      <c r="BB197" s="1"/>
      <c r="BC197" s="1"/>
      <c r="BD197" s="1"/>
      <c r="BE197" s="1"/>
      <c r="BF197" s="1"/>
      <c r="BG197" s="5"/>
      <c r="BH197" s="16"/>
      <c r="BI197" s="16"/>
      <c r="BJ197" s="4"/>
      <c r="BK197" s="4"/>
      <c r="BL197" s="4"/>
      <c r="BM197" s="6"/>
      <c r="BN197" s="7"/>
      <c r="BO197" s="4"/>
      <c r="BP197" s="4"/>
      <c r="BQ197" s="4"/>
      <c r="BR197" s="4"/>
      <c r="BS197" s="6"/>
      <c r="BT197" s="7"/>
      <c r="BU197" s="4"/>
      <c r="BV197" s="4"/>
      <c r="BW197" s="4"/>
      <c r="BX197" s="4"/>
      <c r="BY197" s="6"/>
      <c r="BZ197" s="7"/>
      <c r="CA197" s="4"/>
      <c r="CB197" s="4"/>
      <c r="CC197" s="4"/>
      <c r="CD197" s="4"/>
      <c r="CE197" s="6"/>
      <c r="CF197" s="7"/>
      <c r="CG197" s="4"/>
      <c r="CH197" s="4"/>
      <c r="CI197" s="4"/>
      <c r="CJ197" s="4"/>
      <c r="CK197" s="6"/>
      <c r="CL197" s="7"/>
      <c r="CM197" s="4"/>
      <c r="CN197" s="4"/>
      <c r="CO197" s="4"/>
      <c r="CP197" s="4"/>
      <c r="CQ197" s="6"/>
      <c r="CR197" s="7"/>
      <c r="CS197" s="4"/>
      <c r="CT197" s="4"/>
      <c r="CU197" s="4"/>
      <c r="CV197" s="4"/>
      <c r="CW197" s="6"/>
      <c r="CX197" s="7"/>
      <c r="CY197" s="4"/>
      <c r="CZ197" s="4"/>
      <c r="DA197" s="4"/>
      <c r="DB197" s="4"/>
      <c r="DC197" s="4"/>
      <c r="DD197" s="3"/>
      <c r="DE197" s="4"/>
      <c r="DF197" s="234"/>
      <c r="DG197" s="4"/>
      <c r="DH197" s="4"/>
      <c r="DI197" s="4"/>
      <c r="DJ197" s="4"/>
      <c r="DK197" s="4"/>
      <c r="DL197" s="4"/>
      <c r="DM197" s="7"/>
      <c r="DN197" s="8"/>
      <c r="DO197" s="4"/>
      <c r="DP197" s="8"/>
      <c r="DQ197" s="8"/>
      <c r="DR197" s="8"/>
      <c r="DS197" s="35"/>
      <c r="EB197" s="11"/>
      <c r="EH197" s="11"/>
      <c r="EI197" s="11"/>
      <c r="EJ197" s="4"/>
      <c r="EK197" s="4"/>
      <c r="EL197" s="4"/>
      <c r="EM197" s="4"/>
      <c r="EN197" s="4"/>
      <c r="EO197" s="4"/>
      <c r="EP197" s="4"/>
      <c r="EQ197" s="4"/>
      <c r="ER197" s="4"/>
      <c r="ES197" s="4"/>
      <c r="ET197" s="4"/>
      <c r="EU197" s="4"/>
      <c r="EV197" s="4"/>
      <c r="EW197" s="4"/>
      <c r="EX197" s="4"/>
      <c r="FB197" s="9"/>
      <c r="FK197" s="9"/>
      <c r="FQ197" s="4"/>
      <c r="FV197" s="10"/>
      <c r="GF197" s="10"/>
      <c r="GU197" s="9"/>
      <c r="IC197" s="4"/>
      <c r="ID197" s="4"/>
      <c r="IE197" s="9"/>
    </row>
    <row r="198" spans="1:263" s="18" customFormat="1" ht="15" customHeight="1">
      <c r="A198">
        <v>102024042</v>
      </c>
      <c r="B198" t="s">
        <v>5083</v>
      </c>
      <c r="C198"/>
      <c r="D198" s="1"/>
      <c r="E198" t="s">
        <v>5791</v>
      </c>
      <c r="F198" s="2">
        <v>240002155</v>
      </c>
      <c r="G198" s="3"/>
      <c r="H198"/>
      <c r="I198"/>
      <c r="J198" t="s">
        <v>253</v>
      </c>
      <c r="K198" t="s">
        <v>5194</v>
      </c>
      <c r="L198" t="s">
        <v>5195</v>
      </c>
      <c r="M198"/>
      <c r="N198"/>
      <c r="O198" s="3"/>
      <c r="P198"/>
      <c r="Q198"/>
      <c r="R198"/>
      <c r="S198"/>
      <c r="T198"/>
      <c r="U198"/>
      <c r="V198"/>
      <c r="W198"/>
      <c r="X198"/>
      <c r="Y198"/>
      <c r="Z198"/>
      <c r="AA198"/>
      <c r="AB198"/>
      <c r="AC198"/>
      <c r="AD198"/>
      <c r="AE198"/>
      <c r="AF198"/>
      <c r="AG198" s="43"/>
      <c r="AH198"/>
      <c r="AI198"/>
      <c r="AJ198"/>
      <c r="AK198" s="1"/>
      <c r="AL198"/>
      <c r="AM198"/>
      <c r="AN198"/>
      <c r="AO198" t="s">
        <v>5196</v>
      </c>
      <c r="AP198" s="1" t="s">
        <v>258</v>
      </c>
      <c r="AQ198" t="s">
        <v>290</v>
      </c>
      <c r="AR198" t="s">
        <v>260</v>
      </c>
      <c r="AS198" s="10"/>
      <c r="AT198" s="10"/>
      <c r="AU198" s="10"/>
      <c r="AV198" s="10"/>
      <c r="AW198" s="10"/>
      <c r="AX198" s="1"/>
      <c r="AY198" s="1" t="s">
        <v>258</v>
      </c>
      <c r="AZ198" s="1"/>
      <c r="BA198" s="1"/>
      <c r="BB198" s="1"/>
      <c r="BC198" s="9">
        <v>45418</v>
      </c>
      <c r="BD198" s="144">
        <v>45382</v>
      </c>
      <c r="BE198" s="144">
        <v>45385</v>
      </c>
      <c r="BF198" s="2"/>
      <c r="BG198" s="2"/>
      <c r="BH198" s="2"/>
      <c r="BI198" s="2"/>
      <c r="BJ198" s="70">
        <v>45533</v>
      </c>
      <c r="BK198" s="70" t="s">
        <v>5895</v>
      </c>
      <c r="BL198" s="20">
        <f ca="1">SUM(EH198)+220</f>
        <v>3892.2992000000004</v>
      </c>
      <c r="BM198" s="22">
        <f ca="1">PMT(10%/12,12,BL198,0,0)</f>
        <v>-342.19493753265658</v>
      </c>
      <c r="BN198" s="22">
        <f ca="1">SUM(BM198*-1)</f>
        <v>342.19493753265658</v>
      </c>
      <c r="BO198" s="14">
        <f>SUM(EP198*0.0052)/12</f>
        <v>75.573333333333338</v>
      </c>
      <c r="BP198" s="22">
        <f ca="1">SUM(BN198+BO198)</f>
        <v>417.7682708659899</v>
      </c>
      <c r="BQ198" s="14"/>
      <c r="BR198" s="14">
        <f>SUM(BQ198*0.1)</f>
        <v>0</v>
      </c>
      <c r="BS198" s="14">
        <f ca="1">SUM(BT198*BU198)</f>
        <v>0</v>
      </c>
      <c r="BT198" s="17">
        <f>SUM((BQ198+BR198)*0.00833333333333333)</f>
        <v>0</v>
      </c>
      <c r="BU198" s="23">
        <f ca="1">MONTH(TODAY())+49</f>
        <v>53</v>
      </c>
      <c r="BV198" s="14">
        <f ca="1">SUM(BQ198,BR198,BS198)</f>
        <v>0</v>
      </c>
      <c r="BW198" s="14">
        <v>0</v>
      </c>
      <c r="BX198" s="14">
        <f>SUM(BW198*0.1)</f>
        <v>0</v>
      </c>
      <c r="BY198" s="14">
        <f ca="1">SUM(BZ198*CA198)</f>
        <v>0</v>
      </c>
      <c r="BZ198" s="17">
        <f>SUM((BW198+BX198)*0.00833333333333333)</f>
        <v>0</v>
      </c>
      <c r="CA198" s="23">
        <f ca="1">MONTH(TODAY())+37</f>
        <v>41</v>
      </c>
      <c r="CB198" s="14">
        <f ca="1">SUM(BW198,BX198,BY198)</f>
        <v>0</v>
      </c>
      <c r="CC198" s="14">
        <f>SUM(EM198*0.0052)</f>
        <v>714.48</v>
      </c>
      <c r="CD198" s="14">
        <f>SUM(CC198*0.1)</f>
        <v>71.448000000000008</v>
      </c>
      <c r="CE198" s="14">
        <f ca="1">SUM(CF198*CG198)</f>
        <v>189.93259999999989</v>
      </c>
      <c r="CF198" s="17">
        <f>SUM((CC198+CD198)*0.00833333333333333)</f>
        <v>6.5493999999999968</v>
      </c>
      <c r="CG198" s="23">
        <f ca="1">MONTH(TODAY())+25</f>
        <v>29</v>
      </c>
      <c r="CH198" s="14">
        <f ca="1">SUM(CC198,CD198,CE198)</f>
        <v>975.86059999999986</v>
      </c>
      <c r="CI198" s="14">
        <f>SUM(EM198*0.0052)/2</f>
        <v>357.24</v>
      </c>
      <c r="CJ198" s="14">
        <f>SUM(CI198*0.1)</f>
        <v>35.724000000000004</v>
      </c>
      <c r="CK198" s="14">
        <f ca="1">SUM(CL198*CM198)</f>
        <v>68.768699999999967</v>
      </c>
      <c r="CL198" s="17">
        <f>SUM((CI198+CJ198)*0.00833333333333333)</f>
        <v>3.2746999999999984</v>
      </c>
      <c r="CM198" s="23">
        <f ca="1">MONTH(TODAY())+17</f>
        <v>21</v>
      </c>
      <c r="CN198" s="23">
        <f ca="1">SUM(CI198,CJ198,CK198)</f>
        <v>461.73269999999997</v>
      </c>
      <c r="CO198" s="14">
        <f>SUM(EM198*0.0052)/2</f>
        <v>357.24</v>
      </c>
      <c r="CP198" s="14">
        <f>SUM(CO198*0.1)</f>
        <v>35.724000000000004</v>
      </c>
      <c r="CQ198" s="14">
        <f ca="1">SUM(CR198*CS198)</f>
        <v>55.66989999999997</v>
      </c>
      <c r="CR198" s="17">
        <f>SUM((CO198+CP198)*0.00833333333333333)</f>
        <v>3.2746999999999984</v>
      </c>
      <c r="CS198" s="23">
        <f ca="1">MONTH(TODAY())+13</f>
        <v>17</v>
      </c>
      <c r="CT198" s="23">
        <f ca="1">SUM(CO198,CP198,CQ198)</f>
        <v>448.63389999999998</v>
      </c>
      <c r="CU198" s="14">
        <f>SUM(EP198*0.0045)/2</f>
        <v>392.4</v>
      </c>
      <c r="CV198" s="14">
        <f>SUM(CU198*0.1)</f>
        <v>39.24</v>
      </c>
      <c r="CW198" s="14">
        <f ca="1">SUM(CX198*CY198)</f>
        <v>39.566999999999979</v>
      </c>
      <c r="CX198" s="17">
        <f>SUM((CU198+CV198)*0.00833333333333333)</f>
        <v>3.5969999999999982</v>
      </c>
      <c r="CY198" s="23">
        <f ca="1">MONTH(TODAY())+7</f>
        <v>11</v>
      </c>
      <c r="CZ198" s="23">
        <f ca="1">SUM(CU198,CV198,CW198)</f>
        <v>471.20699999999999</v>
      </c>
      <c r="DA198" s="14">
        <f>SUM(EP198*0.0045)/2</f>
        <v>392.4</v>
      </c>
      <c r="DB198" s="14">
        <f>SUM(DA198*0.1)</f>
        <v>39.24</v>
      </c>
      <c r="DC198" s="14">
        <f ca="1">SUM(DD198*DE198)</f>
        <v>17.984999999999992</v>
      </c>
      <c r="DD198" s="17">
        <f>SUM((DA198+DB198)*0.00833333333333333)</f>
        <v>3.5969999999999982</v>
      </c>
      <c r="DE198" s="23">
        <f ca="1">MONTH(TODAY())+1</f>
        <v>5</v>
      </c>
      <c r="DF198" s="14">
        <f ca="1">SUM(DA198,DB198,DC198)</f>
        <v>449.625</v>
      </c>
      <c r="DG198" s="14">
        <v>0</v>
      </c>
      <c r="DH198" s="14">
        <f>0</f>
        <v>0</v>
      </c>
      <c r="DI198" s="14">
        <f>0</f>
        <v>0</v>
      </c>
      <c r="DJ198" s="17">
        <f>SUM((DG198+DH198)*0.00833333333333333)</f>
        <v>0</v>
      </c>
      <c r="DK198" s="23">
        <f ca="1">MONTH(TODAY())+7</f>
        <v>11</v>
      </c>
      <c r="DL198" s="23">
        <f>SUM(DG198,DH198,DI198)</f>
        <v>0</v>
      </c>
      <c r="DM198" s="14">
        <f>0</f>
        <v>0</v>
      </c>
      <c r="DN198" s="14">
        <f>0</f>
        <v>0</v>
      </c>
      <c r="DO198" s="14">
        <f ca="1">SUM(DP198*DQ198)</f>
        <v>0</v>
      </c>
      <c r="DP198" s="17">
        <f>SUM((DM198+DN198)*0.00833333333333333)</f>
        <v>0</v>
      </c>
      <c r="DQ198" s="23">
        <f ca="1">MONTH(TODAY())+1</f>
        <v>5</v>
      </c>
      <c r="DR198" s="14">
        <f ca="1">SUM(DM198,DN198,DO198)</f>
        <v>0</v>
      </c>
      <c r="DS198" s="14">
        <f>SUM(BQ198, BW198, CC198, CI198,CO198,CU198,DA198,DG198,DM198)</f>
        <v>2213.7600000000002</v>
      </c>
      <c r="DT198" s="14">
        <f>SUM(BR198,BX198,CD198, CJ198,CP198,CV198,DB198,DH198,DN198)</f>
        <v>221.37600000000003</v>
      </c>
      <c r="DU198" s="14">
        <f ca="1">SUM(BS198,BY198,CE198, CK198,CQ198,CW198,DC198,DI198,DO198)</f>
        <v>371.92319999999984</v>
      </c>
      <c r="DV198" s="25">
        <f ca="1">SUM(DS198:DU198)</f>
        <v>2807.0592000000001</v>
      </c>
      <c r="DW198" s="47">
        <f ca="1">SUM(DV198/EM198)</f>
        <v>2.0429834061135372E-2</v>
      </c>
      <c r="DX198" s="14">
        <f>40+10+200+200+40+40+40</f>
        <v>570</v>
      </c>
      <c r="DY198" s="32">
        <f>COUNTIF(AO198, "*")+COUNTIF(AJ198, "*")+COUNTIF(AA198, "*")+COUNTIF(FA198, "*")+COUNTIF(FG198, "*")+COUNTIF(FM198, "*")+COUNTIF(FQ198, "*")+COUNTIF(FX198, "*")+COUNTIF(AT198, "*")+COUNTIF(GG198, "*")+COUNTIF(GR198, "*")+COUNTIF(HC198, "*")+COUNTIF(HK198, "*")+COUNTIF(HS198, "*")+COUNTIF(IA198, "*")</f>
        <v>2</v>
      </c>
      <c r="DZ198" s="14">
        <f>DY198*0.64+DY198*8</f>
        <v>17.28</v>
      </c>
      <c r="EA198" s="4">
        <v>250</v>
      </c>
      <c r="EB198" s="4">
        <v>27.96</v>
      </c>
      <c r="EC198" s="4"/>
      <c r="ED198" s="4"/>
      <c r="EE198"/>
      <c r="EF198" s="4"/>
      <c r="EG198" s="14">
        <f>SUM(EB198:EF198)</f>
        <v>27.96</v>
      </c>
      <c r="EH198" s="14">
        <f ca="1">SUM(DV198,DX198,EG198, EA198, DZ198,GD198)</f>
        <v>3672.2992000000004</v>
      </c>
      <c r="EI198" s="24" t="s">
        <v>4944</v>
      </c>
      <c r="EJ198" s="130">
        <f>0.09+0.1+0.11+0.12</f>
        <v>0.42</v>
      </c>
      <c r="EK198" s="14">
        <f>1000+21100+1000+1000</f>
        <v>24100</v>
      </c>
      <c r="EL198" s="14">
        <v>113300</v>
      </c>
      <c r="EM198" s="14">
        <f>SUM(EK198+EL198)</f>
        <v>137400</v>
      </c>
      <c r="EN198" s="14">
        <f>1200+37000+1200+1200</f>
        <v>40600</v>
      </c>
      <c r="EO198" s="14">
        <v>133800</v>
      </c>
      <c r="EP198" s="14">
        <f>SUM(EN198+EO198)</f>
        <v>174400</v>
      </c>
      <c r="EQ198" s="10" t="s">
        <v>5262</v>
      </c>
      <c r="ER198" s="10" t="s">
        <v>5263</v>
      </c>
      <c r="ES198" s="10"/>
      <c r="ET198" s="10"/>
      <c r="EU198" s="10"/>
      <c r="EV198" s="10"/>
      <c r="EW198" s="10"/>
      <c r="EX198" s="10"/>
      <c r="EY198"/>
      <c r="EZ198"/>
      <c r="FA198"/>
      <c r="FB198"/>
      <c r="FC198"/>
      <c r="FD198"/>
      <c r="FE198"/>
      <c r="FF198"/>
      <c r="FG198"/>
      <c r="FH198"/>
      <c r="FI198"/>
      <c r="FJ198"/>
      <c r="FK198"/>
      <c r="FL198"/>
      <c r="FM198"/>
      <c r="FN198"/>
      <c r="FO198"/>
      <c r="FP198" t="s">
        <v>5265</v>
      </c>
      <c r="FQ198" t="s">
        <v>5264</v>
      </c>
      <c r="FR198" t="s">
        <v>1287</v>
      </c>
      <c r="FS198" t="s">
        <v>290</v>
      </c>
      <c r="FT198" t="s">
        <v>260</v>
      </c>
      <c r="FU198" s="9">
        <v>42916</v>
      </c>
      <c r="FV198" t="s">
        <v>5266</v>
      </c>
      <c r="FW198"/>
      <c r="FX198"/>
      <c r="FY198"/>
      <c r="FZ198"/>
      <c r="GA198"/>
      <c r="GB198"/>
      <c r="GC198"/>
      <c r="GD198" s="4"/>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s="9"/>
      <c r="IF198"/>
      <c r="IG198"/>
      <c r="IH198"/>
      <c r="II198"/>
      <c r="IJ198"/>
      <c r="IK198"/>
      <c r="IL198"/>
      <c r="IM198"/>
      <c r="IN198" s="4"/>
      <c r="IO198" s="4"/>
      <c r="IP198" s="4"/>
      <c r="IQ198" s="9"/>
      <c r="IR198" s="9"/>
      <c r="IS198" s="9"/>
      <c r="IT198" s="9"/>
      <c r="IU198" s="9"/>
      <c r="IV198"/>
      <c r="IW198"/>
      <c r="IX198"/>
      <c r="IY198"/>
      <c r="IZ198"/>
      <c r="JA198"/>
      <c r="JB198"/>
      <c r="JC198"/>
    </row>
    <row r="199" spans="1:263" ht="15" customHeight="1">
      <c r="A199" s="19">
        <v>102023074</v>
      </c>
      <c r="B199" s="18" t="s">
        <v>4161</v>
      </c>
      <c r="D199" s="1">
        <v>2025</v>
      </c>
      <c r="E199" s="3"/>
      <c r="F199" s="3"/>
      <c r="J199" s="18" t="s">
        <v>554</v>
      </c>
      <c r="K199" s="18" t="s">
        <v>4159</v>
      </c>
      <c r="L199" s="130" t="s">
        <v>4160</v>
      </c>
      <c r="M199" s="130" t="s">
        <v>392</v>
      </c>
      <c r="N199" s="18"/>
      <c r="O199" s="252"/>
      <c r="P199" s="130" t="s">
        <v>4159</v>
      </c>
      <c r="Q199" s="130" t="s">
        <v>4158</v>
      </c>
      <c r="R199" s="130" t="s">
        <v>426</v>
      </c>
      <c r="S199" s="130"/>
      <c r="AG199" s="43"/>
      <c r="AJ199" s="18" t="s">
        <v>328</v>
      </c>
      <c r="AK199" s="18"/>
      <c r="AL199" s="18" t="s">
        <v>290</v>
      </c>
      <c r="AM199" s="18"/>
      <c r="AN199" s="18"/>
      <c r="AO199" s="18" t="s">
        <v>4157</v>
      </c>
      <c r="AP199" s="18" t="s">
        <v>258</v>
      </c>
      <c r="AQ199" s="18" t="s">
        <v>290</v>
      </c>
      <c r="AR199" s="18" t="s">
        <v>260</v>
      </c>
      <c r="AX199" s="1"/>
      <c r="AY199" s="1"/>
      <c r="AZ199" s="1"/>
      <c r="BA199" s="1"/>
      <c r="BB199" s="1"/>
      <c r="BC199" s="2"/>
      <c r="BD199" s="116"/>
      <c r="BE199" s="115"/>
      <c r="BF199" s="2"/>
      <c r="BG199" s="2"/>
      <c r="BH199" s="2"/>
      <c r="BI199" s="2"/>
      <c r="BJ199" s="2"/>
      <c r="BK199" s="2"/>
      <c r="BL199" s="20">
        <f ca="1">SUM(DP199)+220</f>
        <v>251.2672</v>
      </c>
      <c r="BM199" s="22">
        <f ca="1">PMT(10%/12,12,BL199,0,0)</f>
        <v>-22.090378819800268</v>
      </c>
      <c r="BN199" s="22">
        <f ca="1">SUM(BM199*-1)</f>
        <v>22.090378819800268</v>
      </c>
      <c r="BO199" s="14">
        <f>SUM(DX199*0.0052)/12</f>
        <v>0.51999999999999991</v>
      </c>
      <c r="BP199" s="22">
        <f ca="1">SUM(BN199+BO199)</f>
        <v>22.610378819800268</v>
      </c>
      <c r="BQ199" s="14"/>
      <c r="BR199" s="14">
        <f>SUM(BQ199*0.1)</f>
        <v>0</v>
      </c>
      <c r="BS199" s="14">
        <f ca="1">SUM(BT199*BU199)</f>
        <v>0</v>
      </c>
      <c r="BT199" s="17">
        <f>SUM((BQ199+BR199)*0.00833333333333333)</f>
        <v>0</v>
      </c>
      <c r="BU199" s="23">
        <f ca="1">MONTH(TODAY())+49</f>
        <v>53</v>
      </c>
      <c r="BV199" s="14">
        <f ca="1">SUM(BQ199,BR199,BS199)</f>
        <v>0</v>
      </c>
      <c r="BW199" s="14"/>
      <c r="BX199" s="14">
        <f>SUM(BW199*0.1)</f>
        <v>0</v>
      </c>
      <c r="BY199" s="14">
        <f ca="1">SUM(BZ199*CA199)</f>
        <v>0</v>
      </c>
      <c r="BZ199" s="17">
        <f>SUM((BW199+BX199)*0.00833333333333333)</f>
        <v>0</v>
      </c>
      <c r="CA199" s="23">
        <f ca="1">MONTH(TODAY())+37</f>
        <v>41</v>
      </c>
      <c r="CB199" s="14">
        <f ca="1">SUM(BW199,BX199,BY199)</f>
        <v>0</v>
      </c>
      <c r="CC199" s="14">
        <v>0</v>
      </c>
      <c r="CD199" s="14">
        <f>SUM(CC199*0.1)</f>
        <v>0</v>
      </c>
      <c r="CE199" s="14">
        <f ca="1">SUM(CF199*CG199)</f>
        <v>0</v>
      </c>
      <c r="CF199" s="17">
        <f>SUM((CC199+CD199)*0.00833333333333333)</f>
        <v>0</v>
      </c>
      <c r="CG199" s="23">
        <f ca="1">MONTH(TODAY())+25</f>
        <v>29</v>
      </c>
      <c r="CH199" s="14">
        <f ca="1">SUM(CC199,CD199,CE199)</f>
        <v>0</v>
      </c>
      <c r="CI199" s="14">
        <f>SUM(DU199*0.0052)</f>
        <v>4.16</v>
      </c>
      <c r="CJ199" s="14">
        <f>SUM(CI199*0.1)</f>
        <v>0.41600000000000004</v>
      </c>
      <c r="CK199" s="14">
        <f ca="1">SUM(CL199*CM199)</f>
        <v>0.64826666666666655</v>
      </c>
      <c r="CL199" s="17">
        <f>SUM((CI199+CJ199)*0.00833333333333333)</f>
        <v>3.8133333333333325E-2</v>
      </c>
      <c r="CM199" s="23">
        <f ca="1">MONTH(TODAY())+13</f>
        <v>17</v>
      </c>
      <c r="CN199" s="14">
        <f ca="1">SUM(CI199,CJ199,CK199)</f>
        <v>5.2242666666666668</v>
      </c>
      <c r="CO199" s="14">
        <f>SUM(DU199*0.0052)/2</f>
        <v>2.08</v>
      </c>
      <c r="CP199" s="14">
        <f>SUM(CO199*0.1)</f>
        <v>0.20800000000000002</v>
      </c>
      <c r="CQ199" s="14">
        <f ca="1">SUM(CR199*CS199)</f>
        <v>0.17159999999999997</v>
      </c>
      <c r="CR199" s="17">
        <f>SUM((CO199+CP199)*0.00833333333333333)</f>
        <v>1.9066666666666662E-2</v>
      </c>
      <c r="CS199" s="23">
        <f ca="1">MONTH(TODAY())+5</f>
        <v>9</v>
      </c>
      <c r="CT199" s="23">
        <f ca="1">SUM(CO199,CP199,CQ199)</f>
        <v>2.4596</v>
      </c>
      <c r="CU199" s="14">
        <f>SUM(DU199*0.0052)/2</f>
        <v>2.08</v>
      </c>
      <c r="CV199" s="14">
        <f>SUM(CU199*0.1)</f>
        <v>0.20800000000000002</v>
      </c>
      <c r="CW199" s="14">
        <f ca="1">SUM(CX199*CY199)</f>
        <v>9.5333333333333312E-2</v>
      </c>
      <c r="CX199" s="17">
        <f>SUM((CU199+CV199)*0.00833333333333333)</f>
        <v>1.9066666666666662E-2</v>
      </c>
      <c r="CY199" s="23">
        <f ca="1">MONTH(TODAY())+1</f>
        <v>5</v>
      </c>
      <c r="CZ199" s="23">
        <f ca="1">SUM(CU199,CV199,CW199)</f>
        <v>2.3833333333333337</v>
      </c>
      <c r="DA199" s="14">
        <f>SUM( BQ199, BW199, CC199, CI199, CO199,CU199)</f>
        <v>8.32</v>
      </c>
      <c r="DB199" s="14">
        <f>SUM(BR199,BX199,CD199,CJ199, CP199,CV199)</f>
        <v>0.83200000000000007</v>
      </c>
      <c r="DC199" s="14">
        <f ca="1">SUM(BS199,BY199,CE199,CK199, CQ199,CW199)</f>
        <v>0.91519999999999979</v>
      </c>
      <c r="DD199" s="25">
        <f ca="1">SUM(DA199:DC199)</f>
        <v>10.067200000000001</v>
      </c>
      <c r="DE199" s="47">
        <f ca="1">SUM(DD199/DU199)</f>
        <v>1.2584000000000001E-2</v>
      </c>
      <c r="DF199" s="14">
        <v>20</v>
      </c>
      <c r="DG199" s="32">
        <f>COUNTIF(DL199, "*")+COUNTIF(AO199, "*")+COUNTIF(AJ199, "*")+COUNTIF(AA199, "*")+COUNTIF(EM199, "*")+COUNTIF(ES199, "*")+COUNTIF(EY199, "*")+COUNTIF(FC199, "*")+COUNTIF(FJ199, "*")+COUNTIF(AT199, "*")+COUNTIF(FS199, "*")+COUNTIF(GD199, "*")+COUNTIF(GO199, "*")+COUNTIF(GW199, "*")+COUNTIF(HE199, "*")+COUNTIF(HM199, "*")+COUNTIF(HU199, "*")</f>
        <v>2</v>
      </c>
      <c r="DH199" s="14">
        <f>DG199*0.6</f>
        <v>1.2</v>
      </c>
      <c r="DI199" s="4"/>
      <c r="DJ199" s="4"/>
      <c r="DK199" s="4"/>
      <c r="DL199" s="4"/>
      <c r="DN199" s="4"/>
      <c r="DO199" s="14">
        <f>SUM(DJ199:DN199)</f>
        <v>0</v>
      </c>
      <c r="DP199" s="14">
        <f ca="1">SUM(DD199,DF199,DO199, DI199, DH199,FP199)</f>
        <v>31.267199999999999</v>
      </c>
      <c r="DQ199" s="24" t="s">
        <v>3879</v>
      </c>
      <c r="DR199" s="130">
        <v>0.27</v>
      </c>
      <c r="DS199" s="14">
        <v>800</v>
      </c>
      <c r="DT199" s="14">
        <v>0</v>
      </c>
      <c r="DU199" s="14">
        <v>800</v>
      </c>
      <c r="DV199" s="14">
        <v>1200</v>
      </c>
      <c r="DW199" s="14">
        <v>0</v>
      </c>
      <c r="DX199" s="14">
        <f>SUM(DV199+DW199)</f>
        <v>1200</v>
      </c>
      <c r="IA199" s="9"/>
      <c r="IL199" s="14">
        <f ca="1">SUM(IB199-DP199-FP199-IJ199)</f>
        <v>-31.267199999999999</v>
      </c>
      <c r="IM199" s="9"/>
      <c r="IN199" s="9"/>
      <c r="IO199" s="9"/>
      <c r="IP199" s="9"/>
      <c r="IQ199" s="9"/>
    </row>
    <row r="200" spans="1:263" ht="15" customHeight="1">
      <c r="A200" s="2">
        <v>102023016</v>
      </c>
      <c r="B200" t="s">
        <v>4041</v>
      </c>
      <c r="G200" s="3"/>
      <c r="J200" t="s">
        <v>253</v>
      </c>
      <c r="K200" t="s">
        <v>4042</v>
      </c>
      <c r="L200" t="s">
        <v>447</v>
      </c>
      <c r="O200" s="3"/>
      <c r="AG200"/>
      <c r="AJ200" s="18"/>
      <c r="AL200" s="18"/>
      <c r="AM200"/>
      <c r="AN200"/>
      <c r="AO200" t="s">
        <v>4094</v>
      </c>
      <c r="AP200" s="3" t="s">
        <v>258</v>
      </c>
      <c r="AQ200" t="s">
        <v>290</v>
      </c>
      <c r="AR200" t="s">
        <v>260</v>
      </c>
      <c r="AX200" s="1"/>
      <c r="AY200" s="1"/>
      <c r="AZ200" s="1"/>
      <c r="BA200" s="1"/>
      <c r="BB200" s="1"/>
      <c r="BC200" s="2"/>
      <c r="BD200" s="115">
        <v>45060</v>
      </c>
      <c r="BE200" s="115">
        <v>45012</v>
      </c>
      <c r="BF200" s="2"/>
      <c r="BG200" s="2"/>
      <c r="BH200" s="2"/>
      <c r="BI200" s="2"/>
      <c r="BJ200" s="2"/>
      <c r="BK200" s="2"/>
      <c r="BL200" s="20">
        <f ca="1">SUM(EB200)+220</f>
        <v>3341.0681333333332</v>
      </c>
      <c r="BM200" s="22">
        <f ca="1">PMT(10%/12,12,BL200,0,0)</f>
        <v>-293.73296923791196</v>
      </c>
      <c r="BN200" s="22">
        <f ca="1">SUM(BM200*-1)</f>
        <v>293.73296923791196</v>
      </c>
      <c r="BO200" s="14">
        <f>SUM(EJ200*0.0052)/12</f>
        <v>74.273333333333326</v>
      </c>
      <c r="BP200" s="22">
        <f ca="1">SUM(BN200+BO200)</f>
        <v>368.00630257124527</v>
      </c>
      <c r="BQ200" s="14"/>
      <c r="BR200" s="14">
        <f>SUM(BQ200*0.1)</f>
        <v>0</v>
      </c>
      <c r="BS200" s="14">
        <f ca="1">SUM(BT200*BU200)</f>
        <v>0</v>
      </c>
      <c r="BT200" s="17">
        <f>SUM((BQ200+BR200)*0.00833333333333333)</f>
        <v>0</v>
      </c>
      <c r="BU200" s="23">
        <f ca="1">MONTH(TODAY())+49</f>
        <v>53</v>
      </c>
      <c r="BV200" s="14">
        <f ca="1">SUM(BQ200,BR200,BS200)</f>
        <v>0</v>
      </c>
      <c r="BW200" s="14"/>
      <c r="BX200" s="14">
        <f>SUM(BW200*0.1)</f>
        <v>0</v>
      </c>
      <c r="BY200" s="14">
        <f ca="1">SUM(BZ200*CA200)</f>
        <v>0</v>
      </c>
      <c r="BZ200" s="17">
        <f>SUM((BW200+BX200)*0.00833333333333333)</f>
        <v>0</v>
      </c>
      <c r="CA200" s="23">
        <f ca="1">MONTH(TODAY())+37</f>
        <v>41</v>
      </c>
      <c r="CB200" s="14">
        <f ca="1">SUM(BW200,BX200,BY200)</f>
        <v>0</v>
      </c>
      <c r="CC200" s="14">
        <f>SUM(EG200*0.0052)-437.03</f>
        <v>357.53</v>
      </c>
      <c r="CD200" s="14">
        <f>SUM(CC200*0.1)</f>
        <v>35.753</v>
      </c>
      <c r="CE200" s="14">
        <f ca="1">SUM(CF200*CG200)</f>
        <v>95.043391666666622</v>
      </c>
      <c r="CF200" s="17">
        <f>SUM((CC200+CD200)*0.00833333333333333)</f>
        <v>3.2773583333333316</v>
      </c>
      <c r="CG200" s="23">
        <f ca="1">MONTH(TODAY())+25</f>
        <v>29</v>
      </c>
      <c r="CH200" s="14">
        <f ca="1">SUM(CC200,CD200,CE200)</f>
        <v>488.32639166666661</v>
      </c>
      <c r="CI200" s="14">
        <f>SUM(EG200*0.0052)-100</f>
        <v>694.56</v>
      </c>
      <c r="CJ200" s="14">
        <f>SUM(CI200*0.1)</f>
        <v>69.456000000000003</v>
      </c>
      <c r="CK200" s="14">
        <f ca="1">SUM(CL200*CM200)</f>
        <v>108.23559999999995</v>
      </c>
      <c r="CL200" s="17">
        <f>SUM((CI200+CJ200)*0.00833333333333333)</f>
        <v>6.3667999999999969</v>
      </c>
      <c r="CM200" s="23">
        <f ca="1">MONTH(TODAY())+13</f>
        <v>17</v>
      </c>
      <c r="CN200" s="14">
        <f ca="1">SUM(CI200,CJ200,CK200)</f>
        <v>872.25159999999994</v>
      </c>
      <c r="CO200" s="14">
        <f>SUM(EG200*0.0052)/2</f>
        <v>397.28</v>
      </c>
      <c r="CP200" s="14">
        <f>SUM(CO200*0.1)</f>
        <v>39.728000000000002</v>
      </c>
      <c r="CQ200" s="14">
        <f ca="1">SUM(CR200*CS200)</f>
        <v>32.775599999999983</v>
      </c>
      <c r="CR200" s="17">
        <f>SUM((CO200+CP200)*0.00833333333333333)</f>
        <v>3.6417333333333315</v>
      </c>
      <c r="CS200" s="23">
        <f ca="1">MONTH(TODAY())+5</f>
        <v>9</v>
      </c>
      <c r="CT200" s="23">
        <f ca="1">SUM(CO200,CP200,CQ200)</f>
        <v>469.78359999999998</v>
      </c>
      <c r="CU200" s="14">
        <f>SUM(EG200*0.0052)/2</f>
        <v>397.28</v>
      </c>
      <c r="CV200" s="14">
        <f>SUM(CU200*0.1)</f>
        <v>39.728000000000002</v>
      </c>
      <c r="CW200" s="14">
        <f ca="1">SUM(CX200*CY200)</f>
        <v>18.208666666666659</v>
      </c>
      <c r="CX200" s="17">
        <f>SUM((CU200+CV200)*0.00833333333333333)</f>
        <v>3.6417333333333315</v>
      </c>
      <c r="CY200" s="23">
        <f ca="1">MONTH(TODAY())+1</f>
        <v>5</v>
      </c>
      <c r="CZ200" s="23">
        <f ca="1">SUM(CU200,CV200,CW200)</f>
        <v>455.21666666666664</v>
      </c>
      <c r="DA200" s="14">
        <f>SUM(EJ200*0.0045)/2</f>
        <v>385.65</v>
      </c>
      <c r="DB200" s="14">
        <f>SUM(DA200*0.1)</f>
        <v>38.564999999999998</v>
      </c>
      <c r="DC200" s="14">
        <f ca="1">SUM(DD200*DE200)</f>
        <v>-3.5351249999999981</v>
      </c>
      <c r="DD200" s="17">
        <f>SUM((DA200+DB200)*0.00833333333333333)</f>
        <v>3.5351249999999981</v>
      </c>
      <c r="DE200" s="23">
        <f ca="1">MONTH(TODAY())-5</f>
        <v>-1</v>
      </c>
      <c r="DF200" s="23">
        <f ca="1">SUM(DA200,DB200,DC200)</f>
        <v>420.67987499999998</v>
      </c>
      <c r="DG200" s="14">
        <v>0</v>
      </c>
      <c r="DH200" s="14">
        <v>0</v>
      </c>
      <c r="DI200" s="14">
        <v>0</v>
      </c>
      <c r="DJ200" s="17">
        <f>SUM((DG200+DH200)*0.00833333333333333)</f>
        <v>0</v>
      </c>
      <c r="DK200" s="23">
        <f ca="1">MONTH(TODAY())+1</f>
        <v>5</v>
      </c>
      <c r="DL200" s="23">
        <f>SUM(DG200,DH200,DI200)</f>
        <v>0</v>
      </c>
      <c r="DM200" s="14">
        <f>SUM( BQ200, BW200, CC200, CI200, CO200,CU200,DA200,DG200)</f>
        <v>2232.2999999999997</v>
      </c>
      <c r="DN200" s="14">
        <f>SUM(BR200,BX200,CD200,CJ200, CP200,CV200,DB200,DH200)</f>
        <v>223.23000000000002</v>
      </c>
      <c r="DO200" s="14">
        <f ca="1">SUM(BS200,BY200,CE200,CK200, CQ200,CW200,DC200,DI200)</f>
        <v>250.72813333333323</v>
      </c>
      <c r="DP200" s="25">
        <f ca="1">SUM(DM200:DO200)</f>
        <v>2706.2581333333328</v>
      </c>
      <c r="DQ200" s="47">
        <f ca="1">SUM(DP200/EG200)</f>
        <v>1.7711113438045371E-2</v>
      </c>
      <c r="DR200" s="14">
        <f>20+200</f>
        <v>220</v>
      </c>
      <c r="DS200" s="32">
        <f>COUNTIF(DX200, "*")+COUNTIF(AO200, "*")+COUNTIF(AJ200, "*")+COUNTIF(AA200, "*")+COUNTIF(EY200, "*")+COUNTIF(FE200, "*")+COUNTIF(FK200, "*")+COUNTIF(FO200, "*")+COUNTIF(FV200, "*")+COUNTIF(AT200, "*")+COUNTIF(GE200, "*")+COUNTIF(GP200, "*")+COUNTIF(HA200, "*")+COUNTIF(HI200, "*")+COUNTIF(HQ200, "*")+COUNTIF(HY200, "*")+COUNTIF(IG200, "*")</f>
        <v>1</v>
      </c>
      <c r="DT200" s="14">
        <f>DS200*0.6+DS200*7.45</f>
        <v>8.0500000000000007</v>
      </c>
      <c r="DU200" s="4">
        <v>150</v>
      </c>
      <c r="DV200" s="4">
        <v>36.76</v>
      </c>
      <c r="DW200" s="4"/>
      <c r="DX200" s="4"/>
      <c r="DZ200" s="4"/>
      <c r="EA200" s="14">
        <f>SUM(DV200:DZ200)</f>
        <v>36.76</v>
      </c>
      <c r="EB200" s="14">
        <f ca="1">SUM(DP200,DR200,EA200, DU200, DT200,GB200)</f>
        <v>3121.0681333333332</v>
      </c>
      <c r="EC200" s="24" t="s">
        <v>3974</v>
      </c>
      <c r="ED200" s="7">
        <v>0.48</v>
      </c>
      <c r="EE200" s="4">
        <v>27000</v>
      </c>
      <c r="EF200" s="4">
        <v>125800</v>
      </c>
      <c r="EG200" s="14">
        <f>SUM(EE200+EF200)</f>
        <v>152800</v>
      </c>
      <c r="EH200" s="14">
        <v>47000</v>
      </c>
      <c r="EI200" s="14">
        <v>124400</v>
      </c>
      <c r="EJ200" s="14">
        <f>SUM(EH200+EI200)</f>
        <v>171400</v>
      </c>
      <c r="EK200" t="s">
        <v>4569</v>
      </c>
      <c r="EL200" t="s">
        <v>4572</v>
      </c>
      <c r="IM200" s="9"/>
      <c r="IX200" s="14">
        <f ca="1">SUM(IN200-EB200-GB200-IV200)</f>
        <v>-3121.0681333333332</v>
      </c>
      <c r="IY200" s="9"/>
      <c r="IZ200" s="9"/>
      <c r="JA200" s="9"/>
      <c r="JB200" s="9"/>
      <c r="JC200" s="9"/>
    </row>
    <row r="201" spans="1:263" ht="15" customHeight="1">
      <c r="A201" s="19">
        <v>102021097</v>
      </c>
      <c r="B201" s="18" t="s">
        <v>2636</v>
      </c>
      <c r="D201" s="1"/>
      <c r="E201" s="3" t="s">
        <v>3728</v>
      </c>
      <c r="F201" s="3">
        <v>220002139</v>
      </c>
      <c r="G201">
        <v>220003111</v>
      </c>
      <c r="J201" s="18" t="s">
        <v>554</v>
      </c>
      <c r="K201" s="18" t="s">
        <v>2635</v>
      </c>
      <c r="L201" s="18" t="s">
        <v>1200</v>
      </c>
      <c r="M201" s="18" t="s">
        <v>469</v>
      </c>
      <c r="N201" s="18" t="s">
        <v>341</v>
      </c>
      <c r="P201" s="18"/>
      <c r="Q201" s="18"/>
      <c r="AG201" s="43" t="s">
        <v>3804</v>
      </c>
      <c r="AJ201" s="3" t="s">
        <v>2637</v>
      </c>
      <c r="AK201" s="3" t="s">
        <v>258</v>
      </c>
      <c r="AL201" t="s">
        <v>290</v>
      </c>
      <c r="AM201" s="18" t="s">
        <v>260</v>
      </c>
      <c r="AN201"/>
      <c r="AO201" t="s">
        <v>3426</v>
      </c>
      <c r="AP201" t="s">
        <v>258</v>
      </c>
      <c r="AQ201" t="s">
        <v>3168</v>
      </c>
      <c r="AR201" t="s">
        <v>821</v>
      </c>
      <c r="AS201" s="1" t="s">
        <v>258</v>
      </c>
      <c r="AT201" s="1" t="s">
        <v>258</v>
      </c>
      <c r="AU201" s="1"/>
      <c r="AV201" s="1"/>
      <c r="AW201" s="1"/>
      <c r="AX201" s="70">
        <v>44648</v>
      </c>
      <c r="AY201" s="115">
        <v>44598</v>
      </c>
      <c r="AZ201" s="114">
        <v>44615</v>
      </c>
      <c r="BA201" s="2"/>
      <c r="BB201" s="2"/>
      <c r="BC201" s="2"/>
      <c r="BD201" s="2"/>
      <c r="BE201" s="2"/>
      <c r="BF201" s="2"/>
      <c r="BG201" s="20">
        <f ca="1">SUM(DK201)+214.5</f>
        <v>1735.5540083333333</v>
      </c>
      <c r="BH201" s="22">
        <f ca="1">PMT(10%/12,12,BG201,0,0)</f>
        <v>-152.58277047822446</v>
      </c>
      <c r="BI201" s="22">
        <f ca="1">SUM(BH201*-1)</f>
        <v>152.58277047822446</v>
      </c>
      <c r="BJ201" s="14">
        <f>SUM(DU201*0.0052)/12</f>
        <v>10.4</v>
      </c>
      <c r="BK201" s="22">
        <f ca="1">SUM(BI201+BJ201)</f>
        <v>162.98277047822447</v>
      </c>
      <c r="BL201" s="14"/>
      <c r="BM201" s="14">
        <f>SUM(BL201*0.1)</f>
        <v>0</v>
      </c>
      <c r="BN201" s="14">
        <f ca="1">SUM(BO201*BP201)</f>
        <v>0</v>
      </c>
      <c r="BO201" s="17">
        <f>SUM((BL201+BM201)*0.00833333333333333)</f>
        <v>0</v>
      </c>
      <c r="BP201" s="23">
        <f ca="1">MONTH(TODAY())+49</f>
        <v>53</v>
      </c>
      <c r="BQ201" s="14">
        <f ca="1">SUM(BL201,BM201,BN201)</f>
        <v>0</v>
      </c>
      <c r="BR201" s="14"/>
      <c r="BS201" s="14">
        <f>SUM(BR201*0.1)</f>
        <v>0</v>
      </c>
      <c r="BT201" s="14">
        <f ca="1">SUM(BU201*BV201)</f>
        <v>0</v>
      </c>
      <c r="BU201" s="17">
        <f>SUM((BR201+BS201)*0.00833333333333333)</f>
        <v>0</v>
      </c>
      <c r="BV201" s="23">
        <f ca="1">MONTH(TODAY())+37</f>
        <v>41</v>
      </c>
      <c r="BW201" s="14">
        <f ca="1">SUM(BR201,BS201,BT201)</f>
        <v>0</v>
      </c>
      <c r="BX201" s="14">
        <v>92.39</v>
      </c>
      <c r="BY201" s="14">
        <f>SUM(BX201*0.1)</f>
        <v>9.2390000000000008</v>
      </c>
      <c r="BZ201" s="14">
        <f ca="1">SUM(CA201*CB201)</f>
        <v>24.560341666666659</v>
      </c>
      <c r="CA201" s="17">
        <f>SUM((BX201+BY201)*0.00833333333333333)</f>
        <v>0.84690833333333304</v>
      </c>
      <c r="CB201" s="23">
        <f ca="1">MONTH(TODAY())+25</f>
        <v>29</v>
      </c>
      <c r="CC201" s="14">
        <f ca="1">SUM(BX201,BY201,BZ201)</f>
        <v>126.18934166666666</v>
      </c>
      <c r="CD201" s="14">
        <f>SUM(DU201*0.0052)</f>
        <v>124.8</v>
      </c>
      <c r="CE201" s="14">
        <f>SUM(CD201*0.1)</f>
        <v>12.48</v>
      </c>
      <c r="CF201" s="14">
        <f ca="1">SUM(CG201*CH201)</f>
        <v>19.44799999999999</v>
      </c>
      <c r="CG201" s="17">
        <f>SUM((CD201+CE201)*0.00833333333333333)</f>
        <v>1.1439999999999995</v>
      </c>
      <c r="CH201" s="23">
        <f ca="1">MONTH(TODAY())+13</f>
        <v>17</v>
      </c>
      <c r="CI201" s="14">
        <f ca="1">SUM(CD201,CE201,CF201)</f>
        <v>156.72799999999998</v>
      </c>
      <c r="CJ201" s="14">
        <f>SUM(DU201*0.0052)</f>
        <v>124.8</v>
      </c>
      <c r="CK201" s="14">
        <f>SUM(CJ201*0.1)</f>
        <v>12.48</v>
      </c>
      <c r="CL201" s="14">
        <f ca="1">SUM(CM201*CN201)</f>
        <v>5.7199999999999971</v>
      </c>
      <c r="CM201" s="17">
        <f>SUM((CJ201+CK201)*0.00833333333333333)</f>
        <v>1.1439999999999995</v>
      </c>
      <c r="CN201" s="23">
        <f ca="1">MONTH(TODAY())+1</f>
        <v>5</v>
      </c>
      <c r="CO201" s="14">
        <f ca="1">SUM(CJ201,CK201,CL201)</f>
        <v>143</v>
      </c>
      <c r="CP201" s="14">
        <f>SUM(DU201*0.0052)/2-10.4</f>
        <v>52</v>
      </c>
      <c r="CQ201" s="14">
        <f>SUM(CP201*0.1)</f>
        <v>5.2</v>
      </c>
      <c r="CR201" s="14">
        <f ca="1">SUM(CS201*CT201)</f>
        <v>-0.95333333333333292</v>
      </c>
      <c r="CS201" s="17">
        <f>SUM((CP201+CQ201)*0.00833333333333333)</f>
        <v>0.47666666666666646</v>
      </c>
      <c r="CT201" s="23">
        <f ca="1">MONTH(TODAY())-6</f>
        <v>-2</v>
      </c>
      <c r="CU201" s="23">
        <f ca="1">SUM(CP201,CQ201,CR201)</f>
        <v>56.24666666666667</v>
      </c>
      <c r="CV201" s="14">
        <f>SUM(DU201*0.0052)/2</f>
        <v>62.4</v>
      </c>
      <c r="CW201" s="14">
        <v>0</v>
      </c>
      <c r="CX201" s="14">
        <v>0</v>
      </c>
      <c r="CY201" s="17">
        <f>SUM((CV201+CW201)*0.00833333333333333)</f>
        <v>0.5199999999999998</v>
      </c>
      <c r="CZ201" s="23">
        <f ca="1">MONTH(TODAY())-6</f>
        <v>-2</v>
      </c>
      <c r="DA201" s="23">
        <f>SUM(CV201,CW201,CX201)</f>
        <v>62.4</v>
      </c>
      <c r="DB201" s="14">
        <f>SUM(BL201, BR201, BX201, CD201, CJ201, CP201,CV201)</f>
        <v>456.39</v>
      </c>
      <c r="DC201" s="14">
        <f>SUM(BM201, BS201,BY201,CE201,CK201, CQ201,CW201)</f>
        <v>39.399000000000001</v>
      </c>
      <c r="DD201" s="14">
        <f ca="1">SUM(BN201, BT201,BZ201,CF201,CL201, CR201,CX201)</f>
        <v>48.775008333333318</v>
      </c>
      <c r="DE201" s="14">
        <f ca="1">SUM(DB201:DD201)</f>
        <v>544.56400833333328</v>
      </c>
      <c r="DF201" s="47">
        <f ca="1">SUM(DE201/DU201)</f>
        <v>2.2690167013888887E-2</v>
      </c>
      <c r="DG201" s="14">
        <f>19.5+19.5+195+195+58.5+156+58.5+58.5</f>
        <v>760.5</v>
      </c>
      <c r="DH201" s="32">
        <f>COUNTIF(DN201, "*")+COUNTIF(AJ201, "*")+COUNTIF(AO201, "*")+COUNTIF(AA201, "*")+COUNTIF(EK201, "*")+COUNTIF(EQ201, "*")+COUNTIF(EW201, "*")+COUNTIF(FA201, "*")+COUNTIF(FH201, "*")+COUNTIF(FO201, "*")+COUNTIF(FV201, "*")+COUNTIF(GG201, "*")+COUNTIF(GR201, "*")+COUNTIF(GZ201, "*")+COUNTIF(HH201, "*")+COUNTIF(HP201, "*")+COUNTIF(HX201, "*")</f>
        <v>2</v>
      </c>
      <c r="DI201" s="14">
        <f>DH201*0.5+DH201*6.66+7.14</f>
        <v>21.46</v>
      </c>
      <c r="DJ201" s="4">
        <v>150</v>
      </c>
      <c r="DK201" s="14">
        <f ca="1">SUM(DE201,DG201,DQ201, DJ201, DI201,FS201)</f>
        <v>1521.0540083333333</v>
      </c>
      <c r="DL201" s="14">
        <v>44.53</v>
      </c>
      <c r="DM201" s="4"/>
      <c r="DN201" s="4"/>
      <c r="DP201" s="4"/>
      <c r="DQ201" s="14">
        <f>SUM(DL201:DP201)</f>
        <v>44.53</v>
      </c>
      <c r="DR201" s="24" t="s">
        <v>2770</v>
      </c>
      <c r="DS201" s="4">
        <v>18000</v>
      </c>
      <c r="DT201" s="4">
        <v>6000</v>
      </c>
      <c r="DU201" s="25">
        <f>SUM(DS201+DT201)</f>
        <v>24000</v>
      </c>
      <c r="DV201" s="35">
        <v>2.0099999999999998</v>
      </c>
      <c r="DW201" t="s">
        <v>3427</v>
      </c>
      <c r="DX201" t="s">
        <v>3428</v>
      </c>
      <c r="DY201" t="s">
        <v>3429</v>
      </c>
      <c r="IO201" s="4"/>
    </row>
    <row r="202" spans="1:263" ht="15" customHeight="1">
      <c r="A202" s="2">
        <v>102018061</v>
      </c>
      <c r="B202" s="4" t="s">
        <v>441</v>
      </c>
      <c r="C202" s="5"/>
      <c r="D202" s="5"/>
      <c r="E202" s="5"/>
      <c r="F202" s="3"/>
      <c r="G202">
        <v>190001199</v>
      </c>
      <c r="J202" t="s">
        <v>434</v>
      </c>
      <c r="K202" t="s">
        <v>442</v>
      </c>
      <c r="L202" t="s">
        <v>443</v>
      </c>
      <c r="M202" t="s">
        <v>256</v>
      </c>
      <c r="O202" s="1"/>
      <c r="P202" t="s">
        <v>442</v>
      </c>
      <c r="Q202" t="s">
        <v>420</v>
      </c>
      <c r="R202" t="s">
        <v>396</v>
      </c>
      <c r="AJ202" s="4"/>
      <c r="AK202" s="4"/>
      <c r="AL202" s="3"/>
      <c r="AO202" s="4"/>
      <c r="AP202" s="5"/>
      <c r="AQ202" s="34"/>
      <c r="AS202" s="5"/>
      <c r="AT202" s="5"/>
      <c r="AU202" s="1"/>
      <c r="AV202" s="1"/>
      <c r="AW202" s="1"/>
      <c r="AX202" s="1"/>
      <c r="AY202" s="1"/>
      <c r="AZ202" s="1"/>
      <c r="BA202" s="1"/>
      <c r="BB202" s="1"/>
      <c r="BC202" s="1"/>
      <c r="BD202" s="1"/>
      <c r="BE202" s="5"/>
      <c r="BF202" s="16"/>
      <c r="BG202" s="16"/>
      <c r="BI202" s="4"/>
      <c r="BJ202" s="4"/>
      <c r="BK202" s="6"/>
      <c r="BL202" s="7"/>
      <c r="BM202" s="4"/>
      <c r="BO202" s="4"/>
      <c r="BP202" s="4"/>
      <c r="BQ202" s="6"/>
      <c r="BR202" s="7"/>
      <c r="BS202" s="4"/>
      <c r="BU202" s="4"/>
      <c r="BV202" s="4"/>
      <c r="BW202" s="6"/>
      <c r="BX202" s="7"/>
      <c r="BY202" s="4"/>
      <c r="BZ202" s="4"/>
      <c r="CA202" s="4"/>
      <c r="CB202" s="4"/>
      <c r="CC202" s="6"/>
      <c r="CD202" s="7"/>
      <c r="CE202" s="4"/>
      <c r="CF202" s="6"/>
      <c r="CG202" s="4"/>
      <c r="CH202" s="4"/>
      <c r="CI202" s="6"/>
      <c r="CJ202" s="7"/>
      <c r="CK202" s="4"/>
      <c r="CL202" s="4"/>
      <c r="CM202" s="4"/>
      <c r="CN202" s="4"/>
      <c r="CO202" s="6"/>
      <c r="CP202" s="7"/>
      <c r="CQ202" s="4"/>
      <c r="CR202" s="4"/>
      <c r="CS202" s="4"/>
      <c r="CT202" s="4"/>
      <c r="CU202" s="6"/>
      <c r="CV202" s="7"/>
      <c r="CW202" s="4"/>
      <c r="CX202" s="4"/>
      <c r="CY202" s="4"/>
      <c r="CZ202" s="4"/>
      <c r="DA202" s="6"/>
      <c r="DB202" s="7"/>
      <c r="DC202" s="4"/>
      <c r="DD202" s="4"/>
      <c r="DE202" s="4"/>
      <c r="DF202" s="4"/>
      <c r="DG202" s="6"/>
      <c r="DH202" s="7"/>
      <c r="DI202" s="4"/>
      <c r="DJ202" s="4"/>
      <c r="DK202" s="4"/>
      <c r="DL202" s="4"/>
      <c r="DM202" s="4"/>
      <c r="DO202" s="4"/>
      <c r="DQ202" s="4"/>
      <c r="DR202" s="4"/>
      <c r="DS202" s="4"/>
      <c r="DT202" s="4"/>
      <c r="DU202" s="4"/>
      <c r="DV202" s="4"/>
      <c r="DW202" s="4"/>
      <c r="DX202" s="4"/>
      <c r="DY202" s="4"/>
      <c r="DZ202" s="4"/>
      <c r="EA202" s="4"/>
      <c r="EB202" s="7"/>
      <c r="EC202" s="4"/>
      <c r="ED202" s="4"/>
      <c r="EE202" s="3"/>
      <c r="EF202" s="11"/>
      <c r="EG202" s="11"/>
      <c r="EP202" s="11"/>
      <c r="EV202" s="11"/>
      <c r="EW202" s="4"/>
      <c r="EX202" s="4"/>
      <c r="EY202" s="4"/>
      <c r="EZ202" s="4"/>
      <c r="FA202" s="4"/>
      <c r="FB202" s="4"/>
      <c r="FC202" s="4"/>
      <c r="FD202" s="4"/>
      <c r="FE202" s="4"/>
      <c r="FF202" s="4"/>
      <c r="FG202" s="4"/>
      <c r="FH202" s="4"/>
      <c r="FI202" s="4"/>
      <c r="FJ202" s="4"/>
      <c r="FN202" s="9"/>
      <c r="GF202" s="10"/>
      <c r="GP202" s="10"/>
      <c r="HE202" s="9"/>
      <c r="IP202" s="4"/>
    </row>
    <row r="203" spans="1:263" ht="15" customHeight="1">
      <c r="A203" s="19">
        <v>102021009</v>
      </c>
      <c r="B203" s="18" t="s">
        <v>2008</v>
      </c>
      <c r="C203" s="18"/>
      <c r="D203" s="13"/>
      <c r="E203" s="24" t="s">
        <v>2463</v>
      </c>
      <c r="F203" s="24">
        <v>210002686</v>
      </c>
      <c r="G203" s="18">
        <v>210003209</v>
      </c>
      <c r="H203" s="18"/>
      <c r="I203" s="18"/>
      <c r="J203" s="18" t="s">
        <v>554</v>
      </c>
      <c r="K203" s="18" t="s">
        <v>2009</v>
      </c>
      <c r="L203" s="18" t="s">
        <v>1392</v>
      </c>
      <c r="M203" s="18" t="s">
        <v>354</v>
      </c>
      <c r="N203" s="18"/>
      <c r="O203" s="18" t="s">
        <v>258</v>
      </c>
      <c r="P203" s="18" t="s">
        <v>2009</v>
      </c>
      <c r="Q203" s="18" t="s">
        <v>2010</v>
      </c>
      <c r="R203" s="18" t="s">
        <v>537</v>
      </c>
      <c r="S203" s="18"/>
      <c r="T203" s="18"/>
      <c r="U203" s="18"/>
      <c r="V203" s="18"/>
      <c r="W203" s="18"/>
      <c r="X203" s="18"/>
      <c r="Y203" s="18"/>
      <c r="Z203" s="18"/>
      <c r="AA203" s="18"/>
      <c r="AB203" s="18"/>
      <c r="AC203" s="18"/>
      <c r="AD203" s="18" t="s">
        <v>2474</v>
      </c>
      <c r="AE203" s="18" t="s">
        <v>829</v>
      </c>
      <c r="AF203" s="18" t="s">
        <v>2475</v>
      </c>
      <c r="AG203" s="26" t="s">
        <v>2477</v>
      </c>
      <c r="AH203" s="18" t="s">
        <v>2476</v>
      </c>
      <c r="AI203" s="18" t="s">
        <v>349</v>
      </c>
      <c r="AJ203" s="18"/>
      <c r="AK203" s="18"/>
      <c r="AL203" s="18"/>
      <c r="AM203" s="18"/>
      <c r="AN203" s="18"/>
      <c r="AO203" s="24" t="s">
        <v>2137</v>
      </c>
      <c r="AP203" s="24" t="s">
        <v>258</v>
      </c>
      <c r="AQ203" s="18" t="s">
        <v>349</v>
      </c>
      <c r="AR203" s="18" t="s">
        <v>260</v>
      </c>
      <c r="AS203" s="13"/>
      <c r="AT203" s="13"/>
      <c r="AU203" s="13" t="s">
        <v>258</v>
      </c>
      <c r="AV203" s="13" t="s">
        <v>258</v>
      </c>
      <c r="AW203" s="13" t="s">
        <v>258</v>
      </c>
      <c r="AX203" s="48">
        <v>44294</v>
      </c>
      <c r="AY203" s="114">
        <v>44248</v>
      </c>
      <c r="AZ203" s="114">
        <v>44251</v>
      </c>
      <c r="BA203" s="48">
        <v>44330</v>
      </c>
      <c r="BB203" s="19" t="s">
        <v>318</v>
      </c>
      <c r="BC203" s="48">
        <v>44316</v>
      </c>
      <c r="BD203" s="48">
        <v>44323</v>
      </c>
      <c r="BE203" s="19"/>
      <c r="BF203" s="19"/>
      <c r="BG203" s="20">
        <f ca="1">SUM(CY203)+214.5</f>
        <v>3176.6511749999995</v>
      </c>
      <c r="BH203" s="22">
        <f ca="1">PMT(10%/12,12,BG203,0,0)</f>
        <v>-279.27810647037745</v>
      </c>
      <c r="BI203" s="22">
        <f ca="1">SUM(BH203*-1)</f>
        <v>279.27810647037745</v>
      </c>
      <c r="BJ203" s="14">
        <f>SUM(DI203*0.0052)/12</f>
        <v>25.046666666666667</v>
      </c>
      <c r="BK203" s="22">
        <f ca="1">SUM(BI203+BJ203)</f>
        <v>304.32477313704413</v>
      </c>
      <c r="BL203" s="14"/>
      <c r="BM203" s="14">
        <f>SUM(BL203*0.1)</f>
        <v>0</v>
      </c>
      <c r="BN203" s="14">
        <f ca="1">SUM(BO203*BP203)</f>
        <v>0</v>
      </c>
      <c r="BO203" s="17">
        <f>SUM((BL203+BM203)*0.00833333333333333)</f>
        <v>0</v>
      </c>
      <c r="BP203" s="23">
        <f ca="1">MONTH(TODAY())+49</f>
        <v>53</v>
      </c>
      <c r="BQ203" s="14">
        <f ca="1">SUM(BL203,BM203,BN203)</f>
        <v>0</v>
      </c>
      <c r="BR203" s="14">
        <v>204.15</v>
      </c>
      <c r="BS203" s="14">
        <f>SUM(BR203*0.1)</f>
        <v>20.415000000000003</v>
      </c>
      <c r="BT203" s="14">
        <f ca="1">SUM(BU203*BV203)</f>
        <v>76.726374999999962</v>
      </c>
      <c r="BU203" s="17">
        <f>SUM((BR203+BS203)*0.00833333333333333)</f>
        <v>1.8713749999999991</v>
      </c>
      <c r="BV203" s="23">
        <f ca="1">MONTH(TODAY())+37</f>
        <v>41</v>
      </c>
      <c r="BW203" s="14">
        <f ca="1">SUM(BR203,BS203,BT203)</f>
        <v>301.29137499999996</v>
      </c>
      <c r="BX203" s="14">
        <f>SUM(DI203*0.0052)</f>
        <v>300.56</v>
      </c>
      <c r="BY203" s="14">
        <f>SUM(BX203*0.1)</f>
        <v>30.056000000000001</v>
      </c>
      <c r="BZ203" s="14">
        <f ca="1">SUM(CA203*CB203)</f>
        <v>79.898866666666621</v>
      </c>
      <c r="CA203" s="17">
        <f>SUM((BX203+BY203)*0.00833333333333333)</f>
        <v>2.7551333333333319</v>
      </c>
      <c r="CB203" s="23">
        <f ca="1">MONTH(TODAY())+25</f>
        <v>29</v>
      </c>
      <c r="CC203" s="14">
        <f ca="1">SUM(BX203,BY203,BZ203)</f>
        <v>410.51486666666659</v>
      </c>
      <c r="CD203" s="14">
        <f>SUM(DI203*0.0052)</f>
        <v>300.56</v>
      </c>
      <c r="CE203" s="14">
        <f>SUM(CD203*0.1)</f>
        <v>30.056000000000001</v>
      </c>
      <c r="CF203" s="14">
        <f ca="1">SUM(CG203*CH203)</f>
        <v>46.837266666666643</v>
      </c>
      <c r="CG203" s="17">
        <f>SUM((CD203+CE203)*0.00833333333333333)</f>
        <v>2.7551333333333319</v>
      </c>
      <c r="CH203" s="23">
        <f ca="1">MONTH(TODAY())+13</f>
        <v>17</v>
      </c>
      <c r="CI203" s="14">
        <f ca="1">SUM(CD203,CE203,CF203)</f>
        <v>377.45326666666665</v>
      </c>
      <c r="CJ203" s="14">
        <f>SUM(DI203*0.0052)</f>
        <v>300.56</v>
      </c>
      <c r="CK203" s="14">
        <f>SUM(CJ203*0.1)</f>
        <v>30.056000000000001</v>
      </c>
      <c r="CL203" s="14">
        <f ca="1">SUM(CM203*CN203)</f>
        <v>13.775666666666659</v>
      </c>
      <c r="CM203" s="17">
        <f>SUM((CJ203+CK203)*0.00833333333333333)</f>
        <v>2.7551333333333319</v>
      </c>
      <c r="CN203" s="23">
        <f ca="1">MONTH(TODAY())+1</f>
        <v>5</v>
      </c>
      <c r="CO203" s="14">
        <f ca="1">SUM(CJ203,CK203,CL203)</f>
        <v>344.39166666666665</v>
      </c>
      <c r="CP203" s="14">
        <f>SUM(BL203, BR203,BX203,CD203,CJ203)</f>
        <v>1105.83</v>
      </c>
      <c r="CQ203" s="14">
        <f>SUM(BM203, BS203,BY203,CE203,CK203)</f>
        <v>110.583</v>
      </c>
      <c r="CR203" s="14">
        <f ca="1">SUM(BN203, BT203,BZ203,CF203,CL203)</f>
        <v>217.23817499999987</v>
      </c>
      <c r="CS203" s="14">
        <f ca="1">SUM(CP203:CR203)</f>
        <v>1433.651175</v>
      </c>
      <c r="CT203" s="47">
        <f ca="1">SUM(CS203/DI203)</f>
        <v>2.4803653546712802E-2</v>
      </c>
      <c r="CU203" s="14">
        <f>39+195+195+58.5+39</f>
        <v>526.5</v>
      </c>
      <c r="CV203" s="32">
        <f>COUNTIF(DB203, "*")+COUNTIF(AO203, "*")+COUNTIF(AJ203, "*")+COUNTIF(AA203, "*")+COUNTIF(DY203, "*")+COUNTIF(EE203, "*")+COUNTIF(EK203, "*")+COUNTIF(EO203, "*")+COUNTIF(EV203, "*")+COUNTIF(FC203, "*")+COUNTIF(FJ203, "*")+COUNTIF(FU203, "*")+COUNTIF(GF203, "*")+COUNTIF(GN203, "*")+COUNTIF(GV203, "*")+COUNTIF(HD203, "*")+COUNTIF(HL203, "*")</f>
        <v>2</v>
      </c>
      <c r="CW203" s="14">
        <f>CV203*0.5+CV203*6.36</f>
        <v>13.72</v>
      </c>
      <c r="CX203" s="14">
        <v>150</v>
      </c>
      <c r="CY203" s="14">
        <f ca="1">SUM(CS203,CU203,DE203, CX203, CW203,FG203)</f>
        <v>2962.1511749999995</v>
      </c>
      <c r="CZ203" s="14">
        <f>44.53+700</f>
        <v>744.53</v>
      </c>
      <c r="DA203" s="14">
        <v>93.75</v>
      </c>
      <c r="DB203" s="14"/>
      <c r="DC203" s="23"/>
      <c r="DD203" s="25"/>
      <c r="DE203" s="14">
        <f>SUM(CZ203:DD203)</f>
        <v>838.28</v>
      </c>
      <c r="DF203" s="24" t="s">
        <v>1997</v>
      </c>
      <c r="DG203" s="25">
        <v>25000</v>
      </c>
      <c r="DH203" s="25">
        <v>32800</v>
      </c>
      <c r="DI203" s="25">
        <f>SUM(DG203+DH203)</f>
        <v>57800</v>
      </c>
      <c r="DJ203" s="36">
        <v>0.8</v>
      </c>
      <c r="DK203" s="18" t="s">
        <v>2370</v>
      </c>
      <c r="DL203" s="18" t="s">
        <v>2371</v>
      </c>
      <c r="DM203" s="18" t="s">
        <v>2372</v>
      </c>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t="s">
        <v>2373</v>
      </c>
      <c r="EO203" s="18" t="s">
        <v>2374</v>
      </c>
      <c r="EP203" s="18"/>
      <c r="EQ203" s="18" t="s">
        <v>279</v>
      </c>
      <c r="ER203" s="18" t="s">
        <v>268</v>
      </c>
      <c r="ES203" s="27">
        <v>33695</v>
      </c>
      <c r="ET203" s="18" t="s">
        <v>2375</v>
      </c>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4"/>
      <c r="ID203" s="18"/>
      <c r="IE203" s="18"/>
      <c r="IF203" s="18"/>
      <c r="IG203" s="18"/>
      <c r="IH203" s="18"/>
      <c r="IL203" s="18"/>
      <c r="IM203" s="18"/>
      <c r="IN203" s="27">
        <v>43711</v>
      </c>
      <c r="IO203" s="27">
        <v>43803</v>
      </c>
      <c r="IP203" s="18"/>
      <c r="IQ203" s="18"/>
      <c r="IR203" s="18"/>
      <c r="IS203" s="18"/>
      <c r="IT203" s="18"/>
      <c r="IU203" s="18"/>
      <c r="IV203" s="18"/>
      <c r="IW203" s="18"/>
      <c r="IX203" s="18"/>
      <c r="IY203" s="18"/>
    </row>
    <row r="204" spans="1:263" ht="15" customHeight="1">
      <c r="A204" s="2">
        <v>102018017</v>
      </c>
      <c r="B204" s="4" t="s">
        <v>1109</v>
      </c>
      <c r="J204" t="s">
        <v>796</v>
      </c>
      <c r="K204" t="s">
        <v>1110</v>
      </c>
      <c r="L204" t="s">
        <v>944</v>
      </c>
      <c r="O204" s="1"/>
      <c r="T204" s="1"/>
      <c r="AJ204" s="11"/>
      <c r="AK204" s="11"/>
      <c r="AO204" s="4"/>
      <c r="AP204" s="5"/>
      <c r="AQ204" s="34"/>
      <c r="AR204" s="34"/>
      <c r="AS204" s="29"/>
      <c r="AT204" s="1"/>
      <c r="AU204" s="1"/>
      <c r="AV204" s="1"/>
      <c r="AW204" s="1"/>
      <c r="AX204" s="1"/>
      <c r="AY204" s="1"/>
      <c r="AZ204" s="1"/>
      <c r="BA204" s="1"/>
      <c r="BB204" s="1"/>
      <c r="BC204" s="1"/>
      <c r="BD204" s="1"/>
      <c r="BE204" s="1"/>
      <c r="BF204" s="1"/>
      <c r="BG204" s="5"/>
      <c r="BH204" s="16"/>
      <c r="BI204" s="16"/>
      <c r="BK204" s="4"/>
      <c r="BL204" s="4"/>
      <c r="BM204" s="6"/>
      <c r="BN204" s="7"/>
      <c r="BO204" s="4"/>
      <c r="BQ204" s="4"/>
      <c r="BR204" s="4"/>
      <c r="BS204" s="6"/>
      <c r="BT204" s="7"/>
      <c r="BU204" s="4"/>
      <c r="BV204" s="4"/>
      <c r="BW204" s="4"/>
      <c r="BX204" s="4"/>
      <c r="BY204" s="6"/>
      <c r="BZ204" s="7"/>
      <c r="CA204" s="4"/>
      <c r="CC204" s="4"/>
      <c r="CD204" s="4"/>
      <c r="CE204" s="6"/>
      <c r="CF204" s="7"/>
      <c r="CG204" s="4"/>
      <c r="CH204" s="4"/>
      <c r="CI204" s="4"/>
      <c r="CJ204" s="4"/>
      <c r="CK204" s="6"/>
      <c r="CL204" s="7"/>
      <c r="CM204" s="4"/>
      <c r="CN204" s="4"/>
      <c r="CO204" s="4"/>
      <c r="CP204" s="4"/>
      <c r="CQ204" s="6"/>
      <c r="CR204" s="7"/>
      <c r="CS204" s="4"/>
      <c r="CT204" s="4"/>
      <c r="CU204" s="4"/>
      <c r="CV204" s="4"/>
      <c r="CW204" s="6"/>
      <c r="CX204" s="7"/>
      <c r="CY204" s="4"/>
      <c r="CZ204" s="4"/>
      <c r="DA204" s="4"/>
      <c r="DB204" s="4"/>
      <c r="DC204" s="6"/>
      <c r="DD204" s="7"/>
      <c r="DE204" s="4"/>
      <c r="DF204" s="4"/>
      <c r="DG204" s="4"/>
      <c r="DH204" s="4"/>
      <c r="DI204" s="6"/>
      <c r="DJ204" s="7"/>
      <c r="DK204" s="4"/>
      <c r="DL204" s="4"/>
      <c r="DM204" s="4"/>
      <c r="DN204" s="4"/>
      <c r="DO204" s="4"/>
      <c r="DP204" s="4"/>
      <c r="DR204" s="4"/>
      <c r="DS204" s="4"/>
      <c r="DT204" s="4"/>
      <c r="DU204" s="4"/>
      <c r="DV204" s="3"/>
      <c r="DW204" s="3"/>
      <c r="DX204" s="3"/>
      <c r="DY204" s="3"/>
      <c r="DZ204" s="3"/>
      <c r="EA204" s="4"/>
      <c r="EB204" s="4"/>
      <c r="EC204" s="4"/>
      <c r="ED204" s="4"/>
      <c r="EE204" s="4"/>
      <c r="EF204" s="4"/>
      <c r="EG204" s="4"/>
      <c r="EH204" s="4"/>
      <c r="EI204" s="4"/>
      <c r="EJ204" s="4"/>
      <c r="EK204" s="4"/>
      <c r="EL204" s="4"/>
      <c r="EM204" s="4"/>
      <c r="EN204" s="4"/>
      <c r="EO204" s="4"/>
      <c r="EP204" s="4"/>
      <c r="FL204" s="9"/>
      <c r="FM204" s="10"/>
      <c r="FT204" s="10"/>
      <c r="FU204" s="9"/>
      <c r="GG204" s="9"/>
    </row>
    <row r="205" spans="1:263" s="18" customFormat="1" ht="15" customHeight="1">
      <c r="A205" s="19">
        <v>102021077</v>
      </c>
      <c r="B205" s="18" t="s">
        <v>1109</v>
      </c>
      <c r="D205" s="13"/>
      <c r="J205" s="18" t="s">
        <v>311</v>
      </c>
      <c r="K205" s="18" t="s">
        <v>1110</v>
      </c>
      <c r="L205" s="18" t="s">
        <v>944</v>
      </c>
      <c r="AG205" s="26"/>
      <c r="AJ205" s="18" t="s">
        <v>328</v>
      </c>
      <c r="AL205" s="18" t="s">
        <v>349</v>
      </c>
      <c r="AO205" s="24" t="s">
        <v>2562</v>
      </c>
      <c r="AP205" s="24" t="s">
        <v>258</v>
      </c>
      <c r="AQ205" s="18" t="s">
        <v>2563</v>
      </c>
      <c r="AR205" s="18" t="s">
        <v>2564</v>
      </c>
      <c r="AS205" s="13"/>
      <c r="AT205" s="13" t="s">
        <v>258</v>
      </c>
      <c r="AU205" s="13"/>
      <c r="AV205" s="13"/>
      <c r="AW205" s="13"/>
      <c r="AX205" s="70">
        <v>44644</v>
      </c>
      <c r="AY205" s="115">
        <v>44598</v>
      </c>
      <c r="AZ205" s="115">
        <v>44614</v>
      </c>
      <c r="BA205" s="19"/>
      <c r="BB205" s="19"/>
      <c r="BC205" s="19"/>
      <c r="BD205" s="19"/>
      <c r="BE205" s="19"/>
      <c r="BF205" s="19"/>
      <c r="BG205" s="20">
        <f ca="1">SUM(CY205)+214.5</f>
        <v>1549.0050000000001</v>
      </c>
      <c r="BH205" s="22">
        <f ca="1">PMT(10%/12,12,BG205,0,0)</f>
        <v>-136.18214889872104</v>
      </c>
      <c r="BI205" s="22">
        <f ca="1">SUM(BH205*-1)</f>
        <v>136.18214889872104</v>
      </c>
      <c r="BJ205" s="14">
        <f>SUM(DI205*0.0052)/12</f>
        <v>19.5</v>
      </c>
      <c r="BK205" s="22">
        <f ca="1">SUM(BI205+BJ205)</f>
        <v>155.68214889872104</v>
      </c>
      <c r="BL205" s="14"/>
      <c r="BM205" s="14">
        <f>SUM(BL205*0.1)</f>
        <v>0</v>
      </c>
      <c r="BN205" s="14">
        <f ca="1">SUM(BO205*BP205)</f>
        <v>0</v>
      </c>
      <c r="BO205" s="17">
        <f>SUM((BL205+BM205)*0.00833333333333333)</f>
        <v>0</v>
      </c>
      <c r="BP205" s="23">
        <f ca="1">MONTH(TODAY())+49</f>
        <v>53</v>
      </c>
      <c r="BQ205" s="14">
        <f ca="1">SUM(BL205,BM205,BN205)</f>
        <v>0</v>
      </c>
      <c r="BR205" s="14"/>
      <c r="BS205" s="14">
        <f>SUM(BR205*0.1)</f>
        <v>0</v>
      </c>
      <c r="BT205" s="14">
        <f ca="1">SUM(BU205*BV205)</f>
        <v>0</v>
      </c>
      <c r="BU205" s="17">
        <f>SUM((BR205+BS205)*0.00833333333333333)</f>
        <v>0</v>
      </c>
      <c r="BV205" s="23">
        <f ca="1">MONTH(TODAY())+37</f>
        <v>41</v>
      </c>
      <c r="BW205" s="14">
        <f ca="1">SUM(BR205,BS205,BT205)</f>
        <v>0</v>
      </c>
      <c r="BX205" s="14">
        <f>SUM(DI205*0.0052)</f>
        <v>234</v>
      </c>
      <c r="BY205" s="14">
        <f>SUM(BX205*0.1)</f>
        <v>23.400000000000002</v>
      </c>
      <c r="BZ205" s="14">
        <f ca="1">SUM(CA205*CB205)</f>
        <v>62.204999999999963</v>
      </c>
      <c r="CA205" s="17">
        <f>SUM((BX205+BY205)*0.00833333333333333)</f>
        <v>2.1449999999999987</v>
      </c>
      <c r="CB205" s="23">
        <f ca="1">MONTH(TODAY())+25</f>
        <v>29</v>
      </c>
      <c r="CC205" s="14">
        <f ca="1">SUM(BX205,BY205,BZ205)</f>
        <v>319.60499999999996</v>
      </c>
      <c r="CD205" s="14">
        <f>SUM(DI205*0.0052)</f>
        <v>234</v>
      </c>
      <c r="CE205" s="14">
        <f>SUM(CD205*0.1)</f>
        <v>23.400000000000002</v>
      </c>
      <c r="CF205" s="14">
        <f ca="1">SUM(CG205*CH205)</f>
        <v>36.464999999999975</v>
      </c>
      <c r="CG205" s="17">
        <f>SUM((CD205+CE205)*0.00833333333333333)</f>
        <v>2.1449999999999987</v>
      </c>
      <c r="CH205" s="23">
        <f ca="1">MONTH(TODAY())+13</f>
        <v>17</v>
      </c>
      <c r="CI205" s="14">
        <f ca="1">SUM(CD205,CE205,CF205)</f>
        <v>293.86499999999995</v>
      </c>
      <c r="CJ205" s="14">
        <f>SUM(DI205*0.0052)</f>
        <v>234</v>
      </c>
      <c r="CK205" s="14">
        <f>SUM(CJ205*0.1)</f>
        <v>23.400000000000002</v>
      </c>
      <c r="CL205" s="14">
        <f ca="1">SUM(CM205*CN205)</f>
        <v>10.724999999999994</v>
      </c>
      <c r="CM205" s="17">
        <f>SUM((CJ205+CK205)*0.00833333333333333)</f>
        <v>2.1449999999999987</v>
      </c>
      <c r="CN205" s="23">
        <f ca="1">MONTH(TODAY())+1</f>
        <v>5</v>
      </c>
      <c r="CO205" s="14">
        <f ca="1">SUM(CJ205,CK205,CL205)</f>
        <v>268.125</v>
      </c>
      <c r="CP205" s="14">
        <f>SUM(BL205, BR205,BX205,CD205,CJ205)</f>
        <v>702</v>
      </c>
      <c r="CQ205" s="14">
        <f>SUM(BM205, BS205,BY205,CE205,CK205)</f>
        <v>70.2</v>
      </c>
      <c r="CR205" s="14">
        <f ca="1">SUM(BN205, BT205,BZ205,CF205,CL205)</f>
        <v>109.39499999999992</v>
      </c>
      <c r="CS205" s="14">
        <f ca="1">SUM(CP205:CR205)</f>
        <v>881.59500000000003</v>
      </c>
      <c r="CT205" s="47">
        <f ca="1">SUM(CS205/DI205)</f>
        <v>1.9591000000000001E-2</v>
      </c>
      <c r="CU205" s="14">
        <f>19.5+19.5+195</f>
        <v>234</v>
      </c>
      <c r="CV205" s="32">
        <f>COUNTIF(DB205, "*")+COUNTIF(AO205, "*")+COUNTIF(AJ205, "*")+COUNTIF(AA205, "*")+COUNTIF(DY205, "*")+COUNTIF(EE205, "*")+COUNTIF(EK205, "*")+COUNTIF(EO205, "*")+COUNTIF(EV205, "*")+COUNTIF(FC205, "*")+COUNTIF(FJ205, "*")+COUNTIF(FU205, "*")+COUNTIF(GF205, "*")+COUNTIF(GN205, "*")+COUNTIF(GV205, "*")+COUNTIF(HD205, "*")+COUNTIF(HL205, "*")</f>
        <v>2</v>
      </c>
      <c r="CW205" s="14">
        <f>CV205*0.53+CV205*6.66</f>
        <v>14.38</v>
      </c>
      <c r="CX205" s="14">
        <v>150</v>
      </c>
      <c r="CY205" s="14">
        <f ca="1">SUM(CS205,CU205,DE205, CX205, CW205,FG205)</f>
        <v>1334.5050000000001</v>
      </c>
      <c r="CZ205" s="14">
        <v>54.53</v>
      </c>
      <c r="DA205" s="14"/>
      <c r="DB205" s="14"/>
      <c r="DC205" s="23"/>
      <c r="DD205" s="25"/>
      <c r="DE205" s="14">
        <f>SUM(CZ205:DD205)</f>
        <v>54.53</v>
      </c>
      <c r="DF205" s="24" t="s">
        <v>2770</v>
      </c>
      <c r="DG205" s="25">
        <v>45000</v>
      </c>
      <c r="DH205" s="25">
        <v>0</v>
      </c>
      <c r="DI205" s="25">
        <f>SUM(DG205+DH205)</f>
        <v>45000</v>
      </c>
      <c r="DJ205" s="36">
        <v>6.49</v>
      </c>
      <c r="DK205" s="18" t="s">
        <v>3371</v>
      </c>
      <c r="DL205" s="18" t="s">
        <v>3372</v>
      </c>
      <c r="IC205" s="14"/>
      <c r="II205"/>
      <c r="IJ205"/>
      <c r="IK205"/>
      <c r="IP205"/>
      <c r="IQ205"/>
      <c r="IR205"/>
      <c r="IS205"/>
      <c r="IT205"/>
      <c r="IU205"/>
      <c r="IV205"/>
      <c r="IW205"/>
      <c r="IX205"/>
      <c r="IY205"/>
      <c r="IZ205"/>
      <c r="JA205"/>
      <c r="JB205"/>
      <c r="JC205"/>
    </row>
    <row r="206" spans="1:263" ht="15" customHeight="1">
      <c r="A206" s="19">
        <v>102023083</v>
      </c>
      <c r="B206" s="18" t="s">
        <v>4281</v>
      </c>
      <c r="D206" s="1"/>
      <c r="E206" s="3"/>
      <c r="F206" s="3"/>
      <c r="J206" s="18" t="s">
        <v>434</v>
      </c>
      <c r="K206" s="18" t="s">
        <v>4282</v>
      </c>
      <c r="L206" s="130" t="s">
        <v>4283</v>
      </c>
      <c r="M206" s="130" t="s">
        <v>256</v>
      </c>
      <c r="N206" s="18"/>
      <c r="O206" s="252"/>
      <c r="P206" s="130" t="s">
        <v>956</v>
      </c>
      <c r="Q206" s="130" t="s">
        <v>4284</v>
      </c>
      <c r="R206" s="130" t="s">
        <v>598</v>
      </c>
      <c r="S206" s="130"/>
      <c r="AG206" s="43"/>
      <c r="AJ206" s="18" t="s">
        <v>328</v>
      </c>
      <c r="AK206" s="18"/>
      <c r="AL206" s="18" t="s">
        <v>290</v>
      </c>
      <c r="AM206" s="18"/>
      <c r="AN206" s="18"/>
      <c r="AO206" s="18" t="s">
        <v>4285</v>
      </c>
      <c r="AP206" s="18" t="s">
        <v>258</v>
      </c>
      <c r="AQ206" s="18" t="s">
        <v>4286</v>
      </c>
      <c r="AR206" s="18"/>
      <c r="AX206" s="1"/>
      <c r="AY206" s="1"/>
      <c r="AZ206" s="1"/>
      <c r="BA206" s="1"/>
      <c r="BB206" s="1"/>
      <c r="BC206" s="2"/>
      <c r="BD206" s="116"/>
      <c r="BE206" s="115">
        <v>45033</v>
      </c>
      <c r="BF206" s="2"/>
      <c r="BG206" s="2"/>
      <c r="BH206" s="2"/>
      <c r="BI206" s="2"/>
      <c r="BJ206" s="2"/>
      <c r="BK206" s="2"/>
      <c r="BL206" s="20">
        <f ca="1">SUM(DP206)+220</f>
        <v>1585.0347999999999</v>
      </c>
      <c r="BM206" s="22">
        <f ca="1">PMT(10%/12,12,BL206,0,0)</f>
        <v>-139.34974073244081</v>
      </c>
      <c r="BN206" s="22">
        <f ca="1">SUM(BM206*-1)</f>
        <v>139.34974073244081</v>
      </c>
      <c r="BO206" s="14">
        <f>SUM(DX206*0.0052)/12</f>
        <v>38.61</v>
      </c>
      <c r="BP206" s="22">
        <f ca="1">SUM(BN206+BO206)</f>
        <v>177.95974073244082</v>
      </c>
      <c r="BQ206" s="14"/>
      <c r="BR206" s="14">
        <f>SUM(BQ206*0.1)</f>
        <v>0</v>
      </c>
      <c r="BS206" s="14">
        <f ca="1">SUM(BT206*BU206)</f>
        <v>0</v>
      </c>
      <c r="BT206" s="17">
        <f>SUM((BQ206+BR206)*0.00833333333333333)</f>
        <v>0</v>
      </c>
      <c r="BU206" s="23">
        <f ca="1">MONTH(TODAY())+49</f>
        <v>53</v>
      </c>
      <c r="BV206" s="14">
        <f ca="1">SUM(BQ206,BR206,BS206)</f>
        <v>0</v>
      </c>
      <c r="BW206" s="14"/>
      <c r="BX206" s="14">
        <f>SUM(BW206*0.1)</f>
        <v>0</v>
      </c>
      <c r="BY206" s="14">
        <f ca="1">SUM(BZ206*CA206)</f>
        <v>0</v>
      </c>
      <c r="BZ206" s="17">
        <f>SUM((BW206+BX206)*0.00833333333333333)</f>
        <v>0</v>
      </c>
      <c r="CA206" s="23">
        <f ca="1">MONTH(TODAY())+37</f>
        <v>41</v>
      </c>
      <c r="CB206" s="14">
        <f ca="1">SUM(BW206,BX206,BY206)</f>
        <v>0</v>
      </c>
      <c r="CC206" s="14">
        <v>0</v>
      </c>
      <c r="CD206" s="14">
        <f>SUM(CC206*0.1)</f>
        <v>0</v>
      </c>
      <c r="CE206" s="14">
        <f ca="1">SUM(CF206*CG206)</f>
        <v>0</v>
      </c>
      <c r="CF206" s="17">
        <f>SUM((CC206+CD206)*0.00833333333333333)</f>
        <v>0</v>
      </c>
      <c r="CG206" s="23">
        <f ca="1">MONTH(TODAY())+25</f>
        <v>29</v>
      </c>
      <c r="CH206" s="14">
        <f ca="1">SUM(CC206,CD206,CE206)</f>
        <v>0</v>
      </c>
      <c r="CI206" s="14">
        <f>SUM(DU206*0.0052)</f>
        <v>401.44</v>
      </c>
      <c r="CJ206" s="14">
        <f>SUM(CI206*0.1)</f>
        <v>40.144000000000005</v>
      </c>
      <c r="CK206" s="14">
        <f ca="1">SUM(CL206*CM206)</f>
        <v>62.557733333333303</v>
      </c>
      <c r="CL206" s="17">
        <f>SUM((CI206+CJ206)*0.00833333333333333)</f>
        <v>3.6798666666666651</v>
      </c>
      <c r="CM206" s="23">
        <f ca="1">MONTH(TODAY())+13</f>
        <v>17</v>
      </c>
      <c r="CN206" s="14">
        <f ca="1">SUM(CI206,CJ206,CK206)</f>
        <v>504.14173333333332</v>
      </c>
      <c r="CO206" s="14">
        <f>SUM(DU206*0.0052)/2</f>
        <v>200.72</v>
      </c>
      <c r="CP206" s="14">
        <f>SUM(CO206*0.1)</f>
        <v>20.072000000000003</v>
      </c>
      <c r="CQ206" s="14">
        <f ca="1">SUM(CR206*CS206)</f>
        <v>16.559399999999993</v>
      </c>
      <c r="CR206" s="17">
        <f>SUM((CO206+CP206)*0.00833333333333333)</f>
        <v>1.8399333333333325</v>
      </c>
      <c r="CS206" s="23">
        <f ca="1">MONTH(TODAY())+5</f>
        <v>9</v>
      </c>
      <c r="CT206" s="23">
        <f ca="1">SUM(CO206,CP206,CQ206)</f>
        <v>237.35139999999998</v>
      </c>
      <c r="CU206" s="14">
        <f>SUM(DU206*0.0052)/2</f>
        <v>200.72</v>
      </c>
      <c r="CV206" s="14">
        <f>SUM(CU206*0.1)</f>
        <v>20.072000000000003</v>
      </c>
      <c r="CW206" s="14">
        <f ca="1">SUM(CX206*CY206)</f>
        <v>9.199666666666662</v>
      </c>
      <c r="CX206" s="17">
        <f>SUM((CU206+CV206)*0.00833333333333333)</f>
        <v>1.8399333333333325</v>
      </c>
      <c r="CY206" s="23">
        <f ca="1">MONTH(TODAY())+1</f>
        <v>5</v>
      </c>
      <c r="CZ206" s="23">
        <f ca="1">SUM(CU206,CV206,CW206)</f>
        <v>229.99166666666667</v>
      </c>
      <c r="DA206" s="14">
        <f>SUM( BQ206, BW206, CC206, CI206, CO206,CU206)</f>
        <v>802.88</v>
      </c>
      <c r="DB206" s="14">
        <f>SUM(BR206,BX206,CD206,CJ206, CP206,CV206)</f>
        <v>80.288000000000011</v>
      </c>
      <c r="DC206" s="14">
        <f ca="1">SUM(BS206,BY206,CE206,CK206, CQ206,CW206)</f>
        <v>88.316799999999958</v>
      </c>
      <c r="DD206" s="25">
        <f ca="1">SUM(DA206:DC206)</f>
        <v>971.48479999999995</v>
      </c>
      <c r="DE206" s="47">
        <f>SUM(Paid!DV959/DU206)</f>
        <v>0</v>
      </c>
      <c r="DF206" s="14">
        <f>20+200</f>
        <v>220</v>
      </c>
      <c r="DG206" s="32">
        <f>COUNTIF(DL206, "*")+COUNTIF(AO206, "*")+COUNTIF(AJ206, "*")+COUNTIF(AA206, "*")+COUNTIF(EM206, "*")+COUNTIF(ES206, "*")+COUNTIF(EY206, "*")+COUNTIF(FC206, "*")+COUNTIF(FJ206, "*")+COUNTIF(AT206, "*")+COUNTIF(FS206, "*")+COUNTIF(GD206, "*")+COUNTIF(GO206, "*")+COUNTIF(GW206, "*")+COUNTIF(HE206, "*")+COUNTIF(HM206, "*")+COUNTIF(HU206, "*")</f>
        <v>3</v>
      </c>
      <c r="DH206" s="14">
        <f>1.2+DG206*7.45</f>
        <v>23.55</v>
      </c>
      <c r="DI206" s="4">
        <v>150</v>
      </c>
      <c r="DJ206" s="4"/>
      <c r="DK206" s="4"/>
      <c r="DL206" s="4"/>
      <c r="DN206" s="4"/>
      <c r="DO206" s="14">
        <f>SUM(DJ206:DN206)</f>
        <v>0</v>
      </c>
      <c r="DP206" s="14">
        <f ca="1">SUM(DD206,DF206,DO206, DI206, DH206,FP206)</f>
        <v>1365.0347999999999</v>
      </c>
      <c r="DQ206" s="24" t="s">
        <v>3879</v>
      </c>
      <c r="DR206" s="130">
        <v>1.32</v>
      </c>
      <c r="DS206" s="14">
        <v>77200</v>
      </c>
      <c r="DT206" s="14">
        <v>0</v>
      </c>
      <c r="DU206" s="14">
        <v>77200</v>
      </c>
      <c r="DV206" s="14">
        <v>89100</v>
      </c>
      <c r="DW206" s="14">
        <v>0</v>
      </c>
      <c r="DX206" s="14">
        <f>SUM(DV206+DW206)</f>
        <v>89100</v>
      </c>
      <c r="DY206" t="s">
        <v>4649</v>
      </c>
      <c r="DZ206" t="s">
        <v>4650</v>
      </c>
      <c r="EA206" t="s">
        <v>4651</v>
      </c>
      <c r="EK206" t="s">
        <v>4652</v>
      </c>
      <c r="EM206" t="s">
        <v>4653</v>
      </c>
      <c r="EO206" t="s">
        <v>290</v>
      </c>
      <c r="EP206" t="s">
        <v>268</v>
      </c>
      <c r="IA206" s="9"/>
      <c r="IL206" s="14">
        <f ca="1">SUM(IB206-DP206-FP206-IJ206)</f>
        <v>-1365.0347999999999</v>
      </c>
      <c r="IM206" s="9"/>
      <c r="IN206" s="9"/>
      <c r="IO206" s="9"/>
      <c r="IP206" s="9"/>
      <c r="IQ206" s="9"/>
    </row>
    <row r="207" spans="1:263" ht="15" customHeight="1">
      <c r="A207" s="19">
        <v>102023065</v>
      </c>
      <c r="B207" s="18" t="s">
        <v>4190</v>
      </c>
      <c r="D207" s="1">
        <v>2025</v>
      </c>
      <c r="E207" s="3"/>
      <c r="G207" s="3"/>
      <c r="J207" s="18" t="s">
        <v>554</v>
      </c>
      <c r="K207" s="18" t="s">
        <v>4189</v>
      </c>
      <c r="L207" s="18" t="s">
        <v>4046</v>
      </c>
      <c r="M207" s="18" t="s">
        <v>392</v>
      </c>
      <c r="N207" s="18"/>
      <c r="O207" s="24"/>
      <c r="P207" s="18" t="s">
        <v>4189</v>
      </c>
      <c r="Q207" s="18" t="s">
        <v>4188</v>
      </c>
      <c r="R207" s="18" t="s">
        <v>326</v>
      </c>
      <c r="S207" s="18"/>
      <c r="AG207" s="43"/>
      <c r="AJ207" s="18" t="s">
        <v>328</v>
      </c>
      <c r="AK207" s="18"/>
      <c r="AL207" s="18" t="s">
        <v>290</v>
      </c>
      <c r="AM207" s="18"/>
      <c r="AN207" s="18"/>
      <c r="AO207" s="18" t="s">
        <v>4187</v>
      </c>
      <c r="AP207" s="18" t="s">
        <v>258</v>
      </c>
      <c r="AQ207" s="18" t="s">
        <v>290</v>
      </c>
      <c r="AR207" s="18" t="s">
        <v>260</v>
      </c>
      <c r="AX207" s="1"/>
      <c r="AY207" s="1"/>
      <c r="AZ207" s="1"/>
      <c r="BA207" s="1"/>
      <c r="BB207" s="1"/>
      <c r="BC207" s="2"/>
      <c r="BD207" s="116"/>
      <c r="BE207" s="115"/>
      <c r="BF207" s="2"/>
      <c r="BG207" s="2"/>
      <c r="BH207" s="2"/>
      <c r="BI207" s="2"/>
      <c r="BJ207" s="2"/>
      <c r="BK207" s="2"/>
      <c r="BL207" s="20">
        <f ca="1">SUM(EB207)+220</f>
        <v>397.56479999999999</v>
      </c>
      <c r="BM207" s="22">
        <f ca="1">PMT(10%/12,12,BL207,0,0)</f>
        <v>-34.952262123421313</v>
      </c>
      <c r="BN207" s="22">
        <f ca="1">SUM(BM207*-1)</f>
        <v>34.952262123421313</v>
      </c>
      <c r="BO207" s="14">
        <f>SUM(EJ207*0.0052)/12</f>
        <v>3.51</v>
      </c>
      <c r="BP207" s="22">
        <f ca="1">SUM(BN207+BO207)</f>
        <v>38.462262123421311</v>
      </c>
      <c r="BQ207" s="14"/>
      <c r="BR207" s="14">
        <f>SUM(BQ207*0.1)</f>
        <v>0</v>
      </c>
      <c r="BS207" s="14">
        <f ca="1">SUM(BT207*BU207)</f>
        <v>0</v>
      </c>
      <c r="BT207" s="17">
        <f>SUM((BQ207+BR207)*0.00833333333333333)</f>
        <v>0</v>
      </c>
      <c r="BU207" s="23">
        <f ca="1">MONTH(TODAY())+61</f>
        <v>65</v>
      </c>
      <c r="BV207" s="14">
        <f ca="1">SUM(BQ207,BR207,BS207)</f>
        <v>0</v>
      </c>
      <c r="BW207" s="14"/>
      <c r="BX207" s="14">
        <f>SUM(BW207*0.1)</f>
        <v>0</v>
      </c>
      <c r="BY207" s="14">
        <f ca="1">SUM(BZ207*CA207)</f>
        <v>0</v>
      </c>
      <c r="BZ207" s="17">
        <f>SUM((BW207+BX207)*0.00833333333333333)</f>
        <v>0</v>
      </c>
      <c r="CA207" s="23">
        <f ca="1">MONTH(TODAY())+49</f>
        <v>53</v>
      </c>
      <c r="CB207" s="14">
        <f ca="1">SUM(BW207,BX207,BY207)</f>
        <v>0</v>
      </c>
      <c r="CC207" s="14">
        <v>0</v>
      </c>
      <c r="CD207" s="14">
        <f>SUM(CC207*0.1)</f>
        <v>0</v>
      </c>
      <c r="CE207" s="14">
        <f ca="1">SUM(CF207*CG207)</f>
        <v>0</v>
      </c>
      <c r="CF207" s="17">
        <f>SUM((CC207+CD207)*0.00833333333333333)</f>
        <v>0</v>
      </c>
      <c r="CG207" s="23">
        <f ca="1">MONTH(TODAY())+37</f>
        <v>41</v>
      </c>
      <c r="CH207" s="14">
        <f ca="1">SUM(CC207,CD207,CE207)</f>
        <v>0</v>
      </c>
      <c r="CI207" s="14">
        <f>SUM(EG207*0.0052)</f>
        <v>42.12</v>
      </c>
      <c r="CJ207" s="14">
        <f>SUM(CI207*0.1)</f>
        <v>4.2119999999999997</v>
      </c>
      <c r="CK207" s="14">
        <f ca="1">SUM(CL207*CM207)</f>
        <v>11.196899999999994</v>
      </c>
      <c r="CL207" s="17">
        <f>SUM((CI207+CJ207)*0.00833333333333333)</f>
        <v>0.38609999999999978</v>
      </c>
      <c r="CM207" s="23">
        <f ca="1">MONTH(TODAY())+25</f>
        <v>29</v>
      </c>
      <c r="CN207" s="14">
        <f ca="1">SUM(CI207,CJ207,CK207)</f>
        <v>57.528899999999986</v>
      </c>
      <c r="CO207" s="14">
        <f>SUM(EG207*0.0052)/2</f>
        <v>21.06</v>
      </c>
      <c r="CP207" s="14">
        <f>SUM(CO207*0.1)</f>
        <v>2.1059999999999999</v>
      </c>
      <c r="CQ207" s="14">
        <f ca="1">SUM(CR207*CS207)</f>
        <v>4.0540499999999975</v>
      </c>
      <c r="CR207" s="17">
        <f>SUM((CO207+CP207)*0.00833333333333333)</f>
        <v>0.19304999999999989</v>
      </c>
      <c r="CS207" s="23">
        <f ca="1">MONTH(TODAY())+17</f>
        <v>21</v>
      </c>
      <c r="CT207" s="23">
        <f ca="1">SUM(CO207,CP207,CQ207)</f>
        <v>27.220049999999993</v>
      </c>
      <c r="CU207" s="14">
        <f>SUM(EG207*0.0052)/2</f>
        <v>21.06</v>
      </c>
      <c r="CV207" s="14">
        <f>SUM(CU207*0.1)</f>
        <v>2.1059999999999999</v>
      </c>
      <c r="CW207" s="14">
        <f ca="1">SUM(CX207*CY207)</f>
        <v>3.2818499999999982</v>
      </c>
      <c r="CX207" s="17">
        <f>SUM((CU207+CV207)*0.00833333333333333)</f>
        <v>0.19304999999999989</v>
      </c>
      <c r="CY207" s="23">
        <f ca="1">MONTH(TODAY())+13</f>
        <v>17</v>
      </c>
      <c r="CZ207" s="23">
        <f ca="1">SUM(CU207,CV207,CW207)</f>
        <v>26.447849999999995</v>
      </c>
      <c r="DA207" s="14">
        <f>SUM(EJ207*0.0045)/2</f>
        <v>18.224999999999998</v>
      </c>
      <c r="DB207" s="14">
        <f>SUM(DA207*0.1)</f>
        <v>1.8224999999999998</v>
      </c>
      <c r="DC207" s="14">
        <f ca="1">SUM(DD207*DE207)</f>
        <v>1.837687499999999</v>
      </c>
      <c r="DD207" s="17">
        <f>SUM((DA207+DB207)*0.00833333333333333)</f>
        <v>0.16706249999999992</v>
      </c>
      <c r="DE207" s="23">
        <f ca="1">MONTH(TODAY())+7</f>
        <v>11</v>
      </c>
      <c r="DF207" s="23">
        <f ca="1">SUM(DA207,DB207,DC207)</f>
        <v>21.885187499999997</v>
      </c>
      <c r="DG207" s="14">
        <f>SUM(EJ207*0.0045)/2</f>
        <v>18.224999999999998</v>
      </c>
      <c r="DH207" s="14">
        <f>SUM(DG207*0.1)</f>
        <v>1.8224999999999998</v>
      </c>
      <c r="DI207" s="14">
        <f ca="1">SUM(DJ207*DK207)</f>
        <v>0.83531249999999957</v>
      </c>
      <c r="DJ207" s="17">
        <f>SUM((DG207+DH207)*0.00833333333333333)</f>
        <v>0.16706249999999992</v>
      </c>
      <c r="DK207" s="23">
        <f ca="1">MONTH(TODAY())+1</f>
        <v>5</v>
      </c>
      <c r="DL207" s="14">
        <f ca="1">SUM(DG207,DH207,DI207)</f>
        <v>20.8828125</v>
      </c>
      <c r="DM207" s="14">
        <f>SUM( BQ207, BW207, CC207, CI207, CO207,CU207,DA207,DG207)</f>
        <v>120.68999999999998</v>
      </c>
      <c r="DN207" s="14">
        <f>SUM(BR207,BX207,CD207,CJ207, CP207,CV207,DB207,DH207)</f>
        <v>12.068999999999999</v>
      </c>
      <c r="DO207" s="14">
        <f ca="1">SUM(BS207,BY207,CE207,CK207, CQ207,CW207,DC207,DI207)</f>
        <v>21.205799999999989</v>
      </c>
      <c r="DP207" s="25">
        <f ca="1">SUM(DM207:DO207)</f>
        <v>153.96479999999997</v>
      </c>
      <c r="DQ207" s="47">
        <f ca="1">SUM(DP207/EG207)</f>
        <v>1.9007999999999997E-2</v>
      </c>
      <c r="DR207" s="14">
        <v>20</v>
      </c>
      <c r="DS207" s="32">
        <f>COUNTIF(DX207, "*")+COUNTIF(AO207, "*")+COUNTIF(AJ207, "*")+COUNTIF(AA207, "*")+COUNTIF(EU207, "*")+COUNTIF(FA207, "*")+COUNTIF(FG207, "*")+COUNTIF(FK207, "*")+COUNTIF(FR207, "*")+COUNTIF(AT207, "*")+COUNTIF(GA207, "*")+COUNTIF(GL207, "*")+COUNTIF(GW207, "*")+COUNTIF(HE207, "*")+COUNTIF(HM207, "*")+COUNTIF(HU207, "*")</f>
        <v>2</v>
      </c>
      <c r="DT207" s="14">
        <f>6*0.6</f>
        <v>3.5999999999999996</v>
      </c>
      <c r="DU207" s="4"/>
      <c r="DV207" s="4"/>
      <c r="DW207" s="4"/>
      <c r="DX207" s="4"/>
      <c r="DZ207" s="4"/>
      <c r="EA207" s="14">
        <f>SUM(DV207:DZ207)</f>
        <v>0</v>
      </c>
      <c r="EB207" s="14">
        <f ca="1">SUM(DP207,DR207,EA207, DU207, DT207,FX207)</f>
        <v>177.56479999999996</v>
      </c>
      <c r="EC207" s="24" t="s">
        <v>3879</v>
      </c>
      <c r="ED207" s="130">
        <v>0.28999999999999998</v>
      </c>
      <c r="EE207" s="14">
        <v>8100</v>
      </c>
      <c r="EF207" s="14">
        <v>0</v>
      </c>
      <c r="EG207" s="14">
        <f>SUM(EE207+EF207)</f>
        <v>8100</v>
      </c>
      <c r="EH207" s="14">
        <v>8100</v>
      </c>
      <c r="EI207" s="14">
        <v>0</v>
      </c>
      <c r="EJ207" s="14">
        <f>SUM(EH207+EI207)</f>
        <v>8100</v>
      </c>
      <c r="FX207" s="4"/>
      <c r="IA207" s="9"/>
      <c r="IL207" s="14">
        <f ca="1">SUM(IB207-EB207-FX207-IJ207)</f>
        <v>-177.56479999999996</v>
      </c>
      <c r="IM207" s="14"/>
      <c r="IN207" s="14"/>
      <c r="IO207" s="9"/>
      <c r="IP207" s="9"/>
      <c r="IQ207" s="9"/>
      <c r="IR207" s="9"/>
      <c r="IS207" s="9"/>
    </row>
    <row r="208" spans="1:263" ht="15" customHeight="1">
      <c r="A208" s="19">
        <v>102022171</v>
      </c>
      <c r="B208" t="s">
        <v>2899</v>
      </c>
      <c r="D208" s="1">
        <v>2025</v>
      </c>
      <c r="J208" t="s">
        <v>253</v>
      </c>
      <c r="K208" t="s">
        <v>3217</v>
      </c>
      <c r="L208" t="s">
        <v>1335</v>
      </c>
      <c r="M208" t="s">
        <v>850</v>
      </c>
      <c r="AJ208" s="18" t="s">
        <v>328</v>
      </c>
      <c r="AL208" t="s">
        <v>290</v>
      </c>
      <c r="AM208"/>
      <c r="AN208"/>
      <c r="AO208" s="3" t="s">
        <v>3218</v>
      </c>
      <c r="AP208" s="3" t="s">
        <v>258</v>
      </c>
      <c r="AQ208" s="3" t="s">
        <v>524</v>
      </c>
      <c r="AR208" t="s">
        <v>268</v>
      </c>
      <c r="AS208" s="1"/>
      <c r="AT208" s="1"/>
      <c r="AU208" s="1"/>
      <c r="AV208" s="1"/>
      <c r="AW208" s="1"/>
      <c r="AX208" s="2"/>
      <c r="AY208" s="2"/>
      <c r="AZ208" s="70"/>
      <c r="BA208" s="2"/>
      <c r="BB208" s="2"/>
      <c r="BC208" s="2"/>
      <c r="BD208" s="2"/>
      <c r="BE208" s="2"/>
      <c r="BF208" s="2"/>
      <c r="BG208" s="20"/>
      <c r="BH208" s="22"/>
      <c r="BI208" s="22"/>
      <c r="BJ208" s="14"/>
      <c r="BK208" s="22"/>
      <c r="BL208" s="14"/>
      <c r="BM208" s="14"/>
      <c r="BN208" s="14"/>
      <c r="BO208" s="17"/>
      <c r="BP208" s="23"/>
      <c r="BQ208" s="14"/>
      <c r="BR208" s="14"/>
      <c r="BS208" s="14"/>
      <c r="BT208" s="14"/>
      <c r="BU208" s="17"/>
      <c r="BV208" s="23"/>
      <c r="BW208" s="14"/>
      <c r="BX208" s="14"/>
      <c r="BY208" s="14"/>
      <c r="BZ208" s="14"/>
      <c r="CA208" s="17"/>
      <c r="CB208" s="23"/>
      <c r="CC208" s="14"/>
      <c r="CD208" s="14"/>
      <c r="CE208" s="14"/>
      <c r="CF208" s="14"/>
      <c r="CG208" s="17"/>
      <c r="CH208" s="23"/>
      <c r="CI208" s="14"/>
      <c r="CJ208" s="14"/>
      <c r="CK208" s="14"/>
      <c r="CL208" s="14"/>
      <c r="CM208" s="17"/>
      <c r="CN208" s="23"/>
      <c r="CO208" s="14"/>
      <c r="CP208" s="14"/>
      <c r="CQ208" s="14"/>
      <c r="CR208" s="14"/>
      <c r="CS208" s="14"/>
      <c r="CT208" s="47"/>
      <c r="CU208" s="14"/>
      <c r="CV208" s="32"/>
      <c r="CW208" s="14"/>
      <c r="CY208" s="14"/>
      <c r="DE208" s="14"/>
      <c r="DF208" s="24"/>
      <c r="DG208" s="4"/>
      <c r="DH208" s="4"/>
      <c r="DI208" s="25"/>
      <c r="DJ208" s="35">
        <v>0.06</v>
      </c>
      <c r="IC208" s="4"/>
    </row>
    <row r="209" spans="1:263" ht="15" customHeight="1">
      <c r="A209" s="177">
        <v>102024185</v>
      </c>
      <c r="B209" s="127" t="s">
        <v>5668</v>
      </c>
      <c r="C209" s="169" t="s">
        <v>5577</v>
      </c>
      <c r="D209" s="212"/>
      <c r="E209" s="170"/>
      <c r="F209" s="171"/>
      <c r="G209" s="170"/>
      <c r="H209" s="169"/>
      <c r="I209" s="168" t="s">
        <v>5989</v>
      </c>
      <c r="J209" s="169" t="s">
        <v>253</v>
      </c>
      <c r="K209" s="169" t="s">
        <v>5661</v>
      </c>
      <c r="L209" s="169" t="s">
        <v>5662</v>
      </c>
      <c r="M209" s="169" t="s">
        <v>326</v>
      </c>
      <c r="N209" s="169"/>
      <c r="O209" s="170"/>
      <c r="P209" s="169"/>
      <c r="Q209" s="169"/>
      <c r="R209" s="169"/>
      <c r="S209" s="169"/>
      <c r="T209" s="169"/>
      <c r="U209" s="169"/>
      <c r="V209" s="169"/>
      <c r="W209" s="169"/>
      <c r="X209" s="169"/>
      <c r="Y209" s="169"/>
      <c r="Z209" s="169"/>
      <c r="AA209" s="169"/>
      <c r="AB209" s="169"/>
      <c r="AC209" s="169"/>
      <c r="AD209" s="169"/>
      <c r="AE209" s="169"/>
      <c r="AF209" s="169"/>
      <c r="AG209" s="172"/>
      <c r="AH209" s="169"/>
      <c r="AI209" s="169"/>
      <c r="AJ209" s="127" t="s">
        <v>5663</v>
      </c>
      <c r="AK209" s="173" t="s">
        <v>258</v>
      </c>
      <c r="AL209" s="127" t="s">
        <v>290</v>
      </c>
      <c r="AM209" s="127" t="s">
        <v>260</v>
      </c>
      <c r="AN209" s="127"/>
      <c r="AO209" s="127" t="s">
        <v>5664</v>
      </c>
      <c r="AP209" s="173" t="s">
        <v>258</v>
      </c>
      <c r="AQ209" s="127" t="s">
        <v>524</v>
      </c>
      <c r="AR209" s="127" t="s">
        <v>268</v>
      </c>
      <c r="AS209" s="127"/>
      <c r="AT209" s="127"/>
      <c r="AU209" s="127"/>
      <c r="AV209" s="127"/>
      <c r="AW209" s="127"/>
      <c r="AX209" s="173"/>
      <c r="AY209" s="173"/>
      <c r="AZ209" s="173"/>
      <c r="BA209" s="173"/>
      <c r="BB209" s="173"/>
      <c r="BC209" s="174"/>
      <c r="BD209" s="175"/>
      <c r="BE209" s="176"/>
      <c r="BF209" s="174"/>
      <c r="BG209" s="177"/>
      <c r="BH209" s="174"/>
      <c r="BI209" s="174"/>
      <c r="BJ209" s="174"/>
      <c r="BK209" s="174"/>
      <c r="BL209" s="178">
        <f ca="1">SUM(EB209)+220</f>
        <v>1738.896375</v>
      </c>
      <c r="BM209" s="179">
        <f ca="1">PMT(10%/12,12,BL209,0,0)</f>
        <v>-152.87661760917248</v>
      </c>
      <c r="BN209" s="179">
        <f ca="1">SUM(BM209*-1)</f>
        <v>152.87661760917248</v>
      </c>
      <c r="BO209" s="180">
        <f>SUM(EJ209*0.0052)/12</f>
        <v>91.779999999999987</v>
      </c>
      <c r="BP209" s="179">
        <f ca="1">SUM(BN209+BO209)</f>
        <v>244.65661760917249</v>
      </c>
      <c r="BQ209" s="180">
        <v>0</v>
      </c>
      <c r="BR209" s="180">
        <f>SUM(BQ209*0.1)</f>
        <v>0</v>
      </c>
      <c r="BS209" s="180">
        <f ca="1">SUM(BT209*BU209)</f>
        <v>0</v>
      </c>
      <c r="BT209" s="181">
        <f>SUM((BQ209+BR209)*0.00833333333333333)</f>
        <v>0</v>
      </c>
      <c r="BU209" s="182">
        <f ca="1">MONTH(TODAY())+37</f>
        <v>41</v>
      </c>
      <c r="BV209" s="180">
        <f ca="1">SUM(BQ209,BR209,BS209)</f>
        <v>0</v>
      </c>
      <c r="BW209" s="180">
        <v>0</v>
      </c>
      <c r="BX209" s="180">
        <f>SUM(BW209*0.1)</f>
        <v>0</v>
      </c>
      <c r="BY209" s="180">
        <f ca="1">SUM(BZ209*CA209)</f>
        <v>0</v>
      </c>
      <c r="BZ209" s="181">
        <f>SUM((BW209+BX209)*0.00833333333333333)</f>
        <v>0</v>
      </c>
      <c r="CA209" s="182">
        <f ca="1">MONTH(TODAY())+37</f>
        <v>41</v>
      </c>
      <c r="CB209" s="180">
        <f ca="1">SUM(BW209,BX209,BY209)</f>
        <v>0</v>
      </c>
      <c r="CC209" s="180">
        <f>SUM(EG209*0.0015)/2</f>
        <v>134.77500000000001</v>
      </c>
      <c r="CD209" s="180">
        <f>SUM(CC209*0.1)</f>
        <v>13.477500000000001</v>
      </c>
      <c r="CE209" s="180">
        <f ca="1">SUM(CF209*CG209)</f>
        <v>40.769437499999981</v>
      </c>
      <c r="CF209" s="181">
        <f>SUM((CC209+CD209)*0.00833333333333333)</f>
        <v>1.2354374999999995</v>
      </c>
      <c r="CG209" s="182">
        <f ca="1">MONTH(TODAY())+29</f>
        <v>33</v>
      </c>
      <c r="CH209" s="182">
        <f ca="1">SUM(CC209,CD209,CE209)</f>
        <v>189.02193749999998</v>
      </c>
      <c r="CI209" s="180">
        <f>SUM(EG209*0.0015)/2</f>
        <v>134.77500000000001</v>
      </c>
      <c r="CJ209" s="180">
        <f>SUM(CI209*0.1)</f>
        <v>13.477500000000001</v>
      </c>
      <c r="CK209" s="180">
        <f ca="1">SUM(CL209*CM209)</f>
        <v>35.827687499999989</v>
      </c>
      <c r="CL209" s="181">
        <f>SUM((CI209+CJ209)*0.00833333333333333)</f>
        <v>1.2354374999999995</v>
      </c>
      <c r="CM209" s="182">
        <f ca="1">MONTH(TODAY())+25</f>
        <v>29</v>
      </c>
      <c r="CN209" s="180">
        <f ca="1">SUM(CI209,CJ209,CK209)</f>
        <v>184.08018749999999</v>
      </c>
      <c r="CO209" s="180">
        <f>SUM(EJ209*0.0015)/2</f>
        <v>158.85</v>
      </c>
      <c r="CP209" s="180">
        <f>SUM(CO209*0.1)</f>
        <v>15.885</v>
      </c>
      <c r="CQ209" s="180">
        <f ca="1">SUM(CR209*CS209)</f>
        <v>33.490874999999981</v>
      </c>
      <c r="CR209" s="181">
        <f>SUM((CO209+CP209)*0.00833333333333333)</f>
        <v>1.4561249999999992</v>
      </c>
      <c r="CS209" s="182">
        <f ca="1">MONTH(TODAY())+19</f>
        <v>23</v>
      </c>
      <c r="CT209" s="180">
        <f ca="1">SUM(CO209,CP209,CQ209)</f>
        <v>208.22587499999997</v>
      </c>
      <c r="CU209" s="180">
        <f>SUM(EJ209*0.0015)/2</f>
        <v>158.85</v>
      </c>
      <c r="CV209" s="180">
        <f>SUM(CU209*0.1)</f>
        <v>15.885</v>
      </c>
      <c r="CW209" s="180">
        <f ca="1">SUM(CX209*CY209)</f>
        <v>24.754124999999988</v>
      </c>
      <c r="CX209" s="181">
        <f>SUM((CU209+CV209)*0.00833333333333333)</f>
        <v>1.4561249999999992</v>
      </c>
      <c r="CY209" s="182">
        <f ca="1">MONTH(TODAY())+13</f>
        <v>17</v>
      </c>
      <c r="CZ209" s="180">
        <f ca="1">SUM(CU209,CV209,CW209)</f>
        <v>199.48912499999997</v>
      </c>
      <c r="DA209" s="180">
        <f>SUM(EJ209*0.0015)/2</f>
        <v>158.85</v>
      </c>
      <c r="DB209" s="180">
        <f>SUM(DA209*0.1)</f>
        <v>15.885</v>
      </c>
      <c r="DC209" s="180">
        <f ca="1">SUM(DD209*DE209)</f>
        <v>16.017374999999991</v>
      </c>
      <c r="DD209" s="181">
        <f>SUM((DA209+DB209)*0.00833333333333333)</f>
        <v>1.4561249999999992</v>
      </c>
      <c r="DE209" s="182">
        <f ca="1">MONTH(TODAY())+7</f>
        <v>11</v>
      </c>
      <c r="DF209" s="180">
        <f ca="1">SUM(DA209,DB209,DC209)</f>
        <v>190.75237499999997</v>
      </c>
      <c r="DG209" s="180">
        <f>SUM(EJ209*0.0045)/2</f>
        <v>476.54999999999995</v>
      </c>
      <c r="DH209" s="180">
        <f>SUM(DG209*0.1)</f>
        <v>47.655000000000001</v>
      </c>
      <c r="DI209" s="180">
        <f ca="1">SUM(DJ209*DK209)</f>
        <v>21.841874999999987</v>
      </c>
      <c r="DJ209" s="181">
        <f>SUM((DG209+DH209)*0.00833333333333333)</f>
        <v>4.3683749999999977</v>
      </c>
      <c r="DK209" s="182">
        <f ca="1">MONTH(TODAY())+1</f>
        <v>5</v>
      </c>
      <c r="DL209" s="180">
        <f ca="1">SUM(DG209,DH209,DI209)</f>
        <v>546.04687499999989</v>
      </c>
      <c r="DM209" s="180">
        <f>SUM(BQ209, BW209, CC209,CI209,CO209,CU209,DA209,DG209)</f>
        <v>1222.6500000000001</v>
      </c>
      <c r="DN209" s="180">
        <f>SUM(BR209,BX209, CD209,CJ209,CP209,CV209,DB209,DH209)</f>
        <v>122.265</v>
      </c>
      <c r="DO209" s="180">
        <f ca="1">SUM(BS209,BY209, CE209,CK209,CQ209,CW209,DC209,DI209)</f>
        <v>172.70137499999993</v>
      </c>
      <c r="DP209" s="183">
        <f ca="1">SUM(DM209:DO209)</f>
        <v>1517.6163750000001</v>
      </c>
      <c r="DQ209" s="184">
        <f ca="1">SUM(DP209/EG209)</f>
        <v>8.4452775459098496E-3</v>
      </c>
      <c r="DR209" s="180"/>
      <c r="DS209" s="185">
        <f>COUNTIF(AO209, "*")+COUNTIF(AJ209, "*")+COUNTIF(AA209, "*")+COUNTIF(EU209, "*")+COUNTIF(FA209, "*")+COUNTIF(FG209, "*")+COUNTIF(FK209, "*")+COUNTIF(FR209, "*")+COUNTIF(AT209, "*")+COUNTIF(GA209, "*")+COUNTIF(GL209, "*")+COUNTIF(GW209, "*")+COUNTIF(HE209, "*")+COUNTIF(HM209, "*")+COUNTIF(HU209, "*")</f>
        <v>2</v>
      </c>
      <c r="DT209" s="180">
        <f>DS209*0.64</f>
        <v>1.28</v>
      </c>
      <c r="DU209" s="186"/>
      <c r="DV209" s="186"/>
      <c r="DW209" s="186"/>
      <c r="DX209" s="186"/>
      <c r="DY209" s="186"/>
      <c r="DZ209" s="186"/>
      <c r="EA209" s="180">
        <f>SUM(DU209:DZ209)</f>
        <v>0</v>
      </c>
      <c r="EB209" s="180">
        <f ca="1">SUM(DP209,DR209,EA209,DT209,FX209)</f>
        <v>1518.896375</v>
      </c>
      <c r="EC209" s="187" t="s">
        <v>4944</v>
      </c>
      <c r="ED209" s="182">
        <f>0.41+0.006</f>
        <v>0.41599999999999998</v>
      </c>
      <c r="EE209" s="180">
        <f>90300+4800</f>
        <v>95100</v>
      </c>
      <c r="EF209" s="180">
        <v>84600</v>
      </c>
      <c r="EG209" s="180">
        <f>SUM(EE209+EF209)</f>
        <v>179700</v>
      </c>
      <c r="EH209" s="180">
        <f>99800+5300</f>
        <v>105100</v>
      </c>
      <c r="EI209" s="180">
        <v>106700</v>
      </c>
      <c r="EJ209" s="180">
        <f>SUM(EH209+EI209)</f>
        <v>211800</v>
      </c>
      <c r="EK209" s="169"/>
      <c r="EL209" s="169"/>
      <c r="EM209" s="169"/>
      <c r="EN209" s="169"/>
      <c r="EO209" s="169"/>
      <c r="EP209" s="169"/>
      <c r="EQ209" s="169"/>
      <c r="ER209" s="169"/>
      <c r="ES209" s="169"/>
      <c r="ET209" s="169"/>
      <c r="EU209" s="169"/>
      <c r="EV209" s="169"/>
      <c r="EW209" s="169"/>
      <c r="EX209" s="169"/>
      <c r="EY209" s="169"/>
      <c r="EZ209" s="169"/>
      <c r="FA209" s="169"/>
      <c r="FB209" s="169"/>
      <c r="FC209" s="169"/>
      <c r="FD209" s="169"/>
      <c r="FE209" s="169"/>
      <c r="FF209" s="169"/>
      <c r="FG209" s="169"/>
      <c r="FH209" s="169"/>
      <c r="FI209" s="169"/>
      <c r="FJ209" s="169"/>
      <c r="FK209" s="169"/>
      <c r="FL209" s="169"/>
      <c r="FM209" s="169"/>
      <c r="FN209" s="169"/>
      <c r="FO209" s="188"/>
      <c r="FP209" s="169"/>
      <c r="FQ209" s="169"/>
      <c r="FR209" s="169"/>
      <c r="FS209" s="169"/>
      <c r="FT209" s="169"/>
      <c r="FU209" s="169"/>
      <c r="FV209" s="188"/>
      <c r="FW209" s="169"/>
      <c r="FX209" s="169"/>
      <c r="FY209" s="169"/>
      <c r="FZ209" s="169"/>
      <c r="GA209" s="169"/>
      <c r="GB209" s="169"/>
      <c r="GC209" s="169"/>
      <c r="GD209" s="169"/>
      <c r="GE209" s="188"/>
      <c r="GF209" s="169"/>
      <c r="GG209" s="169"/>
      <c r="GH209" s="169"/>
      <c r="GI209" s="169"/>
      <c r="GJ209" s="169"/>
      <c r="GK209" s="169"/>
      <c r="GL209" s="169"/>
      <c r="GM209" s="169"/>
      <c r="GN209" s="169"/>
      <c r="GO209" s="169"/>
      <c r="GP209" s="188"/>
      <c r="GQ209" s="169"/>
      <c r="GR209" s="169"/>
      <c r="GS209" s="169"/>
      <c r="GT209" s="169"/>
      <c r="GU209" s="169"/>
      <c r="GV209" s="169"/>
      <c r="GW209" s="169"/>
      <c r="GX209" s="169"/>
      <c r="GY209" s="169"/>
      <c r="GZ209" s="169"/>
      <c r="HA209" s="188"/>
      <c r="HB209" s="169"/>
      <c r="HC209" s="169"/>
      <c r="HD209" s="169"/>
      <c r="HE209" s="169"/>
      <c r="HF209" s="169"/>
      <c r="HG209" s="169"/>
      <c r="HH209" s="169"/>
      <c r="HI209" s="188"/>
      <c r="HJ209" s="169"/>
      <c r="HK209" s="169"/>
      <c r="HL209" s="169"/>
      <c r="HM209" s="169"/>
      <c r="HN209" s="169"/>
      <c r="HO209" s="169"/>
      <c r="HP209" s="169"/>
      <c r="HQ209" s="188"/>
      <c r="HR209" s="169"/>
      <c r="HS209" s="169"/>
      <c r="HT209" s="169"/>
      <c r="HU209" s="169"/>
      <c r="HV209" s="169"/>
      <c r="HW209" s="169"/>
      <c r="HX209" s="169"/>
      <c r="HY209" s="188"/>
      <c r="HZ209" s="186"/>
      <c r="IA209" s="186"/>
      <c r="IB209" s="169"/>
      <c r="IC209" s="169"/>
      <c r="ID209" s="169"/>
      <c r="IE209" s="169"/>
      <c r="IF209" s="186"/>
      <c r="IG209" s="186"/>
      <c r="IH209" s="186"/>
      <c r="II209" s="186"/>
      <c r="IJ209" s="186"/>
      <c r="IK209" s="188"/>
      <c r="IL209" s="188"/>
      <c r="IM209" s="188"/>
      <c r="IN209" s="188"/>
      <c r="IO209" s="188"/>
      <c r="IP209" s="189" t="s">
        <v>5913</v>
      </c>
    </row>
    <row r="210" spans="1:263" s="18" customFormat="1" ht="15" customHeight="1">
      <c r="A210" s="2">
        <v>102024186</v>
      </c>
      <c r="B210" t="s">
        <v>5665</v>
      </c>
      <c r="C210" t="s">
        <v>5577</v>
      </c>
      <c r="D210" s="1"/>
      <c r="E210" s="3"/>
      <c r="F210"/>
      <c r="G210" s="3"/>
      <c r="H210"/>
      <c r="I210"/>
      <c r="J210" t="s">
        <v>311</v>
      </c>
      <c r="K210" t="s">
        <v>3047</v>
      </c>
      <c r="L210" t="s">
        <v>5666</v>
      </c>
      <c r="M210" t="s">
        <v>763</v>
      </c>
      <c r="N210"/>
      <c r="O210" s="3"/>
      <c r="P210"/>
      <c r="Q210"/>
      <c r="R210"/>
      <c r="S210"/>
      <c r="T210"/>
      <c r="U210"/>
      <c r="V210"/>
      <c r="W210"/>
      <c r="X210"/>
      <c r="Y210"/>
      <c r="Z210"/>
      <c r="AA210"/>
      <c r="AB210"/>
      <c r="AC210"/>
      <c r="AD210"/>
      <c r="AE210"/>
      <c r="AF210"/>
      <c r="AG210" s="43"/>
      <c r="AH210"/>
      <c r="AI210"/>
      <c r="AJ210"/>
      <c r="AK210" s="1"/>
      <c r="AL210"/>
      <c r="AM210"/>
      <c r="AN210"/>
      <c r="AO210" t="s">
        <v>5667</v>
      </c>
      <c r="AP210" s="1" t="s">
        <v>258</v>
      </c>
      <c r="AQ210" t="s">
        <v>290</v>
      </c>
      <c r="AR210" t="s">
        <v>260</v>
      </c>
      <c r="AS210" s="10"/>
      <c r="AT210" s="10"/>
      <c r="AU210" s="10"/>
      <c r="AV210" s="10"/>
      <c r="AW210" s="10"/>
      <c r="AX210" s="1"/>
      <c r="AY210" s="1"/>
      <c r="AZ210" s="1"/>
      <c r="BA210" s="1"/>
      <c r="BB210" s="1"/>
      <c r="BC210" s="2"/>
      <c r="BD210" s="115"/>
      <c r="BE210" s="144"/>
      <c r="BF210" s="2"/>
      <c r="BG210" s="2"/>
      <c r="BH210" s="2"/>
      <c r="BI210" s="2"/>
      <c r="BJ210" s="2"/>
      <c r="BK210" s="2"/>
      <c r="BL210" s="20">
        <f ca="1">SUM(EH210)+220</f>
        <v>243.11699999999999</v>
      </c>
      <c r="BM210" s="22">
        <f ca="1">PMT(10%/12,12,BL210,0,0)</f>
        <v>-21.373846755698242</v>
      </c>
      <c r="BN210" s="22">
        <f ca="1">SUM(BM210*-1)</f>
        <v>21.373846755698242</v>
      </c>
      <c r="BO210" s="14">
        <f>SUM(EP210*0.0052)/12</f>
        <v>2.2966666666666664</v>
      </c>
      <c r="BP210" s="22">
        <f ca="1">SUM(BN210+BO210)</f>
        <v>23.670513422364909</v>
      </c>
      <c r="BQ210" s="14"/>
      <c r="BR210" s="14">
        <f>SUM(BQ210*0.1)</f>
        <v>0</v>
      </c>
      <c r="BS210" s="14">
        <f ca="1">SUM(BT210*BU210)</f>
        <v>0</v>
      </c>
      <c r="BT210" s="17">
        <f>SUM((BQ210+BR210)*0.00833333333333333)</f>
        <v>0</v>
      </c>
      <c r="BU210" s="23">
        <f ca="1">MONTH(TODAY())+49</f>
        <v>53</v>
      </c>
      <c r="BV210" s="14">
        <f ca="1">SUM(BQ210,BR210,BS210)</f>
        <v>0</v>
      </c>
      <c r="BW210" s="14">
        <v>0</v>
      </c>
      <c r="BX210" s="14">
        <f>SUM(BW210*0.1)</f>
        <v>0</v>
      </c>
      <c r="BY210" s="14">
        <f ca="1">SUM(BZ210*CA210)</f>
        <v>0</v>
      </c>
      <c r="BZ210" s="17">
        <f>SUM((BW210+BX210)*0.00833333333333333)</f>
        <v>0</v>
      </c>
      <c r="CA210" s="23">
        <f ca="1">MONTH(TODAY())+37</f>
        <v>41</v>
      </c>
      <c r="CB210" s="14">
        <f ca="1">SUM(BW210,BX210,BY210)</f>
        <v>0</v>
      </c>
      <c r="CC210" s="14">
        <v>0</v>
      </c>
      <c r="CD210" s="14">
        <f>SUM(CC210*0.1)</f>
        <v>0</v>
      </c>
      <c r="CE210" s="14">
        <f ca="1">SUM(CF210*CG210)</f>
        <v>0</v>
      </c>
      <c r="CF210" s="17">
        <f>SUM((CC210+CD210)*0.00833333333333333)</f>
        <v>0</v>
      </c>
      <c r="CG210" s="23">
        <f ca="1">MONTH(TODAY())+25</f>
        <v>29</v>
      </c>
      <c r="CH210" s="14">
        <f ca="1">SUM(CC210,CD210,CE210)</f>
        <v>0</v>
      </c>
      <c r="CI210" s="14">
        <f>SUM(EM210*0.0015)/2</f>
        <v>3.6</v>
      </c>
      <c r="CJ210" s="14">
        <f>SUM(CI210*0.1)</f>
        <v>0.36000000000000004</v>
      </c>
      <c r="CK210" s="14">
        <f ca="1">SUM(CL210*CM210)</f>
        <v>0.69299999999999973</v>
      </c>
      <c r="CL210" s="17">
        <f>SUM((CI210+CJ210)*0.00833333333333333)</f>
        <v>3.2999999999999988E-2</v>
      </c>
      <c r="CM210" s="23">
        <f ca="1">MONTH(TODAY())+17</f>
        <v>21</v>
      </c>
      <c r="CN210" s="23">
        <f ca="1">SUM(CI210,CJ210,CK210)</f>
        <v>4.6529999999999996</v>
      </c>
      <c r="CO210" s="14">
        <f>SUM(EM210*0.0015)/2</f>
        <v>3.6</v>
      </c>
      <c r="CP210" s="14">
        <f>SUM(CO210*0.1)</f>
        <v>0.36000000000000004</v>
      </c>
      <c r="CQ210" s="14">
        <f ca="1">SUM(CR210*CS210)</f>
        <v>0.56099999999999983</v>
      </c>
      <c r="CR210" s="17">
        <f>SUM((CO210+CP210)*0.00833333333333333)</f>
        <v>3.2999999999999988E-2</v>
      </c>
      <c r="CS210" s="23">
        <f ca="1">MONTH(TODAY())+13</f>
        <v>17</v>
      </c>
      <c r="CT210" s="23">
        <f ca="1">SUM(CO210,CP210,CQ210)</f>
        <v>4.5209999999999999</v>
      </c>
      <c r="CU210" s="14">
        <f>SUM(EP210*0.0015)/2</f>
        <v>3.9750000000000001</v>
      </c>
      <c r="CV210" s="14">
        <f>SUM(CU210*0.1)</f>
        <v>0.39750000000000002</v>
      </c>
      <c r="CW210" s="14">
        <f ca="1">SUM(CX210*CY210)</f>
        <v>0.4008124999999999</v>
      </c>
      <c r="CX210" s="17">
        <f>SUM((CU210+CV210)*0.00833333333333333)</f>
        <v>3.6437499999999991E-2</v>
      </c>
      <c r="CY210" s="23">
        <f ca="1">MONTH(TODAY())+7</f>
        <v>11</v>
      </c>
      <c r="CZ210" s="23">
        <f ca="1">SUM(CU210,CV210,CW210)</f>
        <v>4.7733125000000003</v>
      </c>
      <c r="DA210" s="14">
        <f>SUM(EP210*0.0015)/2</f>
        <v>3.9750000000000001</v>
      </c>
      <c r="DB210" s="14">
        <f>SUM(DA210*0.1)</f>
        <v>0.39750000000000002</v>
      </c>
      <c r="DC210" s="14">
        <f ca="1">SUM(DD210*DE210)</f>
        <v>0.18218749999999995</v>
      </c>
      <c r="DD210" s="17">
        <f>SUM((DA210+DB210)*0.00833333333333333)</f>
        <v>3.6437499999999991E-2</v>
      </c>
      <c r="DE210" s="23">
        <f ca="1">MONTH(TODAY())+1</f>
        <v>5</v>
      </c>
      <c r="DF210" s="14">
        <f ca="1">SUM(DA210,DB210,DC210)</f>
        <v>4.5546875</v>
      </c>
      <c r="DG210" s="14">
        <f>SUM(EP210*0.0015)/2</f>
        <v>3.9750000000000001</v>
      </c>
      <c r="DH210" s="14">
        <f>0</f>
        <v>0</v>
      </c>
      <c r="DI210" s="14">
        <f>0</f>
        <v>0</v>
      </c>
      <c r="DJ210" s="17">
        <f>SUM((DG210+DH210)*0.00833333333333333)</f>
        <v>3.3124999999999988E-2</v>
      </c>
      <c r="DK210" s="23">
        <f ca="1">MONTH(TODAY())+7</f>
        <v>11</v>
      </c>
      <c r="DL210" s="23">
        <f>SUM(DG210,DH210,DI210)</f>
        <v>3.9750000000000001</v>
      </c>
      <c r="DM210" s="14">
        <f>0</f>
        <v>0</v>
      </c>
      <c r="DN210" s="14">
        <f>0</f>
        <v>0</v>
      </c>
      <c r="DO210" s="14">
        <f ca="1">SUM(DP210*DQ210)</f>
        <v>0</v>
      </c>
      <c r="DP210" s="17">
        <f>SUM((DM210+DN210)*0.00833333333333333)</f>
        <v>0</v>
      </c>
      <c r="DQ210" s="23">
        <f ca="1">MONTH(TODAY())+1</f>
        <v>5</v>
      </c>
      <c r="DR210" s="14">
        <f ca="1">SUM(DM210,DN210,DO210)</f>
        <v>0</v>
      </c>
      <c r="DS210" s="14">
        <f>SUM(BQ210, BW210, CC210, CI210,CO210,CU210,DA210,DG210,DM210)</f>
        <v>19.125</v>
      </c>
      <c r="DT210" s="14">
        <f>SUM(BR210,BX210,CD210, CJ210,CP210,CV210,DB210,DH210,DN210)</f>
        <v>1.5150000000000001</v>
      </c>
      <c r="DU210" s="14">
        <f ca="1">SUM(BS210,BY210,CE210, CK210,CQ210,CW210,DC210,DI210,DO210)</f>
        <v>1.8369999999999993</v>
      </c>
      <c r="DV210" s="25">
        <f ca="1">SUM(DS210:DU210)</f>
        <v>22.477</v>
      </c>
      <c r="DW210" s="47">
        <f ca="1">SUM(DV210/EM210)</f>
        <v>4.682708333333333E-3</v>
      </c>
      <c r="DX210" s="14"/>
      <c r="DY210" s="32">
        <f>COUNTIF(AO210, "*")+COUNTIF(AJ210, "*")+COUNTIF(AA210, "*")+COUNTIF(FA210, "*")+COUNTIF(FG210, "*")+COUNTIF(FM210, "*")+COUNTIF(FQ210, "*")+COUNTIF(FX210, "*")+COUNTIF(AT210, "*")+COUNTIF(GG210, "*")+COUNTIF(GR210, "*")+COUNTIF(HC210, "*")+COUNTIF(HK210, "*")+COUNTIF(HS210, "*")+COUNTIF(IA210, "*")</f>
        <v>1</v>
      </c>
      <c r="DZ210" s="14">
        <f>DY210*0.64</f>
        <v>0.64</v>
      </c>
      <c r="EA210" s="4"/>
      <c r="EB210" s="4"/>
      <c r="EC210" s="4"/>
      <c r="ED210" s="4"/>
      <c r="EE210"/>
      <c r="EF210" s="4"/>
      <c r="EG210" s="14">
        <f>SUM(EB210:EF210)</f>
        <v>0</v>
      </c>
      <c r="EH210" s="14">
        <f ca="1">SUM(DV210,DX210,EG210, EA210, DZ210,GD210)</f>
        <v>23.117000000000001</v>
      </c>
      <c r="EI210" s="24" t="s">
        <v>4944</v>
      </c>
      <c r="EJ210" s="130">
        <v>0.06</v>
      </c>
      <c r="EK210" s="14">
        <v>4800</v>
      </c>
      <c r="EL210" s="14">
        <v>0</v>
      </c>
      <c r="EM210" s="14">
        <f>SUM(EK210+EL210)</f>
        <v>4800</v>
      </c>
      <c r="EN210" s="14">
        <v>5300</v>
      </c>
      <c r="EO210" s="14">
        <v>0</v>
      </c>
      <c r="EP210" s="14">
        <f>SUM(EN210+EO210)</f>
        <v>5300</v>
      </c>
      <c r="EQ210" s="10"/>
      <c r="ER210" s="10"/>
      <c r="ES210" s="10"/>
      <c r="ET210" s="10"/>
      <c r="EU210" s="10"/>
      <c r="EV210" s="10"/>
      <c r="EW210" s="10"/>
      <c r="EX210" s="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s="4"/>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s="9"/>
      <c r="IF210"/>
      <c r="IG210"/>
      <c r="IH210"/>
      <c r="II210"/>
      <c r="IJ210"/>
      <c r="IK210"/>
      <c r="IL210"/>
      <c r="IM210"/>
      <c r="IN210" s="4"/>
      <c r="IO210" s="4"/>
      <c r="IP210" s="4"/>
      <c r="IQ210" s="9"/>
      <c r="IR210" s="9"/>
      <c r="IS210" s="9"/>
      <c r="IT210" s="9"/>
      <c r="IU210" s="9"/>
      <c r="IV210"/>
      <c r="IW210"/>
      <c r="IX210"/>
      <c r="IY210"/>
      <c r="IZ210"/>
      <c r="JA210"/>
      <c r="JB210"/>
      <c r="JC210"/>
    </row>
    <row r="211" spans="1:263" ht="15" customHeight="1">
      <c r="A211" s="2">
        <v>102018089</v>
      </c>
      <c r="B211" s="4" t="s">
        <v>1269</v>
      </c>
      <c r="C211" s="4"/>
      <c r="D211" s="4"/>
      <c r="E211" s="3" t="s">
        <v>1270</v>
      </c>
      <c r="F211" s="2">
        <v>180003494</v>
      </c>
      <c r="G211">
        <v>180004326</v>
      </c>
      <c r="J211" t="s">
        <v>311</v>
      </c>
      <c r="K211" t="s">
        <v>1271</v>
      </c>
      <c r="L211" t="s">
        <v>1272</v>
      </c>
      <c r="O211" s="1"/>
      <c r="T211" s="1"/>
      <c r="AJ211" s="4"/>
      <c r="AK211" s="4"/>
      <c r="AO211" s="4"/>
      <c r="AP211" s="5"/>
      <c r="AS211" s="5"/>
      <c r="AT211" s="5"/>
      <c r="AU211" s="1"/>
      <c r="AV211" s="1"/>
      <c r="AW211" s="1"/>
      <c r="AX211" s="1"/>
      <c r="AY211" s="1"/>
      <c r="AZ211" s="1"/>
      <c r="BA211" s="1"/>
      <c r="BB211" s="1"/>
      <c r="BC211" s="1"/>
      <c r="BD211" s="1"/>
      <c r="BE211" s="1"/>
      <c r="BF211" s="1"/>
      <c r="BG211" s="5"/>
      <c r="BH211" s="16"/>
      <c r="BI211" s="16"/>
      <c r="BJ211" s="4"/>
      <c r="BK211" s="4"/>
      <c r="BL211" s="4"/>
      <c r="BM211" s="6"/>
      <c r="BN211" s="7"/>
      <c r="BO211" s="4"/>
      <c r="BQ211" s="4"/>
      <c r="BR211" s="4"/>
      <c r="BS211" s="6"/>
      <c r="BT211" s="7"/>
      <c r="BU211" s="4"/>
      <c r="BV211" s="4"/>
      <c r="BW211" s="4"/>
      <c r="BX211" s="4"/>
      <c r="BY211" s="6"/>
      <c r="BZ211" s="7"/>
      <c r="CA211" s="4"/>
      <c r="CB211" s="4"/>
      <c r="CC211" s="4"/>
      <c r="CD211" s="4"/>
      <c r="CE211" s="6"/>
      <c r="CF211" s="7"/>
      <c r="CG211" s="4"/>
      <c r="CH211" s="4"/>
      <c r="CI211" s="4"/>
      <c r="CJ211" s="4"/>
      <c r="CK211" s="6"/>
      <c r="CL211" s="7"/>
      <c r="CM211" s="4"/>
      <c r="CN211" s="4"/>
      <c r="CO211" s="4"/>
      <c r="CP211" s="4"/>
      <c r="CQ211" s="6"/>
      <c r="CR211" s="7"/>
      <c r="CS211" s="4"/>
      <c r="CT211" s="4"/>
      <c r="CU211" s="4"/>
      <c r="CV211" s="4"/>
      <c r="CW211" s="6"/>
      <c r="CX211" s="7"/>
      <c r="CY211" s="4"/>
      <c r="CZ211" s="4"/>
      <c r="DA211" s="4"/>
      <c r="DB211" s="4"/>
      <c r="DC211" s="6"/>
      <c r="DD211" s="7"/>
      <c r="DE211" s="4"/>
      <c r="DF211" s="4"/>
      <c r="DG211" s="14"/>
      <c r="DH211" s="14"/>
      <c r="DI211" s="4"/>
      <c r="DJ211" s="3"/>
      <c r="DK211" s="4"/>
      <c r="DL211" s="234"/>
      <c r="DM211" s="4"/>
      <c r="DN211" s="4"/>
      <c r="DO211" s="4"/>
      <c r="DP211" s="4"/>
      <c r="DQ211" s="4"/>
      <c r="DR211" s="4"/>
      <c r="DS211" s="4"/>
      <c r="DT211" s="8"/>
      <c r="DU211" s="4"/>
      <c r="DV211" s="8"/>
      <c r="DW211" s="4"/>
      <c r="DX211" s="4"/>
      <c r="EG211" s="11"/>
      <c r="EM211" s="11"/>
      <c r="EN211" s="11"/>
      <c r="EO211" s="4"/>
      <c r="EP211" s="4"/>
      <c r="EQ211" s="4"/>
      <c r="ER211" s="4"/>
      <c r="ES211" s="4"/>
      <c r="ET211" s="4"/>
      <c r="EU211" s="4"/>
      <c r="EV211" s="4"/>
      <c r="EW211" s="4"/>
      <c r="EX211" s="4"/>
      <c r="EY211" s="4"/>
      <c r="EZ211" s="4"/>
      <c r="FA211" s="4"/>
      <c r="FB211" s="4"/>
      <c r="FC211" s="4"/>
      <c r="FG211" s="9"/>
      <c r="FP211" s="9"/>
      <c r="FZ211" s="10"/>
      <c r="GJ211" s="10"/>
      <c r="GY211" s="9"/>
      <c r="IK211" s="4"/>
      <c r="IU211" s="240"/>
    </row>
    <row r="212" spans="1:263" ht="15" customHeight="1">
      <c r="A212" s="19">
        <v>102022199</v>
      </c>
      <c r="B212" t="s">
        <v>1269</v>
      </c>
      <c r="D212" s="1"/>
      <c r="E212" s="3" t="s">
        <v>3873</v>
      </c>
      <c r="F212" s="3">
        <v>220003540</v>
      </c>
      <c r="J212" t="s">
        <v>311</v>
      </c>
      <c r="K212" t="s">
        <v>1271</v>
      </c>
      <c r="L212" t="s">
        <v>1272</v>
      </c>
      <c r="AG212" s="43"/>
      <c r="AJ212" t="s">
        <v>1233</v>
      </c>
      <c r="AK212" t="s">
        <v>258</v>
      </c>
      <c r="AL212" t="s">
        <v>349</v>
      </c>
      <c r="AM212" t="s">
        <v>260</v>
      </c>
      <c r="AN212"/>
      <c r="AO212" s="3" t="s">
        <v>1234</v>
      </c>
      <c r="AP212" s="3" t="s">
        <v>258</v>
      </c>
      <c r="AQ212" t="s">
        <v>267</v>
      </c>
      <c r="AR212" t="s">
        <v>268</v>
      </c>
      <c r="AS212" s="1"/>
      <c r="AT212" s="1"/>
      <c r="AU212" s="1" t="s">
        <v>258</v>
      </c>
      <c r="AV212" s="1" t="s">
        <v>258</v>
      </c>
      <c r="AW212" s="1" t="s">
        <v>258</v>
      </c>
      <c r="AX212" s="70">
        <v>44686</v>
      </c>
      <c r="AY212" s="115">
        <v>44654</v>
      </c>
      <c r="AZ212" s="115">
        <v>44642</v>
      </c>
      <c r="BA212" s="70">
        <v>44743</v>
      </c>
      <c r="BB212" s="2" t="s">
        <v>318</v>
      </c>
      <c r="BC212" s="70">
        <v>44729</v>
      </c>
      <c r="BD212" s="70">
        <v>44736</v>
      </c>
      <c r="BE212" s="70">
        <v>44813</v>
      </c>
      <c r="BF212" s="19" t="s">
        <v>319</v>
      </c>
      <c r="BG212" s="20">
        <f ca="1">SUM(DK212)+214.5</f>
        <v>4347.6551166666668</v>
      </c>
      <c r="BH212" s="22">
        <f ca="1">PMT(10%/12,12,BG212,0,0)</f>
        <v>-382.22795695184089</v>
      </c>
      <c r="BI212" s="22">
        <f ca="1">SUM(BH212*-1)</f>
        <v>382.22795695184089</v>
      </c>
      <c r="BJ212" s="14">
        <f>SUM(DU212*0.0052)/12</f>
        <v>25.52333333333333</v>
      </c>
      <c r="BK212" s="22">
        <f ca="1">SUM(BI212+BJ212)</f>
        <v>407.75129028517421</v>
      </c>
      <c r="BL212" s="14"/>
      <c r="BM212" s="14">
        <f>SUM(BL212*0.1)</f>
        <v>0</v>
      </c>
      <c r="BN212" s="14">
        <f ca="1">SUM(BO212*BP212)</f>
        <v>0</v>
      </c>
      <c r="BO212" s="17">
        <f>SUM((BL212+BM212)*0.00833333333333333)</f>
        <v>0</v>
      </c>
      <c r="BP212" s="23">
        <f ca="1">MONTH(TODAY())+49</f>
        <v>53</v>
      </c>
      <c r="BQ212" s="14">
        <f ca="1">SUM(BL212,BM212,BN212)</f>
        <v>0</v>
      </c>
      <c r="BR212" s="14"/>
      <c r="BS212" s="14">
        <f>SUM(BR212*0.1)</f>
        <v>0</v>
      </c>
      <c r="BT212" s="14">
        <f ca="1">SUM(BU212*BV212)</f>
        <v>0</v>
      </c>
      <c r="BU212" s="17">
        <f>SUM((BR212+BS212)*0.00833333333333333)</f>
        <v>0</v>
      </c>
      <c r="BV212" s="23">
        <f ca="1">MONTH(TODAY())+37</f>
        <v>41</v>
      </c>
      <c r="BW212" s="14">
        <f ca="1">SUM(BR212,BS212,BT212)</f>
        <v>0</v>
      </c>
      <c r="BX212" s="14"/>
      <c r="BY212" s="14">
        <f>SUM(BX212*0.1)</f>
        <v>0</v>
      </c>
      <c r="BZ212" s="14">
        <f ca="1">SUM(CA212*CB212)</f>
        <v>0</v>
      </c>
      <c r="CA212" s="17">
        <f>SUM((BX212+BY212)*0.00833333333333333)</f>
        <v>0</v>
      </c>
      <c r="CB212" s="23">
        <f ca="1">MONTH(TODAY())+25</f>
        <v>29</v>
      </c>
      <c r="CC212" s="14">
        <f ca="1">SUM(BX212,BY212,BZ212)</f>
        <v>0</v>
      </c>
      <c r="CD212" s="14">
        <f>SUM(DU212*0.0052)</f>
        <v>306.27999999999997</v>
      </c>
      <c r="CE212" s="14">
        <f>SUM(CD212*0.1)</f>
        <v>30.628</v>
      </c>
      <c r="CF212" s="14">
        <f ca="1">SUM(CG212*CH212)</f>
        <v>47.728633333333306</v>
      </c>
      <c r="CG212" s="17">
        <f>SUM((CD212+CE212)*0.00833333333333333)</f>
        <v>2.807566666666665</v>
      </c>
      <c r="CH212" s="23">
        <f ca="1">MONTH(TODAY())+13</f>
        <v>17</v>
      </c>
      <c r="CI212" s="14">
        <f ca="1">SUM(CD212,CE212,CF212)</f>
        <v>384.63663333333329</v>
      </c>
      <c r="CJ212" s="14">
        <f>SUM(DU212*0.0052)</f>
        <v>306.27999999999997</v>
      </c>
      <c r="CK212" s="14">
        <f>SUM(CJ212*0.1)</f>
        <v>30.628</v>
      </c>
      <c r="CL212" s="14">
        <f ca="1">SUM(CM212*CN212)</f>
        <v>14.037833333333325</v>
      </c>
      <c r="CM212" s="17">
        <f>SUM((CJ212+CK212)*0.00833333333333333)</f>
        <v>2.807566666666665</v>
      </c>
      <c r="CN212" s="23">
        <f ca="1">MONTH(TODAY())+1</f>
        <v>5</v>
      </c>
      <c r="CO212" s="14">
        <f ca="1">SUM(CJ212,CK212,CL212)</f>
        <v>350.94583333333327</v>
      </c>
      <c r="CP212" s="14">
        <f>SUM(DU212*0.0052)/2</f>
        <v>153.13999999999999</v>
      </c>
      <c r="CQ212" s="14">
        <f>SUM(CP212*0.1)</f>
        <v>15.314</v>
      </c>
      <c r="CR212" s="14">
        <f ca="1">SUM(CS212*CT212)</f>
        <v>-4.2113499999999977</v>
      </c>
      <c r="CS212" s="17">
        <f>SUM((CP212+CQ212)*0.00833333333333333)</f>
        <v>1.4037833333333325</v>
      </c>
      <c r="CT212" s="23">
        <f ca="1">MONTH(TODAY())-7</f>
        <v>-3</v>
      </c>
      <c r="CU212" s="23">
        <f ca="1">SUM(CP212,CQ212,CR212)</f>
        <v>164.24264999999997</v>
      </c>
      <c r="CV212" s="14">
        <f>SUM(DU212*0.0052)/2</f>
        <v>153.13999999999999</v>
      </c>
      <c r="CW212" s="14">
        <v>0</v>
      </c>
      <c r="CX212" s="14">
        <v>0</v>
      </c>
      <c r="CY212" s="17">
        <f>SUM((CV212+CW212)*0.00833333333333333)</f>
        <v>1.276166666666666</v>
      </c>
      <c r="CZ212" s="23">
        <f ca="1">MONTH(TODAY())-7</f>
        <v>-3</v>
      </c>
      <c r="DA212" s="23">
        <f>SUM(CV212,CW212,CX212)</f>
        <v>153.13999999999999</v>
      </c>
      <c r="DB212" s="14">
        <f>SUM(BL212, BR212, BX212, CD212, CJ212, CP212,CV212)</f>
        <v>918.83999999999992</v>
      </c>
      <c r="DC212" s="14">
        <f>SUM(BM212, BS212,BY212,CE212,CK212, CQ212,CW212)</f>
        <v>76.569999999999993</v>
      </c>
      <c r="DD212" s="14">
        <f ca="1">SUM(BN212, BT212,BZ212,CF212,CL212, CR212,CX212)</f>
        <v>57.555116666666635</v>
      </c>
      <c r="DE212" s="14">
        <f ca="1">SUM(DB212:DD212)</f>
        <v>1052.9651166666665</v>
      </c>
      <c r="DF212" s="47">
        <f ca="1">SUM(DE212/DU212)</f>
        <v>1.7877166666666663E-2</v>
      </c>
      <c r="DG212" s="14">
        <f>19.5+195+19.5+195+39+39+58.5+39+97.5+97.5</f>
        <v>799.5</v>
      </c>
      <c r="DH212" s="32">
        <f>COUNTIF(DN212, "*")+COUNTIF(AO212, "*")+COUNTIF(AJ212, "*")+COUNTIF(AA212, "*")+COUNTIF(EK212, "*")+COUNTIF(EQ212, "*")+COUNTIF(EW212, "*")+COUNTIF(FB212, "*")+COUNTIF(FH212, "*")+COUNTIF(FO212, "*")+COUNTIF(FV212, "*")+COUNTIF(GG212, "*")+COUNTIF(GR212, "*")+COUNTIF(GZ212, "*")+COUNTIF(HH212, "*")+COUNTIF(HP212, "*")+COUNTIF(HX212, "*")</f>
        <v>3</v>
      </c>
      <c r="DI212" s="14">
        <f>DH212*0.53+DH212*6.66+4.11</f>
        <v>25.68</v>
      </c>
      <c r="DJ212" s="4">
        <v>267</v>
      </c>
      <c r="DK212" s="14">
        <f ca="1">SUM(DE212,DG212,DQ212, DJ212, DI212,FS212)</f>
        <v>4133.1551166666668</v>
      </c>
      <c r="DL212" s="14">
        <f>27.36+808.8</f>
        <v>836.16</v>
      </c>
      <c r="DM212" s="14">
        <f>93.75+245</f>
        <v>338.75</v>
      </c>
      <c r="DN212" s="4">
        <v>67.5</v>
      </c>
      <c r="DO212" s="14">
        <f>SUM(DU212*0.004)</f>
        <v>235.6</v>
      </c>
      <c r="DP212" s="4">
        <v>510</v>
      </c>
      <c r="DQ212" s="14">
        <f>SUM(DL212:DP212)</f>
        <v>1988.0099999999998</v>
      </c>
      <c r="DR212" s="24" t="s">
        <v>2773</v>
      </c>
      <c r="DS212" s="4">
        <v>27600</v>
      </c>
      <c r="DT212" s="4">
        <v>31300</v>
      </c>
      <c r="DU212" s="25">
        <f>SUM(DS212+DT212)</f>
        <v>58900</v>
      </c>
      <c r="DV212" s="35">
        <v>2.14</v>
      </c>
      <c r="DW212" t="s">
        <v>3544</v>
      </c>
      <c r="DX212" t="s">
        <v>3545</v>
      </c>
      <c r="EZ212" t="s">
        <v>3549</v>
      </c>
      <c r="FA212" t="s">
        <v>3548</v>
      </c>
      <c r="FB212" t="s">
        <v>3546</v>
      </c>
      <c r="FC212" t="s">
        <v>279</v>
      </c>
      <c r="FD212" t="s">
        <v>268</v>
      </c>
      <c r="FE212" s="9">
        <v>41410</v>
      </c>
      <c r="FF212" t="s">
        <v>3547</v>
      </c>
      <c r="ID212" s="9">
        <v>44863</v>
      </c>
      <c r="IO212" s="4"/>
      <c r="IP212" s="9">
        <v>44823</v>
      </c>
    </row>
    <row r="213" spans="1:263" ht="15" customHeight="1">
      <c r="A213" s="19">
        <v>102022185</v>
      </c>
      <c r="B213" t="s">
        <v>2910</v>
      </c>
      <c r="D213" s="1" t="s">
        <v>3885</v>
      </c>
      <c r="E213" s="3"/>
      <c r="F213" s="3"/>
      <c r="J213" t="s">
        <v>434</v>
      </c>
      <c r="K213" t="s">
        <v>3245</v>
      </c>
      <c r="L213" t="s">
        <v>3246</v>
      </c>
      <c r="M213" t="s">
        <v>469</v>
      </c>
      <c r="P213" t="s">
        <v>3247</v>
      </c>
      <c r="Q213" t="s">
        <v>3248</v>
      </c>
      <c r="R213" t="s">
        <v>1220</v>
      </c>
      <c r="AG213" s="43"/>
      <c r="AJ213" s="18" t="s">
        <v>328</v>
      </c>
      <c r="AL213" s="3" t="s">
        <v>300</v>
      </c>
      <c r="AM213"/>
      <c r="AN213"/>
      <c r="AO213" s="3" t="s">
        <v>3834</v>
      </c>
      <c r="AP213" s="3" t="s">
        <v>258</v>
      </c>
      <c r="AQ213" t="s">
        <v>300</v>
      </c>
      <c r="AR213" t="s">
        <v>260</v>
      </c>
      <c r="AS213" s="1"/>
      <c r="AT213" s="1"/>
      <c r="AU213" s="1"/>
      <c r="AV213" s="1"/>
      <c r="AW213" s="1"/>
      <c r="AX213" s="2"/>
      <c r="AY213" s="115">
        <v>44661</v>
      </c>
      <c r="AZ213" s="115">
        <v>44691</v>
      </c>
      <c r="BA213" s="70">
        <v>44799</v>
      </c>
      <c r="BB213" s="2" t="s">
        <v>318</v>
      </c>
      <c r="BC213" s="48">
        <v>44785</v>
      </c>
      <c r="BD213" s="48">
        <v>44792</v>
      </c>
      <c r="BE213" s="2"/>
      <c r="BF213" s="2"/>
      <c r="BG213" s="20">
        <f ca="1">SUM(CZ213)+214.5</f>
        <v>1774.9725999999998</v>
      </c>
      <c r="BH213" s="22">
        <f ca="1">PMT(10%/12,12,BG213,0,0)</f>
        <v>-156.04829093795692</v>
      </c>
      <c r="BI213" s="22">
        <f ca="1">SUM(BH213*-1)</f>
        <v>156.04829093795692</v>
      </c>
      <c r="BJ213" s="14">
        <f>SUM(DJ213*0.0052)/12</f>
        <v>27.429999999999996</v>
      </c>
      <c r="BK213" s="22">
        <f ca="1">SUM(BI213+BJ213)</f>
        <v>183.47829093795693</v>
      </c>
      <c r="BL213" s="14"/>
      <c r="BM213" s="14">
        <f>SUM(BL213*0.1)</f>
        <v>0</v>
      </c>
      <c r="BN213" s="14">
        <f ca="1">SUM(BO213*BP213)</f>
        <v>0</v>
      </c>
      <c r="BO213" s="17">
        <f>SUM((BL213+BM213)*0.00833333333333333)</f>
        <v>0</v>
      </c>
      <c r="BP213" s="23">
        <f ca="1">MONTH(TODAY())+49</f>
        <v>53</v>
      </c>
      <c r="BQ213" s="14">
        <f ca="1">SUM(BL213,BM213,BN213)</f>
        <v>0</v>
      </c>
      <c r="BR213" s="14"/>
      <c r="BS213" s="14">
        <f>SUM(BR213*0.1)</f>
        <v>0</v>
      </c>
      <c r="BT213" s="14">
        <f ca="1">SUM(BU213*BV213)</f>
        <v>0</v>
      </c>
      <c r="BU213" s="17">
        <f>SUM((BR213+BS213)*0.00833333333333333)</f>
        <v>0</v>
      </c>
      <c r="BV213" s="23">
        <f ca="1">MONTH(TODAY())+37</f>
        <v>41</v>
      </c>
      <c r="BW213" s="14">
        <f ca="1">SUM(BR213,BS213,BT213)</f>
        <v>0</v>
      </c>
      <c r="BX213" s="14"/>
      <c r="BY213" s="14">
        <f>SUM(BX213*0.1)</f>
        <v>0</v>
      </c>
      <c r="BZ213" s="14">
        <f ca="1">SUM(CA213*CB213)</f>
        <v>0</v>
      </c>
      <c r="CA213" s="17">
        <f>SUM((BX213+BY213)*0.00833333333333333)</f>
        <v>0</v>
      </c>
      <c r="CB213" s="23">
        <f ca="1">MONTH(TODAY())+25</f>
        <v>29</v>
      </c>
      <c r="CC213" s="14">
        <f ca="1">SUM(BX213,BY213,BZ213)</f>
        <v>0</v>
      </c>
      <c r="CD213" s="14">
        <f>SUM(DJ213*0.0052)</f>
        <v>329.15999999999997</v>
      </c>
      <c r="CE213" s="14">
        <f>SUM(CD213*0.1)</f>
        <v>32.915999999999997</v>
      </c>
      <c r="CF213" s="14">
        <f ca="1">SUM(CG213*CH213)</f>
        <v>51.294099999999972</v>
      </c>
      <c r="CG213" s="17">
        <f>SUM((CD213+CE213)*0.00833333333333333)</f>
        <v>3.0172999999999983</v>
      </c>
      <c r="CH213" s="23">
        <f ca="1">MONTH(TODAY())+13</f>
        <v>17</v>
      </c>
      <c r="CI213" s="14">
        <f ca="1">SUM(CD213,CE213,CF213)</f>
        <v>413.37009999999992</v>
      </c>
      <c r="CJ213" s="14">
        <f>SUM(DJ213*0.0052)</f>
        <v>329.15999999999997</v>
      </c>
      <c r="CK213" s="14">
        <f>SUM(CJ213*0.1)</f>
        <v>32.915999999999997</v>
      </c>
      <c r="CL213" s="14">
        <f ca="1">SUM(CM213*CN213)</f>
        <v>15.086499999999992</v>
      </c>
      <c r="CM213" s="17">
        <f>SUM((CJ213+CK213)*0.00833333333333333)</f>
        <v>3.0172999999999983</v>
      </c>
      <c r="CN213" s="23">
        <f ca="1">MONTH(TODAY())+1</f>
        <v>5</v>
      </c>
      <c r="CO213" s="14">
        <f ca="1">SUM(CJ213,CK213,CL213)</f>
        <v>377.16249999999997</v>
      </c>
      <c r="CP213" s="14">
        <f>SUM(DJ213*0.0052)/2</f>
        <v>164.57999999999998</v>
      </c>
      <c r="CQ213" s="14">
        <f>SUM(BL213, BR213, BX213, CD213, CJ213, CP213)</f>
        <v>822.89999999999986</v>
      </c>
      <c r="CR213" s="14">
        <f>SUM(BM213, BS213,BY213,CE213,CK213)</f>
        <v>65.831999999999994</v>
      </c>
      <c r="CS213" s="14">
        <f ca="1">SUM(BN213, BT213,BZ213,CF213,CL213)</f>
        <v>66.380599999999959</v>
      </c>
      <c r="CT213" s="14">
        <f ca="1">SUM(CQ213:CS213)</f>
        <v>955.11259999999982</v>
      </c>
      <c r="CU213" s="47">
        <f ca="1">SUM(CT213/DJ213)</f>
        <v>1.5088666666666663E-2</v>
      </c>
      <c r="CV213" s="14">
        <f>19.5+19.5+195+97.5+39</f>
        <v>370.5</v>
      </c>
      <c r="CW213" s="32">
        <f>COUNTIF(DC213, "*")+COUNTIF(AO213, "*")+COUNTIF(AJ213, "*")+COUNTIF(AA213, "*")+COUNTIF(DZ213, "*")+COUNTIF(EF213, "*")+COUNTIF(EL213, "*")+COUNTIF(EP213, "*")+COUNTIF(EW213, "*")+COUNTIF(FD213, "*")+COUNTIF(FK213, "*")+COUNTIF(FV213, "*")+COUNTIF(GG213, "*")+COUNTIF(GO213, "*")+COUNTIF(GW213, "*")+COUNTIF(HE213, "*")+COUNTIF(HM213, "*")</f>
        <v>5</v>
      </c>
      <c r="CX213" s="14">
        <f>21.48+CW213*6.66</f>
        <v>54.78</v>
      </c>
      <c r="CY213" s="4">
        <v>150</v>
      </c>
      <c r="CZ213" s="14">
        <f ca="1">SUM(CT213,CV213,DF213, CY213, CX213,FH213)</f>
        <v>1560.4725999999998</v>
      </c>
      <c r="DA213" s="14">
        <v>30.08</v>
      </c>
      <c r="DB213" s="4"/>
      <c r="DF213" s="14">
        <f>SUM(DA213:DE213)</f>
        <v>30.08</v>
      </c>
      <c r="DG213" s="24" t="s">
        <v>2773</v>
      </c>
      <c r="DH213" s="4">
        <v>62300</v>
      </c>
      <c r="DI213" s="4">
        <v>1000</v>
      </c>
      <c r="DJ213" s="25">
        <f>SUM(DH213+DI213)</f>
        <v>63300</v>
      </c>
      <c r="DK213" s="35">
        <v>2.2400000000000002</v>
      </c>
      <c r="DL213" t="s">
        <v>3628</v>
      </c>
      <c r="DM213" t="s">
        <v>3630</v>
      </c>
      <c r="DX213" t="s">
        <v>3835</v>
      </c>
      <c r="DZ213" t="s">
        <v>3836</v>
      </c>
      <c r="EB213" t="s">
        <v>3837</v>
      </c>
      <c r="ED213" t="s">
        <v>3835</v>
      </c>
      <c r="EF213" t="s">
        <v>3838</v>
      </c>
      <c r="EH213" t="s">
        <v>3839</v>
      </c>
      <c r="EO213" t="s">
        <v>3631</v>
      </c>
      <c r="EP213" t="s">
        <v>3632</v>
      </c>
      <c r="ER213" t="s">
        <v>495</v>
      </c>
      <c r="ES213" t="s">
        <v>496</v>
      </c>
      <c r="ET213" s="9">
        <v>43959</v>
      </c>
      <c r="EU213" t="s">
        <v>3633</v>
      </c>
      <c r="ID213" s="4"/>
    </row>
    <row r="214" spans="1:263" ht="15" customHeight="1">
      <c r="A214" s="19">
        <v>102022186</v>
      </c>
      <c r="B214" t="s">
        <v>2911</v>
      </c>
      <c r="D214" s="1" t="s">
        <v>3885</v>
      </c>
      <c r="E214" s="3"/>
      <c r="F214" s="3"/>
      <c r="J214" t="s">
        <v>434</v>
      </c>
      <c r="K214" t="s">
        <v>3245</v>
      </c>
      <c r="L214" t="s">
        <v>3246</v>
      </c>
      <c r="M214" t="s">
        <v>469</v>
      </c>
      <c r="P214" t="s">
        <v>3247</v>
      </c>
      <c r="Q214" t="s">
        <v>3248</v>
      </c>
      <c r="R214" t="s">
        <v>1220</v>
      </c>
      <c r="AG214" s="43"/>
      <c r="AJ214" s="18" t="s">
        <v>328</v>
      </c>
      <c r="AL214" s="3" t="s">
        <v>300</v>
      </c>
      <c r="AM214"/>
      <c r="AN214"/>
      <c r="AO214" s="3" t="s">
        <v>3834</v>
      </c>
      <c r="AP214" s="3" t="s">
        <v>258</v>
      </c>
      <c r="AQ214" t="s">
        <v>300</v>
      </c>
      <c r="AR214" t="s">
        <v>260</v>
      </c>
      <c r="AS214" s="1"/>
      <c r="AT214" s="1"/>
      <c r="AU214" s="1"/>
      <c r="AV214" s="1"/>
      <c r="AW214" s="1"/>
      <c r="AX214" s="2"/>
      <c r="AY214" s="115">
        <v>44661</v>
      </c>
      <c r="AZ214" s="115">
        <v>44691</v>
      </c>
      <c r="BA214" s="70">
        <v>44799</v>
      </c>
      <c r="BB214" s="2" t="s">
        <v>318</v>
      </c>
      <c r="BC214" s="48">
        <v>44785</v>
      </c>
      <c r="BD214" s="48">
        <v>44792</v>
      </c>
      <c r="BE214" s="2"/>
      <c r="BF214" s="2"/>
      <c r="BG214" s="20">
        <f ca="1">SUM(CZ214)+214.5</f>
        <v>1773.463733333333</v>
      </c>
      <c r="BH214" s="22">
        <f ca="1">PMT(10%/12,12,BG214,0,0)</f>
        <v>-155.91563758624511</v>
      </c>
      <c r="BI214" s="22">
        <f ca="1">SUM(BH214*-1)</f>
        <v>155.91563758624511</v>
      </c>
      <c r="BJ214" s="14">
        <f>SUM(DJ214*0.0052)/12</f>
        <v>27.386666666666667</v>
      </c>
      <c r="BK214" s="22">
        <f ca="1">SUM(BI214+BJ214)</f>
        <v>183.30230425291177</v>
      </c>
      <c r="BL214" s="14"/>
      <c r="BM214" s="14">
        <f>SUM(BL214*0.1)</f>
        <v>0</v>
      </c>
      <c r="BN214" s="14">
        <f ca="1">SUM(BO214*BP214)</f>
        <v>0</v>
      </c>
      <c r="BO214" s="17">
        <f>SUM((BL214+BM214)*0.00833333333333333)</f>
        <v>0</v>
      </c>
      <c r="BP214" s="23">
        <f ca="1">MONTH(TODAY())+49</f>
        <v>53</v>
      </c>
      <c r="BQ214" s="14">
        <f ca="1">SUM(BL214,BM214,BN214)</f>
        <v>0</v>
      </c>
      <c r="BR214" s="14"/>
      <c r="BS214" s="14">
        <f>SUM(BR214*0.1)</f>
        <v>0</v>
      </c>
      <c r="BT214" s="14">
        <f ca="1">SUM(BU214*BV214)</f>
        <v>0</v>
      </c>
      <c r="BU214" s="17">
        <f>SUM((BR214+BS214)*0.00833333333333333)</f>
        <v>0</v>
      </c>
      <c r="BV214" s="23">
        <f ca="1">MONTH(TODAY())+37</f>
        <v>41</v>
      </c>
      <c r="BW214" s="14">
        <f ca="1">SUM(BR214,BS214,BT214)</f>
        <v>0</v>
      </c>
      <c r="BX214" s="14"/>
      <c r="BY214" s="14">
        <f>SUM(BX214*0.1)</f>
        <v>0</v>
      </c>
      <c r="BZ214" s="14">
        <f ca="1">SUM(CA214*CB214)</f>
        <v>0</v>
      </c>
      <c r="CA214" s="17">
        <f>SUM((BX214+BY214)*0.00833333333333333)</f>
        <v>0</v>
      </c>
      <c r="CB214" s="23">
        <f ca="1">MONTH(TODAY())+25</f>
        <v>29</v>
      </c>
      <c r="CC214" s="14">
        <f ca="1">SUM(BX214,BY214,BZ214)</f>
        <v>0</v>
      </c>
      <c r="CD214" s="14">
        <f>SUM(DJ214*0.0052)</f>
        <v>328.64</v>
      </c>
      <c r="CE214" s="14">
        <f>SUM(CD214*0.1)</f>
        <v>32.863999999999997</v>
      </c>
      <c r="CF214" s="14">
        <f ca="1">SUM(CG214*CH214)</f>
        <v>51.213066666666634</v>
      </c>
      <c r="CG214" s="17">
        <f>SUM((CD214+CE214)*0.00833333333333333)</f>
        <v>3.0125333333333315</v>
      </c>
      <c r="CH214" s="23">
        <f ca="1">MONTH(TODAY())+13</f>
        <v>17</v>
      </c>
      <c r="CI214" s="14">
        <f ca="1">SUM(CD214,CE214,CF214)</f>
        <v>412.7170666666666</v>
      </c>
      <c r="CJ214" s="14">
        <f>SUM(DJ214*0.0052)</f>
        <v>328.64</v>
      </c>
      <c r="CK214" s="14">
        <f>SUM(CJ214*0.1)</f>
        <v>32.863999999999997</v>
      </c>
      <c r="CL214" s="14">
        <f ca="1">SUM(CM214*CN214)</f>
        <v>15.062666666666658</v>
      </c>
      <c r="CM214" s="17">
        <f>SUM((CJ214+CK214)*0.00833333333333333)</f>
        <v>3.0125333333333315</v>
      </c>
      <c r="CN214" s="23">
        <f ca="1">MONTH(TODAY())+1</f>
        <v>5</v>
      </c>
      <c r="CO214" s="14">
        <f ca="1">SUM(CJ214,CK214,CL214)</f>
        <v>376.56666666666661</v>
      </c>
      <c r="CP214" s="14">
        <f>SUM(DJ214*0.0052)/2</f>
        <v>164.32</v>
      </c>
      <c r="CQ214" s="14">
        <f>SUM(BL214, BR214, BX214, CD214, CJ214, CP214)</f>
        <v>821.59999999999991</v>
      </c>
      <c r="CR214" s="14">
        <f>SUM(BM214, BS214,BY214,CE214,CK214)</f>
        <v>65.727999999999994</v>
      </c>
      <c r="CS214" s="14">
        <f ca="1">SUM(BN214, BT214,BZ214,CF214,CL214)</f>
        <v>66.275733333333292</v>
      </c>
      <c r="CT214" s="14">
        <f ca="1">SUM(CQ214:CS214)</f>
        <v>953.60373333333314</v>
      </c>
      <c r="CU214" s="47">
        <f ca="1">SUM(CT214/DJ214)</f>
        <v>1.5088666666666663E-2</v>
      </c>
      <c r="CV214" s="14">
        <f>19.5+19.5+195+97.5+39</f>
        <v>370.5</v>
      </c>
      <c r="CW214" s="32">
        <f>COUNTIF(DC214, "*")+COUNTIF(AO214, "*")+COUNTIF(AJ214, "*")+COUNTIF(AA214, "*")+COUNTIF(DZ214, "*")+COUNTIF(EF214, "*")+COUNTIF(EL214, "*")+COUNTIF(EP214, "*")+COUNTIF(EW214, "*")+COUNTIF(FD214, "*")+COUNTIF(FK214, "*")+COUNTIF(FV214, "*")+COUNTIF(GG214, "*")+COUNTIF(GO214, "*")+COUNTIF(GW214, "*")+COUNTIF(HE214, "*")+COUNTIF(HM214, "*")</f>
        <v>5</v>
      </c>
      <c r="CX214" s="14">
        <f>21.48+CW214*6.66</f>
        <v>54.78</v>
      </c>
      <c r="CY214" s="4">
        <v>150</v>
      </c>
      <c r="CZ214" s="14">
        <f ca="1">SUM(CT214,CV214,DF214, CY214, CX214,FH214)</f>
        <v>1558.963733333333</v>
      </c>
      <c r="DA214" s="14">
        <v>30.08</v>
      </c>
      <c r="DB214" s="4"/>
      <c r="DF214" s="14">
        <f>SUM(DA214:DE214)</f>
        <v>30.08</v>
      </c>
      <c r="DG214" s="24" t="s">
        <v>2773</v>
      </c>
      <c r="DH214" s="4">
        <v>63200</v>
      </c>
      <c r="DI214" s="4">
        <v>0</v>
      </c>
      <c r="DJ214" s="25">
        <f>SUM(DH214+DI214)</f>
        <v>63200</v>
      </c>
      <c r="DK214" s="35">
        <v>2.29</v>
      </c>
      <c r="DL214" t="s">
        <v>3629</v>
      </c>
      <c r="DM214" t="s">
        <v>3630</v>
      </c>
      <c r="DX214" t="s">
        <v>3835</v>
      </c>
      <c r="DZ214" t="s">
        <v>3836</v>
      </c>
      <c r="EB214" t="s">
        <v>3837</v>
      </c>
      <c r="ED214" t="s">
        <v>3835</v>
      </c>
      <c r="EF214" t="s">
        <v>3838</v>
      </c>
      <c r="EH214" t="s">
        <v>3839</v>
      </c>
      <c r="EO214" t="s">
        <v>3631</v>
      </c>
      <c r="EP214" t="s">
        <v>3632</v>
      </c>
      <c r="ER214" t="s">
        <v>495</v>
      </c>
      <c r="ES214" t="s">
        <v>496</v>
      </c>
      <c r="ET214" s="9">
        <v>43959</v>
      </c>
      <c r="EU214" t="s">
        <v>3633</v>
      </c>
      <c r="ID214" s="4"/>
    </row>
    <row r="215" spans="1:263" ht="15" customHeight="1">
      <c r="A215" s="19">
        <v>102022022</v>
      </c>
      <c r="B215" t="s">
        <v>2958</v>
      </c>
      <c r="D215" s="1"/>
      <c r="E215" s="3" t="s">
        <v>3725</v>
      </c>
      <c r="F215" s="3">
        <v>220002128</v>
      </c>
      <c r="K215" t="s">
        <v>2959</v>
      </c>
      <c r="AD215" t="s">
        <v>3940</v>
      </c>
      <c r="AE215" t="s">
        <v>311</v>
      </c>
      <c r="AF215" t="s">
        <v>753</v>
      </c>
      <c r="AG215" s="43" t="s">
        <v>3941</v>
      </c>
      <c r="AM215"/>
      <c r="AN215"/>
      <c r="AO215" s="3" t="s">
        <v>2960</v>
      </c>
      <c r="AP215" s="3" t="s">
        <v>258</v>
      </c>
      <c r="AQ215" t="s">
        <v>300</v>
      </c>
      <c r="AR215" t="s">
        <v>260</v>
      </c>
      <c r="AS215" s="1"/>
      <c r="AT215" s="1" t="s">
        <v>258</v>
      </c>
      <c r="AU215" s="1"/>
      <c r="AV215" s="1" t="s">
        <v>258</v>
      </c>
      <c r="AW215" s="1" t="s">
        <v>258</v>
      </c>
      <c r="AX215" s="70">
        <v>44644</v>
      </c>
      <c r="AY215" s="114">
        <v>44605</v>
      </c>
      <c r="AZ215" s="115">
        <v>44614</v>
      </c>
      <c r="BA215" s="70">
        <v>44799</v>
      </c>
      <c r="BB215" s="2" t="s">
        <v>318</v>
      </c>
      <c r="BC215" s="48">
        <v>44785</v>
      </c>
      <c r="BD215" s="48">
        <v>44792</v>
      </c>
      <c r="BE215" s="48">
        <v>44785</v>
      </c>
      <c r="BF215" s="19" t="s">
        <v>319</v>
      </c>
      <c r="BG215" s="20">
        <f ca="1">SUM(DK215)+214.5</f>
        <v>8419.7266666666674</v>
      </c>
      <c r="BH215" s="22">
        <f ca="1">PMT(10%/12,12,BG215,0,0)</f>
        <v>-740.22774013417131</v>
      </c>
      <c r="BI215" s="22">
        <f ca="1">SUM(BH215*-1)</f>
        <v>740.22774013417131</v>
      </c>
      <c r="BJ215" s="14">
        <f>SUM(DU215*0.0052)/12</f>
        <v>76.266666666666666</v>
      </c>
      <c r="BK215" s="22">
        <f ca="1">SUM(BI215+BJ215)</f>
        <v>816.49440680083796</v>
      </c>
      <c r="BL215" s="14"/>
      <c r="BM215" s="14">
        <f>SUM(BL215*0.1)</f>
        <v>0</v>
      </c>
      <c r="BN215" s="14">
        <f ca="1">SUM(BO215*BP215)</f>
        <v>0</v>
      </c>
      <c r="BO215" s="17">
        <f>SUM((BL215+BM215)*0.00833333333333333)</f>
        <v>0</v>
      </c>
      <c r="BP215" s="23">
        <f ca="1">MONTH(TODAY())+49</f>
        <v>53</v>
      </c>
      <c r="BQ215" s="14">
        <f ca="1">SUM(BL215,BM215,BN215)</f>
        <v>0</v>
      </c>
      <c r="BR215" s="14"/>
      <c r="BS215" s="14">
        <f>SUM(BR215*0.1)</f>
        <v>0</v>
      </c>
      <c r="BT215" s="14">
        <f ca="1">SUM(BU215*BV215)</f>
        <v>0</v>
      </c>
      <c r="BU215" s="17">
        <f>SUM((BR215+BS215)*0.00833333333333333)</f>
        <v>0</v>
      </c>
      <c r="BV215" s="23">
        <f ca="1">MONTH(TODAY())+37</f>
        <v>41</v>
      </c>
      <c r="BW215" s="14">
        <f ca="1">SUM(BR215,BS215,BT215)</f>
        <v>0</v>
      </c>
      <c r="BX215" s="14">
        <f>SUM(DU215*0.0052)</f>
        <v>915.19999999999993</v>
      </c>
      <c r="BY215" s="14">
        <f>SUM(BX215*0.1)</f>
        <v>91.52</v>
      </c>
      <c r="BZ215" s="14">
        <f ca="1">SUM(CA215*CB215)</f>
        <v>243.29066666666657</v>
      </c>
      <c r="CA215" s="17">
        <f>SUM((BX215+BY215)*0.00833333333333333)</f>
        <v>8.3893333333333295</v>
      </c>
      <c r="CB215" s="23">
        <f ca="1">MONTH(TODAY())+25</f>
        <v>29</v>
      </c>
      <c r="CC215" s="14">
        <f ca="1">SUM(BX215,BY215,BZ215)</f>
        <v>1250.0106666666666</v>
      </c>
      <c r="CD215" s="14">
        <f>SUM(DU215*0.0052)</f>
        <v>915.19999999999993</v>
      </c>
      <c r="CE215" s="14">
        <f>SUM(CD215*0.1)</f>
        <v>91.52</v>
      </c>
      <c r="CF215" s="14">
        <f ca="1">SUM(CG215*CH215)</f>
        <v>142.6186666666666</v>
      </c>
      <c r="CG215" s="17">
        <f>SUM((CD215+CE215)*0.00833333333333333)</f>
        <v>8.3893333333333295</v>
      </c>
      <c r="CH215" s="23">
        <f ca="1">MONTH(TODAY())+13</f>
        <v>17</v>
      </c>
      <c r="CI215" s="14">
        <f ca="1">SUM(CD215,CE215,CF215)</f>
        <v>1149.3386666666665</v>
      </c>
      <c r="CJ215" s="14">
        <f>SUM(DU215*0.0052)</f>
        <v>915.19999999999993</v>
      </c>
      <c r="CK215" s="14">
        <f>SUM(CJ215*0.1)</f>
        <v>91.52</v>
      </c>
      <c r="CL215" s="14">
        <f ca="1">SUM(CM215*CN215)</f>
        <v>41.946666666666644</v>
      </c>
      <c r="CM215" s="17">
        <f>SUM((CJ215+CK215)*0.00833333333333333)</f>
        <v>8.3893333333333295</v>
      </c>
      <c r="CN215" s="23">
        <f ca="1">MONTH(TODAY())+1</f>
        <v>5</v>
      </c>
      <c r="CO215" s="14">
        <f ca="1">SUM(CJ215,CK215,CL215)</f>
        <v>1048.6666666666665</v>
      </c>
      <c r="CP215" s="14">
        <f>SUM(DU215*0.0052)/2</f>
        <v>457.59999999999997</v>
      </c>
      <c r="CQ215" s="14">
        <f>SUM(CP215*0.1)</f>
        <v>45.76</v>
      </c>
      <c r="CR215" s="14">
        <f ca="1">SUM(CS215*CT215)</f>
        <v>-8.3893333333333295</v>
      </c>
      <c r="CS215" s="17">
        <f>SUM((CP215+CQ215)*0.00833333333333333)</f>
        <v>4.1946666666666648</v>
      </c>
      <c r="CT215" s="23">
        <f ca="1">MONTH(TODAY())-6</f>
        <v>-2</v>
      </c>
      <c r="CU215" s="23">
        <f ca="1">SUM(CP215,CQ215,CR215)</f>
        <v>494.9706666666666</v>
      </c>
      <c r="CV215" s="14">
        <f>SUM(DU215*0.0052)/2</f>
        <v>457.59999999999997</v>
      </c>
      <c r="CW215" s="14">
        <v>0</v>
      </c>
      <c r="CX215" s="14">
        <v>0</v>
      </c>
      <c r="CY215" s="17">
        <f>SUM((CV215+CW215)*0.00833333333333333)</f>
        <v>3.8133333333333312</v>
      </c>
      <c r="CZ215" s="23">
        <f ca="1">MONTH(TODAY())-6</f>
        <v>-2</v>
      </c>
      <c r="DA215" s="23">
        <f>SUM(CV215,CW215,CX215)</f>
        <v>457.59999999999997</v>
      </c>
      <c r="DB215" s="14">
        <f>SUM(BL215, BR215, BX215, CD215, CJ215, CP215,CV215)</f>
        <v>3660.7999999999997</v>
      </c>
      <c r="DC215" s="14">
        <f>SUM(BM215, BS215,BY215,CE215,CK215, CQ215,CW215)</f>
        <v>320.32</v>
      </c>
      <c r="DD215" s="14">
        <f ca="1">SUM(BN215, BT215,BZ215,CF215,CL215, CR215,CX215)</f>
        <v>419.46666666666647</v>
      </c>
      <c r="DE215" s="14">
        <f ca="1">SUM(DB215:DD215)</f>
        <v>4400.5866666666661</v>
      </c>
      <c r="DF215" s="47">
        <f ca="1">SUM(DE215/DU215)</f>
        <v>2.5003333333333329E-2</v>
      </c>
      <c r="DG215" s="14">
        <f>19.5+19.5+195+195+39+39+97.5+39+39+97.5+97.5</f>
        <v>877.5</v>
      </c>
      <c r="DH215" s="32">
        <f>COUNTIF(DN215, "*")+COUNTIF(AO215, "*")+COUNTIF(AJ215, "*")+COUNTIF(AA215, "*")+COUNTIF(EK215, "*")+COUNTIF(EQ215, "*")+COUNTIF(EW215, "*")+COUNTIF(FA215, "*")+COUNTIF(FH215, "*")+COUNTIF(FO215, "*")+COUNTIF(FV215, "*")+COUNTIF(GG215, "*")+COUNTIF(GR215, "*")+COUNTIF(GZ215, "*")+COUNTIF(HH215, "*")+COUNTIF(HP215, "*")+COUNTIF(HX215, "*")</f>
        <v>1</v>
      </c>
      <c r="DI215" s="14">
        <f>DH215*0.53+DH215*6.66</f>
        <v>7.19</v>
      </c>
      <c r="DJ215" s="4">
        <v>300</v>
      </c>
      <c r="DK215" s="14">
        <f ca="1">SUM(DE215,DG215,DQ215, DJ215, DI215,FS215)</f>
        <v>8205.2266666666674</v>
      </c>
      <c r="DL215" s="4">
        <f>56.45+917</f>
        <v>973.45</v>
      </c>
      <c r="DM215" s="4">
        <f>93.75+162.5</f>
        <v>256.25</v>
      </c>
      <c r="DN215" s="4">
        <v>151.25</v>
      </c>
      <c r="DO215" s="14">
        <f>SUM(DU215*0.004)</f>
        <v>704</v>
      </c>
      <c r="DP215" s="4">
        <v>535</v>
      </c>
      <c r="DQ215" s="14">
        <f>SUM(DL215:DP215)</f>
        <v>2619.9499999999998</v>
      </c>
      <c r="DR215" s="24" t="s">
        <v>2770</v>
      </c>
      <c r="DS215" s="4">
        <v>28000</v>
      </c>
      <c r="DT215" s="4">
        <v>148000</v>
      </c>
      <c r="DU215" s="25">
        <f>SUM(DS215+DT215)</f>
        <v>176000</v>
      </c>
      <c r="DV215" s="35">
        <v>0.34</v>
      </c>
      <c r="DW215" t="s">
        <v>3378</v>
      </c>
      <c r="DX215" t="s">
        <v>3924</v>
      </c>
      <c r="DY215" t="s">
        <v>3379</v>
      </c>
      <c r="ID215" s="9">
        <v>44863</v>
      </c>
      <c r="IO215" s="4"/>
      <c r="IP215" s="9">
        <v>44810</v>
      </c>
    </row>
    <row r="216" spans="1:263" s="18" customFormat="1" ht="15" customHeight="1">
      <c r="A216" s="2">
        <v>102023009</v>
      </c>
      <c r="B216" t="s">
        <v>4057</v>
      </c>
      <c r="C216"/>
      <c r="D216"/>
      <c r="E216"/>
      <c r="F216"/>
      <c r="G216"/>
      <c r="H216"/>
      <c r="I216"/>
      <c r="J216" t="s">
        <v>311</v>
      </c>
      <c r="K216" t="s">
        <v>4058</v>
      </c>
      <c r="L216" t="s">
        <v>4059</v>
      </c>
      <c r="M216" t="s">
        <v>396</v>
      </c>
      <c r="N216"/>
      <c r="O216" s="3"/>
      <c r="P216"/>
      <c r="Q216"/>
      <c r="R216"/>
      <c r="S216"/>
      <c r="T216"/>
      <c r="U216"/>
      <c r="V216"/>
      <c r="W216"/>
      <c r="X216"/>
      <c r="Y216"/>
      <c r="Z216"/>
      <c r="AA216"/>
      <c r="AB216"/>
      <c r="AC216"/>
      <c r="AD216" t="s">
        <v>4543</v>
      </c>
      <c r="AE216" t="s">
        <v>311</v>
      </c>
      <c r="AF216" t="s">
        <v>4544</v>
      </c>
      <c r="AG216"/>
      <c r="AH216" t="s">
        <v>4545</v>
      </c>
      <c r="AI216"/>
      <c r="AK216"/>
      <c r="AL216"/>
      <c r="AM216"/>
      <c r="AN216"/>
      <c r="AO216" t="s">
        <v>4086</v>
      </c>
      <c r="AP216" s="3" t="s">
        <v>258</v>
      </c>
      <c r="AQ216" t="s">
        <v>290</v>
      </c>
      <c r="AR216" t="s">
        <v>260</v>
      </c>
      <c r="AS216"/>
      <c r="AT216"/>
      <c r="AU216"/>
      <c r="AV216"/>
      <c r="AW216"/>
      <c r="AX216" s="1"/>
      <c r="AY216" s="1"/>
      <c r="AZ216" s="1"/>
      <c r="BA216" s="1"/>
      <c r="BB216" s="1"/>
      <c r="BC216" s="2"/>
      <c r="BD216" s="116"/>
      <c r="BE216" s="115"/>
      <c r="BF216" s="2"/>
      <c r="BG216" s="2"/>
      <c r="BH216" s="2"/>
      <c r="BI216" s="2"/>
      <c r="BJ216" s="2"/>
      <c r="BK216" s="2"/>
      <c r="BL216" s="20">
        <f ca="1">SUM(DP216)+220</f>
        <v>1739.838733333333</v>
      </c>
      <c r="BM216" s="22">
        <f ca="1">PMT(10%/12,12,BL216,0,0)</f>
        <v>-152.95946587813606</v>
      </c>
      <c r="BN216" s="22">
        <f ca="1">SUM(BM216*-1)</f>
        <v>152.95946587813606</v>
      </c>
      <c r="BO216" s="14">
        <f>SUM(DX216*0.0052)/12</f>
        <v>104.17333333333333</v>
      </c>
      <c r="BP216" s="22">
        <f ca="1">SUM(BN216+BO216)</f>
        <v>257.13279921146938</v>
      </c>
      <c r="BQ216" s="14"/>
      <c r="BR216" s="14">
        <f>SUM(BQ216*0.1)</f>
        <v>0</v>
      </c>
      <c r="BS216" s="14">
        <f ca="1">SUM(BT216*BU216)</f>
        <v>0</v>
      </c>
      <c r="BT216" s="17">
        <f>SUM((BQ216+BR216)*0.00833333333333333)</f>
        <v>0</v>
      </c>
      <c r="BU216" s="23">
        <f ca="1">MONTH(TODAY())+49</f>
        <v>53</v>
      </c>
      <c r="BV216" s="14">
        <f ca="1">SUM(BQ216,BR216,BS216)</f>
        <v>0</v>
      </c>
      <c r="BW216" s="14"/>
      <c r="BX216" s="14">
        <f>SUM(BW216*0.1)</f>
        <v>0</v>
      </c>
      <c r="BY216" s="14">
        <f ca="1">SUM(BZ216*CA216)</f>
        <v>0</v>
      </c>
      <c r="BZ216" s="17">
        <f>SUM((BW216+BX216)*0.00833333333333333)</f>
        <v>0</v>
      </c>
      <c r="CA216" s="23">
        <f ca="1">MONTH(TODAY())+37</f>
        <v>41</v>
      </c>
      <c r="CB216" s="14">
        <f ca="1">SUM(BW216,BX216,BY216)</f>
        <v>0</v>
      </c>
      <c r="CC216" s="14">
        <v>0</v>
      </c>
      <c r="CD216" s="14">
        <f>SUM(CC216*0.1)</f>
        <v>0</v>
      </c>
      <c r="CE216" s="14">
        <f ca="1">SUM(CF216*CG216)</f>
        <v>0</v>
      </c>
      <c r="CF216" s="17">
        <f>SUM((CC216+CD216)*0.00833333333333333)</f>
        <v>0</v>
      </c>
      <c r="CG216" s="23">
        <f ca="1">MONTH(TODAY())+25</f>
        <v>29</v>
      </c>
      <c r="CH216" s="14">
        <f ca="1">SUM(CC216,CD216,CE216)</f>
        <v>0</v>
      </c>
      <c r="CI216" s="14">
        <f>21.84+211.64</f>
        <v>233.48</v>
      </c>
      <c r="CJ216" s="14">
        <f>SUM(CI216*0.1)</f>
        <v>23.347999999999999</v>
      </c>
      <c r="CK216" s="14">
        <f>SUM(CL216*CM216)</f>
        <v>34.243733333333317</v>
      </c>
      <c r="CL216" s="17">
        <f>SUM((CI216+CJ216)*0.00833333333333333)</f>
        <v>2.1402333333333323</v>
      </c>
      <c r="CM216" s="23">
        <v>16</v>
      </c>
      <c r="CN216" s="14">
        <f>SUM(CI216,CJ216,CK216)</f>
        <v>291.07173333333327</v>
      </c>
      <c r="CO216" s="14">
        <f>SUM(DU216*0.0052)/2</f>
        <v>505.7</v>
      </c>
      <c r="CP216" s="14">
        <f>SUM(CO216*0.1)</f>
        <v>50.57</v>
      </c>
      <c r="CQ216" s="14">
        <f>SUM(CR216*CS216)</f>
        <v>37.084666666666649</v>
      </c>
      <c r="CR216" s="17">
        <f>SUM((CO216+CP216)*0.00833333333333333)</f>
        <v>4.6355833333333312</v>
      </c>
      <c r="CS216" s="23">
        <v>8</v>
      </c>
      <c r="CT216" s="23">
        <f>SUM(CO216,CP216,CQ216)</f>
        <v>593.35466666666662</v>
      </c>
      <c r="CU216" s="14">
        <f>SUM(DU216*0.0052)/2</f>
        <v>505.7</v>
      </c>
      <c r="CV216" s="14">
        <f>SUM(CU216*0.1)</f>
        <v>50.57</v>
      </c>
      <c r="CW216" s="14">
        <f>SUM(CX216*CY216)</f>
        <v>18.542333333333325</v>
      </c>
      <c r="CX216" s="17">
        <f>SUM((CU216+CV216)*0.00833333333333333)</f>
        <v>4.6355833333333312</v>
      </c>
      <c r="CY216" s="23">
        <v>4</v>
      </c>
      <c r="CZ216" s="23">
        <f>SUM(CU216,CV216,CW216)</f>
        <v>574.8123333333333</v>
      </c>
      <c r="DA216" s="14">
        <f>SUM( BQ216, BW216, CC216, CI216, CO216,CU216)</f>
        <v>1244.8799999999999</v>
      </c>
      <c r="DB216" s="14">
        <f>SUM(BR216,BX216,CD216,CJ216, CP216,CV216)</f>
        <v>124.488</v>
      </c>
      <c r="DC216" s="14">
        <f ca="1">SUM(BS216,BY216,CE216,CK216, CQ216,CW216)</f>
        <v>89.870733333333277</v>
      </c>
      <c r="DD216" s="25">
        <f ca="1">SUM(DA216:DC216)</f>
        <v>1459.2387333333331</v>
      </c>
      <c r="DE216" s="47">
        <f ca="1">SUM(DD216/DU216)</f>
        <v>7.5025127677806327E-3</v>
      </c>
      <c r="DF216" s="14">
        <v>60</v>
      </c>
      <c r="DG216" s="32">
        <f>COUNTIF(DL216, "*")+COUNTIF(AO216, "*")+COUNTIF(AJ216, "*")+COUNTIF(AA216, "*")+COUNTIF(EM216, "*")+COUNTIF(ES216, "*")+COUNTIF(EY216, "*")+COUNTIF(FC216, "*")+COUNTIF(FJ216, "*")+COUNTIF(AT216, "*")+COUNTIF(FS216, "*")+COUNTIF(GD216, "*")+COUNTIF(GO216, "*")+COUNTIF(GW216, "*")+COUNTIF(HE216, "*")+COUNTIF(HM216, "*")+COUNTIF(HU216, "*")</f>
        <v>1</v>
      </c>
      <c r="DH216" s="14">
        <f>DG216*0.6</f>
        <v>0.6</v>
      </c>
      <c r="DI216" s="4"/>
      <c r="DJ216" s="4"/>
      <c r="DK216" s="4"/>
      <c r="DL216" s="4"/>
      <c r="DM216"/>
      <c r="DN216" s="4"/>
      <c r="DO216" s="14">
        <f>SUM(DJ216:DN216)</f>
        <v>0</v>
      </c>
      <c r="DP216" s="14">
        <f ca="1">SUM(DD216,DF216,DO216, DI216, DH216,FP216)</f>
        <v>1519.838733333333</v>
      </c>
      <c r="DQ216" s="24" t="s">
        <v>3974</v>
      </c>
      <c r="DR216" s="7">
        <v>3.9899999999999998E-2</v>
      </c>
      <c r="DS216" s="4">
        <v>20000</v>
      </c>
      <c r="DT216" s="4">
        <v>174500</v>
      </c>
      <c r="DU216" s="14">
        <f>SUM(DS216+DT216)</f>
        <v>194500</v>
      </c>
      <c r="DV216" s="14">
        <v>20000</v>
      </c>
      <c r="DW216" s="14">
        <v>220400</v>
      </c>
      <c r="DX216" s="14">
        <f>SUM(DV216+DW216)</f>
        <v>240400</v>
      </c>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s="9"/>
      <c r="IB216"/>
      <c r="IC216"/>
      <c r="ID216"/>
      <c r="IE216"/>
      <c r="IF216"/>
      <c r="IG216"/>
      <c r="IH216"/>
      <c r="II216"/>
      <c r="IJ216"/>
      <c r="IK216"/>
      <c r="IL216" s="14">
        <f ca="1">SUM(IB216-DP216-FP216-IJ216)</f>
        <v>-1519.838733333333</v>
      </c>
      <c r="IM216" s="9"/>
      <c r="IN216" s="9"/>
      <c r="IO216" s="9"/>
      <c r="IP216" s="9"/>
      <c r="IQ216" s="9"/>
      <c r="IR216"/>
      <c r="IS216"/>
      <c r="IT216"/>
      <c r="IU216"/>
      <c r="IV216"/>
      <c r="IW216"/>
      <c r="IX216"/>
      <c r="IY216"/>
      <c r="IZ216"/>
      <c r="JA216"/>
      <c r="JB216"/>
      <c r="JC216"/>
    </row>
    <row r="217" spans="1:263" ht="15" customHeight="1">
      <c r="A217" s="2">
        <v>102024041</v>
      </c>
      <c r="B217" t="s">
        <v>5235</v>
      </c>
      <c r="D217" s="1"/>
      <c r="E217" s="3"/>
      <c r="G217" s="3" t="s">
        <v>5241</v>
      </c>
      <c r="J217" t="s">
        <v>554</v>
      </c>
      <c r="K217" t="s">
        <v>4257</v>
      </c>
      <c r="L217" t="s">
        <v>577</v>
      </c>
      <c r="M217" t="s">
        <v>256</v>
      </c>
      <c r="N217" t="s">
        <v>341</v>
      </c>
      <c r="O217" s="3"/>
      <c r="P217" t="s">
        <v>4257</v>
      </c>
      <c r="Q217" t="s">
        <v>4256</v>
      </c>
      <c r="R217" t="s">
        <v>469</v>
      </c>
      <c r="AG217" s="43"/>
      <c r="AK217" s="1"/>
      <c r="AM217"/>
      <c r="AN217"/>
      <c r="AO217" t="s">
        <v>5193</v>
      </c>
      <c r="AP217" s="1" t="s">
        <v>258</v>
      </c>
      <c r="AQ217" t="s">
        <v>349</v>
      </c>
      <c r="AR217" t="s">
        <v>260</v>
      </c>
      <c r="AS217" s="10"/>
      <c r="AT217" s="10"/>
      <c r="AU217" s="10"/>
      <c r="AV217" s="10"/>
      <c r="AW217" s="10"/>
      <c r="AX217" s="1"/>
      <c r="AY217" s="1"/>
      <c r="AZ217" s="1"/>
      <c r="BA217" s="1"/>
      <c r="BB217" s="1"/>
      <c r="BC217" s="2"/>
      <c r="BD217" s="115">
        <v>45382</v>
      </c>
      <c r="BE217" s="144"/>
      <c r="BF217" s="2"/>
      <c r="BG217" s="2"/>
      <c r="BH217" s="2"/>
      <c r="BI217" s="2"/>
      <c r="BJ217" s="2"/>
      <c r="BK217" s="2"/>
      <c r="BL217" s="20">
        <f ca="1">SUM(EN217)+220</f>
        <v>3224.6595999999995</v>
      </c>
      <c r="BM217" s="22">
        <f ca="1">PMT(10%/12,12,BL217,0,0)</f>
        <v>-283.49880974876777</v>
      </c>
      <c r="BN217" s="22">
        <f ca="1">SUM(BM217*-1)</f>
        <v>283.49880974876777</v>
      </c>
      <c r="BO217" s="14">
        <f>SUM(EV217*0.0052)/12</f>
        <v>88.833333333333329</v>
      </c>
      <c r="BP217" s="22">
        <f ca="1">SUM(BN217+BO217)</f>
        <v>372.33214308210108</v>
      </c>
      <c r="BQ217" s="14"/>
      <c r="BR217" s="14">
        <f>SUM(BQ217*0.1)</f>
        <v>0</v>
      </c>
      <c r="BS217" s="14">
        <f ca="1">SUM(BT217*BU217)</f>
        <v>0</v>
      </c>
      <c r="BT217" s="17">
        <f>SUM((BQ217+BR217)*0.00833333333333333)</f>
        <v>0</v>
      </c>
      <c r="BU217" s="23">
        <f ca="1">MONTH(TODAY())+61</f>
        <v>65</v>
      </c>
      <c r="BV217" s="14">
        <f ca="1">SUM(BQ217,BR217,BS217)</f>
        <v>0</v>
      </c>
      <c r="BW217" s="14"/>
      <c r="BX217" s="14">
        <f>SUM(BW217*0.1)</f>
        <v>0</v>
      </c>
      <c r="BY217" s="14">
        <f ca="1">SUM(BZ217*CA217)</f>
        <v>0</v>
      </c>
      <c r="BZ217" s="17">
        <f>SUM((BW217+BX217)*0.00833333333333333)</f>
        <v>0</v>
      </c>
      <c r="CA217" s="23">
        <f ca="1">MONTH(TODAY())+49</f>
        <v>53</v>
      </c>
      <c r="CB217" s="14">
        <f ca="1">SUM(BW217,BX217,BY217)</f>
        <v>0</v>
      </c>
      <c r="CC217" s="14">
        <v>0</v>
      </c>
      <c r="CD217" s="14">
        <f>SUM(CC217*0.1)</f>
        <v>0</v>
      </c>
      <c r="CE217" s="14">
        <f ca="1">SUM(CF217*CG217)</f>
        <v>0</v>
      </c>
      <c r="CF217" s="17">
        <f>SUM((CC217+CD217)*0.00833333333333333)</f>
        <v>0</v>
      </c>
      <c r="CG217" s="23">
        <f ca="1">MONTH(TODAY())+37</f>
        <v>41</v>
      </c>
      <c r="CH217" s="14">
        <f ca="1">SUM(CC217,CD217,CE217)</f>
        <v>0</v>
      </c>
      <c r="CI217" s="14">
        <f>SUM(ES217*0.0052)</f>
        <v>523.64</v>
      </c>
      <c r="CJ217" s="14">
        <f>SUM(CI217*0.1)</f>
        <v>52.364000000000004</v>
      </c>
      <c r="CK217" s="14">
        <f ca="1">SUM(CL217*CM217)</f>
        <v>139.2009666666666</v>
      </c>
      <c r="CL217" s="17">
        <f>SUM((CI217+CJ217)*0.00833333333333333)</f>
        <v>4.8000333333333316</v>
      </c>
      <c r="CM217" s="23">
        <f ca="1">MONTH(TODAY())+25</f>
        <v>29</v>
      </c>
      <c r="CN217" s="14">
        <f ca="1">SUM(CI217,CJ217,CK217)</f>
        <v>715.20496666666668</v>
      </c>
      <c r="CO217" s="14">
        <v>261.82</v>
      </c>
      <c r="CP217" s="14">
        <f>SUM(CO217*0.1)</f>
        <v>26.182000000000002</v>
      </c>
      <c r="CQ217" s="14">
        <f ca="1">SUM(CR217*CS217)</f>
        <v>50.400349999999982</v>
      </c>
      <c r="CR217" s="17">
        <f>SUM((CO217+CP217)*0.00833333333333333)</f>
        <v>2.4000166666666658</v>
      </c>
      <c r="CS217" s="23">
        <f ca="1">MONTH(TODAY())+17</f>
        <v>21</v>
      </c>
      <c r="CT217" s="23">
        <f ca="1">SUM(CO217,CP217,CQ217)</f>
        <v>338.40235000000001</v>
      </c>
      <c r="CU217" s="14">
        <v>261.82</v>
      </c>
      <c r="CV217" s="14">
        <f>SUM(CU217*0.1)</f>
        <v>26.182000000000002</v>
      </c>
      <c r="CW217" s="14">
        <f ca="1">SUM(CX217*CY217)</f>
        <v>40.800283333333319</v>
      </c>
      <c r="CX217" s="17">
        <f>SUM((CU217+CV217)*0.00833333333333333)</f>
        <v>2.4000166666666658</v>
      </c>
      <c r="CY217" s="23">
        <f ca="1">MONTH(TODAY())+13</f>
        <v>17</v>
      </c>
      <c r="CZ217" s="23">
        <f ca="1">SUM(CU217,CV217,CW217)</f>
        <v>328.80228333333332</v>
      </c>
      <c r="DA217" s="14">
        <f>SUM(EV217*0.0045)/2</f>
        <v>461.24999999999994</v>
      </c>
      <c r="DB217" s="14">
        <f>SUM(DA217*0.1)</f>
        <v>46.125</v>
      </c>
      <c r="DC217" s="14">
        <f ca="1">SUM(DD217*DE217)</f>
        <v>46.509374999999977</v>
      </c>
      <c r="DD217" s="17">
        <f>SUM((DA217+DB217)*0.00833333333333333)</f>
        <v>4.2281249999999977</v>
      </c>
      <c r="DE217" s="23">
        <f ca="1">MONTH(TODAY())+7</f>
        <v>11</v>
      </c>
      <c r="DF217" s="23">
        <f ca="1">SUM(DA217,DB217,DC217)</f>
        <v>553.88437499999986</v>
      </c>
      <c r="DG217" s="14">
        <f>SUM(EV217*0.0045)/2</f>
        <v>461.24999999999994</v>
      </c>
      <c r="DH217" s="14">
        <f>SUM(DG217*0.1)</f>
        <v>46.125</v>
      </c>
      <c r="DI217" s="14">
        <f ca="1">SUM(DJ217*DK217)</f>
        <v>21.140624999999989</v>
      </c>
      <c r="DJ217" s="17">
        <f>SUM((DG217+DH217)*0.00833333333333333)</f>
        <v>4.2281249999999977</v>
      </c>
      <c r="DK217" s="23">
        <f ca="1">MONTH(TODAY())+1</f>
        <v>5</v>
      </c>
      <c r="DL217" s="14">
        <f ca="1">SUM(DG217,DH217,DI217)</f>
        <v>528.51562499999989</v>
      </c>
      <c r="DM217" s="14">
        <f>SUM(EV217*0.0045)/2</f>
        <v>461.24999999999994</v>
      </c>
      <c r="DN217" s="14">
        <f>0</f>
        <v>0</v>
      </c>
      <c r="DO217" s="14">
        <f>0</f>
        <v>0</v>
      </c>
      <c r="DP217" s="17">
        <f>SUM((DM217+DN217)*0.00833333333333333)</f>
        <v>3.8437499999999978</v>
      </c>
      <c r="DQ217" s="23">
        <f ca="1">MONTH(TODAY())+7</f>
        <v>11</v>
      </c>
      <c r="DR217" s="23">
        <f>SUM(DM217,DN217,DO217)</f>
        <v>461.24999999999994</v>
      </c>
      <c r="DS217" s="14">
        <f>0</f>
        <v>0</v>
      </c>
      <c r="DT217" s="14">
        <f>0</f>
        <v>0</v>
      </c>
      <c r="DU217" s="14">
        <f ca="1">SUM(DV217*DW217)</f>
        <v>0</v>
      </c>
      <c r="DV217" s="17">
        <f>SUM((DS217+DT217)*0.00833333333333333)</f>
        <v>0</v>
      </c>
      <c r="DW217" s="23">
        <f ca="1">MONTH(TODAY())+1</f>
        <v>5</v>
      </c>
      <c r="DX217" s="14">
        <f ca="1">SUM(DS217,DT217,DU217)</f>
        <v>0</v>
      </c>
      <c r="DY217" s="14">
        <f>SUM( BQ217, BW217, CC217, CI217, CO217,CU217,DA217,DG217,DM217,DS217)</f>
        <v>2431.0299999999997</v>
      </c>
      <c r="DZ217" s="14">
        <f>SUM(BR217,BX217,CD217,CJ217, CP217,CV217,DB217,DH217,DN217,DT217)</f>
        <v>196.97800000000001</v>
      </c>
      <c r="EA217" s="14">
        <f ca="1">SUM(BS217,BY217,CE217,CK217, CQ217,CW217,DC217,DI217,DO217,DU217)</f>
        <v>298.05159999999989</v>
      </c>
      <c r="EB217" s="25">
        <f ca="1">SUM(DY217:EA217)</f>
        <v>2926.0595999999996</v>
      </c>
      <c r="EC217" s="47">
        <f ca="1">SUM(EB217/ES217)</f>
        <v>2.9057195630585893E-2</v>
      </c>
      <c r="ED217" s="14">
        <f>40+10</f>
        <v>50</v>
      </c>
      <c r="EE217" s="32">
        <f>COUNTIF(AO217, "*")+COUNTIF(AJ217, "*")+COUNTIF(AA217, "*")+COUNTIF(FG217, "*")+COUNTIF(FM217, "*")+COUNTIF(FS217, "*")+COUNTIF(FW217, "*")+COUNTIF(GD217, "*")+COUNTIF(AT217, "*")+COUNTIF(GM217, "*")+COUNTIF(GX217, "*")+COUNTIF(HI217, "*")+COUNTIF(HQ217, "*")+COUNTIF(HY217, "*")+COUNTIF(IG217, "*")</f>
        <v>1</v>
      </c>
      <c r="EF217" s="14">
        <f>EE217*0.64</f>
        <v>0.64</v>
      </c>
      <c r="EG217" s="4"/>
      <c r="EH217" s="4">
        <v>27.96</v>
      </c>
      <c r="EI217" s="4"/>
      <c r="EJ217" s="4"/>
      <c r="EL217" s="4"/>
      <c r="EM217" s="14">
        <f>SUM(EH217:EL217)</f>
        <v>27.96</v>
      </c>
      <c r="EN217" s="14">
        <f ca="1">SUM(EB217,ED217,EM217, EG217, EF217,GJ217)</f>
        <v>3004.6595999999995</v>
      </c>
      <c r="EO217" s="24" t="s">
        <v>4944</v>
      </c>
      <c r="EP217" s="130">
        <v>2.58</v>
      </c>
      <c r="EQ217" s="14">
        <v>31900</v>
      </c>
      <c r="ER217" s="14">
        <v>68800</v>
      </c>
      <c r="ES217" s="14">
        <f>SUM(EQ217+ER217)</f>
        <v>100700</v>
      </c>
      <c r="ET217" s="14">
        <f>44500+19300</f>
        <v>63800</v>
      </c>
      <c r="EU217" s="14">
        <f>124800+16400</f>
        <v>141200</v>
      </c>
      <c r="EV217" s="14">
        <f>SUM(ET217+EU217)</f>
        <v>205000</v>
      </c>
      <c r="EW217" s="10"/>
      <c r="EX217" s="10"/>
      <c r="EY217" s="10"/>
      <c r="EZ217" s="10"/>
      <c r="FA217" s="10"/>
      <c r="FB217" s="10"/>
      <c r="FC217" s="10"/>
      <c r="FD217" s="10"/>
      <c r="GJ217" s="4"/>
      <c r="IK217" s="9"/>
      <c r="IV217" s="4"/>
      <c r="IW217" s="4"/>
      <c r="IX217" s="4"/>
      <c r="IY217" s="9"/>
      <c r="IZ217" s="9"/>
      <c r="JA217" s="9"/>
      <c r="JB217" s="9"/>
      <c r="JC217" s="9"/>
    </row>
    <row r="218" spans="1:263" s="18" customFormat="1" ht="15" customHeight="1">
      <c r="A218" s="19">
        <v>102023041</v>
      </c>
      <c r="B218" s="18" t="s">
        <v>4258</v>
      </c>
      <c r="C218"/>
      <c r="D218" s="1"/>
      <c r="E218" s="3"/>
      <c r="F218" s="3"/>
      <c r="G218"/>
      <c r="H218"/>
      <c r="I218"/>
      <c r="J218" s="18" t="s">
        <v>554</v>
      </c>
      <c r="K218" s="18" t="s">
        <v>4257</v>
      </c>
      <c r="L218" s="130" t="s">
        <v>577</v>
      </c>
      <c r="M218" s="130" t="s">
        <v>256</v>
      </c>
      <c r="N218" s="18" t="s">
        <v>341</v>
      </c>
      <c r="O218" s="252"/>
      <c r="P218" s="130" t="s">
        <v>4257</v>
      </c>
      <c r="Q218" s="130" t="s">
        <v>4256</v>
      </c>
      <c r="R218" s="130" t="s">
        <v>469</v>
      </c>
      <c r="S218" s="130"/>
      <c r="T218"/>
      <c r="U218"/>
      <c r="V218"/>
      <c r="W218"/>
      <c r="X218"/>
      <c r="Y218"/>
      <c r="Z218"/>
      <c r="AA218"/>
      <c r="AB218"/>
      <c r="AC218"/>
      <c r="AD218"/>
      <c r="AE218"/>
      <c r="AF218"/>
      <c r="AG218" s="43"/>
      <c r="AH218"/>
      <c r="AI218"/>
      <c r="AJ218" s="18" t="s">
        <v>4255</v>
      </c>
      <c r="AK218" s="18" t="s">
        <v>258</v>
      </c>
      <c r="AL218" s="18" t="s">
        <v>349</v>
      </c>
      <c r="AM218" s="18" t="s">
        <v>260</v>
      </c>
      <c r="AO218" s="18" t="s">
        <v>4254</v>
      </c>
      <c r="AP218" s="18" t="s">
        <v>258</v>
      </c>
      <c r="AQ218" s="18" t="s">
        <v>349</v>
      </c>
      <c r="AR218" s="18" t="s">
        <v>260</v>
      </c>
      <c r="AS218"/>
      <c r="AT218"/>
      <c r="AU218"/>
      <c r="AV218"/>
      <c r="AW218"/>
      <c r="AX218" s="1"/>
      <c r="AY218" s="1"/>
      <c r="AZ218" s="1"/>
      <c r="BA218" s="1"/>
      <c r="BB218" s="1"/>
      <c r="BC218" s="2"/>
      <c r="BD218" s="116"/>
      <c r="BE218" s="115"/>
      <c r="BF218" s="2"/>
      <c r="BG218" s="2"/>
      <c r="BH218" s="2"/>
      <c r="BI218" s="2"/>
      <c r="BJ218" s="2"/>
      <c r="BK218" s="2"/>
      <c r="BL218" s="20">
        <f ca="1">SUM(DP218)+220</f>
        <v>599.84399999999994</v>
      </c>
      <c r="BM218" s="22">
        <f ca="1">PMT(10%/12,12,BL218,0,0)</f>
        <v>-52.735817459597875</v>
      </c>
      <c r="BN218" s="22">
        <f ca="1">SUM(BM218*-1)</f>
        <v>52.735817459597875</v>
      </c>
      <c r="BO218" s="25">
        <f>SUM(DX218*0.0052)/12</f>
        <v>15.469999999999999</v>
      </c>
      <c r="BP218" s="22">
        <f ca="1">SUM(BN218+BO218)</f>
        <v>68.205817459597881</v>
      </c>
      <c r="BQ218" s="14"/>
      <c r="BR218" s="14">
        <f>SUM(BQ218*0.1)</f>
        <v>0</v>
      </c>
      <c r="BS218" s="14">
        <f ca="1">SUM(BT218*BU218)</f>
        <v>0</v>
      </c>
      <c r="BT218" s="17">
        <f>SUM((BQ218+BR218)*0.00833333333333333)</f>
        <v>0</v>
      </c>
      <c r="BU218" s="23">
        <f ca="1">MONTH(TODAY())+49</f>
        <v>53</v>
      </c>
      <c r="BV218" s="14">
        <f ca="1">SUM(BQ218,BR218,BS218)</f>
        <v>0</v>
      </c>
      <c r="BW218" s="14"/>
      <c r="BX218" s="14">
        <f>SUM(BW218*0.1)</f>
        <v>0</v>
      </c>
      <c r="BY218" s="14">
        <f ca="1">SUM(BZ218*CA218)</f>
        <v>0</v>
      </c>
      <c r="BZ218" s="17">
        <f>SUM((BW218+BX218)*0.00833333333333333)</f>
        <v>0</v>
      </c>
      <c r="CA218" s="23">
        <f ca="1">MONTH(TODAY())+37</f>
        <v>41</v>
      </c>
      <c r="CB218" s="14">
        <f ca="1">SUM(BW218,BX218,BY218)</f>
        <v>0</v>
      </c>
      <c r="CC218" s="14">
        <v>0</v>
      </c>
      <c r="CD218" s="14">
        <f>SUM(CC218*0.1)</f>
        <v>0</v>
      </c>
      <c r="CE218" s="14">
        <f ca="1">SUM(CF218*CG218)</f>
        <v>0</v>
      </c>
      <c r="CF218" s="17">
        <f>SUM((CC218+CD218)*0.00833333333333333)</f>
        <v>0</v>
      </c>
      <c r="CG218" s="23">
        <f ca="1">MONTH(TODAY())+25</f>
        <v>29</v>
      </c>
      <c r="CH218" s="14">
        <f ca="1">SUM(CC218,CD218,CE218)</f>
        <v>0</v>
      </c>
      <c r="CI218" s="14">
        <f>SUM(DU218*0.0052)</f>
        <v>148.19999999999999</v>
      </c>
      <c r="CJ218" s="14">
        <f>SUM(CI218*0.1)</f>
        <v>14.82</v>
      </c>
      <c r="CK218" s="14">
        <f ca="1">SUM(CL218*CM218)</f>
        <v>23.094499999999989</v>
      </c>
      <c r="CL218" s="17">
        <f>SUM((CI218+CJ218)*0.00833333333333333)</f>
        <v>1.3584999999999994</v>
      </c>
      <c r="CM218" s="23">
        <f ca="1">MONTH(TODAY())+13</f>
        <v>17</v>
      </c>
      <c r="CN218" s="14">
        <f ca="1">SUM(CI218,CJ218,CK218)</f>
        <v>186.11449999999996</v>
      </c>
      <c r="CO218" s="14">
        <f>SUM(DU218*0.0052)/2</f>
        <v>74.099999999999994</v>
      </c>
      <c r="CP218" s="14">
        <f>SUM(CO218*0.1)</f>
        <v>7.41</v>
      </c>
      <c r="CQ218" s="14">
        <f ca="1">SUM(CR218*CS218)</f>
        <v>6.1132499999999972</v>
      </c>
      <c r="CR218" s="17">
        <f>SUM((CO218+CP218)*0.00833333333333333)</f>
        <v>0.67924999999999969</v>
      </c>
      <c r="CS218" s="23">
        <f ca="1">MONTH(TODAY())+5</f>
        <v>9</v>
      </c>
      <c r="CT218" s="23">
        <f ca="1">SUM(CO218,CP218,CQ218)</f>
        <v>87.623249999999985</v>
      </c>
      <c r="CU218" s="14">
        <f>SUM(DU218*0.0052)/2</f>
        <v>74.099999999999994</v>
      </c>
      <c r="CV218" s="14">
        <f>SUM(CU218*0.1)</f>
        <v>7.41</v>
      </c>
      <c r="CW218" s="14">
        <f ca="1">SUM(CX218*CY218)</f>
        <v>3.3962499999999984</v>
      </c>
      <c r="CX218" s="17">
        <f>SUM((CU218+CV218)*0.00833333333333333)</f>
        <v>0.67924999999999969</v>
      </c>
      <c r="CY218" s="23">
        <f ca="1">MONTH(TODAY())+1</f>
        <v>5</v>
      </c>
      <c r="CZ218" s="23">
        <f ca="1">SUM(CU218,CV218,CW218)</f>
        <v>84.906249999999986</v>
      </c>
      <c r="DA218" s="14">
        <f>SUM( BQ218, BW218, CC218, CI218, CO218,CU218)</f>
        <v>296.39999999999998</v>
      </c>
      <c r="DB218" s="14">
        <f>SUM(BR218,BX218,CD218,CJ218, CP218,CV218)</f>
        <v>29.64</v>
      </c>
      <c r="DC218" s="14">
        <f ca="1">SUM(BS218,BY218,CE218,CK218, CQ218,CW218)</f>
        <v>32.603999999999985</v>
      </c>
      <c r="DD218" s="25">
        <f ca="1">SUM(DA218:DC218)</f>
        <v>358.64399999999995</v>
      </c>
      <c r="DE218" s="47">
        <f ca="1">SUM(DD218/DU218)</f>
        <v>1.2583999999999998E-2</v>
      </c>
      <c r="DF218" s="14">
        <v>20</v>
      </c>
      <c r="DG218" s="32">
        <f>COUNTIF(DL218, "*")+COUNTIF(AO218, "*")+COUNTIF(AJ218, "*")+COUNTIF(AA218, "*")+COUNTIF(EM218, "*")+COUNTIF(ES218, "*")+COUNTIF(EY218, "*")+COUNTIF(FC218, "*")+COUNTIF(FJ218, "*")+COUNTIF(AT218, "*")+COUNTIF(FS218, "*")+COUNTIF(GD218, "*")+COUNTIF(GO218, "*")+COUNTIF(GW218, "*")+COUNTIF(HE218, "*")+COUNTIF(HM218, "*")+COUNTIF(HU218, "*")</f>
        <v>2</v>
      </c>
      <c r="DH218" s="14">
        <f>DG218*0.6</f>
        <v>1.2</v>
      </c>
      <c r="DI218" s="4"/>
      <c r="DJ218" s="4"/>
      <c r="DK218" s="4"/>
      <c r="DL218" s="4"/>
      <c r="DM218"/>
      <c r="DN218" s="4"/>
      <c r="DO218" s="14">
        <f>SUM(DJ218:DN218)</f>
        <v>0</v>
      </c>
      <c r="DP218" s="14">
        <f ca="1">SUM(DD218,DF218,DO218, DI218, DH218,FP218)</f>
        <v>379.84399999999994</v>
      </c>
      <c r="DQ218" s="18" t="s">
        <v>3879</v>
      </c>
      <c r="DR218" s="130">
        <v>0.55000000000000004</v>
      </c>
      <c r="DS218" s="14">
        <v>13200</v>
      </c>
      <c r="DT218" s="14">
        <v>15300</v>
      </c>
      <c r="DU218" s="14">
        <v>28500</v>
      </c>
      <c r="DV218" s="14">
        <v>19300</v>
      </c>
      <c r="DW218" s="14">
        <v>16400</v>
      </c>
      <c r="DX218" s="14">
        <f>SUM(DV218+DW218)</f>
        <v>35700</v>
      </c>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s="9"/>
      <c r="IB218"/>
      <c r="IC218"/>
      <c r="ID218"/>
      <c r="IE218"/>
      <c r="IF218"/>
      <c r="IG218"/>
      <c r="IH218"/>
      <c r="II218"/>
      <c r="IJ218"/>
      <c r="IK218"/>
      <c r="IL218" s="14">
        <f ca="1">SUM(IB218-DP218-FP218-IJ218)</f>
        <v>-379.84399999999994</v>
      </c>
      <c r="IM218" s="9"/>
      <c r="IN218" s="9"/>
      <c r="IO218" s="9"/>
      <c r="IP218" s="9"/>
      <c r="IQ218" s="9"/>
      <c r="IR218"/>
      <c r="IS218"/>
      <c r="IT218"/>
      <c r="IU218"/>
      <c r="IV218"/>
      <c r="IW218"/>
      <c r="IX218"/>
      <c r="IY218"/>
      <c r="IZ218"/>
      <c r="JA218"/>
      <c r="JB218"/>
      <c r="JC218"/>
    </row>
    <row r="219" spans="1:263" ht="15" customHeight="1">
      <c r="A219" s="2">
        <v>102018082</v>
      </c>
      <c r="B219" s="4" t="s">
        <v>1253</v>
      </c>
      <c r="C219" s="3"/>
      <c r="D219" s="3"/>
      <c r="E219" s="3"/>
      <c r="F219" s="3"/>
      <c r="G219" s="3"/>
      <c r="H219" s="3"/>
      <c r="J219" t="s">
        <v>829</v>
      </c>
      <c r="K219" t="s">
        <v>1254</v>
      </c>
      <c r="L219" t="s">
        <v>1255</v>
      </c>
      <c r="M219" t="s">
        <v>326</v>
      </c>
      <c r="O219" s="1"/>
      <c r="T219" s="1"/>
      <c r="AJ219" s="4"/>
      <c r="AK219" s="4"/>
      <c r="AO219" s="4"/>
      <c r="AP219" s="5"/>
      <c r="AS219" s="5"/>
      <c r="AT219" s="5"/>
      <c r="AU219" s="1"/>
      <c r="AV219" s="1"/>
      <c r="AW219" s="1"/>
      <c r="AX219" s="1"/>
      <c r="AY219" s="1"/>
      <c r="AZ219" s="1"/>
      <c r="BA219" s="1"/>
      <c r="BB219" s="1"/>
      <c r="BC219" s="1"/>
      <c r="BD219" s="1"/>
      <c r="BE219" s="1"/>
      <c r="BF219" s="1"/>
      <c r="BG219" s="5"/>
      <c r="BH219" s="16"/>
      <c r="BI219" s="16"/>
      <c r="BK219" s="4"/>
      <c r="BL219" s="4"/>
      <c r="BM219" s="6"/>
      <c r="BN219" s="7"/>
      <c r="BO219" s="4"/>
      <c r="BP219" s="4"/>
      <c r="BQ219" s="4"/>
      <c r="BR219" s="4"/>
      <c r="BS219" s="6"/>
      <c r="BT219" s="7"/>
      <c r="BU219" s="4"/>
      <c r="BV219" s="4"/>
      <c r="BW219" s="4"/>
      <c r="BX219" s="4"/>
      <c r="BY219" s="6"/>
      <c r="BZ219" s="7"/>
      <c r="CA219" s="4"/>
      <c r="CB219" s="4"/>
      <c r="CC219" s="4"/>
      <c r="CD219" s="4"/>
      <c r="CE219" s="6"/>
      <c r="CF219" s="7"/>
      <c r="CG219" s="4"/>
      <c r="CH219" s="4"/>
      <c r="CI219" s="4"/>
      <c r="CJ219" s="4"/>
      <c r="CK219" s="6"/>
      <c r="CL219" s="7"/>
      <c r="CM219" s="4"/>
      <c r="CN219" s="4"/>
      <c r="CO219" s="4"/>
      <c r="CP219" s="4"/>
      <c r="CQ219" s="6"/>
      <c r="CR219" s="7"/>
      <c r="CS219" s="4"/>
      <c r="CT219" s="4"/>
      <c r="CU219" s="4"/>
      <c r="CV219" s="4"/>
      <c r="CW219" s="6"/>
      <c r="CX219" s="7"/>
      <c r="CY219" s="4"/>
      <c r="CZ219" s="4"/>
      <c r="DA219" s="4"/>
      <c r="DB219" s="4"/>
      <c r="DC219" s="6"/>
      <c r="DD219" s="7"/>
      <c r="DE219" s="4"/>
      <c r="DF219" s="4"/>
      <c r="DG219" s="14"/>
      <c r="DH219" s="14"/>
      <c r="DI219" s="4"/>
      <c r="DJ219" s="3"/>
      <c r="DK219" s="4"/>
      <c r="DL219" s="234"/>
      <c r="DM219" s="4"/>
      <c r="DN219" s="4"/>
      <c r="DO219" s="4"/>
      <c r="DP219" s="4"/>
      <c r="DQ219" s="4"/>
      <c r="DR219" s="4"/>
      <c r="DS219" s="7"/>
      <c r="DT219" s="8"/>
      <c r="DU219" s="4"/>
      <c r="DV219" s="8"/>
      <c r="DW219" s="4"/>
      <c r="DX219" s="4"/>
      <c r="EG219" s="11"/>
      <c r="EM219" s="11"/>
      <c r="EN219" s="11"/>
      <c r="EO219" s="4"/>
      <c r="EP219" s="4"/>
      <c r="EQ219" s="4"/>
      <c r="ER219" s="4"/>
      <c r="ES219" s="4"/>
      <c r="ET219" s="4"/>
      <c r="EU219" s="4"/>
      <c r="EV219" s="4"/>
      <c r="EW219" s="4"/>
      <c r="EX219" s="4"/>
      <c r="EY219" s="4"/>
      <c r="EZ219" s="4"/>
      <c r="FA219" s="4"/>
      <c r="FB219" s="4"/>
      <c r="FC219" s="4"/>
      <c r="FG219" s="9"/>
      <c r="FP219" s="9"/>
      <c r="FZ219" s="10"/>
      <c r="GJ219" s="10"/>
      <c r="GY219" s="9"/>
      <c r="IK219" s="4"/>
    </row>
    <row r="220" spans="1:263" s="18" customFormat="1" ht="15" customHeight="1">
      <c r="A220" s="19">
        <v>102017107</v>
      </c>
      <c r="B220" s="18" t="s">
        <v>1081</v>
      </c>
      <c r="E220" s="18" t="s">
        <v>1082</v>
      </c>
      <c r="F220" s="19">
        <v>180005344</v>
      </c>
      <c r="G220" s="19"/>
      <c r="H220" s="19"/>
      <c r="J220" s="18" t="s">
        <v>311</v>
      </c>
      <c r="K220" s="18" t="s">
        <v>1083</v>
      </c>
      <c r="L220" s="18" t="s">
        <v>1084</v>
      </c>
      <c r="O220" s="13"/>
      <c r="T220" s="13"/>
      <c r="W220"/>
      <c r="X220"/>
      <c r="Y220"/>
      <c r="Z220"/>
      <c r="AA220"/>
      <c r="AB220"/>
      <c r="AC220"/>
      <c r="AD220"/>
      <c r="AE220" s="1"/>
      <c r="AF220"/>
      <c r="AG220" s="3"/>
      <c r="AH220"/>
      <c r="AI220"/>
      <c r="AJ220" s="4"/>
      <c r="AK220" s="4"/>
      <c r="AL220" s="14"/>
      <c r="AM220" s="34"/>
      <c r="AN220" s="3"/>
      <c r="AO220" s="4"/>
      <c r="AP220" s="13"/>
      <c r="AQ220" s="34"/>
      <c r="AR220" s="34"/>
      <c r="AS220" s="5"/>
      <c r="AT220" s="13"/>
      <c r="AU220" s="1"/>
      <c r="AV220" s="1"/>
      <c r="AW220" s="1"/>
      <c r="AX220" s="1"/>
      <c r="AY220" s="1"/>
      <c r="AZ220" s="1"/>
      <c r="BA220" s="1"/>
      <c r="BB220" s="1"/>
      <c r="BC220" s="1"/>
      <c r="BD220" s="1"/>
      <c r="BE220" s="1"/>
      <c r="BF220" s="1"/>
      <c r="BG220" s="5"/>
      <c r="BH220" s="16"/>
      <c r="BI220" s="16"/>
      <c r="BJ220" s="4"/>
      <c r="BK220" s="4"/>
      <c r="BL220" s="4"/>
      <c r="BM220" s="6"/>
      <c r="BN220" s="7"/>
      <c r="BO220" s="4"/>
      <c r="BP220"/>
      <c r="BQ220" s="4"/>
      <c r="BR220" s="4"/>
      <c r="BS220" s="6"/>
      <c r="BT220" s="7"/>
      <c r="BU220" s="4"/>
      <c r="BV220" s="4"/>
      <c r="BW220" s="4"/>
      <c r="BX220" s="4"/>
      <c r="BY220" s="6"/>
      <c r="BZ220" s="7"/>
      <c r="CA220" s="4"/>
      <c r="CB220" s="4"/>
      <c r="CC220" s="4"/>
      <c r="CD220" s="4"/>
      <c r="CE220" s="6"/>
      <c r="CF220" s="7"/>
      <c r="CG220" s="4"/>
      <c r="CH220" s="4"/>
      <c r="CI220" s="4"/>
      <c r="CJ220" s="4"/>
      <c r="CK220" s="6"/>
      <c r="CL220" s="7"/>
      <c r="CM220" s="4"/>
      <c r="CN220" s="4"/>
      <c r="CO220" s="4"/>
      <c r="CP220" s="4"/>
      <c r="CQ220" s="6"/>
      <c r="CR220" s="7"/>
      <c r="CS220" s="4"/>
      <c r="CT220" s="4"/>
      <c r="CU220" s="4"/>
      <c r="CV220" s="4"/>
      <c r="CW220" s="6"/>
      <c r="CX220" s="7"/>
      <c r="CY220" s="4"/>
      <c r="CZ220" s="4"/>
      <c r="DA220" s="4"/>
      <c r="DB220" s="4"/>
      <c r="DC220" s="6"/>
      <c r="DD220" s="7"/>
      <c r="DE220" s="4"/>
      <c r="DF220" s="4"/>
      <c r="DG220" s="14"/>
      <c r="DH220" s="14"/>
      <c r="DI220" s="4"/>
      <c r="DJ220" s="3"/>
      <c r="DK220" s="4"/>
      <c r="DL220" s="234"/>
      <c r="DM220" s="4"/>
      <c r="DN220" s="4"/>
      <c r="DO220" s="4"/>
      <c r="DP220" s="4"/>
      <c r="DQ220" s="4"/>
      <c r="DR220" s="4"/>
      <c r="DS220" s="4"/>
      <c r="DT220" s="8"/>
      <c r="DU220" s="4"/>
      <c r="DV220" s="8"/>
      <c r="DW220" s="4"/>
      <c r="DX220" s="4"/>
      <c r="DY220" s="4"/>
      <c r="DZ220" s="7"/>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s="9"/>
      <c r="FJ220" s="10"/>
      <c r="FK220"/>
      <c r="FL220"/>
      <c r="FM220"/>
      <c r="FN220"/>
      <c r="FO220"/>
      <c r="FP220"/>
      <c r="FQ220" s="10"/>
      <c r="FR220" s="9"/>
      <c r="FS220"/>
      <c r="FT220"/>
      <c r="FU220"/>
      <c r="FV220"/>
      <c r="FW220"/>
      <c r="FX220"/>
      <c r="FY220"/>
      <c r="FZ220"/>
      <c r="GA220"/>
      <c r="GB220"/>
      <c r="GC220"/>
      <c r="GD220" s="9"/>
      <c r="GE220"/>
      <c r="GF220"/>
      <c r="GG220"/>
      <c r="GH220"/>
      <c r="GI220"/>
      <c r="GJ220"/>
      <c r="GK220"/>
      <c r="GL220"/>
      <c r="GM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s="4"/>
      <c r="IN220"/>
      <c r="IO220"/>
      <c r="IP220"/>
      <c r="IQ220"/>
      <c r="IR220"/>
      <c r="IS220"/>
      <c r="IW220"/>
      <c r="IX220"/>
      <c r="IY220"/>
    </row>
    <row r="221" spans="1:263" ht="15" customHeight="1">
      <c r="A221" s="2">
        <v>102017107</v>
      </c>
      <c r="B221" t="s">
        <v>1081</v>
      </c>
      <c r="E221" t="s">
        <v>1082</v>
      </c>
      <c r="F221">
        <v>180005344</v>
      </c>
      <c r="J221" t="s">
        <v>311</v>
      </c>
      <c r="K221" t="s">
        <v>1083</v>
      </c>
      <c r="L221" t="s">
        <v>1084</v>
      </c>
      <c r="AE221" s="1"/>
      <c r="AJ221" s="4"/>
      <c r="AK221" s="4"/>
      <c r="AL221" s="14"/>
      <c r="AM221" s="34"/>
      <c r="AO221" s="4"/>
      <c r="AP221" s="13"/>
      <c r="AQ221" s="34"/>
      <c r="AR221" s="34"/>
      <c r="AS221" s="5"/>
      <c r="AT221" s="13"/>
      <c r="AU221" s="1"/>
      <c r="AV221" s="1"/>
      <c r="AW221" s="1"/>
      <c r="AX221" s="1"/>
      <c r="AY221" s="1"/>
      <c r="AZ221" s="1"/>
      <c r="BA221" s="1"/>
      <c r="BB221" s="1"/>
      <c r="BC221" s="1"/>
      <c r="BD221" s="1"/>
      <c r="BE221" s="1"/>
      <c r="BF221" s="1"/>
      <c r="BG221" s="5"/>
      <c r="BH221" s="16"/>
      <c r="BI221" s="16"/>
      <c r="BJ221" s="4"/>
      <c r="BK221" s="4"/>
      <c r="BL221" s="4"/>
      <c r="BM221" s="6"/>
      <c r="BN221" s="7"/>
      <c r="BO221" s="4"/>
      <c r="BQ221" s="4"/>
      <c r="BR221" s="4"/>
      <c r="BS221" s="6"/>
      <c r="BT221" s="7"/>
      <c r="BU221" s="4"/>
      <c r="BV221" s="4"/>
      <c r="BW221" s="4"/>
      <c r="BX221" s="4"/>
      <c r="BY221" s="6"/>
      <c r="BZ221" s="7"/>
      <c r="CA221" s="4"/>
      <c r="CB221" s="4"/>
      <c r="CC221" s="4"/>
      <c r="CD221" s="4"/>
      <c r="CE221" s="6"/>
      <c r="CF221" s="7"/>
      <c r="CG221" s="4"/>
      <c r="CH221" s="4"/>
      <c r="CI221" s="4"/>
      <c r="CJ221" s="4"/>
      <c r="CK221" s="6"/>
      <c r="CL221" s="7"/>
      <c r="CM221" s="4"/>
      <c r="CN221" s="4"/>
      <c r="CO221" s="4"/>
      <c r="CP221" s="4"/>
      <c r="CQ221" s="6"/>
      <c r="CR221" s="7"/>
      <c r="CS221" s="4"/>
      <c r="CT221" s="4"/>
      <c r="CU221" s="4"/>
      <c r="CV221" s="4"/>
      <c r="CW221" s="6"/>
      <c r="CX221" s="7"/>
      <c r="CY221" s="4"/>
      <c r="CZ221" s="4"/>
      <c r="DA221" s="4"/>
      <c r="DB221" s="4"/>
      <c r="DC221" s="6"/>
      <c r="DD221" s="7"/>
      <c r="DE221" s="4"/>
      <c r="DF221" s="4"/>
      <c r="DG221" s="14"/>
      <c r="DH221" s="14"/>
      <c r="DI221" s="4"/>
      <c r="DJ221" s="3"/>
      <c r="DK221" s="4"/>
      <c r="DL221" s="234"/>
      <c r="DM221" s="4"/>
      <c r="DN221" s="4"/>
      <c r="DO221" s="4"/>
      <c r="DP221" s="4"/>
      <c r="DQ221" s="4"/>
      <c r="DR221" s="4"/>
      <c r="DS221" s="4"/>
      <c r="DT221" s="8"/>
      <c r="DU221" s="4"/>
      <c r="DV221" s="8"/>
      <c r="DW221" s="4"/>
      <c r="DX221" s="4"/>
      <c r="DY221" s="4"/>
      <c r="DZ221" s="7"/>
      <c r="FI221" s="9"/>
      <c r="FJ221" s="10"/>
      <c r="FQ221" s="10"/>
      <c r="FR221" s="9"/>
      <c r="GD221" s="9"/>
    </row>
    <row r="222" spans="1:263" ht="15" customHeight="1">
      <c r="A222" s="2">
        <v>102020083</v>
      </c>
      <c r="B222" t="s">
        <v>1081</v>
      </c>
      <c r="E222" t="s">
        <v>1082</v>
      </c>
      <c r="F222">
        <v>180005344</v>
      </c>
      <c r="J222" t="s">
        <v>311</v>
      </c>
      <c r="K222" t="s">
        <v>1083</v>
      </c>
      <c r="L222" t="s">
        <v>1084</v>
      </c>
      <c r="AJ222" t="s">
        <v>328</v>
      </c>
      <c r="AL222" t="s">
        <v>349</v>
      </c>
      <c r="AM222" s="3" t="s">
        <v>260</v>
      </c>
      <c r="AX222" s="70"/>
      <c r="AY222" s="70"/>
      <c r="AZ222" s="70"/>
      <c r="BA222" s="70"/>
      <c r="BB222" s="2"/>
      <c r="BC222" s="70"/>
      <c r="BD222" s="70"/>
      <c r="BE222" s="70"/>
      <c r="BF222" s="2"/>
      <c r="BG222" s="20"/>
      <c r="BH222" s="22"/>
      <c r="BI222" s="22"/>
      <c r="BJ222" s="66"/>
      <c r="BK222" s="66"/>
      <c r="BL222" s="66"/>
      <c r="BO222" s="66"/>
      <c r="BP222" s="66"/>
      <c r="BQ222" s="66"/>
      <c r="BR222" s="66"/>
      <c r="BU222" s="66"/>
      <c r="BV222" s="66"/>
      <c r="BW222" s="66"/>
      <c r="BX222" s="66"/>
      <c r="CA222" s="66"/>
      <c r="CB222" s="66"/>
      <c r="CC222" s="66"/>
      <c r="CD222" s="66"/>
      <c r="CG222" s="66"/>
      <c r="CH222" s="66"/>
      <c r="CI222" s="66"/>
      <c r="CJ222" s="66"/>
      <c r="CM222" s="66"/>
      <c r="CN222" s="66"/>
      <c r="CO222" s="66"/>
      <c r="CP222" s="66"/>
      <c r="CS222" s="66"/>
      <c r="CT222" s="66"/>
      <c r="CU222" s="66"/>
      <c r="CV222" s="66"/>
      <c r="CY222" s="66"/>
      <c r="CZ222" s="66"/>
      <c r="DA222" s="66"/>
      <c r="DB222" s="66"/>
      <c r="DC222" s="66"/>
      <c r="DE222" s="66"/>
      <c r="DG222" s="66"/>
      <c r="DH222" s="66"/>
      <c r="DI222" s="66"/>
      <c r="DJ222" s="66"/>
      <c r="DK222" s="66"/>
      <c r="DL222" s="66"/>
      <c r="DM222" s="66"/>
      <c r="DN222" s="66"/>
      <c r="DO222" s="66"/>
      <c r="DP222" s="66"/>
      <c r="DQ222" s="66"/>
      <c r="DR222" s="66">
        <v>18400</v>
      </c>
      <c r="DS222" s="66">
        <v>0</v>
      </c>
      <c r="DT222" s="66">
        <v>18400</v>
      </c>
      <c r="DU222">
        <v>1</v>
      </c>
      <c r="DV222" t="s">
        <v>1454</v>
      </c>
      <c r="DW222" t="s">
        <v>1455</v>
      </c>
      <c r="FM222" s="9"/>
      <c r="ID222" s="9">
        <v>43694</v>
      </c>
      <c r="IE222" s="4">
        <v>4554.43</v>
      </c>
      <c r="IF222" s="66">
        <v>0</v>
      </c>
      <c r="II222" t="s">
        <v>1410</v>
      </c>
      <c r="IJ222" t="s">
        <v>846</v>
      </c>
      <c r="IK222" t="s">
        <v>386</v>
      </c>
    </row>
    <row r="223" spans="1:263" ht="15" customHeight="1">
      <c r="A223" s="2">
        <v>102024040</v>
      </c>
      <c r="B223" t="s">
        <v>5082</v>
      </c>
      <c r="D223" s="1"/>
      <c r="E223" s="3"/>
      <c r="G223" s="3"/>
      <c r="K223" t="s">
        <v>5188</v>
      </c>
      <c r="O223" s="3"/>
      <c r="Z223" t="s">
        <v>5189</v>
      </c>
      <c r="AA223" t="s">
        <v>1287</v>
      </c>
      <c r="AB223" t="s">
        <v>290</v>
      </c>
      <c r="AC223" t="s">
        <v>260</v>
      </c>
      <c r="AG223" s="43"/>
      <c r="AJ223" t="s">
        <v>328</v>
      </c>
      <c r="AK223" s="1"/>
      <c r="AL223" t="s">
        <v>290</v>
      </c>
      <c r="AM223"/>
      <c r="AN223"/>
      <c r="AO223" t="s">
        <v>5192</v>
      </c>
      <c r="AQ223" t="s">
        <v>290</v>
      </c>
      <c r="AR223"/>
      <c r="AS223" s="10"/>
      <c r="AT223" s="10"/>
      <c r="AU223" s="10"/>
      <c r="AV223" s="10"/>
      <c r="AW223" s="10"/>
      <c r="AX223" s="1"/>
      <c r="AY223" s="1"/>
      <c r="AZ223" s="1"/>
      <c r="BA223" s="1"/>
      <c r="BB223" s="1"/>
      <c r="BC223" s="2"/>
      <c r="BD223" s="115">
        <v>45382</v>
      </c>
      <c r="BE223" s="115">
        <v>45390</v>
      </c>
      <c r="BF223" s="2"/>
      <c r="BG223" s="2"/>
      <c r="BH223" s="2"/>
      <c r="BI223" s="2"/>
      <c r="BJ223" s="2"/>
      <c r="BK223" s="2"/>
      <c r="BL223" s="20">
        <f ca="1">SUM(EN223)+220</f>
        <v>1440.1392000000001</v>
      </c>
      <c r="BM223" s="22">
        <f ca="1">PMT(10%/12,12,BL223,0,0)</f>
        <v>-126.61111550271625</v>
      </c>
      <c r="BN223" s="22">
        <f ca="1">SUM(BM223*-1)</f>
        <v>126.61111550271625</v>
      </c>
      <c r="BO223" s="14">
        <f>SUM(EV223*0.0052)/12</f>
        <v>22.533333333333331</v>
      </c>
      <c r="BP223" s="22">
        <f ca="1">SUM(BN223+BO223)</f>
        <v>149.14444883604958</v>
      </c>
      <c r="BQ223" s="14"/>
      <c r="BR223" s="14">
        <f>SUM(BQ223*0.1)</f>
        <v>0</v>
      </c>
      <c r="BS223" s="14">
        <f ca="1">SUM(BT223*BU223)</f>
        <v>0</v>
      </c>
      <c r="BT223" s="17">
        <f>SUM((BQ223+BR223)*0.00833333333333333)</f>
        <v>0</v>
      </c>
      <c r="BU223" s="23">
        <f ca="1">MONTH(TODAY())+61</f>
        <v>65</v>
      </c>
      <c r="BV223" s="14">
        <f ca="1">SUM(BQ223,BR223,BS223)</f>
        <v>0</v>
      </c>
      <c r="BW223" s="14"/>
      <c r="BX223" s="14">
        <f>SUM(BW223*0.1)</f>
        <v>0</v>
      </c>
      <c r="BY223" s="14">
        <f ca="1">SUM(BZ223*CA223)</f>
        <v>0</v>
      </c>
      <c r="BZ223" s="17">
        <f>SUM((BW223+BX223)*0.00833333333333333)</f>
        <v>0</v>
      </c>
      <c r="CA223" s="23">
        <f ca="1">MONTH(TODAY())+49</f>
        <v>53</v>
      </c>
      <c r="CB223" s="14">
        <f ca="1">SUM(BW223,BX223,BY223)</f>
        <v>0</v>
      </c>
      <c r="CC223" s="14">
        <v>0</v>
      </c>
      <c r="CD223" s="14">
        <f>SUM(CC223*0.1)</f>
        <v>0</v>
      </c>
      <c r="CE223" s="14">
        <f ca="1">SUM(CF223*CG223)</f>
        <v>0</v>
      </c>
      <c r="CF223" s="17">
        <f>SUM((CC223+CD223)*0.00833333333333333)</f>
        <v>0</v>
      </c>
      <c r="CG223" s="23">
        <f ca="1">MONTH(TODAY())+37</f>
        <v>41</v>
      </c>
      <c r="CH223" s="14">
        <f ca="1">SUM(CC223,CD223,CE223)</f>
        <v>0</v>
      </c>
      <c r="CI223" s="14">
        <f>SUM(ES223*0.0052)</f>
        <v>189.28</v>
      </c>
      <c r="CJ223" s="14">
        <f>SUM(CI223*0.1)</f>
        <v>18.928000000000001</v>
      </c>
      <c r="CK223" s="14">
        <f ca="1">SUM(CL223*CM223)</f>
        <v>50.31693333333331</v>
      </c>
      <c r="CL223" s="17">
        <f>SUM((CI223+CJ223)*0.00833333333333333)</f>
        <v>1.7350666666666659</v>
      </c>
      <c r="CM223" s="23">
        <f ca="1">MONTH(TODAY())+25</f>
        <v>29</v>
      </c>
      <c r="CN223" s="14">
        <f ca="1">SUM(CI223,CJ223,CK223)</f>
        <v>258.52493333333331</v>
      </c>
      <c r="CO223" s="14">
        <f>SUM(ES223*0.0052)/2</f>
        <v>94.64</v>
      </c>
      <c r="CP223" s="14">
        <f>SUM(CO223*0.1)</f>
        <v>9.4640000000000004</v>
      </c>
      <c r="CQ223" s="14">
        <f ca="1">SUM(CR223*CS223)</f>
        <v>18.218199999999992</v>
      </c>
      <c r="CR223" s="17">
        <f>SUM((CO223+CP223)*0.00833333333333333)</f>
        <v>0.86753333333333293</v>
      </c>
      <c r="CS223" s="23">
        <f ca="1">MONTH(TODAY())+17</f>
        <v>21</v>
      </c>
      <c r="CT223" s="23">
        <f ca="1">SUM(CO223,CP223,CQ223)</f>
        <v>122.3222</v>
      </c>
      <c r="CU223" s="14">
        <f>SUM(ES223*0.0052)/2</f>
        <v>94.64</v>
      </c>
      <c r="CV223" s="14">
        <f>SUM(CU223*0.1)</f>
        <v>9.4640000000000004</v>
      </c>
      <c r="CW223" s="14">
        <f ca="1">SUM(CX223*CY223)</f>
        <v>14.748066666666659</v>
      </c>
      <c r="CX223" s="17">
        <f>SUM((CU223+CV223)*0.00833333333333333)</f>
        <v>0.86753333333333293</v>
      </c>
      <c r="CY223" s="23">
        <f ca="1">MONTH(TODAY())+13</f>
        <v>17</v>
      </c>
      <c r="CZ223" s="23">
        <f ca="1">SUM(CU223,CV223,CW223)</f>
        <v>118.85206666666666</v>
      </c>
      <c r="DA223" s="14">
        <f>SUM(EV223*0.0045)/2</f>
        <v>116.99999999999999</v>
      </c>
      <c r="DB223" s="14">
        <f>SUM(DA223*0.1)</f>
        <v>11.7</v>
      </c>
      <c r="DC223" s="14">
        <f ca="1">SUM(DD223*DE223)</f>
        <v>11.797499999999992</v>
      </c>
      <c r="DD223" s="17">
        <f>SUM((DA223+DB223)*0.00833333333333333)</f>
        <v>1.0724999999999993</v>
      </c>
      <c r="DE223" s="23">
        <f ca="1">MONTH(TODAY())+7</f>
        <v>11</v>
      </c>
      <c r="DF223" s="23">
        <f ca="1">SUM(DA223,DB223,DC223)</f>
        <v>140.49749999999997</v>
      </c>
      <c r="DG223" s="14">
        <f>SUM(EV223*0.0045)/2</f>
        <v>116.99999999999999</v>
      </c>
      <c r="DH223" s="14">
        <f>SUM(DG223*0.1)</f>
        <v>11.7</v>
      </c>
      <c r="DI223" s="14">
        <f ca="1">SUM(DJ223*DK223)</f>
        <v>5.3624999999999972</v>
      </c>
      <c r="DJ223" s="17">
        <f>SUM((DG223+DH223)*0.00833333333333333)</f>
        <v>1.0724999999999993</v>
      </c>
      <c r="DK223" s="23">
        <f ca="1">MONTH(TODAY())+1</f>
        <v>5</v>
      </c>
      <c r="DL223" s="14">
        <f ca="1">SUM(DG223,DH223,DI223)</f>
        <v>134.0625</v>
      </c>
      <c r="DM223" s="14">
        <f>SUM(EV223*0.0045)/2</f>
        <v>116.99999999999999</v>
      </c>
      <c r="DN223" s="14">
        <f>0</f>
        <v>0</v>
      </c>
      <c r="DO223" s="14">
        <f>0</f>
        <v>0</v>
      </c>
      <c r="DP223" s="17">
        <f>SUM((DM223+DN223)*0.00833333333333333)</f>
        <v>0.97499999999999942</v>
      </c>
      <c r="DQ223" s="23">
        <f ca="1">MONTH(TODAY())+7</f>
        <v>11</v>
      </c>
      <c r="DR223" s="23">
        <f>SUM(DM223,DN223,DO223)</f>
        <v>116.99999999999999</v>
      </c>
      <c r="DS223" s="14">
        <f>0</f>
        <v>0</v>
      </c>
      <c r="DT223" s="14">
        <f>0</f>
        <v>0</v>
      </c>
      <c r="DU223" s="14">
        <f ca="1">SUM(DV223*DW223)</f>
        <v>0</v>
      </c>
      <c r="DV223" s="17">
        <f>SUM((DS223+DT223)*0.00833333333333333)</f>
        <v>0</v>
      </c>
      <c r="DW223" s="23">
        <f ca="1">MONTH(TODAY())+1</f>
        <v>5</v>
      </c>
      <c r="DX223" s="14">
        <f ca="1">SUM(DS223,DT223,DU223)</f>
        <v>0</v>
      </c>
      <c r="DY223" s="14">
        <f>SUM( BQ223, BW223, CC223, CI223, CO223,CU223,DA223,DG223,DM223,DS223)</f>
        <v>729.56</v>
      </c>
      <c r="DZ223" s="14">
        <f>SUM(BR223,BX223,CD223,CJ223, CP223,CV223,DB223,DH223,DN223,DT223)</f>
        <v>61.256</v>
      </c>
      <c r="EA223" s="14">
        <f ca="1">SUM(BS223,BY223,CE223,CK223, CQ223,CW223,DC223,DI223,DO223,DU223)</f>
        <v>100.44319999999995</v>
      </c>
      <c r="EB223" s="25">
        <f ca="1">SUM(DY223:EA223)</f>
        <v>891.25919999999985</v>
      </c>
      <c r="EC223" s="47">
        <f ca="1">SUM(EB223/ES223)</f>
        <v>2.4485142857142855E-2</v>
      </c>
      <c r="ED223" s="14">
        <f>40+10+100</f>
        <v>150</v>
      </c>
      <c r="EE223" s="32">
        <f>COUNTIF(AO223, "*")+COUNTIF(AJ223, "*")+COUNTIF(Paid!AA853, "*")+COUNTIF(FG223, "*")+COUNTIF(FM223, "*")+COUNTIF(FS223, "*")+COUNTIF(FW223, "*")+COUNTIF(GD223, "*")+COUNTIF(AT223, "*")+COUNTIF(GM223, "*")+COUNTIF(GX223, "*")+COUNTIF(HI223, "*")+COUNTIF(HQ223, "*")+COUNTIF(HY223, "*")+COUNTIF(IG223, "*")</f>
        <v>3</v>
      </c>
      <c r="EF223" s="14">
        <f>EE223*0.64+EE223*8</f>
        <v>25.92</v>
      </c>
      <c r="EG223" s="4">
        <v>125</v>
      </c>
      <c r="EH223" s="4">
        <v>27.96</v>
      </c>
      <c r="EI223" s="4"/>
      <c r="EJ223" s="4"/>
      <c r="EL223" s="4"/>
      <c r="EM223" s="14">
        <f>SUM(EH223:EL223)</f>
        <v>27.96</v>
      </c>
      <c r="EN223" s="14">
        <f ca="1">SUM(EB223,ED223,EM223, EG223, EF223,GJ223)</f>
        <v>1220.1392000000001</v>
      </c>
      <c r="EO223" s="24" t="s">
        <v>4944</v>
      </c>
      <c r="EP223" s="130">
        <v>0.95</v>
      </c>
      <c r="EQ223" s="14">
        <v>36400</v>
      </c>
      <c r="ER223" s="14">
        <v>0</v>
      </c>
      <c r="ES223" s="14">
        <f>SUM(EQ223+ER223)</f>
        <v>36400</v>
      </c>
      <c r="ET223" s="14">
        <v>52000</v>
      </c>
      <c r="EU223" s="14">
        <v>0</v>
      </c>
      <c r="EV223" s="14">
        <f>SUM(ET223+EU223)</f>
        <v>52000</v>
      </c>
      <c r="EW223" s="10" t="s">
        <v>5332</v>
      </c>
      <c r="EX223" s="10" t="s">
        <v>5333</v>
      </c>
      <c r="EY223" s="10" t="s">
        <v>5329</v>
      </c>
      <c r="EZ223" s="10"/>
      <c r="FA223" s="10"/>
      <c r="FB223" s="10"/>
      <c r="FC223" s="10"/>
      <c r="FD223" s="10"/>
      <c r="FE223" t="s">
        <v>5188</v>
      </c>
      <c r="FG223" t="s">
        <v>5326</v>
      </c>
      <c r="FH223" s="1"/>
      <c r="FI223" t="s">
        <v>5190</v>
      </c>
      <c r="FJ223" t="s">
        <v>5191</v>
      </c>
      <c r="GJ223" s="4"/>
      <c r="IK223" s="9"/>
      <c r="IV223" s="4"/>
      <c r="IW223" s="4"/>
      <c r="IX223" s="4"/>
      <c r="IY223" s="9"/>
      <c r="IZ223" s="9"/>
      <c r="JA223" s="9"/>
      <c r="JB223" s="9"/>
      <c r="JC223" s="9"/>
    </row>
    <row r="224" spans="1:263" ht="15" customHeight="1">
      <c r="A224" s="2">
        <v>102024039</v>
      </c>
      <c r="B224" t="s">
        <v>5081</v>
      </c>
      <c r="D224" s="1"/>
      <c r="E224" s="3"/>
      <c r="G224" s="3"/>
      <c r="K224" t="s">
        <v>5188</v>
      </c>
      <c r="O224" s="3"/>
      <c r="Z224" t="s">
        <v>5189</v>
      </c>
      <c r="AA224" t="s">
        <v>1287</v>
      </c>
      <c r="AB224" t="s">
        <v>290</v>
      </c>
      <c r="AC224" t="s">
        <v>260</v>
      </c>
      <c r="AG224" s="43"/>
      <c r="AJ224" t="s">
        <v>328</v>
      </c>
      <c r="AK224" s="1"/>
      <c r="AL224" t="s">
        <v>290</v>
      </c>
      <c r="AM224"/>
      <c r="AN224"/>
      <c r="AO224" t="s">
        <v>5192</v>
      </c>
      <c r="AQ224" t="s">
        <v>290</v>
      </c>
      <c r="AR224"/>
      <c r="AS224" s="10"/>
      <c r="AT224" s="10"/>
      <c r="AU224" s="10"/>
      <c r="AV224" s="10"/>
      <c r="AW224" s="10"/>
      <c r="AX224" s="1"/>
      <c r="AY224" s="1"/>
      <c r="AZ224" s="1"/>
      <c r="BA224" s="1"/>
      <c r="BB224" s="1"/>
      <c r="BC224" s="2"/>
      <c r="BD224" s="115">
        <v>45382</v>
      </c>
      <c r="BE224" s="115">
        <v>45390</v>
      </c>
      <c r="BF224" s="2"/>
      <c r="BG224" s="2"/>
      <c r="BH224" s="2"/>
      <c r="BI224" s="2"/>
      <c r="BJ224" s="2"/>
      <c r="BK224" s="2"/>
      <c r="BL224" s="20">
        <f ca="1">SUM(EN224)+220</f>
        <v>1243.104</v>
      </c>
      <c r="BM224" s="22">
        <f ca="1">PMT(10%/12,12,BL224,0,0)</f>
        <v>-109.28859107917384</v>
      </c>
      <c r="BN224" s="22">
        <f ca="1">SUM(BM224*-1)</f>
        <v>109.28859107917384</v>
      </c>
      <c r="BO224" s="14">
        <f>SUM(EV224*0.0052)/12</f>
        <v>17.333333333333332</v>
      </c>
      <c r="BP224" s="22">
        <f ca="1">SUM(BN224+BO224)</f>
        <v>126.62192441250717</v>
      </c>
      <c r="BQ224" s="14"/>
      <c r="BR224" s="14">
        <f>SUM(BQ224*0.1)</f>
        <v>0</v>
      </c>
      <c r="BS224" s="14">
        <f ca="1">SUM(BT224*BU224)</f>
        <v>0</v>
      </c>
      <c r="BT224" s="17">
        <f>SUM((BQ224+BR224)*0.00833333333333333)</f>
        <v>0</v>
      </c>
      <c r="BU224" s="23">
        <f ca="1">MONTH(TODAY())+61</f>
        <v>65</v>
      </c>
      <c r="BV224" s="14">
        <f ca="1">SUM(BQ224,BR224,BS224)</f>
        <v>0</v>
      </c>
      <c r="BW224" s="14"/>
      <c r="BX224" s="14">
        <f>SUM(BW224*0.1)</f>
        <v>0</v>
      </c>
      <c r="BY224" s="14">
        <f ca="1">SUM(BZ224*CA224)</f>
        <v>0</v>
      </c>
      <c r="BZ224" s="17">
        <f>SUM((BW224+BX224)*0.00833333333333333)</f>
        <v>0</v>
      </c>
      <c r="CA224" s="23">
        <f ca="1">MONTH(TODAY())+49</f>
        <v>53</v>
      </c>
      <c r="CB224" s="14">
        <f ca="1">SUM(BW224,BX224,BY224)</f>
        <v>0</v>
      </c>
      <c r="CC224" s="14">
        <v>0</v>
      </c>
      <c r="CD224" s="14">
        <f>SUM(CC224*0.1)</f>
        <v>0</v>
      </c>
      <c r="CE224" s="14">
        <f ca="1">SUM(CF224*CG224)</f>
        <v>0</v>
      </c>
      <c r="CF224" s="17">
        <f>SUM((CC224+CD224)*0.00833333333333333)</f>
        <v>0</v>
      </c>
      <c r="CG224" s="23">
        <f ca="1">MONTH(TODAY())+37</f>
        <v>41</v>
      </c>
      <c r="CH224" s="14">
        <f ca="1">SUM(CC224,CD224,CE224)</f>
        <v>0</v>
      </c>
      <c r="CI224" s="14">
        <f>SUM(ES224*0.0052)</f>
        <v>145.6</v>
      </c>
      <c r="CJ224" s="14">
        <f>SUM(CI224*0.1)</f>
        <v>14.56</v>
      </c>
      <c r="CK224" s="14">
        <f ca="1">SUM(CL224*CM224)</f>
        <v>38.705333333333314</v>
      </c>
      <c r="CL224" s="17">
        <f>SUM((CI224+CJ224)*0.00833333333333333)</f>
        <v>1.334666666666666</v>
      </c>
      <c r="CM224" s="23">
        <f ca="1">MONTH(TODAY())+25</f>
        <v>29</v>
      </c>
      <c r="CN224" s="14">
        <f ca="1">SUM(CI224,CJ224,CK224)</f>
        <v>198.8653333333333</v>
      </c>
      <c r="CO224" s="14">
        <f>SUM(ES224*0.0052)/2</f>
        <v>72.8</v>
      </c>
      <c r="CP224" s="14">
        <f>SUM(CO224*0.1)</f>
        <v>7.28</v>
      </c>
      <c r="CQ224" s="14">
        <f ca="1">SUM(CR224*CS224)</f>
        <v>14.013999999999992</v>
      </c>
      <c r="CR224" s="17">
        <f>SUM((CO224+CP224)*0.00833333333333333)</f>
        <v>0.667333333333333</v>
      </c>
      <c r="CS224" s="23">
        <f ca="1">MONTH(TODAY())+17</f>
        <v>21</v>
      </c>
      <c r="CT224" s="23">
        <f ca="1">SUM(CO224,CP224,CQ224)</f>
        <v>94.093999999999994</v>
      </c>
      <c r="CU224" s="14">
        <f>SUM(ES224*0.0052)/2</f>
        <v>72.8</v>
      </c>
      <c r="CV224" s="14">
        <f>SUM(CU224*0.1)</f>
        <v>7.28</v>
      </c>
      <c r="CW224" s="14">
        <f ca="1">SUM(CX224*CY224)</f>
        <v>11.344666666666662</v>
      </c>
      <c r="CX224" s="17">
        <f>SUM((CU224+CV224)*0.00833333333333333)</f>
        <v>0.667333333333333</v>
      </c>
      <c r="CY224" s="23">
        <f ca="1">MONTH(TODAY())+13</f>
        <v>17</v>
      </c>
      <c r="CZ224" s="23">
        <f ca="1">SUM(CU224,CV224,CW224)</f>
        <v>91.424666666666667</v>
      </c>
      <c r="DA224" s="14">
        <f>SUM(EV224*0.0045)/2</f>
        <v>90</v>
      </c>
      <c r="DB224" s="14">
        <f>SUM(DA224*0.1)</f>
        <v>9</v>
      </c>
      <c r="DC224" s="14">
        <f ca="1">SUM(DD224*DE224)</f>
        <v>9.0749999999999957</v>
      </c>
      <c r="DD224" s="17">
        <f>SUM((DA224+DB224)*0.00833333333333333)</f>
        <v>0.82499999999999962</v>
      </c>
      <c r="DE224" s="23">
        <f ca="1">MONTH(TODAY())+7</f>
        <v>11</v>
      </c>
      <c r="DF224" s="23">
        <f ca="1">SUM(DA224,DB224,DC224)</f>
        <v>108.07499999999999</v>
      </c>
      <c r="DG224" s="14">
        <f>SUM(EV224*0.0045)/2</f>
        <v>90</v>
      </c>
      <c r="DH224" s="14">
        <f>SUM(DG224*0.1)</f>
        <v>9</v>
      </c>
      <c r="DI224" s="14">
        <f ca="1">SUM(DJ224*DK224)</f>
        <v>4.1249999999999982</v>
      </c>
      <c r="DJ224" s="17">
        <f>SUM((DG224+DH224)*0.00833333333333333)</f>
        <v>0.82499999999999962</v>
      </c>
      <c r="DK224" s="23">
        <f ca="1">MONTH(TODAY())+1</f>
        <v>5</v>
      </c>
      <c r="DL224" s="14">
        <f ca="1">SUM(DG224,DH224,DI224)</f>
        <v>103.125</v>
      </c>
      <c r="DM224" s="14">
        <f>SUM(EV224*0.0045)/2</f>
        <v>90</v>
      </c>
      <c r="DN224" s="14">
        <f>0</f>
        <v>0</v>
      </c>
      <c r="DO224" s="14">
        <f>0</f>
        <v>0</v>
      </c>
      <c r="DP224" s="17">
        <f>SUM((DM224+DN224)*0.00833333333333333)</f>
        <v>0.74999999999999967</v>
      </c>
      <c r="DQ224" s="23">
        <f ca="1">MONTH(TODAY())+7</f>
        <v>11</v>
      </c>
      <c r="DR224" s="23">
        <f>SUM(DM224,DN224,DO224)</f>
        <v>90</v>
      </c>
      <c r="DS224" s="14">
        <f>0</f>
        <v>0</v>
      </c>
      <c r="DT224" s="14">
        <f>0</f>
        <v>0</v>
      </c>
      <c r="DU224" s="14">
        <f ca="1">SUM(DV224*DW224)</f>
        <v>0</v>
      </c>
      <c r="DV224" s="17">
        <f>SUM((DS224+DT224)*0.00833333333333333)</f>
        <v>0</v>
      </c>
      <c r="DW224" s="23">
        <f ca="1">MONTH(TODAY())+1</f>
        <v>5</v>
      </c>
      <c r="DX224" s="14">
        <f ca="1">SUM(DS224,DT224,DU224)</f>
        <v>0</v>
      </c>
      <c r="DY224" s="14">
        <f>SUM( BQ224, BW224, CC224, CI224, CO224,CU224,DA224,DG224,DM224,DS224)</f>
        <v>561.20000000000005</v>
      </c>
      <c r="DZ224" s="14">
        <f>SUM(BR224,BX224,CD224,CJ224, CP224,CV224,DB224,DH224,DN224,DT224)</f>
        <v>47.120000000000005</v>
      </c>
      <c r="EA224" s="14">
        <f ca="1">SUM(BS224,BY224,CE224,CK224, CQ224,CW224,DC224,DI224,DO224,DU224)</f>
        <v>77.263999999999953</v>
      </c>
      <c r="EB224" s="25">
        <f ca="1">SUM(DY224:EA224)</f>
        <v>685.58400000000006</v>
      </c>
      <c r="EC224" s="47">
        <f ca="1">SUM(EB224/ES224)</f>
        <v>2.4485142857142858E-2</v>
      </c>
      <c r="ED224" s="14">
        <f>40+10+100</f>
        <v>150</v>
      </c>
      <c r="EE224" s="32">
        <f>COUNTIF(AO224, "*")+COUNTIF(AJ224, "*")+COUNTIF(AA224, "*")+COUNTIF(FG224, "*")+COUNTIF(FM224, "*")+COUNTIF(FS224, "*")+COUNTIF(FW224, "*")+COUNTIF(GD224, "*")+COUNTIF(AT224, "*")+COUNTIF(GM224, "*")+COUNTIF(GX224, "*")+COUNTIF(HI224, "*")+COUNTIF(HQ224, "*")+COUNTIF(HY224, "*")+COUNTIF(IG224, "*")</f>
        <v>4</v>
      </c>
      <c r="EF224" s="14">
        <f>EE224*0.64+EE224*8</f>
        <v>34.56</v>
      </c>
      <c r="EG224" s="4">
        <v>125</v>
      </c>
      <c r="EH224" s="4">
        <v>27.96</v>
      </c>
      <c r="EI224" s="4"/>
      <c r="EJ224" s="4"/>
      <c r="EL224" s="4"/>
      <c r="EM224" s="14">
        <f>SUM(EH224:EL224)</f>
        <v>27.96</v>
      </c>
      <c r="EN224" s="14">
        <f ca="1">SUM(EB224,ED224,EM224, EG224, EF224,GJ224)</f>
        <v>1023.104</v>
      </c>
      <c r="EO224" s="24" t="s">
        <v>4944</v>
      </c>
      <c r="EP224" s="130">
        <v>0.53</v>
      </c>
      <c r="EQ224" s="14">
        <v>28000</v>
      </c>
      <c r="ER224" s="14">
        <v>0</v>
      </c>
      <c r="ES224" s="14">
        <f>SUM(EQ224+ER224)</f>
        <v>28000</v>
      </c>
      <c r="ET224" s="14">
        <v>40000</v>
      </c>
      <c r="EU224" s="14">
        <v>0</v>
      </c>
      <c r="EV224" s="14">
        <f>SUM(ET224+EU224)</f>
        <v>40000</v>
      </c>
      <c r="EW224" s="10" t="s">
        <v>5330</v>
      </c>
      <c r="EX224" s="10" t="s">
        <v>5331</v>
      </c>
      <c r="EY224" s="10" t="s">
        <v>5329</v>
      </c>
      <c r="EZ224" s="10"/>
      <c r="FA224" s="10"/>
      <c r="FB224" s="10"/>
      <c r="FC224" s="10"/>
      <c r="FD224" s="10"/>
      <c r="FE224" t="s">
        <v>5188</v>
      </c>
      <c r="FG224" t="s">
        <v>5326</v>
      </c>
      <c r="FH224" s="1"/>
      <c r="FI224" t="s">
        <v>5190</v>
      </c>
      <c r="FJ224" t="s">
        <v>5191</v>
      </c>
      <c r="GJ224" s="4"/>
      <c r="IK224" s="9"/>
      <c r="IV224" s="4"/>
      <c r="IW224" s="4"/>
      <c r="IX224" s="4"/>
      <c r="IY224" s="9"/>
      <c r="IZ224" s="9"/>
      <c r="JA224" s="9"/>
      <c r="JB224" s="9"/>
      <c r="JC224" s="9"/>
    </row>
    <row r="225" spans="1:263" ht="15" customHeight="1">
      <c r="A225" s="2">
        <v>102023034</v>
      </c>
      <c r="B225" t="s">
        <v>4053</v>
      </c>
      <c r="G225" s="3" t="s">
        <v>4670</v>
      </c>
      <c r="J225" t="s">
        <v>554</v>
      </c>
      <c r="K225" t="s">
        <v>4054</v>
      </c>
      <c r="L225" t="s">
        <v>4055</v>
      </c>
      <c r="M225" t="s">
        <v>401</v>
      </c>
      <c r="O225" s="3"/>
      <c r="P225" t="s">
        <v>4054</v>
      </c>
      <c r="Q225" t="s">
        <v>4056</v>
      </c>
      <c r="R225" t="s">
        <v>428</v>
      </c>
      <c r="AG225"/>
      <c r="AJ225" s="18"/>
      <c r="AM225"/>
      <c r="AN225"/>
      <c r="AO225" t="s">
        <v>4113</v>
      </c>
      <c r="AP225" s="3" t="s">
        <v>258</v>
      </c>
      <c r="AQ225" t="s">
        <v>267</v>
      </c>
      <c r="AR225" t="s">
        <v>260</v>
      </c>
      <c r="AX225" s="1"/>
      <c r="AY225" s="1"/>
      <c r="AZ225" s="1"/>
      <c r="BA225" s="1"/>
      <c r="BB225" s="1"/>
      <c r="BC225" s="2"/>
      <c r="BD225" s="116"/>
      <c r="BE225" s="115">
        <v>45033</v>
      </c>
      <c r="BF225" s="2"/>
      <c r="BG225" s="2"/>
      <c r="BH225" s="2"/>
      <c r="BI225" s="2"/>
      <c r="BJ225" s="2"/>
      <c r="BK225" s="2"/>
      <c r="BL225" s="20">
        <f ca="1">SUM(EB225)+220</f>
        <v>4683.0994666666666</v>
      </c>
      <c r="BM225" s="22">
        <f ca="1">PMT(10%/12,12,BL225,0,0)</f>
        <v>-411.71884459838475</v>
      </c>
      <c r="BN225" s="22">
        <f ca="1">SUM(BM225*-1)</f>
        <v>411.71884459838475</v>
      </c>
      <c r="BO225" s="14">
        <f>SUM(EJ225*0.0052)/12</f>
        <v>145.21</v>
      </c>
      <c r="BP225" s="22">
        <f ca="1">SUM(BN225+BO225)</f>
        <v>556.92884459838479</v>
      </c>
      <c r="BQ225" s="14"/>
      <c r="BR225" s="14">
        <f>SUM(BQ225*0.1)</f>
        <v>0</v>
      </c>
      <c r="BS225" s="14">
        <f ca="1">SUM(BT225*BU225)</f>
        <v>0</v>
      </c>
      <c r="BT225" s="17">
        <f>SUM((BQ225+BR225)*0.00833333333333333)</f>
        <v>0</v>
      </c>
      <c r="BU225" s="23">
        <f ca="1">MONTH(TODAY())+49</f>
        <v>53</v>
      </c>
      <c r="BV225" s="14">
        <f ca="1">SUM(BQ225,BR225,BS225)</f>
        <v>0</v>
      </c>
      <c r="BW225" s="14"/>
      <c r="BX225" s="14">
        <f>SUM(BW225*0.1)</f>
        <v>0</v>
      </c>
      <c r="BY225" s="14">
        <f ca="1">SUM(BZ225*CA225)</f>
        <v>0</v>
      </c>
      <c r="BZ225" s="17">
        <f>SUM((BW225+BX225)*0.00833333333333333)</f>
        <v>0</v>
      </c>
      <c r="CA225" s="23">
        <f ca="1">MONTH(TODAY())+37</f>
        <v>41</v>
      </c>
      <c r="CB225" s="14">
        <f ca="1">SUM(BW225,BX225,BY225)</f>
        <v>0</v>
      </c>
      <c r="CC225" s="14">
        <v>0</v>
      </c>
      <c r="CD225" s="14">
        <f>SUM(CC225*0.1)</f>
        <v>0</v>
      </c>
      <c r="CE225" s="14">
        <f ca="1">SUM(CF225*CG225)</f>
        <v>0</v>
      </c>
      <c r="CF225" s="17">
        <f>SUM((CC225+CD225)*0.00833333333333333)</f>
        <v>0</v>
      </c>
      <c r="CG225" s="23">
        <f ca="1">MONTH(TODAY())+25</f>
        <v>29</v>
      </c>
      <c r="CH225" s="14">
        <f ca="1">SUM(CC225,CD225,CE225)</f>
        <v>0</v>
      </c>
      <c r="CI225" s="14">
        <f>1115.92+173.68</f>
        <v>1289.6000000000001</v>
      </c>
      <c r="CJ225" s="14">
        <f>SUM(CI225*0.1)</f>
        <v>128.96</v>
      </c>
      <c r="CK225" s="14">
        <f ca="1">SUM(CL225*CM225)</f>
        <v>200.96266666666662</v>
      </c>
      <c r="CL225" s="17">
        <f>SUM((CI225+CJ225)*0.00833333333333333)</f>
        <v>11.82133333333333</v>
      </c>
      <c r="CM225" s="23">
        <f ca="1">MONTH(TODAY())+13</f>
        <v>17</v>
      </c>
      <c r="CN225" s="14">
        <f ca="1">SUM(CI225,CJ225,CK225)</f>
        <v>1619.5226666666667</v>
      </c>
      <c r="CO225" s="14">
        <f>SUM(EG225*0.0052)/2</f>
        <v>731.64</v>
      </c>
      <c r="CP225" s="14">
        <f>SUM(CO225*0.1)</f>
        <v>73.164000000000001</v>
      </c>
      <c r="CQ225" s="14">
        <f ca="1">SUM(CR225*CS225)</f>
        <v>60.360299999999974</v>
      </c>
      <c r="CR225" s="17">
        <f>SUM((CO225+CP225)*0.00833333333333333)</f>
        <v>6.706699999999997</v>
      </c>
      <c r="CS225" s="23">
        <f ca="1">MONTH(TODAY())+5</f>
        <v>9</v>
      </c>
      <c r="CT225" s="23">
        <f ca="1">SUM(CO225,CP225,CQ225)</f>
        <v>865.16429999999991</v>
      </c>
      <c r="CU225" s="14">
        <f>SUM(EG225*0.0052)/2</f>
        <v>731.64</v>
      </c>
      <c r="CV225" s="14">
        <f>SUM(CU225*0.1)</f>
        <v>73.164000000000001</v>
      </c>
      <c r="CW225" s="14">
        <f ca="1">SUM(CX225*CY225)</f>
        <v>33.533499999999982</v>
      </c>
      <c r="CX225" s="17">
        <f>SUM((CU225+CV225)*0.00833333333333333)</f>
        <v>6.706699999999997</v>
      </c>
      <c r="CY225" s="23">
        <f ca="1">MONTH(TODAY())+1</f>
        <v>5</v>
      </c>
      <c r="CZ225" s="23">
        <f ca="1">SUM(CU225,CV225,CW225)</f>
        <v>838.33749999999998</v>
      </c>
      <c r="DA225" s="14">
        <f>SUM(EJ225*0.0045)/2</f>
        <v>753.97499999999991</v>
      </c>
      <c r="DB225" s="14">
        <v>0</v>
      </c>
      <c r="DC225" s="14">
        <v>0</v>
      </c>
      <c r="DD225" s="17">
        <f>SUM((DA225+DB225)*0.00833333333333333)</f>
        <v>6.2831249999999965</v>
      </c>
      <c r="DE225" s="23">
        <f ca="1">MONTH(TODAY())-5</f>
        <v>-1</v>
      </c>
      <c r="DF225" s="23">
        <f>SUM(DA225,DB225,DC225)</f>
        <v>753.97499999999991</v>
      </c>
      <c r="DG225" s="14">
        <v>0</v>
      </c>
      <c r="DH225" s="14">
        <v>0</v>
      </c>
      <c r="DI225" s="14">
        <v>0</v>
      </c>
      <c r="DJ225" s="17">
        <f>SUM((DG225+DH225)*0.00833333333333333)</f>
        <v>0</v>
      </c>
      <c r="DK225" s="23">
        <f ca="1">MONTH(TODAY())+1</f>
        <v>5</v>
      </c>
      <c r="DL225" s="23">
        <f>SUM(DG225,DH225,DI225)</f>
        <v>0</v>
      </c>
      <c r="DM225" s="14">
        <f>SUM( BQ225, BW225, CC225, CI225, CO225,CU225,DA225,DG225)</f>
        <v>3506.855</v>
      </c>
      <c r="DN225" s="14">
        <f>SUM(BR225,BX225,CD225,CJ225, CP225,CV225,DB225,DH225)</f>
        <v>275.28800000000001</v>
      </c>
      <c r="DO225" s="14">
        <f ca="1">SUM(BS225,BY225,CE225,CK225, CQ225,CW225,DC225,DI225)</f>
        <v>294.85646666666662</v>
      </c>
      <c r="DP225" s="25">
        <f ca="1">SUM(DM225:DO225)</f>
        <v>4076.9994666666666</v>
      </c>
      <c r="DQ225" s="47">
        <f ca="1">SUM(DP225/EG225)</f>
        <v>1.4488271025823264E-2</v>
      </c>
      <c r="DR225" s="14">
        <f>20+200</f>
        <v>220</v>
      </c>
      <c r="DS225" s="32">
        <f>COUNTIF(DX225, "*")+COUNTIF(AO225, "*")+COUNTIF(AJ225, "*")+COUNTIF(AA225, "*")+COUNTIF(EY225, "*")+COUNTIF(FE225, "*")+COUNTIF(FK225, "*")+COUNTIF(FO225, "*")+COUNTIF(FV225, "*")+COUNTIF(AT225, "*")+COUNTIF(GE225, "*")+COUNTIF(GP225, "*")+COUNTIF(HA225, "*")+COUNTIF(HI225, "*")+COUNTIF(HQ225, "*")+COUNTIF(HY225, "*")+COUNTIF(IG225, "*")</f>
        <v>2</v>
      </c>
      <c r="DT225" s="14">
        <f>1.2+DS225*7.45</f>
        <v>16.100000000000001</v>
      </c>
      <c r="DU225" s="4">
        <v>150</v>
      </c>
      <c r="DV225" s="4"/>
      <c r="DW225" s="4"/>
      <c r="DX225" s="4"/>
      <c r="DZ225" s="4"/>
      <c r="EA225" s="14">
        <f>SUM(DV225:DZ225)</f>
        <v>0</v>
      </c>
      <c r="EB225" s="14">
        <f ca="1">SUM(DP225,DR225,EA225, DU225, DT225,GB225)</f>
        <v>4463.0994666666666</v>
      </c>
      <c r="EC225" s="24" t="s">
        <v>3879</v>
      </c>
      <c r="ED225" s="7">
        <v>4.3129999999999997</v>
      </c>
      <c r="EE225" s="4">
        <v>40600</v>
      </c>
      <c r="EF225" s="4">
        <v>240800</v>
      </c>
      <c r="EG225" s="14">
        <f>SUM(EE225+EF225)</f>
        <v>281400</v>
      </c>
      <c r="EH225" s="14">
        <v>54900</v>
      </c>
      <c r="EI225" s="14">
        <v>280200</v>
      </c>
      <c r="EJ225" s="14">
        <f>SUM(EH225+EI225)</f>
        <v>335100</v>
      </c>
      <c r="EK225" s="43" t="s">
        <v>4638</v>
      </c>
      <c r="EL225" s="43" t="s">
        <v>4639</v>
      </c>
      <c r="FN225" t="s">
        <v>4658</v>
      </c>
      <c r="FO225" t="s">
        <v>4640</v>
      </c>
      <c r="FQ225" t="s">
        <v>3488</v>
      </c>
      <c r="FR225" t="s">
        <v>471</v>
      </c>
      <c r="FS225" s="287">
        <v>43784</v>
      </c>
      <c r="FT225" t="s">
        <v>4641</v>
      </c>
      <c r="GI225" s="9"/>
      <c r="IM225" s="9"/>
      <c r="IX225" s="14">
        <f ca="1">SUM(IN225-EB225-GB225-IV225)</f>
        <v>-4463.0994666666666</v>
      </c>
      <c r="IY225" s="9"/>
      <c r="IZ225" s="9"/>
      <c r="JA225" s="9"/>
      <c r="JB225" s="9"/>
      <c r="JC225" s="9"/>
    </row>
    <row r="226" spans="1:263" ht="15" customHeight="1">
      <c r="A226" s="19">
        <v>102022027</v>
      </c>
      <c r="B226" t="s">
        <v>2966</v>
      </c>
      <c r="D226" s="1"/>
      <c r="J226" t="s">
        <v>253</v>
      </c>
      <c r="K226" t="s">
        <v>2967</v>
      </c>
      <c r="L226" t="s">
        <v>1696</v>
      </c>
      <c r="M226" t="s">
        <v>354</v>
      </c>
      <c r="AJ226" t="s">
        <v>2968</v>
      </c>
      <c r="AK226" s="1" t="s">
        <v>258</v>
      </c>
      <c r="AL226" t="s">
        <v>267</v>
      </c>
      <c r="AM226" t="s">
        <v>260</v>
      </c>
      <c r="AN226"/>
      <c r="AO226" s="3" t="s">
        <v>2969</v>
      </c>
      <c r="AP226" s="1" t="s">
        <v>258</v>
      </c>
      <c r="AQ226" s="3" t="s">
        <v>2970</v>
      </c>
      <c r="AR226" t="s">
        <v>2971</v>
      </c>
      <c r="AT226" s="1"/>
      <c r="AU226" s="1"/>
      <c r="AV226" s="1"/>
      <c r="AW226" s="1"/>
      <c r="AX226" s="2"/>
      <c r="AY226" s="48"/>
      <c r="AZ226" s="70"/>
      <c r="BA226" s="2"/>
      <c r="BB226" s="2"/>
      <c r="BC226" s="2"/>
      <c r="BD226" s="115">
        <v>45382</v>
      </c>
      <c r="BE226" s="70">
        <v>45385</v>
      </c>
      <c r="BF226" s="2"/>
      <c r="BG226" s="20"/>
      <c r="BH226" s="22"/>
      <c r="BI226" s="22"/>
      <c r="BJ226" s="14"/>
      <c r="BK226" s="22"/>
      <c r="BL226" s="20">
        <f ca="1">SUM(EB226)+220</f>
        <v>3922.7855999999997</v>
      </c>
      <c r="BM226" s="22">
        <f ca="1">PMT(10%/12,12,BL226,0,0)</f>
        <v>-344.87517643710549</v>
      </c>
      <c r="BN226" s="22">
        <f ca="1">SUM(BM226*-1)</f>
        <v>344.87517643710549</v>
      </c>
      <c r="BO226" s="14">
        <f>SUM(EJ226*0.0052)/12</f>
        <v>68.510000000000005</v>
      </c>
      <c r="BP226" s="22">
        <f ca="1">SUM(BN226+BO226)</f>
        <v>413.38517643710549</v>
      </c>
      <c r="BQ226" s="14"/>
      <c r="BR226" s="14">
        <f>SUM(BQ226*0.1)</f>
        <v>0</v>
      </c>
      <c r="BS226" s="14">
        <f ca="1">SUM(BT226*BU226)</f>
        <v>0</v>
      </c>
      <c r="BT226" s="17">
        <f>SUM((BQ226+BR226)*0.00833333333333333)</f>
        <v>0</v>
      </c>
      <c r="BU226" s="23">
        <f ca="1">MONTH(TODAY())+61</f>
        <v>65</v>
      </c>
      <c r="BV226" s="14">
        <f ca="1">SUM(BQ226,BR226,BS226)</f>
        <v>0</v>
      </c>
      <c r="BW226" s="14"/>
      <c r="BX226" s="14">
        <f>SUM(BW226*0.1)</f>
        <v>0</v>
      </c>
      <c r="BY226" s="14">
        <f ca="1">SUM(BZ226*CA226)</f>
        <v>0</v>
      </c>
      <c r="BZ226" s="17">
        <f>SUM((BW226+BX226)*0.00833333333333333)</f>
        <v>0</v>
      </c>
      <c r="CA226" s="23">
        <f ca="1">MONTH(TODAY())+49</f>
        <v>53</v>
      </c>
      <c r="CB226" s="14">
        <f ca="1">SUM(BW226,BX226,BY226)</f>
        <v>0</v>
      </c>
      <c r="CC226" s="14">
        <v>0</v>
      </c>
      <c r="CD226" s="14">
        <f>SUM(CC226*0.1)</f>
        <v>0</v>
      </c>
      <c r="CE226" s="14">
        <f ca="1">SUM(CF226*CG226)</f>
        <v>0</v>
      </c>
      <c r="CF226" s="17">
        <f>SUM((CC226+CD226)*0.00833333333333333)</f>
        <v>0</v>
      </c>
      <c r="CG226" s="23">
        <f ca="1">MONTH(TODAY())+37</f>
        <v>41</v>
      </c>
      <c r="CH226" s="14">
        <f ca="1">SUM(CC226,CD226,CE226)</f>
        <v>0</v>
      </c>
      <c r="CI226" s="14">
        <f>SUM(EG226*0.0052)</f>
        <v>879.83999999999992</v>
      </c>
      <c r="CJ226" s="14">
        <f>SUM(CI226*0.1)</f>
        <v>87.983999999999995</v>
      </c>
      <c r="CK226" s="14">
        <f ca="1">SUM(CL226*CM226)</f>
        <v>233.89079999999987</v>
      </c>
      <c r="CL226" s="17">
        <f>SUM((CI226+CJ226)*0.00833333333333333)</f>
        <v>8.0651999999999955</v>
      </c>
      <c r="CM226" s="23">
        <f ca="1">MONTH(TODAY())+25</f>
        <v>29</v>
      </c>
      <c r="CN226" s="14">
        <f ca="1">SUM(CI226,CJ226,CK226)</f>
        <v>1201.7147999999997</v>
      </c>
      <c r="CO226" s="14">
        <f>SUM(EG226*0.0052)/2</f>
        <v>439.91999999999996</v>
      </c>
      <c r="CP226" s="14">
        <f>SUM(CO226*0.1)</f>
        <v>43.991999999999997</v>
      </c>
      <c r="CQ226" s="14">
        <f ca="1">SUM(CR226*CS226)</f>
        <v>84.684599999999946</v>
      </c>
      <c r="CR226" s="17">
        <f>SUM((CO226+CP226)*0.00833333333333333)</f>
        <v>4.0325999999999977</v>
      </c>
      <c r="CS226" s="23">
        <f ca="1">MONTH(TODAY())+17</f>
        <v>21</v>
      </c>
      <c r="CT226" s="23">
        <f ca="1">SUM(CO226,CP226,CQ226)</f>
        <v>568.59659999999997</v>
      </c>
      <c r="CU226" s="14">
        <f>SUM(EG226*0.0052)/2</f>
        <v>439.91999999999996</v>
      </c>
      <c r="CV226" s="14">
        <f>SUM(CU226*0.1)</f>
        <v>43.991999999999997</v>
      </c>
      <c r="CW226" s="14">
        <f ca="1">SUM(CX226*CY226)</f>
        <v>68.554199999999966</v>
      </c>
      <c r="CX226" s="17">
        <f>SUM((CU226+CV226)*0.00833333333333333)</f>
        <v>4.0325999999999977</v>
      </c>
      <c r="CY226" s="23">
        <f ca="1">MONTH(TODAY())+13</f>
        <v>17</v>
      </c>
      <c r="CZ226" s="23">
        <f ca="1">SUM(CU226,CV226,CW226)</f>
        <v>552.46619999999996</v>
      </c>
      <c r="DA226" s="14">
        <f>SUM(EJ226*0.0045)/2</f>
        <v>355.72499999999997</v>
      </c>
      <c r="DB226" s="14">
        <f>SUM(DA226*0.1)</f>
        <v>35.572499999999998</v>
      </c>
      <c r="DC226" s="14">
        <f ca="1">SUM(DD226*DE226)</f>
        <v>35.86893749999998</v>
      </c>
      <c r="DD226" s="17">
        <f>SUM((DA226+DB226)*0.00833333333333333)</f>
        <v>3.2608124999999983</v>
      </c>
      <c r="DE226" s="23">
        <f ca="1">MONTH(TODAY())+7</f>
        <v>11</v>
      </c>
      <c r="DF226" s="23">
        <f ca="1">SUM(DA226,DB226,DC226)</f>
        <v>427.16643749999992</v>
      </c>
      <c r="DG226" s="14">
        <f>SUM(EJ226*0.0045)/2</f>
        <v>355.72499999999997</v>
      </c>
      <c r="DH226" s="14">
        <f>SUM(DG226*0.1)</f>
        <v>35.572499999999998</v>
      </c>
      <c r="DI226" s="14">
        <f ca="1">SUM(DJ226*DK226)</f>
        <v>16.304062499999993</v>
      </c>
      <c r="DJ226" s="17">
        <f>SUM((DG226+DH226)*0.00833333333333333)</f>
        <v>3.2608124999999983</v>
      </c>
      <c r="DK226" s="23">
        <f ca="1">MONTH(TODAY())+1</f>
        <v>5</v>
      </c>
      <c r="DL226" s="14">
        <f ca="1">SUM(DG226,DH226,DI226)</f>
        <v>407.60156249999994</v>
      </c>
      <c r="DM226" s="14">
        <f>SUM( BQ226, BW226, CC226, CI226, CO226,CU226,DA226,DG226)</f>
        <v>2471.1299999999997</v>
      </c>
      <c r="DN226" s="14">
        <f>SUM(BR226,BX226,CD226,CJ226, CP226,CV226,DB226,DH226)</f>
        <v>247.11299999999997</v>
      </c>
      <c r="DO226" s="14">
        <f ca="1">SUM(BS226,BY226,CE226,CK226, CQ226,CW226,DC226,DI226)</f>
        <v>439.30259999999976</v>
      </c>
      <c r="DP226" s="25">
        <f ca="1">SUM(DM226:DO226)</f>
        <v>3157.5455999999995</v>
      </c>
      <c r="DQ226" s="47">
        <f ca="1">SUM(DP226/EG226)</f>
        <v>1.8661617021276593E-2</v>
      </c>
      <c r="DR226" s="14">
        <f>40+10+200</f>
        <v>250</v>
      </c>
      <c r="DS226" s="32">
        <f>COUNTIF(AO226, "*")+COUNTIF(AJ226, "*")+COUNTIF(AA226, "*")+COUNTIF(EU226, "*")+COUNTIF(FA226, "*")+COUNTIF(FG226, "*")+COUNTIF(FK226, "*")+COUNTIF(FR226, "*")+COUNTIF(AT226, "*")+COUNTIF(GA226, "*")+COUNTIF(GL226, "*")+COUNTIF(GW226, "*")+COUNTIF(HE226, "*")+COUNTIF(HM226, "*")+COUNTIF(HU226, "*")</f>
        <v>2</v>
      </c>
      <c r="DT226" s="14">
        <f>DS226*0.64+DS226*8</f>
        <v>17.28</v>
      </c>
      <c r="DU226" s="4">
        <v>250</v>
      </c>
      <c r="DV226" s="4">
        <v>27.96</v>
      </c>
      <c r="DW226" s="4"/>
      <c r="DX226" s="4"/>
      <c r="DZ226" s="4"/>
      <c r="EA226" s="14">
        <f>SUM(DV226:DZ226)</f>
        <v>27.96</v>
      </c>
      <c r="EB226" s="14">
        <f ca="1">SUM(DP226,DR226,EA226, DU226, DT226,FX226)</f>
        <v>3702.7855999999997</v>
      </c>
      <c r="EC226" s="24" t="s">
        <v>4944</v>
      </c>
      <c r="ED226" s="130">
        <v>5</v>
      </c>
      <c r="EE226" s="14">
        <v>45000</v>
      </c>
      <c r="EF226" s="14">
        <v>124200</v>
      </c>
      <c r="EG226" s="14">
        <f>SUM(EE226+EF226)</f>
        <v>169200</v>
      </c>
      <c r="EH226" s="14">
        <v>59000</v>
      </c>
      <c r="EI226" s="14">
        <v>99100</v>
      </c>
      <c r="EJ226" s="14">
        <f>SUM(EH226+EI226)</f>
        <v>158100</v>
      </c>
      <c r="EK226" s="10" t="s">
        <v>5256</v>
      </c>
      <c r="EL226" s="10" t="s">
        <v>5257</v>
      </c>
      <c r="EM226" s="10" t="s">
        <v>5258</v>
      </c>
      <c r="EN226" s="10" t="s">
        <v>5259</v>
      </c>
      <c r="EO226" s="10"/>
      <c r="EP226" s="10"/>
      <c r="EQ226" s="10"/>
      <c r="ER226" s="10"/>
      <c r="IA226" s="4"/>
    </row>
    <row r="227" spans="1:263" ht="15" customHeight="1">
      <c r="A227" s="2">
        <v>102018109</v>
      </c>
      <c r="B227" t="s">
        <v>1316</v>
      </c>
      <c r="E227" s="3" t="s">
        <v>1317</v>
      </c>
      <c r="F227" s="3"/>
      <c r="J227" t="s">
        <v>3540</v>
      </c>
      <c r="K227" t="s">
        <v>1318</v>
      </c>
      <c r="L227" t="s">
        <v>891</v>
      </c>
      <c r="M227" t="s">
        <v>357</v>
      </c>
      <c r="O227" s="1"/>
      <c r="T227" s="1"/>
      <c r="AH227" s="1"/>
      <c r="AO227" s="4"/>
      <c r="AP227" s="5"/>
      <c r="AS227" s="5"/>
      <c r="AT227" s="5"/>
      <c r="AU227" s="1"/>
      <c r="AV227" s="1"/>
      <c r="AW227" s="1"/>
      <c r="AX227" s="1"/>
      <c r="AY227" s="1"/>
      <c r="AZ227" s="1"/>
      <c r="BA227" s="1"/>
      <c r="BB227" s="1"/>
      <c r="BC227" s="1"/>
      <c r="BD227" s="1"/>
      <c r="BE227" s="1"/>
      <c r="BF227" s="1"/>
      <c r="BG227" s="5"/>
      <c r="BH227" s="16"/>
      <c r="BI227" s="16"/>
      <c r="BJ227" s="4"/>
      <c r="BK227" s="4"/>
      <c r="BL227" s="4"/>
      <c r="BM227" s="6"/>
      <c r="BN227" s="7"/>
      <c r="BO227" s="4"/>
      <c r="BQ227" s="4"/>
      <c r="BR227" s="4"/>
      <c r="BS227" s="6"/>
      <c r="BT227" s="7"/>
      <c r="BU227" s="4"/>
      <c r="BV227" s="4"/>
      <c r="BW227" s="4"/>
      <c r="BX227" s="4"/>
      <c r="BY227" s="6"/>
      <c r="BZ227" s="7"/>
      <c r="CA227" s="4"/>
      <c r="CB227" s="4"/>
      <c r="CC227" s="4"/>
      <c r="CD227" s="4"/>
      <c r="CE227" s="6"/>
      <c r="CF227" s="7"/>
      <c r="CG227" s="4"/>
      <c r="CH227" s="4"/>
      <c r="CI227" s="4"/>
      <c r="CJ227" s="4"/>
      <c r="CK227" s="6"/>
      <c r="CL227" s="7"/>
      <c r="CM227" s="4"/>
      <c r="CN227" s="4"/>
      <c r="CO227" s="4"/>
      <c r="CP227" s="4"/>
      <c r="CQ227" s="6"/>
      <c r="CR227" s="7"/>
      <c r="CS227" s="4"/>
      <c r="CT227" s="4"/>
      <c r="CU227" s="4"/>
      <c r="CV227" s="4"/>
      <c r="CW227" s="6"/>
      <c r="CX227" s="7"/>
      <c r="CY227" s="4"/>
      <c r="CZ227" s="4"/>
      <c r="DA227" s="4"/>
      <c r="DB227" s="4"/>
      <c r="DC227" s="6"/>
      <c r="DD227" s="7"/>
      <c r="DE227" s="4"/>
      <c r="DF227" s="4"/>
      <c r="DG227" s="4"/>
      <c r="DH227" s="14"/>
      <c r="DI227" s="14"/>
      <c r="DJ227" s="4"/>
      <c r="DK227" s="3"/>
      <c r="DL227" s="4"/>
      <c r="DM227" s="234"/>
      <c r="DN227" s="4"/>
      <c r="DO227" s="4"/>
      <c r="DP227" s="4"/>
      <c r="DQ227" s="4"/>
      <c r="DR227" s="4"/>
      <c r="DS227" s="4"/>
      <c r="DT227" s="4"/>
      <c r="DU227" s="8"/>
      <c r="DV227" s="4"/>
      <c r="DW227" s="4"/>
      <c r="DX227" s="4"/>
      <c r="DY227" s="4"/>
      <c r="DZ227" s="33"/>
      <c r="EA227" s="251"/>
      <c r="EB227" s="251"/>
      <c r="EI227" s="11"/>
      <c r="EO227" s="11"/>
      <c r="EP227" s="11"/>
      <c r="EQ227" s="4"/>
      <c r="ER227" s="4"/>
      <c r="ES227" s="4"/>
      <c r="ET227" s="4"/>
      <c r="EU227" s="4"/>
      <c r="EV227" s="4"/>
      <c r="EW227" s="4"/>
      <c r="EX227" s="4"/>
      <c r="EY227" s="4"/>
      <c r="EZ227" s="4"/>
      <c r="FA227" s="4"/>
      <c r="FB227" s="4"/>
      <c r="FC227" s="4"/>
      <c r="FD227" s="4"/>
      <c r="FE227" s="4"/>
      <c r="FI227" s="9"/>
      <c r="FR227" s="9"/>
      <c r="FX227" s="4"/>
      <c r="GC227" s="10"/>
      <c r="GM227" s="10"/>
      <c r="HB227" s="9"/>
      <c r="II227" s="9"/>
      <c r="IJ227" s="4"/>
      <c r="IK227" s="4"/>
      <c r="IL227" s="9"/>
      <c r="IN227" t="s">
        <v>1364</v>
      </c>
      <c r="IO227" t="s">
        <v>1365</v>
      </c>
      <c r="IP227" t="s">
        <v>290</v>
      </c>
      <c r="IS227" s="4">
        <v>148</v>
      </c>
      <c r="IT227" s="4"/>
    </row>
    <row r="228" spans="1:263" ht="15" customHeight="1">
      <c r="A228" s="2">
        <v>102024038</v>
      </c>
      <c r="B228" t="s">
        <v>5080</v>
      </c>
      <c r="D228" s="1"/>
      <c r="E228" s="3"/>
      <c r="G228" s="3"/>
      <c r="K228" t="s">
        <v>5188</v>
      </c>
      <c r="O228" s="3"/>
      <c r="Z228" t="s">
        <v>5189</v>
      </c>
      <c r="AA228" t="s">
        <v>1287</v>
      </c>
      <c r="AB228" t="s">
        <v>290</v>
      </c>
      <c r="AC228" t="s">
        <v>260</v>
      </c>
      <c r="AG228" s="43"/>
      <c r="AJ228" t="s">
        <v>328</v>
      </c>
      <c r="AK228" s="1"/>
      <c r="AL228" t="s">
        <v>290</v>
      </c>
      <c r="AM228"/>
      <c r="AN228"/>
      <c r="AO228" t="s">
        <v>5192</v>
      </c>
      <c r="AQ228" t="s">
        <v>290</v>
      </c>
      <c r="AR228"/>
      <c r="AS228" s="10"/>
      <c r="AT228" s="10"/>
      <c r="AU228" s="10"/>
      <c r="AV228" s="10"/>
      <c r="AW228" s="10"/>
      <c r="AX228" s="1"/>
      <c r="AY228" s="1"/>
      <c r="AZ228" s="1"/>
      <c r="BA228" s="1"/>
      <c r="BB228" s="1"/>
      <c r="BC228" s="2"/>
      <c r="BD228" s="115">
        <v>45382</v>
      </c>
      <c r="BE228" s="115">
        <v>45390</v>
      </c>
      <c r="BF228" s="2"/>
      <c r="BG228" s="2"/>
      <c r="BH228" s="2"/>
      <c r="BI228" s="2"/>
      <c r="BJ228" s="2"/>
      <c r="BK228" s="2"/>
      <c r="BL228" s="20">
        <f ca="1">SUM(EN228)+220</f>
        <v>1243.104</v>
      </c>
      <c r="BM228" s="22">
        <f ca="1">PMT(10%/12,12,BL228,0,0)</f>
        <v>-109.28859107917384</v>
      </c>
      <c r="BN228" s="22">
        <f ca="1">SUM(BM228*-1)</f>
        <v>109.28859107917384</v>
      </c>
      <c r="BO228" s="14">
        <f>SUM(EV228*0.0052)/12</f>
        <v>17.333333333333332</v>
      </c>
      <c r="BP228" s="22">
        <f ca="1">SUM(BN228+BO228)</f>
        <v>126.62192441250717</v>
      </c>
      <c r="BQ228" s="14"/>
      <c r="BR228" s="14">
        <f>SUM(BQ228*0.1)</f>
        <v>0</v>
      </c>
      <c r="BS228" s="14">
        <f ca="1">SUM(BT228*BU228)</f>
        <v>0</v>
      </c>
      <c r="BT228" s="17">
        <f>SUM((BQ228+BR228)*0.00833333333333333)</f>
        <v>0</v>
      </c>
      <c r="BU228" s="23">
        <f ca="1">MONTH(TODAY())+61</f>
        <v>65</v>
      </c>
      <c r="BV228" s="14">
        <f ca="1">SUM(BQ228,BR228,BS228)</f>
        <v>0</v>
      </c>
      <c r="BW228" s="14"/>
      <c r="BX228" s="14">
        <f>SUM(BW228*0.1)</f>
        <v>0</v>
      </c>
      <c r="BY228" s="14">
        <f ca="1">SUM(BZ228*CA228)</f>
        <v>0</v>
      </c>
      <c r="BZ228" s="17">
        <f>SUM((BW228+BX228)*0.00833333333333333)</f>
        <v>0</v>
      </c>
      <c r="CA228" s="23">
        <f ca="1">MONTH(TODAY())+49</f>
        <v>53</v>
      </c>
      <c r="CB228" s="14">
        <f ca="1">SUM(BW228,BX228,BY228)</f>
        <v>0</v>
      </c>
      <c r="CC228" s="14">
        <v>0</v>
      </c>
      <c r="CD228" s="14">
        <f>SUM(CC228*0.1)</f>
        <v>0</v>
      </c>
      <c r="CE228" s="14">
        <f ca="1">SUM(CF228*CG228)</f>
        <v>0</v>
      </c>
      <c r="CF228" s="17">
        <f>SUM((CC228+CD228)*0.00833333333333333)</f>
        <v>0</v>
      </c>
      <c r="CG228" s="23">
        <f ca="1">MONTH(TODAY())+37</f>
        <v>41</v>
      </c>
      <c r="CH228" s="14">
        <f ca="1">SUM(CC228,CD228,CE228)</f>
        <v>0</v>
      </c>
      <c r="CI228" s="14">
        <f>SUM(ES228*0.0052)</f>
        <v>145.6</v>
      </c>
      <c r="CJ228" s="14">
        <f>SUM(CI228*0.1)</f>
        <v>14.56</v>
      </c>
      <c r="CK228" s="14">
        <f ca="1">SUM(CL228*CM228)</f>
        <v>38.705333333333314</v>
      </c>
      <c r="CL228" s="17">
        <f>SUM((CI228+CJ228)*0.00833333333333333)</f>
        <v>1.334666666666666</v>
      </c>
      <c r="CM228" s="23">
        <f ca="1">MONTH(TODAY())+25</f>
        <v>29</v>
      </c>
      <c r="CN228" s="14">
        <f ca="1">SUM(CI228,CJ228,CK228)</f>
        <v>198.8653333333333</v>
      </c>
      <c r="CO228" s="14">
        <f>SUM(ES228*0.0052)/2</f>
        <v>72.8</v>
      </c>
      <c r="CP228" s="14">
        <f>SUM(CO228*0.1)</f>
        <v>7.28</v>
      </c>
      <c r="CQ228" s="14">
        <f ca="1">SUM(CR228*CS228)</f>
        <v>14.013999999999992</v>
      </c>
      <c r="CR228" s="17">
        <f>SUM((CO228+CP228)*0.00833333333333333)</f>
        <v>0.667333333333333</v>
      </c>
      <c r="CS228" s="23">
        <f ca="1">MONTH(TODAY())+17</f>
        <v>21</v>
      </c>
      <c r="CT228" s="23">
        <f ca="1">SUM(CO228,CP228,CQ228)</f>
        <v>94.093999999999994</v>
      </c>
      <c r="CU228" s="14">
        <f>SUM(ES228*0.0052)/2</f>
        <v>72.8</v>
      </c>
      <c r="CV228" s="14">
        <f>SUM(CU228*0.1)</f>
        <v>7.28</v>
      </c>
      <c r="CW228" s="14">
        <f ca="1">SUM(CX228*CY228)</f>
        <v>11.344666666666662</v>
      </c>
      <c r="CX228" s="17">
        <f>SUM((CU228+CV228)*0.00833333333333333)</f>
        <v>0.667333333333333</v>
      </c>
      <c r="CY228" s="23">
        <f ca="1">MONTH(TODAY())+13</f>
        <v>17</v>
      </c>
      <c r="CZ228" s="23">
        <f ca="1">SUM(CU228,CV228,CW228)</f>
        <v>91.424666666666667</v>
      </c>
      <c r="DA228" s="14">
        <f>SUM(EV228*0.0045)/2</f>
        <v>90</v>
      </c>
      <c r="DB228" s="14">
        <f>SUM(DA228*0.1)</f>
        <v>9</v>
      </c>
      <c r="DC228" s="14">
        <f ca="1">SUM(DD228*DE228)</f>
        <v>9.0749999999999957</v>
      </c>
      <c r="DD228" s="17">
        <f>SUM((DA228+DB228)*0.00833333333333333)</f>
        <v>0.82499999999999962</v>
      </c>
      <c r="DE228" s="23">
        <f ca="1">MONTH(TODAY())+7</f>
        <v>11</v>
      </c>
      <c r="DF228" s="23">
        <f ca="1">SUM(DA228,DB228,DC228)</f>
        <v>108.07499999999999</v>
      </c>
      <c r="DG228" s="14">
        <f>SUM(EV228*0.0045)/2</f>
        <v>90</v>
      </c>
      <c r="DH228" s="14">
        <f>SUM(DG228*0.1)</f>
        <v>9</v>
      </c>
      <c r="DI228" s="14">
        <f ca="1">SUM(DJ228*DK228)</f>
        <v>4.1249999999999982</v>
      </c>
      <c r="DJ228" s="17">
        <f>SUM((DG228+DH228)*0.00833333333333333)</f>
        <v>0.82499999999999962</v>
      </c>
      <c r="DK228" s="23">
        <f ca="1">MONTH(TODAY())+1</f>
        <v>5</v>
      </c>
      <c r="DL228" s="14">
        <f ca="1">SUM(DG228,DH228,DI228)</f>
        <v>103.125</v>
      </c>
      <c r="DM228" s="14">
        <f>SUM(EV228*0.0045)/2</f>
        <v>90</v>
      </c>
      <c r="DN228" s="14">
        <f>0</f>
        <v>0</v>
      </c>
      <c r="DO228" s="14">
        <f>0</f>
        <v>0</v>
      </c>
      <c r="DP228" s="17">
        <f>SUM((DM228+DN228)*0.00833333333333333)</f>
        <v>0.74999999999999967</v>
      </c>
      <c r="DQ228" s="23">
        <f ca="1">MONTH(TODAY())+7</f>
        <v>11</v>
      </c>
      <c r="DR228" s="23">
        <f>SUM(DM228,DN228,DO228)</f>
        <v>90</v>
      </c>
      <c r="DS228" s="14">
        <f>0</f>
        <v>0</v>
      </c>
      <c r="DT228" s="14">
        <f>0</f>
        <v>0</v>
      </c>
      <c r="DU228" s="14">
        <f ca="1">SUM(DV228*DW228)</f>
        <v>0</v>
      </c>
      <c r="DV228" s="17">
        <f>SUM((DS228+DT228)*0.00833333333333333)</f>
        <v>0</v>
      </c>
      <c r="DW228" s="23">
        <f ca="1">MONTH(TODAY())+1</f>
        <v>5</v>
      </c>
      <c r="DX228" s="14">
        <f ca="1">SUM(DS228,DT228,DU228)</f>
        <v>0</v>
      </c>
      <c r="DY228" s="14">
        <f>SUM( BQ228, BW228, CC228, CI228, CO228,CU228,DA228,DG228,DM228,DS228)</f>
        <v>561.20000000000005</v>
      </c>
      <c r="DZ228" s="14">
        <f>SUM(BR228,BX228,CD228,CJ228, CP228,CV228,DB228,DH228,DN228,DT228)</f>
        <v>47.120000000000005</v>
      </c>
      <c r="EA228" s="14">
        <f ca="1">SUM(BS228,BY228,CE228,CK228, CQ228,CW228,DC228,DI228,DO228,DU228)</f>
        <v>77.263999999999953</v>
      </c>
      <c r="EB228" s="25">
        <f ca="1">SUM(DY228:EA228)</f>
        <v>685.58400000000006</v>
      </c>
      <c r="EC228" s="47">
        <f ca="1">SUM(EB228/ES228)</f>
        <v>2.4485142857142858E-2</v>
      </c>
      <c r="ED228" s="14">
        <f>40+10+100</f>
        <v>150</v>
      </c>
      <c r="EE228" s="32">
        <f>COUNTIF(AO228, "*")+COUNTIF(AJ228, "*")+COUNTIF(AA228, "*")+COUNTIF(FG228, "*")+COUNTIF(FM228, "*")+COUNTIF(FS228, "*")+COUNTIF(FW228, "*")+COUNTIF(GD228, "*")+COUNTIF(AT228, "*")+COUNTIF(GM228, "*")+COUNTIF(GX228, "*")+COUNTIF(HI228, "*")+COUNTIF(HQ228, "*")+COUNTIF(HY228, "*")+COUNTIF(IG228, "*")</f>
        <v>4</v>
      </c>
      <c r="EF228" s="14">
        <f>EE228*0.64+EE228*8</f>
        <v>34.56</v>
      </c>
      <c r="EG228" s="4">
        <v>125</v>
      </c>
      <c r="EH228" s="4">
        <v>27.96</v>
      </c>
      <c r="EI228" s="4"/>
      <c r="EJ228" s="4"/>
      <c r="EL228" s="4"/>
      <c r="EM228" s="14">
        <f>SUM(EH228:EL228)</f>
        <v>27.96</v>
      </c>
      <c r="EN228" s="14">
        <f ca="1">SUM(EB228,ED228,EM228, EG228, EF228,GJ228)</f>
        <v>1023.104</v>
      </c>
      <c r="EO228" s="24" t="s">
        <v>4944</v>
      </c>
      <c r="EP228" s="130">
        <v>0.85</v>
      </c>
      <c r="EQ228" s="14">
        <v>28000</v>
      </c>
      <c r="ER228" s="14">
        <v>0</v>
      </c>
      <c r="ES228" s="14">
        <f>SUM(EQ228+ER228)</f>
        <v>28000</v>
      </c>
      <c r="ET228" s="14">
        <v>40000</v>
      </c>
      <c r="EU228" s="14">
        <v>0</v>
      </c>
      <c r="EV228" s="14">
        <f>SUM(ET228+EU228)</f>
        <v>40000</v>
      </c>
      <c r="EW228" s="10" t="s">
        <v>5327</v>
      </c>
      <c r="EX228" s="10" t="s">
        <v>5328</v>
      </c>
      <c r="EY228" s="10" t="s">
        <v>5329</v>
      </c>
      <c r="EZ228" s="10"/>
      <c r="FA228" s="10"/>
      <c r="FB228" s="10"/>
      <c r="FC228" s="10"/>
      <c r="FD228" s="10"/>
      <c r="FE228" t="s">
        <v>5188</v>
      </c>
      <c r="FG228" t="s">
        <v>5326</v>
      </c>
      <c r="FH228" s="1"/>
      <c r="FI228" t="s">
        <v>5190</v>
      </c>
      <c r="FJ228" t="s">
        <v>5191</v>
      </c>
      <c r="GJ228" s="4"/>
      <c r="IK228" s="9"/>
      <c r="IV228" s="4"/>
      <c r="IW228" s="4"/>
      <c r="IX228" s="4"/>
      <c r="IY228" s="9"/>
      <c r="IZ228" s="9"/>
      <c r="JA228" s="9"/>
      <c r="JB228" s="9"/>
      <c r="JC228" s="9"/>
    </row>
    <row r="229" spans="1:263" ht="15" customHeight="1">
      <c r="A229" s="19">
        <v>102019003</v>
      </c>
      <c r="B229" s="14" t="s">
        <v>509</v>
      </c>
      <c r="C229" s="20"/>
      <c r="D229" s="20"/>
      <c r="E229" s="20"/>
      <c r="F229" s="24"/>
      <c r="G229" s="19"/>
      <c r="H229" s="18"/>
      <c r="I229" s="18"/>
      <c r="J229" s="18" t="s">
        <v>510</v>
      </c>
      <c r="K229" s="18" t="s">
        <v>511</v>
      </c>
      <c r="L229" s="18" t="s">
        <v>512</v>
      </c>
      <c r="M229" s="18" t="s">
        <v>396</v>
      </c>
      <c r="N229" s="18"/>
      <c r="O229" s="13"/>
      <c r="P229" s="18"/>
      <c r="Q229" s="18"/>
      <c r="R229" s="18"/>
      <c r="S229" s="18"/>
      <c r="T229" s="13"/>
      <c r="U229" s="18"/>
      <c r="V229" s="18"/>
      <c r="W229" s="18"/>
      <c r="X229" s="18"/>
      <c r="Y229" s="18"/>
      <c r="Z229" s="18"/>
      <c r="AA229" s="18"/>
      <c r="AB229" s="18"/>
      <c r="AC229" s="18"/>
      <c r="AD229" s="18"/>
      <c r="AE229" s="18"/>
      <c r="AF229" s="18"/>
      <c r="AG229" s="231"/>
      <c r="AH229" s="18"/>
      <c r="AI229" s="18"/>
      <c r="AJ229" s="14"/>
      <c r="AK229" s="14"/>
      <c r="AL229" s="18"/>
      <c r="AM229" s="24"/>
      <c r="AN229" s="24"/>
      <c r="AO229" s="14"/>
      <c r="AP229" s="20"/>
      <c r="AQ229" s="24"/>
      <c r="AR229" s="24"/>
      <c r="AS229" s="20"/>
      <c r="AT229" s="20"/>
      <c r="AU229" s="13"/>
      <c r="AV229" s="13"/>
      <c r="AW229" s="13"/>
      <c r="AX229" s="19"/>
      <c r="AY229" s="19"/>
      <c r="AZ229" s="48"/>
      <c r="BA229" s="19"/>
      <c r="BB229" s="19"/>
      <c r="BC229" s="19"/>
      <c r="BD229" s="19"/>
      <c r="BE229" s="19"/>
      <c r="BF229" s="19"/>
      <c r="BG229" s="20"/>
      <c r="BH229" s="22"/>
      <c r="BI229" s="22"/>
      <c r="BJ229" s="14"/>
      <c r="BK229" s="14"/>
      <c r="BL229" s="14"/>
      <c r="BM229" s="17"/>
      <c r="BN229" s="23"/>
      <c r="BO229" s="14"/>
      <c r="BP229" s="14"/>
      <c r="BQ229" s="14"/>
      <c r="BR229" s="14"/>
      <c r="BS229" s="17"/>
      <c r="BT229" s="23"/>
      <c r="BU229" s="14"/>
      <c r="BV229" s="14"/>
      <c r="BW229" s="14"/>
      <c r="BX229" s="14"/>
      <c r="BY229" s="17"/>
      <c r="BZ229" s="23"/>
      <c r="CA229" s="14"/>
      <c r="CB229" s="14"/>
      <c r="CC229" s="14"/>
      <c r="CD229" s="14"/>
      <c r="CE229" s="17"/>
      <c r="CF229" s="23"/>
      <c r="CG229" s="14"/>
      <c r="CH229" s="14"/>
      <c r="CI229" s="14"/>
      <c r="CJ229" s="14"/>
      <c r="CK229" s="17"/>
      <c r="CL229" s="23"/>
      <c r="CM229" s="14"/>
      <c r="CN229" s="14"/>
      <c r="CO229" s="14"/>
      <c r="CP229" s="14"/>
      <c r="CQ229" s="17"/>
      <c r="CR229" s="23"/>
      <c r="CS229" s="14"/>
      <c r="CT229" s="14"/>
      <c r="CU229" s="14"/>
      <c r="CV229" s="14"/>
      <c r="CW229" s="17"/>
      <c r="CX229" s="23"/>
      <c r="CY229" s="14"/>
      <c r="CZ229" s="14"/>
      <c r="DA229" s="14"/>
      <c r="DB229" s="14"/>
      <c r="DC229" s="14"/>
      <c r="DD229" s="14"/>
      <c r="DE229" s="47"/>
      <c r="DF229" s="24"/>
      <c r="DG229" s="14"/>
      <c r="DH229" s="32"/>
      <c r="DI229" s="14"/>
      <c r="DJ229" s="14"/>
      <c r="DK229" s="14"/>
      <c r="DL229" s="14"/>
      <c r="DM229" s="14"/>
      <c r="DN229" s="14"/>
      <c r="DO229" s="23"/>
      <c r="DP229" s="25"/>
      <c r="DQ229" s="14"/>
      <c r="DR229" s="25"/>
      <c r="DS229" s="25"/>
      <c r="DT229" s="25"/>
      <c r="DU229" s="36"/>
      <c r="DV229" s="18"/>
      <c r="DW229" s="18"/>
      <c r="DX229" s="18"/>
      <c r="DY229" s="18"/>
      <c r="DZ229" s="18"/>
      <c r="EA229" s="18"/>
      <c r="EB229" s="18"/>
      <c r="EC229" s="18"/>
      <c r="ED229" s="30"/>
      <c r="EE229" s="18"/>
      <c r="EF229" s="18"/>
      <c r="EG229" s="18"/>
      <c r="EH229" s="18"/>
      <c r="EI229" s="18"/>
      <c r="EJ229" s="30"/>
      <c r="EK229" s="30"/>
      <c r="EL229" s="14"/>
      <c r="EM229" s="14"/>
      <c r="EN229" s="14"/>
      <c r="EO229" s="14"/>
      <c r="EP229" s="14"/>
      <c r="EQ229" s="18"/>
      <c r="ER229" s="14"/>
      <c r="ES229" s="14"/>
      <c r="ET229" s="14"/>
      <c r="EU229" s="14"/>
      <c r="EV229" s="14"/>
      <c r="EW229" s="14"/>
      <c r="EX229" s="14"/>
      <c r="EY229" s="14"/>
      <c r="EZ229" s="14"/>
      <c r="FA229" s="18"/>
      <c r="FB229" s="18"/>
      <c r="FC229" s="18"/>
      <c r="FD229" s="27"/>
      <c r="FE229" s="18"/>
      <c r="FF229" s="18"/>
      <c r="FG229" s="18"/>
      <c r="FH229" s="18"/>
      <c r="FI229" s="18"/>
      <c r="FJ229" s="18"/>
      <c r="FK229" s="18"/>
      <c r="FL229" s="18"/>
      <c r="FM229" s="27"/>
      <c r="FN229" s="18"/>
      <c r="FO229" s="18"/>
      <c r="FP229" s="18"/>
      <c r="FQ229" s="18"/>
      <c r="FR229" s="18"/>
      <c r="FS229" s="14"/>
      <c r="FT229" s="18"/>
      <c r="FU229" s="18"/>
      <c r="FV229" s="18"/>
      <c r="FW229" s="18"/>
      <c r="FX229" s="28"/>
      <c r="FY229" s="18"/>
      <c r="FZ229" s="18"/>
      <c r="GA229" s="18"/>
      <c r="GB229" s="18"/>
      <c r="GC229" s="18"/>
      <c r="GD229" s="18"/>
      <c r="GE229" s="18"/>
      <c r="GF229" s="18"/>
      <c r="GG229" s="18"/>
      <c r="GH229" s="28"/>
      <c r="GI229" s="18"/>
      <c r="GJ229" s="18"/>
      <c r="GK229" s="18"/>
      <c r="GL229" s="18"/>
      <c r="GM229" s="18"/>
      <c r="GN229" s="18"/>
      <c r="GO229" s="18"/>
      <c r="GP229" s="18"/>
      <c r="GQ229" s="18"/>
      <c r="GR229" s="18"/>
      <c r="GS229" s="18"/>
      <c r="GT229" s="18"/>
      <c r="GU229" s="18"/>
      <c r="GV229" s="18"/>
      <c r="GW229" s="27"/>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27"/>
      <c r="IE229" s="14"/>
      <c r="IF229" s="14"/>
      <c r="IG229" s="27"/>
      <c r="IH229" s="18"/>
      <c r="II229" s="18"/>
      <c r="IJ229" s="18"/>
      <c r="IK229" s="18"/>
      <c r="IL229" s="9"/>
      <c r="IN229" t="s">
        <v>1375</v>
      </c>
      <c r="IO229" t="s">
        <v>1376</v>
      </c>
      <c r="IP229" t="s">
        <v>329</v>
      </c>
      <c r="IS229" s="4">
        <v>163</v>
      </c>
      <c r="IT229" s="4"/>
    </row>
    <row r="230" spans="1:263" ht="15" customHeight="1">
      <c r="A230" s="2">
        <v>102017105</v>
      </c>
      <c r="B230" t="s">
        <v>1077</v>
      </c>
      <c r="J230" t="s">
        <v>305</v>
      </c>
      <c r="K230" t="s">
        <v>1078</v>
      </c>
      <c r="L230" t="s">
        <v>1079</v>
      </c>
      <c r="M230" t="s">
        <v>401</v>
      </c>
      <c r="N230" t="s">
        <v>341</v>
      </c>
      <c r="O230" s="1"/>
      <c r="T230" s="1"/>
      <c r="AF230" s="1"/>
      <c r="AJ230" s="4"/>
      <c r="AK230" s="4"/>
      <c r="AL230" s="14"/>
      <c r="AM230" s="34"/>
      <c r="AO230" s="4"/>
      <c r="AP230" s="13"/>
      <c r="AQ230" s="34"/>
      <c r="AR230" s="34"/>
      <c r="AS230" s="5"/>
      <c r="AT230" s="13"/>
      <c r="AU230" s="1"/>
      <c r="AV230" s="1"/>
      <c r="AW230" s="1"/>
      <c r="AX230" s="1"/>
      <c r="AY230" s="1"/>
      <c r="AZ230" s="1"/>
      <c r="BA230" s="1"/>
      <c r="BB230" s="1"/>
      <c r="BC230" s="1"/>
      <c r="BD230" s="1"/>
      <c r="BE230" s="1"/>
      <c r="BF230" s="1"/>
      <c r="BG230" s="5"/>
      <c r="BH230" s="16"/>
      <c r="BI230" s="16"/>
      <c r="BJ230" s="4"/>
      <c r="BK230" s="4"/>
      <c r="BL230" s="4"/>
      <c r="BM230" s="6"/>
      <c r="BN230" s="7"/>
      <c r="BO230" s="4"/>
      <c r="BQ230" s="4"/>
      <c r="BR230" s="4"/>
      <c r="BS230" s="6"/>
      <c r="BT230" s="7"/>
      <c r="BU230" s="4"/>
      <c r="BV230" s="4"/>
      <c r="BW230" s="4"/>
      <c r="BX230" s="4"/>
      <c r="BY230" s="6"/>
      <c r="BZ230" s="7"/>
      <c r="CA230" s="4"/>
      <c r="CB230" s="4"/>
      <c r="CC230" s="4"/>
      <c r="CD230" s="4"/>
      <c r="CE230" s="6"/>
      <c r="CF230" s="7"/>
      <c r="CG230" s="4"/>
      <c r="CH230" s="4"/>
      <c r="CI230" s="4"/>
      <c r="CJ230" s="4"/>
      <c r="CK230" s="6"/>
      <c r="CL230" s="7"/>
      <c r="CM230" s="4"/>
      <c r="CN230" s="4"/>
      <c r="CO230" s="4"/>
      <c r="CP230" s="4"/>
      <c r="CQ230" s="6"/>
      <c r="CR230" s="7"/>
      <c r="CS230" s="4"/>
      <c r="CT230" s="4"/>
      <c r="CU230" s="4"/>
      <c r="CV230" s="4"/>
      <c r="CW230" s="6"/>
      <c r="CX230" s="7"/>
      <c r="CY230" s="4"/>
      <c r="CZ230" s="4"/>
      <c r="DA230" s="4"/>
      <c r="DB230" s="4"/>
      <c r="DC230" s="6"/>
      <c r="DD230" s="7"/>
      <c r="DE230" s="4"/>
      <c r="DF230" s="4"/>
      <c r="DG230" s="14"/>
      <c r="DH230" s="14"/>
      <c r="DI230" s="4"/>
      <c r="DJ230" s="3"/>
      <c r="DK230" s="4"/>
      <c r="DL230" s="234"/>
      <c r="DM230" s="4"/>
      <c r="DN230" s="4"/>
      <c r="DO230" s="4"/>
      <c r="DP230" s="4"/>
      <c r="DQ230" s="4"/>
      <c r="DR230" s="4"/>
      <c r="DS230" s="4"/>
      <c r="DT230" s="8"/>
      <c r="DU230" s="4"/>
      <c r="DV230" s="8"/>
      <c r="DW230" s="4"/>
      <c r="DX230" s="4"/>
      <c r="DY230" s="7"/>
      <c r="FH230" s="9"/>
      <c r="FI230" s="10"/>
      <c r="FP230" s="10"/>
      <c r="FQ230" s="9"/>
      <c r="GC230" s="9"/>
      <c r="IQ230" s="4"/>
      <c r="IZ230" s="18"/>
      <c r="JA230" s="18"/>
      <c r="JB230" s="18"/>
      <c r="JC230" s="18"/>
    </row>
    <row r="231" spans="1:263" ht="15" customHeight="1">
      <c r="A231" s="19">
        <v>102022218</v>
      </c>
      <c r="B231" t="s">
        <v>2930</v>
      </c>
      <c r="D231" s="1"/>
      <c r="E231" s="3" t="s">
        <v>3889</v>
      </c>
      <c r="F231">
        <v>220004196</v>
      </c>
      <c r="G231" s="3"/>
      <c r="J231" t="s">
        <v>434</v>
      </c>
      <c r="K231" t="s">
        <v>3788</v>
      </c>
      <c r="L231" t="s">
        <v>3787</v>
      </c>
      <c r="M231" t="s">
        <v>598</v>
      </c>
      <c r="O231" s="3"/>
      <c r="P231" t="s">
        <v>1185</v>
      </c>
      <c r="Q231" t="s">
        <v>3789</v>
      </c>
      <c r="R231" t="s">
        <v>1078</v>
      </c>
      <c r="T231" t="s">
        <v>258</v>
      </c>
      <c r="AG231" s="43"/>
      <c r="AJ231" t="s">
        <v>3302</v>
      </c>
      <c r="AK231" t="s">
        <v>258</v>
      </c>
      <c r="AL231" t="s">
        <v>290</v>
      </c>
      <c r="AM231" t="s">
        <v>260</v>
      </c>
      <c r="AN231"/>
      <c r="AO231" t="s">
        <v>3301</v>
      </c>
      <c r="AP231" s="3" t="s">
        <v>258</v>
      </c>
      <c r="AQ231" t="s">
        <v>300</v>
      </c>
      <c r="AR231" t="s">
        <v>301</v>
      </c>
      <c r="AX231" s="1" t="s">
        <v>258</v>
      </c>
      <c r="AY231" s="1" t="s">
        <v>258</v>
      </c>
      <c r="AZ231" s="1"/>
      <c r="BA231" s="1" t="s">
        <v>258</v>
      </c>
      <c r="BB231" s="1" t="s">
        <v>258</v>
      </c>
      <c r="BC231" s="48">
        <v>44728</v>
      </c>
      <c r="BD231" s="115">
        <v>44696</v>
      </c>
      <c r="BE231" s="115">
        <v>44659</v>
      </c>
      <c r="BF231" s="70">
        <v>44799</v>
      </c>
      <c r="BG231" s="2" t="s">
        <v>318</v>
      </c>
      <c r="BH231" s="48">
        <v>44785</v>
      </c>
      <c r="BI231" s="48">
        <v>44792</v>
      </c>
      <c r="BJ231" s="21">
        <v>45163</v>
      </c>
      <c r="BK231" s="19" t="s">
        <v>319</v>
      </c>
      <c r="BL231" s="20">
        <f ca="1">SUM(EB231)+220</f>
        <v>5749.2532333333329</v>
      </c>
      <c r="BM231" s="22">
        <f ca="1">PMT(10%/12,12,BL231,0,0)</f>
        <v>-505.4506989185013</v>
      </c>
      <c r="BN231" s="22">
        <f ca="1">SUM(BM231*-1)</f>
        <v>505.4506989185013</v>
      </c>
      <c r="BO231" s="14">
        <f>SUM(EJ231*0.0052)/12</f>
        <v>19.37</v>
      </c>
      <c r="BP231" s="22">
        <f ca="1">SUM(BN231+BO231)</f>
        <v>524.82069891850131</v>
      </c>
      <c r="BQ231" s="14"/>
      <c r="BR231" s="14">
        <f>SUM(BQ231*0.1)</f>
        <v>0</v>
      </c>
      <c r="BS231" s="14">
        <f ca="1">SUM(BT231*BU231)</f>
        <v>0</v>
      </c>
      <c r="BT231" s="17">
        <f>SUM((BQ231+BR231)*0.00833333333333333)</f>
        <v>0</v>
      </c>
      <c r="BU231" s="23">
        <f ca="1">MONTH(TODAY())+61</f>
        <v>65</v>
      </c>
      <c r="BV231" s="14">
        <f ca="1">SUM(BQ231,BR231,BS231)</f>
        <v>0</v>
      </c>
      <c r="BW231" s="14"/>
      <c r="BX231" s="14">
        <f>SUM(BW231*0.1)</f>
        <v>0</v>
      </c>
      <c r="BY231" s="14">
        <f ca="1">SUM(BZ231*CA231)</f>
        <v>0</v>
      </c>
      <c r="BZ231" s="17">
        <f>SUM((BW231+BX231)*0.00833333333333333)</f>
        <v>0</v>
      </c>
      <c r="CA231" s="23">
        <f ca="1">MONTH(TODAY())+49</f>
        <v>53</v>
      </c>
      <c r="CB231" s="14">
        <f ca="1">SUM(BW231,BX231,BY231)</f>
        <v>0</v>
      </c>
      <c r="CC231" s="14">
        <f>SUM(EG231*0.0052)</f>
        <v>172.12</v>
      </c>
      <c r="CD231" s="14">
        <f>SUM(CC231*0.1)</f>
        <v>17.212</v>
      </c>
      <c r="CE231" s="14">
        <f ca="1">SUM(CF231*CG231)</f>
        <v>64.688433333333307</v>
      </c>
      <c r="CF231" s="17">
        <f>SUM((CC231+CD231)*0.00833333333333333)</f>
        <v>1.5777666666666659</v>
      </c>
      <c r="CG231" s="23">
        <f ca="1">MONTH(TODAY())+37</f>
        <v>41</v>
      </c>
      <c r="CH231" s="14">
        <f ca="1">SUM(CC231,CD231,CE231)</f>
        <v>254.0204333333333</v>
      </c>
      <c r="CI231" s="14">
        <f>SUM(EG231*0.0052)</f>
        <v>172.12</v>
      </c>
      <c r="CJ231" s="14">
        <f>SUM(CI231*0.1)</f>
        <v>17.212</v>
      </c>
      <c r="CK231" s="14">
        <f ca="1">SUM(CL231*CM231)</f>
        <v>45.755233333333308</v>
      </c>
      <c r="CL231" s="17">
        <f>SUM((CI231+CJ231)*0.00833333333333333)</f>
        <v>1.5777666666666659</v>
      </c>
      <c r="CM231" s="23">
        <f ca="1">MONTH(TODAY())+25</f>
        <v>29</v>
      </c>
      <c r="CN231" s="14">
        <f ca="1">SUM(CI231,CJ231,CK231)</f>
        <v>235.0872333333333</v>
      </c>
      <c r="CO231" s="14">
        <f>SUM(EG231*0.0052)/2</f>
        <v>86.06</v>
      </c>
      <c r="CP231" s="14">
        <f>SUM(CO231*0.1)</f>
        <v>8.6059999999999999</v>
      </c>
      <c r="CQ231" s="14">
        <f ca="1">SUM(CR231*CS231)</f>
        <v>16.566549999999992</v>
      </c>
      <c r="CR231" s="17">
        <f>SUM((CO231+CP231)*0.00833333333333333)</f>
        <v>0.78888333333333294</v>
      </c>
      <c r="CS231" s="23">
        <f ca="1">MONTH(TODAY())+17</f>
        <v>21</v>
      </c>
      <c r="CT231" s="23">
        <f ca="1">SUM(CO231,CP231,CQ231)</f>
        <v>111.23254999999999</v>
      </c>
      <c r="CU231" s="14">
        <f>SUM(EG231*0.0052)/2</f>
        <v>86.06</v>
      </c>
      <c r="CV231" s="14">
        <f>SUM(CU231*0.1)</f>
        <v>8.6059999999999999</v>
      </c>
      <c r="CW231" s="14">
        <f ca="1">SUM(CX231*CY231)</f>
        <v>13.41101666666666</v>
      </c>
      <c r="CX231" s="17">
        <f>SUM((CU231+CV231)*0.00833333333333333)</f>
        <v>0.78888333333333294</v>
      </c>
      <c r="CY231" s="23">
        <f ca="1">MONTH(TODAY())+13</f>
        <v>17</v>
      </c>
      <c r="CZ231" s="23">
        <f ca="1">SUM(CU231,CV231,CW231)</f>
        <v>108.07701666666665</v>
      </c>
      <c r="DA231" s="14">
        <f>SUM(EJ231*0.0045)/2</f>
        <v>100.57499999999999</v>
      </c>
      <c r="DB231" s="14">
        <f>SUM(DA231*0.1)</f>
        <v>10.057499999999999</v>
      </c>
      <c r="DC231" s="14">
        <f ca="1">SUM(DD231*DE231)</f>
        <v>10.141312499999994</v>
      </c>
      <c r="DD231" s="17">
        <f>SUM((DA231+DB231)*0.00833333333333333)</f>
        <v>0.92193749999999952</v>
      </c>
      <c r="DE231" s="23">
        <f ca="1">MONTH(TODAY())+7</f>
        <v>11</v>
      </c>
      <c r="DF231" s="23">
        <f ca="1">SUM(DA231,DB231,DC231)</f>
        <v>120.77381249999999</v>
      </c>
      <c r="DG231" s="14">
        <f>SUM(EJ231*0.0045)/2</f>
        <v>100.57499999999999</v>
      </c>
      <c r="DH231" s="14">
        <f>SUM(DG231*0.1)</f>
        <v>10.057499999999999</v>
      </c>
      <c r="DI231" s="14">
        <f ca="1">SUM(DJ231*DK231)</f>
        <v>4.6096874999999979</v>
      </c>
      <c r="DJ231" s="17">
        <f>SUM((DG231+DH231)*0.00833333333333333)</f>
        <v>0.92193749999999952</v>
      </c>
      <c r="DK231" s="23">
        <f ca="1">MONTH(TODAY())+1</f>
        <v>5</v>
      </c>
      <c r="DL231" s="14">
        <f ca="1">SUM(DG231,DH231,DI231)</f>
        <v>115.24218749999999</v>
      </c>
      <c r="DM231" s="14">
        <f>SUM( BQ231, BW231, CC231, CI231, CO231,CU231,DA231,DG231)</f>
        <v>717.51</v>
      </c>
      <c r="DN231" s="14">
        <f>SUM(BR231,BX231,CD231,CJ231, CP231,CV231,DB231,DH231)</f>
        <v>71.751000000000005</v>
      </c>
      <c r="DO231" s="14">
        <f ca="1">SUM(BS231,BY231,CE231,CK231, CQ231,CW231,DC231,DI231)</f>
        <v>155.17223333333328</v>
      </c>
      <c r="DP231" s="25">
        <f ca="1">SUM(DM231:DO231)</f>
        <v>944.43323333333319</v>
      </c>
      <c r="DQ231" s="47">
        <f ca="1">SUM(DP231/EG231)</f>
        <v>2.8532726082578043E-2</v>
      </c>
      <c r="DR231" s="14">
        <f>1582+100+80+160+100+200</f>
        <v>2222</v>
      </c>
      <c r="DS231" s="32">
        <f>COUNTIF(DX231, "*")+COUNTIF(AO231, "*")+COUNTIF(AJ231, "*")+COUNTIF(AA231, "*")+COUNTIF(EU231, "*")+COUNTIF(FA231, "*")+COUNTIF(FG231, "*")+COUNTIF(FK231, "*")+COUNTIF(FR231, "*")+COUNTIF(AT231, "*")+COUNTIF(GA231, "*")+COUNTIF(GL231, "*")+COUNTIF(GW231, "*")+COUNTIF(HE231, "*")+COUNTIF(HM231, "*")+COUNTIF(HU231, "*")</f>
        <v>4</v>
      </c>
      <c r="DT231" s="14">
        <f>1.06+26.64+28+55.17</f>
        <v>110.87</v>
      </c>
      <c r="DU231" s="4">
        <f>250+150</f>
        <v>400</v>
      </c>
      <c r="DV231" s="4">
        <f>64.01+466.4+246.49</f>
        <v>776.9</v>
      </c>
      <c r="DW231" s="14">
        <f>93.75+265</f>
        <v>358.75</v>
      </c>
      <c r="DX231" s="4">
        <v>103.5</v>
      </c>
      <c r="DY231" s="14">
        <f>SUM(EE231*0.004)</f>
        <v>102.8</v>
      </c>
      <c r="DZ231" s="4">
        <v>510</v>
      </c>
      <c r="EA231" s="14">
        <f>SUM(DV231:DZ231)</f>
        <v>1851.95</v>
      </c>
      <c r="EB231" s="14">
        <f ca="1">SUM(DP231,DR231,EA231, DU231, DT231,FX231)</f>
        <v>5529.2532333333329</v>
      </c>
      <c r="EC231" s="24" t="s">
        <v>4920</v>
      </c>
      <c r="ED231" s="7">
        <v>1.1299999999999999</v>
      </c>
      <c r="EE231" s="4">
        <v>25700</v>
      </c>
      <c r="EF231" s="4">
        <v>7400</v>
      </c>
      <c r="EG231" s="14">
        <f>SUM(EE231+EF231)</f>
        <v>33100</v>
      </c>
      <c r="EH231" s="14">
        <v>35800</v>
      </c>
      <c r="EI231" s="14">
        <v>8900</v>
      </c>
      <c r="EJ231" s="14">
        <f>SUM(EH231+EI231)</f>
        <v>44700</v>
      </c>
      <c r="EK231" t="s">
        <v>3790</v>
      </c>
      <c r="EL231" t="s">
        <v>3791</v>
      </c>
      <c r="EM231" t="s">
        <v>3792</v>
      </c>
      <c r="ES231" t="s">
        <v>3784</v>
      </c>
      <c r="EU231" s="3" t="s">
        <v>3301</v>
      </c>
      <c r="EV231" s="3" t="s">
        <v>258</v>
      </c>
      <c r="EW231" t="s">
        <v>300</v>
      </c>
      <c r="EX231" t="s">
        <v>260</v>
      </c>
      <c r="EY231" t="s">
        <v>3785</v>
      </c>
      <c r="FA231" t="s">
        <v>3786</v>
      </c>
      <c r="FC231" t="s">
        <v>1331</v>
      </c>
      <c r="FD231" t="s">
        <v>301</v>
      </c>
      <c r="FX231" s="4"/>
      <c r="IA231" s="9">
        <v>45227</v>
      </c>
      <c r="II231" t="s">
        <v>2456</v>
      </c>
      <c r="IJ231" s="4">
        <v>1102.7</v>
      </c>
      <c r="IL231" s="14">
        <f ca="1">SUM(IB231-EB231-FX231-IJ231)</f>
        <v>-6631.9532333333327</v>
      </c>
      <c r="IM231" s="14"/>
      <c r="IN231" s="14"/>
      <c r="IO231" s="9">
        <v>45180</v>
      </c>
      <c r="IP231" s="9">
        <v>45216</v>
      </c>
      <c r="IQ231" s="9"/>
      <c r="IR231" s="9"/>
      <c r="IS231" s="9"/>
      <c r="IT231" s="18"/>
      <c r="IU231" s="18"/>
    </row>
    <row r="232" spans="1:263" ht="15" customHeight="1">
      <c r="A232" s="2">
        <v>102024037</v>
      </c>
      <c r="B232" t="s">
        <v>5079</v>
      </c>
      <c r="D232" s="1"/>
      <c r="E232" s="3"/>
      <c r="G232" s="3"/>
      <c r="J232" t="s">
        <v>434</v>
      </c>
      <c r="K232" t="s">
        <v>5182</v>
      </c>
      <c r="L232" t="s">
        <v>5183</v>
      </c>
      <c r="M232" t="s">
        <v>326</v>
      </c>
      <c r="O232" s="3"/>
      <c r="P232" t="s">
        <v>5185</v>
      </c>
      <c r="Q232" t="s">
        <v>5186</v>
      </c>
      <c r="AG232" s="43"/>
      <c r="AJ232" t="s">
        <v>5184</v>
      </c>
      <c r="AK232" s="1" t="s">
        <v>258</v>
      </c>
      <c r="AL232" t="s">
        <v>349</v>
      </c>
      <c r="AM232" t="s">
        <v>260</v>
      </c>
      <c r="AN232"/>
      <c r="AO232" t="s">
        <v>5187</v>
      </c>
      <c r="AP232" s="1" t="s">
        <v>258</v>
      </c>
      <c r="AQ232" t="s">
        <v>5255</v>
      </c>
      <c r="AR232"/>
      <c r="AS232" s="10"/>
      <c r="AT232" s="10"/>
      <c r="AU232" s="10"/>
      <c r="AV232" s="10"/>
      <c r="AW232" s="10"/>
      <c r="AX232" s="1"/>
      <c r="AY232" s="1"/>
      <c r="AZ232" s="1"/>
      <c r="BA232" s="1"/>
      <c r="BB232" s="1"/>
      <c r="BC232" s="2"/>
      <c r="BD232" s="115">
        <v>45382</v>
      </c>
      <c r="BE232" s="115">
        <v>45385</v>
      </c>
      <c r="BF232" s="2"/>
      <c r="BG232" s="2"/>
      <c r="BH232" s="2"/>
      <c r="BI232" s="2"/>
      <c r="BJ232" s="2"/>
      <c r="BK232" s="2"/>
      <c r="BL232" s="20">
        <f ca="1">SUM(EB232)+220</f>
        <v>4327.4160000000002</v>
      </c>
      <c r="BM232" s="22">
        <f ca="1">PMT(10%/12,12,BL232,0,0)</f>
        <v>-380.44861705333921</v>
      </c>
      <c r="BN232" s="22">
        <f ca="1">SUM(BM232*-1)</f>
        <v>380.44861705333921</v>
      </c>
      <c r="BO232" s="14">
        <f>SUM(EJ232*0.0052)/12</f>
        <v>100.36</v>
      </c>
      <c r="BP232" s="22">
        <f ca="1">SUM(BN232+BO232)</f>
        <v>480.80861705333922</v>
      </c>
      <c r="BQ232" s="14"/>
      <c r="BR232" s="14">
        <f>SUM(BQ232*0.1)</f>
        <v>0</v>
      </c>
      <c r="BS232" s="14">
        <f ca="1">SUM(BT232*BU232)</f>
        <v>0</v>
      </c>
      <c r="BT232" s="17">
        <f>SUM((BQ232+BR232)*0.00833333333333333)</f>
        <v>0</v>
      </c>
      <c r="BU232" s="23">
        <f ca="1">MONTH(TODAY())+61</f>
        <v>65</v>
      </c>
      <c r="BV232" s="14">
        <f ca="1">SUM(BQ232,BR232,BS232)</f>
        <v>0</v>
      </c>
      <c r="BW232" s="14"/>
      <c r="BX232" s="14">
        <f>SUM(BW232*0.1)</f>
        <v>0</v>
      </c>
      <c r="BY232" s="14">
        <f ca="1">SUM(BZ232*CA232)</f>
        <v>0</v>
      </c>
      <c r="BZ232" s="17">
        <f>SUM((BW232+BX232)*0.00833333333333333)</f>
        <v>0</v>
      </c>
      <c r="CA232" s="23">
        <f ca="1">MONTH(TODAY())+49</f>
        <v>53</v>
      </c>
      <c r="CB232" s="14">
        <f ca="1">SUM(BW232,BX232,BY232)</f>
        <v>0</v>
      </c>
      <c r="CC232" s="14">
        <v>0</v>
      </c>
      <c r="CD232" s="14">
        <f>SUM(CC232*0.1)</f>
        <v>0</v>
      </c>
      <c r="CE232" s="14">
        <f ca="1">SUM(CF232*CG232)</f>
        <v>0</v>
      </c>
      <c r="CF232" s="17">
        <f>SUM((CC232+CD232)*0.00833333333333333)</f>
        <v>0</v>
      </c>
      <c r="CG232" s="23">
        <f ca="1">MONTH(TODAY())+37</f>
        <v>41</v>
      </c>
      <c r="CH232" s="14">
        <f ca="1">SUM(CC232,CD232,CE232)</f>
        <v>0</v>
      </c>
      <c r="CI232" s="14">
        <f>SUM(EG232*0.0052)</f>
        <v>863.19999999999993</v>
      </c>
      <c r="CJ232" s="14">
        <f>SUM(CI232*0.1)</f>
        <v>86.32</v>
      </c>
      <c r="CK232" s="14">
        <f ca="1">SUM(CL232*CM232)</f>
        <v>229.46733333333322</v>
      </c>
      <c r="CL232" s="17">
        <f>SUM((CI232+CJ232)*0.00833333333333333)</f>
        <v>7.912666666666663</v>
      </c>
      <c r="CM232" s="23">
        <f ca="1">MONTH(TODAY())+25</f>
        <v>29</v>
      </c>
      <c r="CN232" s="14">
        <f ca="1">SUM(CI232,CJ232,CK232)</f>
        <v>1178.9873333333333</v>
      </c>
      <c r="CO232" s="14">
        <f>SUM(EG232*0.0052)/2</f>
        <v>431.59999999999997</v>
      </c>
      <c r="CP232" s="14">
        <f>SUM(CO232*0.1)</f>
        <v>43.16</v>
      </c>
      <c r="CQ232" s="14">
        <f ca="1">SUM(CR232*CS232)</f>
        <v>83.082999999999956</v>
      </c>
      <c r="CR232" s="17">
        <f>SUM((CO232+CP232)*0.00833333333333333)</f>
        <v>3.9563333333333315</v>
      </c>
      <c r="CS232" s="23">
        <f ca="1">MONTH(TODAY())+17</f>
        <v>21</v>
      </c>
      <c r="CT232" s="23">
        <f ca="1">SUM(CO232,CP232,CQ232)</f>
        <v>557.84299999999996</v>
      </c>
      <c r="CU232" s="14">
        <f>SUM(EG232*0.0052)/2</f>
        <v>431.59999999999997</v>
      </c>
      <c r="CV232" s="14">
        <f>SUM(CU232*0.1)</f>
        <v>43.16</v>
      </c>
      <c r="CW232" s="14">
        <f ca="1">SUM(CX232*CY232)</f>
        <v>67.257666666666637</v>
      </c>
      <c r="CX232" s="17">
        <f>SUM((CU232+CV232)*0.00833333333333333)</f>
        <v>3.9563333333333315</v>
      </c>
      <c r="CY232" s="23">
        <f ca="1">MONTH(TODAY())+13</f>
        <v>17</v>
      </c>
      <c r="CZ232" s="23">
        <f ca="1">SUM(CU232,CV232,CW232)</f>
        <v>542.01766666666663</v>
      </c>
      <c r="DA232" s="14">
        <f>SUM(EJ232*0.0045)/2</f>
        <v>521.09999999999991</v>
      </c>
      <c r="DB232" s="14">
        <f>SUM(DA232*0.1)</f>
        <v>52.109999999999992</v>
      </c>
      <c r="DC232" s="14">
        <f ca="1">SUM(DD232*DE232)</f>
        <v>52.54424999999997</v>
      </c>
      <c r="DD232" s="17">
        <f>SUM((DA232+DB232)*0.00833333333333333)</f>
        <v>4.7767499999999972</v>
      </c>
      <c r="DE232" s="23">
        <f ca="1">MONTH(TODAY())+7</f>
        <v>11</v>
      </c>
      <c r="DF232" s="23">
        <f ca="1">SUM(DA232,DB232,DC232)</f>
        <v>625.75424999999984</v>
      </c>
      <c r="DG232" s="14">
        <f>SUM(EJ232*0.0045)/2</f>
        <v>521.09999999999991</v>
      </c>
      <c r="DH232" s="14">
        <f>SUM(DG232*0.1)</f>
        <v>52.109999999999992</v>
      </c>
      <c r="DI232" s="14">
        <f ca="1">SUM(DJ232*DK232)</f>
        <v>23.883749999999985</v>
      </c>
      <c r="DJ232" s="17">
        <f>SUM((DG232+DH232)*0.00833333333333333)</f>
        <v>4.7767499999999972</v>
      </c>
      <c r="DK232" s="23">
        <f ca="1">MONTH(TODAY())+1</f>
        <v>5</v>
      </c>
      <c r="DL232" s="14">
        <f ca="1">SUM(DG232,DH232,DI232)</f>
        <v>597.09374999999989</v>
      </c>
      <c r="DM232" s="14">
        <f>SUM( BQ232, BW232, CC232, CI232, CO232,CU232,DA232,DG232)</f>
        <v>2768.6</v>
      </c>
      <c r="DN232" s="14">
        <f>SUM(BR232,BX232,CD232,CJ232, CP232,CV232,DB232,DH232)</f>
        <v>276.85999999999996</v>
      </c>
      <c r="DO232" s="14">
        <f ca="1">SUM(BS232,BY232,CE232,CK232, CQ232,CW232,DC232,DI232)</f>
        <v>456.23599999999976</v>
      </c>
      <c r="DP232" s="25">
        <f ca="1">SUM(DM232:DO232)</f>
        <v>3501.6959999999999</v>
      </c>
      <c r="DQ232" s="47">
        <f ca="1">SUM(DP232/EG232)</f>
        <v>2.109455421686747E-2</v>
      </c>
      <c r="DR232" s="14">
        <f>40+10+200</f>
        <v>250</v>
      </c>
      <c r="DS232" s="32">
        <f>COUNTIF(AO232, "*")+COUNTIF(AJ232, "*")+COUNTIF(AA232, "*")+COUNTIF(EU232, "*")+COUNTIF(FA232, "*")+COUNTIF(FG232, "*")+COUNTIF(FK232, "*")+COUNTIF(FR232, "*")+COUNTIF(AT232, "*")+COUNTIF(GA232, "*")+COUNTIF(GL232, "*")+COUNTIF(GW232, "*")+COUNTIF(HE232, "*")+COUNTIF(HM232, "*")+COUNTIF(HU232, "*")</f>
        <v>9</v>
      </c>
      <c r="DT232" s="14">
        <f>DS232*0.64+DS232*8</f>
        <v>77.760000000000005</v>
      </c>
      <c r="DU232" s="4">
        <v>250</v>
      </c>
      <c r="DV232" s="4">
        <v>27.96</v>
      </c>
      <c r="DW232" s="4"/>
      <c r="DX232" s="4"/>
      <c r="DZ232" s="4"/>
      <c r="EA232" s="14">
        <f>SUM(DV232:DZ232)</f>
        <v>27.96</v>
      </c>
      <c r="EB232" s="14">
        <f ca="1">SUM(DP232,DR232,EA232, DU232, DT232,FX232)</f>
        <v>4107.4160000000002</v>
      </c>
      <c r="EC232" s="24" t="s">
        <v>4944</v>
      </c>
      <c r="ED232" s="130">
        <v>1.57</v>
      </c>
      <c r="EE232" s="14">
        <v>26900</v>
      </c>
      <c r="EF232" s="14">
        <v>139100</v>
      </c>
      <c r="EG232" s="14">
        <f>SUM(EE232+EF232)</f>
        <v>166000</v>
      </c>
      <c r="EH232" s="14">
        <v>38400</v>
      </c>
      <c r="EI232" s="14">
        <v>193200</v>
      </c>
      <c r="EJ232" s="14">
        <f>SUM(EH232+EI232)</f>
        <v>231600</v>
      </c>
      <c r="EK232" s="10"/>
      <c r="EL232" s="10"/>
      <c r="EM232" s="10"/>
      <c r="EN232" s="10"/>
      <c r="EO232" s="10"/>
      <c r="EP232" s="10"/>
      <c r="EQ232" s="10"/>
      <c r="ER232" s="10"/>
      <c r="ES232" t="s">
        <v>5267</v>
      </c>
      <c r="EU232" t="s">
        <v>5268</v>
      </c>
      <c r="EW232" t="s">
        <v>1331</v>
      </c>
      <c r="EX232" t="s">
        <v>301</v>
      </c>
      <c r="EY232" t="s">
        <v>5269</v>
      </c>
      <c r="EZ232" t="s">
        <v>258</v>
      </c>
      <c r="FA232" t="s">
        <v>5270</v>
      </c>
      <c r="FC232" t="s">
        <v>349</v>
      </c>
      <c r="FD232" t="s">
        <v>260</v>
      </c>
      <c r="FE232" t="s">
        <v>5271</v>
      </c>
      <c r="FG232" t="s">
        <v>5272</v>
      </c>
      <c r="FH232" t="s">
        <v>279</v>
      </c>
      <c r="FI232" t="s">
        <v>268</v>
      </c>
      <c r="FJ232" t="s">
        <v>5273</v>
      </c>
      <c r="FK232" t="s">
        <v>5274</v>
      </c>
      <c r="FM232" t="s">
        <v>524</v>
      </c>
      <c r="FN232" t="s">
        <v>268</v>
      </c>
      <c r="FQ232" t="s">
        <v>5275</v>
      </c>
      <c r="FR232" t="s">
        <v>2228</v>
      </c>
      <c r="FX232" s="4"/>
      <c r="FY232" t="s">
        <v>5276</v>
      </c>
      <c r="FZ232" t="s">
        <v>790</v>
      </c>
      <c r="GA232" t="s">
        <v>824</v>
      </c>
      <c r="GC232" t="s">
        <v>290</v>
      </c>
      <c r="GD232" t="s">
        <v>260</v>
      </c>
      <c r="GE232" s="9">
        <v>44554</v>
      </c>
      <c r="GF232" t="s">
        <v>5277</v>
      </c>
      <c r="GJ232" t="s">
        <v>859</v>
      </c>
      <c r="GK232" t="s">
        <v>5278</v>
      </c>
      <c r="GL232" t="s">
        <v>866</v>
      </c>
      <c r="GN232" t="s">
        <v>543</v>
      </c>
      <c r="GO232" t="s">
        <v>544</v>
      </c>
      <c r="GP232" s="9">
        <v>42828</v>
      </c>
      <c r="GQ232" t="s">
        <v>5279</v>
      </c>
      <c r="HY232" s="9"/>
      <c r="IJ232" s="4"/>
      <c r="IK232" s="4"/>
      <c r="IL232" s="4"/>
      <c r="IM232" s="9"/>
      <c r="IN232" s="9"/>
      <c r="IO232" s="9"/>
      <c r="IP232" s="9"/>
      <c r="IQ232" s="9"/>
    </row>
    <row r="233" spans="1:263" ht="15" customHeight="1">
      <c r="A233" s="2">
        <v>102020067</v>
      </c>
      <c r="B233" t="s">
        <v>1718</v>
      </c>
      <c r="K233" t="s">
        <v>1717</v>
      </c>
      <c r="T233" s="1"/>
      <c r="AG233" s="248"/>
      <c r="AO233" s="4"/>
      <c r="AP233" s="5"/>
      <c r="AS233" s="5"/>
      <c r="AT233" s="5"/>
      <c r="AU233" s="1"/>
      <c r="AV233" s="1"/>
      <c r="AW233" s="1"/>
      <c r="AX233" s="15"/>
      <c r="AY233" s="15"/>
      <c r="AZ233" s="15"/>
      <c r="BA233" s="1"/>
      <c r="BB233" s="1"/>
      <c r="BC233" s="1"/>
      <c r="BD233" s="1"/>
      <c r="BE233" s="1"/>
      <c r="BF233" s="1"/>
      <c r="BG233" s="5"/>
      <c r="BH233" s="16"/>
      <c r="BI233" s="16"/>
      <c r="BJ233" s="4"/>
      <c r="BK233" s="4"/>
      <c r="BL233" s="4"/>
      <c r="BM233" s="6"/>
      <c r="BN233" s="7"/>
      <c r="BO233" s="4"/>
      <c r="BP233" s="4"/>
      <c r="BQ233" s="4"/>
      <c r="BR233" s="4"/>
      <c r="BS233" s="6"/>
      <c r="BT233" s="7"/>
      <c r="BU233" s="4"/>
      <c r="BV233" s="4"/>
      <c r="BW233" s="4"/>
      <c r="BX233" s="4"/>
      <c r="BY233" s="6"/>
      <c r="BZ233" s="7"/>
      <c r="CA233" s="4"/>
      <c r="CB233" s="4"/>
      <c r="CC233" s="4"/>
      <c r="CD233" s="4"/>
      <c r="CE233" s="6"/>
      <c r="CF233" s="7"/>
      <c r="CG233" s="4"/>
      <c r="CH233" s="4"/>
      <c r="CI233" s="4"/>
      <c r="CJ233" s="4"/>
      <c r="CK233" s="6"/>
      <c r="CL233" s="7"/>
      <c r="CM233" s="4"/>
      <c r="CN233" s="4"/>
      <c r="CO233" s="4"/>
      <c r="CP233" s="4"/>
      <c r="CQ233" s="6"/>
      <c r="CR233" s="7"/>
      <c r="CS233" s="4"/>
      <c r="CT233" s="4"/>
      <c r="CU233" s="4"/>
      <c r="CV233" s="4"/>
      <c r="CW233" s="6"/>
      <c r="CX233" s="7"/>
      <c r="CY233" s="4"/>
      <c r="CZ233" s="4"/>
      <c r="DA233" s="4"/>
      <c r="DB233" s="4"/>
      <c r="DC233" s="4"/>
      <c r="DD233" s="3"/>
      <c r="DE233" s="4"/>
      <c r="DF233" s="234"/>
      <c r="DG233" s="4"/>
      <c r="DH233" s="4"/>
      <c r="DI233" s="4"/>
      <c r="DJ233" s="4"/>
      <c r="DK233" s="4"/>
      <c r="DL233" s="4"/>
      <c r="DM233" s="7"/>
      <c r="DN233" s="8"/>
      <c r="DO233" s="4"/>
      <c r="DP233" s="8"/>
      <c r="DQ233" s="8"/>
      <c r="DR233" s="8"/>
      <c r="DS233" s="35"/>
      <c r="EB233" s="11"/>
      <c r="EH233" s="11"/>
      <c r="EI233" s="11"/>
      <c r="EJ233" s="4"/>
      <c r="EK233" s="4"/>
      <c r="EL233" s="4"/>
      <c r="EM233" s="4"/>
      <c r="EN233" s="4"/>
      <c r="EO233" s="4"/>
      <c r="EP233" s="4"/>
      <c r="EQ233" s="4"/>
      <c r="ER233" s="4"/>
      <c r="ES233" s="4"/>
      <c r="ET233" s="4"/>
      <c r="EU233" s="4"/>
      <c r="EV233" s="4"/>
      <c r="EW233" s="4"/>
      <c r="EX233" s="4"/>
      <c r="FB233" s="9"/>
      <c r="FK233" s="9"/>
      <c r="FQ233" s="4"/>
      <c r="FV233" s="10"/>
      <c r="FX233" s="9"/>
      <c r="GF233" s="10"/>
      <c r="GI233" s="9"/>
      <c r="GQ233" s="10"/>
      <c r="GT233" s="9"/>
      <c r="GU233" s="9"/>
      <c r="IC233" s="4"/>
      <c r="ID233" s="4"/>
      <c r="IE233" s="9"/>
      <c r="IL233" s="18"/>
      <c r="IM233" s="18"/>
      <c r="IN233" s="18"/>
      <c r="IO233" s="18"/>
      <c r="IX233" s="18"/>
      <c r="IY233" s="18"/>
    </row>
    <row r="234" spans="1:263" ht="15" customHeight="1">
      <c r="A234" s="2">
        <v>102024036</v>
      </c>
      <c r="B234" t="s">
        <v>5181</v>
      </c>
      <c r="D234" s="1"/>
      <c r="E234" s="3"/>
      <c r="G234" s="3"/>
      <c r="J234" t="s">
        <v>311</v>
      </c>
      <c r="K234" t="s">
        <v>5178</v>
      </c>
      <c r="L234" t="s">
        <v>5179</v>
      </c>
      <c r="M234" t="s">
        <v>392</v>
      </c>
      <c r="O234" s="3"/>
      <c r="AG234" s="43"/>
      <c r="AJ234" t="s">
        <v>328</v>
      </c>
      <c r="AK234" s="1"/>
      <c r="AL234" t="s">
        <v>290</v>
      </c>
      <c r="AM234"/>
      <c r="AN234"/>
      <c r="AO234" t="s">
        <v>5180</v>
      </c>
      <c r="AP234" s="1" t="s">
        <v>258</v>
      </c>
      <c r="AQ234" t="s">
        <v>290</v>
      </c>
      <c r="AR234" t="s">
        <v>260</v>
      </c>
      <c r="AS234" s="10"/>
      <c r="AT234" s="10"/>
      <c r="AU234" s="10"/>
      <c r="AV234" s="10"/>
      <c r="AW234" s="10"/>
      <c r="AX234" s="1"/>
      <c r="AY234" s="1"/>
      <c r="AZ234" s="1"/>
      <c r="BA234" s="1"/>
      <c r="BB234" s="1"/>
      <c r="BC234" s="2"/>
      <c r="BD234" s="115">
        <v>45382</v>
      </c>
      <c r="BE234" s="115">
        <v>45390</v>
      </c>
      <c r="BF234" s="2"/>
      <c r="BG234" s="2"/>
      <c r="BH234" s="2"/>
      <c r="BI234" s="2"/>
      <c r="BJ234" s="2"/>
      <c r="BK234" s="2"/>
      <c r="BL234" s="20">
        <f ca="1">SUM(EB234)+220</f>
        <v>1035.0018</v>
      </c>
      <c r="BM234" s="22">
        <f ca="1">PMT(10%/12,12,BL234,0,0)</f>
        <v>-90.993101531656947</v>
      </c>
      <c r="BN234" s="22">
        <f ca="1">SUM(BM234*-1)</f>
        <v>90.993101531656947</v>
      </c>
      <c r="BO234" s="14">
        <f>SUM(EJ234*0.0052)/12</f>
        <v>8.19</v>
      </c>
      <c r="BP234" s="22">
        <f ca="1">SUM(BN234+BO234)</f>
        <v>99.183101531656945</v>
      </c>
      <c r="BQ234" s="14"/>
      <c r="BR234" s="14">
        <f>SUM(BQ234*0.1)</f>
        <v>0</v>
      </c>
      <c r="BS234" s="14">
        <f ca="1">SUM(BT234*BU234)</f>
        <v>0</v>
      </c>
      <c r="BT234" s="17">
        <f>SUM((BQ234+BR234)*0.00833333333333333)</f>
        <v>0</v>
      </c>
      <c r="BU234" s="23">
        <f ca="1">MONTH(TODAY())+61</f>
        <v>65</v>
      </c>
      <c r="BV234" s="14">
        <f ca="1">SUM(BQ234,BR234,BS234)</f>
        <v>0</v>
      </c>
      <c r="BW234" s="14"/>
      <c r="BX234" s="14">
        <f>SUM(BW234*0.1)</f>
        <v>0</v>
      </c>
      <c r="BY234" s="14">
        <f ca="1">SUM(BZ234*CA234)</f>
        <v>0</v>
      </c>
      <c r="BZ234" s="17">
        <f>SUM((BW234+BX234)*0.00833333333333333)</f>
        <v>0</v>
      </c>
      <c r="CA234" s="23">
        <f ca="1">MONTH(TODAY())+49</f>
        <v>53</v>
      </c>
      <c r="CB234" s="14">
        <f ca="1">SUM(BW234,BX234,BY234)</f>
        <v>0</v>
      </c>
      <c r="CC234" s="14">
        <v>0</v>
      </c>
      <c r="CD234" s="14">
        <f>SUM(CC234*0.1)</f>
        <v>0</v>
      </c>
      <c r="CE234" s="14">
        <f ca="1">SUM(CF234*CG234)</f>
        <v>0</v>
      </c>
      <c r="CF234" s="17">
        <f>SUM((CC234+CD234)*0.00833333333333333)</f>
        <v>0</v>
      </c>
      <c r="CG234" s="23">
        <f ca="1">MONTH(TODAY())+37</f>
        <v>41</v>
      </c>
      <c r="CH234" s="14">
        <f ca="1">SUM(CC234,CD234,CE234)</f>
        <v>0</v>
      </c>
      <c r="CI234" s="14">
        <f>32.76</f>
        <v>32.76</v>
      </c>
      <c r="CJ234" s="14">
        <f>SUM(CI234*0.1)</f>
        <v>3.2759999999999998</v>
      </c>
      <c r="CK234" s="14">
        <f ca="1">SUM(CL234*CM234)</f>
        <v>8.7086999999999968</v>
      </c>
      <c r="CL234" s="17">
        <f>SUM((CI234+CJ234)*0.00833333333333333)</f>
        <v>0.3002999999999999</v>
      </c>
      <c r="CM234" s="23">
        <f ca="1">MONTH(TODAY())+25</f>
        <v>29</v>
      </c>
      <c r="CN234" s="14">
        <f ca="1">SUM(CI234,CJ234,CK234)</f>
        <v>44.744699999999995</v>
      </c>
      <c r="CO234" s="14">
        <f>SUM(EG234*0.0052)/2</f>
        <v>49.14</v>
      </c>
      <c r="CP234" s="14">
        <f>SUM(CO234*0.1)</f>
        <v>4.9140000000000006</v>
      </c>
      <c r="CQ234" s="14">
        <f ca="1">SUM(CR234*CS234)</f>
        <v>9.4594499999999968</v>
      </c>
      <c r="CR234" s="17">
        <f>SUM((CO234+CP234)*0.00833333333333333)</f>
        <v>0.45044999999999985</v>
      </c>
      <c r="CS234" s="23">
        <f ca="1">MONTH(TODAY())+17</f>
        <v>21</v>
      </c>
      <c r="CT234" s="23">
        <f ca="1">SUM(CO234,CP234,CQ234)</f>
        <v>63.513449999999999</v>
      </c>
      <c r="CU234" s="14">
        <f>SUM(EG234*0.0052)/2</f>
        <v>49.14</v>
      </c>
      <c r="CV234" s="14">
        <f>SUM(CU234*0.1)</f>
        <v>4.9140000000000006</v>
      </c>
      <c r="CW234" s="14">
        <f ca="1">SUM(CX234*CY234)</f>
        <v>7.6576499999999976</v>
      </c>
      <c r="CX234" s="17">
        <f>SUM((CU234+CV234)*0.00833333333333333)</f>
        <v>0.45044999999999985</v>
      </c>
      <c r="CY234" s="23">
        <f ca="1">MONTH(TODAY())+13</f>
        <v>17</v>
      </c>
      <c r="CZ234" s="23">
        <f ca="1">SUM(CU234,CV234,CW234)</f>
        <v>61.711649999999999</v>
      </c>
      <c r="DA234" s="14">
        <f>SUM(EJ234*0.0045)/2</f>
        <v>42.524999999999999</v>
      </c>
      <c r="DB234" s="14">
        <f>SUM(DA234*0.1)</f>
        <v>4.2525000000000004</v>
      </c>
      <c r="DC234" s="14">
        <f ca="1">SUM(DD234*DE234)</f>
        <v>4.2879374999999973</v>
      </c>
      <c r="DD234" s="17">
        <f>SUM((DA234+DB234)*0.00833333333333333)</f>
        <v>0.38981249999999978</v>
      </c>
      <c r="DE234" s="23">
        <f ca="1">MONTH(TODAY())+7</f>
        <v>11</v>
      </c>
      <c r="DF234" s="23">
        <f ca="1">SUM(DA234,DB234,DC234)</f>
        <v>51.065437499999994</v>
      </c>
      <c r="DG234" s="14">
        <f>SUM(EJ234*0.0045)/2</f>
        <v>42.524999999999999</v>
      </c>
      <c r="DH234" s="14">
        <f>SUM(DG234*0.1)</f>
        <v>4.2525000000000004</v>
      </c>
      <c r="DI234" s="14">
        <f ca="1">SUM(DJ234*DK234)</f>
        <v>1.9490624999999988</v>
      </c>
      <c r="DJ234" s="17">
        <f>SUM((DG234+DH234)*0.00833333333333333)</f>
        <v>0.38981249999999978</v>
      </c>
      <c r="DK234" s="23">
        <f ca="1">MONTH(TODAY())+1</f>
        <v>5</v>
      </c>
      <c r="DL234" s="14">
        <f ca="1">SUM(DG234,DH234,DI234)</f>
        <v>48.726562499999993</v>
      </c>
      <c r="DM234" s="14">
        <f>SUM( BQ234, BW234, CC234, CI234, CO234,CU234,DA234,DG234)</f>
        <v>216.09000000000003</v>
      </c>
      <c r="DN234" s="14">
        <f>SUM(BR234,BX234,CD234,CJ234, CP234,CV234,DB234,DH234)</f>
        <v>21.609000000000005</v>
      </c>
      <c r="DO234" s="14">
        <f ca="1">SUM(BS234,BY234,CE234,CK234, CQ234,CW234,DC234,DI234)</f>
        <v>32.062799999999989</v>
      </c>
      <c r="DP234" s="25">
        <f ca="1">SUM(DM234:DO234)</f>
        <v>269.76180000000005</v>
      </c>
      <c r="DQ234" s="47">
        <f ca="1">SUM(DP234/EG234)</f>
        <v>1.4273111111111113E-2</v>
      </c>
      <c r="DR234" s="14">
        <f>40+10+200</f>
        <v>250</v>
      </c>
      <c r="DS234" s="32">
        <f>COUNTIF(AO234, "*")+COUNTIF(AJ234, "*")+COUNTIF(AA234, "*")+COUNTIF(EU234, "*")+COUNTIF(FA234, "*")+COUNTIF(FG234, "*")+COUNTIF(FK234, "*")+COUNTIF(FR234, "*")+COUNTIF(AT234, "*")+COUNTIF(GA234, "*")+COUNTIF(GL234, "*")+COUNTIF(GW234, "*")+COUNTIF(HE234, "*")+COUNTIF(HM234, "*")+COUNTIF(HU234, "*")</f>
        <v>2</v>
      </c>
      <c r="DT234" s="14">
        <f>DS234*0.64+DS234*8</f>
        <v>17.28</v>
      </c>
      <c r="DU234" s="4">
        <v>250</v>
      </c>
      <c r="DV234" s="4">
        <v>27.96</v>
      </c>
      <c r="DW234" s="4"/>
      <c r="DX234" s="4"/>
      <c r="DZ234" s="4"/>
      <c r="EA234" s="14">
        <f>SUM(DV234:DZ234)</f>
        <v>27.96</v>
      </c>
      <c r="EB234" s="14">
        <f ca="1">SUM(DP234,DR234,EA234, DU234, DT234,FX234)</f>
        <v>815.0018</v>
      </c>
      <c r="EC234" s="24" t="s">
        <v>4944</v>
      </c>
      <c r="ED234" s="130">
        <f>0.13+0.14+0.13</f>
        <v>0.4</v>
      </c>
      <c r="EE234" s="14">
        <f>6300+6300+6300</f>
        <v>18900</v>
      </c>
      <c r="EF234" s="14">
        <v>0</v>
      </c>
      <c r="EG234" s="14">
        <f>SUM(EE234+EF234)</f>
        <v>18900</v>
      </c>
      <c r="EH234" s="14">
        <f>6300+6300+6300</f>
        <v>18900</v>
      </c>
      <c r="EI234" s="14">
        <v>0</v>
      </c>
      <c r="EJ234" s="14">
        <f>SUM(EH234+EI234)</f>
        <v>18900</v>
      </c>
      <c r="EK234" s="10" t="s">
        <v>5334</v>
      </c>
      <c r="EL234" s="10" t="s">
        <v>5335</v>
      </c>
      <c r="EM234" s="10"/>
      <c r="EN234" s="10"/>
      <c r="EO234" s="10"/>
      <c r="EP234" s="10"/>
      <c r="EQ234" s="10"/>
      <c r="ER234" s="10"/>
      <c r="FX234" s="4"/>
      <c r="HY234" s="9"/>
      <c r="IJ234" s="4"/>
      <c r="IK234" s="4"/>
      <c r="IL234" s="4"/>
      <c r="IM234" s="9"/>
      <c r="IN234" s="9"/>
      <c r="IO234" s="9"/>
      <c r="IP234" s="9"/>
      <c r="IQ234" s="9"/>
    </row>
    <row r="235" spans="1:263" ht="15" customHeight="1">
      <c r="A235" s="2">
        <v>102024080</v>
      </c>
      <c r="B235" t="s">
        <v>5376</v>
      </c>
      <c r="D235" s="1"/>
      <c r="E235" s="3"/>
      <c r="G235" s="3"/>
      <c r="J235" t="s">
        <v>311</v>
      </c>
      <c r="K235" s="18" t="s">
        <v>972</v>
      </c>
      <c r="L235" s="18" t="s">
        <v>850</v>
      </c>
      <c r="M235" t="s">
        <v>5377</v>
      </c>
      <c r="O235" s="3"/>
      <c r="AD235" t="s">
        <v>5617</v>
      </c>
      <c r="AE235" t="s">
        <v>311</v>
      </c>
      <c r="AF235" t="s">
        <v>5618</v>
      </c>
      <c r="AG235" s="43" t="s">
        <v>5619</v>
      </c>
      <c r="AH235" t="s">
        <v>5620</v>
      </c>
      <c r="AJ235" s="18" t="s">
        <v>328</v>
      </c>
      <c r="AK235" s="1"/>
      <c r="AL235" t="s">
        <v>290</v>
      </c>
      <c r="AM235"/>
      <c r="AN235"/>
      <c r="AO235" t="s">
        <v>5378</v>
      </c>
      <c r="AP235" s="1" t="s">
        <v>258</v>
      </c>
      <c r="AQ235" t="s">
        <v>290</v>
      </c>
      <c r="AR235" t="s">
        <v>260</v>
      </c>
      <c r="AS235" s="10"/>
      <c r="AT235" s="10"/>
      <c r="AU235" s="10"/>
      <c r="AV235" s="10"/>
      <c r="AW235" s="1"/>
      <c r="AY235" s="1"/>
      <c r="AZ235" s="1"/>
      <c r="BA235" s="1"/>
      <c r="BB235" s="1"/>
      <c r="BC235" s="2"/>
      <c r="BD235" s="115">
        <v>45408</v>
      </c>
      <c r="BE235" s="115"/>
      <c r="BF235" s="2"/>
      <c r="BG235" s="2"/>
      <c r="BH235" s="2"/>
      <c r="BI235" s="2"/>
      <c r="BJ235" s="2"/>
      <c r="BK235" s="2"/>
      <c r="BL235" s="20">
        <f ca="1">SUM(EN235)+220</f>
        <v>1376.1905333333332</v>
      </c>
      <c r="BM235" s="22">
        <f ca="1">PMT(10%/12,12,BL235,0,0)</f>
        <v>-120.98901173554009</v>
      </c>
      <c r="BN235" s="22">
        <f ca="1">SUM(BM235*-1)</f>
        <v>120.98901173554009</v>
      </c>
      <c r="BO235" s="14">
        <f>SUM(EV235*0.0052)/12</f>
        <v>38.523333333333333</v>
      </c>
      <c r="BP235" s="22">
        <f ca="1">SUM(BN235+BO235)</f>
        <v>159.51234506887343</v>
      </c>
      <c r="BQ235" s="14"/>
      <c r="BR235" s="14">
        <f>SUM(BQ235*0.1)</f>
        <v>0</v>
      </c>
      <c r="BS235" s="14">
        <f ca="1">SUM(BT235*BU235)</f>
        <v>0</v>
      </c>
      <c r="BT235" s="17">
        <f>SUM((BQ235+BR235)*0.00833333333333333)</f>
        <v>0</v>
      </c>
      <c r="BU235" s="23">
        <f ca="1">MONTH(TODAY())+61</f>
        <v>65</v>
      </c>
      <c r="BV235" s="14">
        <f ca="1">SUM(BQ235,BR235,BS235)</f>
        <v>0</v>
      </c>
      <c r="BW235" s="14"/>
      <c r="BX235" s="14">
        <f>SUM(BW235*0.1)</f>
        <v>0</v>
      </c>
      <c r="BY235" s="14">
        <f ca="1">SUM(BZ235*CA235)</f>
        <v>0</v>
      </c>
      <c r="BZ235" s="17">
        <f>SUM((BW235+BX235)*0.00833333333333333)</f>
        <v>0</v>
      </c>
      <c r="CA235" s="23">
        <f ca="1">MONTH(TODAY())+49</f>
        <v>53</v>
      </c>
      <c r="CB235" s="14">
        <f ca="1">SUM(BW235,BX235,BY235)</f>
        <v>0</v>
      </c>
      <c r="CC235" s="14">
        <v>0</v>
      </c>
      <c r="CD235" s="14">
        <f>SUM(CC235*0.1)</f>
        <v>0</v>
      </c>
      <c r="CE235" s="14">
        <f ca="1">SUM(CF235*CG235)</f>
        <v>0</v>
      </c>
      <c r="CF235" s="17">
        <f>SUM((CC235+CD235)*0.00833333333333333)</f>
        <v>0</v>
      </c>
      <c r="CG235" s="23">
        <f ca="1">MONTH(TODAY())+37</f>
        <v>41</v>
      </c>
      <c r="CH235" s="14">
        <f ca="1">SUM(CC235,CD235,CE235)</f>
        <v>0</v>
      </c>
      <c r="CI235" s="14">
        <v>0</v>
      </c>
      <c r="CJ235" s="14">
        <f>SUM(CI235*0.1)</f>
        <v>0</v>
      </c>
      <c r="CK235" s="14">
        <f ca="1">SUM(CL235*CM235)</f>
        <v>0</v>
      </c>
      <c r="CL235" s="17">
        <f>SUM((CI235+CJ235)*0.00833333333333333)</f>
        <v>0</v>
      </c>
      <c r="CM235" s="23">
        <f ca="1">MONTH(TODAY())+25</f>
        <v>29</v>
      </c>
      <c r="CN235" s="14">
        <f ca="1">SUM(CI235,CJ235,CK235)</f>
        <v>0</v>
      </c>
      <c r="CO235" s="14">
        <f>SUM(ES235*0.0052)/2</f>
        <v>150.28</v>
      </c>
      <c r="CP235" s="14">
        <f>SUM(CO235*0.1)</f>
        <v>15.028</v>
      </c>
      <c r="CQ235" s="14">
        <f ca="1">SUM(CR235*CS235)</f>
        <v>28.928899999999985</v>
      </c>
      <c r="CR235" s="17">
        <f>SUM((CO235+CP235)*0.00833333333333333)</f>
        <v>1.3775666666666659</v>
      </c>
      <c r="CS235" s="23">
        <f ca="1">MONTH(TODAY())+17</f>
        <v>21</v>
      </c>
      <c r="CT235" s="23">
        <f ca="1">SUM(CO235,CP235,CQ235)</f>
        <v>194.23689999999999</v>
      </c>
      <c r="CU235" s="14">
        <f>SUM(ES235*0.0052)/2</f>
        <v>150.28</v>
      </c>
      <c r="CV235" s="14">
        <f>SUM(CU235*0.1)</f>
        <v>15.028</v>
      </c>
      <c r="CW235" s="14">
        <f ca="1">SUM(CX235*CY235)</f>
        <v>23.418633333333322</v>
      </c>
      <c r="CX235" s="17">
        <f>SUM((CU235+CV235)*0.00833333333333333)</f>
        <v>1.3775666666666659</v>
      </c>
      <c r="CY235" s="23">
        <f ca="1">MONTH(TODAY())+13</f>
        <v>17</v>
      </c>
      <c r="CZ235" s="23">
        <f ca="1">SUM(CU235,CV235,CW235)</f>
        <v>188.72663333333333</v>
      </c>
      <c r="DA235" s="14">
        <f>SUM(EV235*0.0045)/2</f>
        <v>200.02499999999998</v>
      </c>
      <c r="DB235" s="14">
        <f>SUM(DA235*0.1)</f>
        <v>20.002499999999998</v>
      </c>
      <c r="DC235" s="14">
        <f ca="1">SUM(DD235*DE235)</f>
        <v>20.169187499999989</v>
      </c>
      <c r="DD235" s="17">
        <f>SUM((DA235+DB235)*0.00833333333333333)</f>
        <v>1.8335624999999991</v>
      </c>
      <c r="DE235" s="23">
        <f ca="1">MONTH(TODAY())+7</f>
        <v>11</v>
      </c>
      <c r="DF235" s="23">
        <f ca="1">SUM(DA235,DB235,DC235)</f>
        <v>240.19668749999997</v>
      </c>
      <c r="DG235" s="14">
        <f>SUM(EV235*0.0045)/2</f>
        <v>200.02499999999998</v>
      </c>
      <c r="DH235" s="14">
        <f>SUM(DG235*0.1)</f>
        <v>20.002499999999998</v>
      </c>
      <c r="DI235" s="14">
        <f ca="1">SUM(DJ235*DK235)</f>
        <v>9.1678124999999948</v>
      </c>
      <c r="DJ235" s="17">
        <f>SUM((DG235+DH235)*0.00833333333333333)</f>
        <v>1.8335624999999991</v>
      </c>
      <c r="DK235" s="23">
        <f ca="1">MONTH(TODAY())+1</f>
        <v>5</v>
      </c>
      <c r="DL235" s="14">
        <f ca="1">SUM(DG235,DH235,DI235)</f>
        <v>229.19531249999997</v>
      </c>
      <c r="DM235" s="14">
        <f>SUM(EV235*0.0045)/2</f>
        <v>200.02499999999998</v>
      </c>
      <c r="DN235" s="14">
        <f>0</f>
        <v>0</v>
      </c>
      <c r="DO235" s="14">
        <f>0</f>
        <v>0</v>
      </c>
      <c r="DP235" s="17">
        <f>SUM((DM235+DN235)*0.00833333333333333)</f>
        <v>1.666874999999999</v>
      </c>
      <c r="DQ235" s="23">
        <f ca="1">MONTH(TODAY())+7</f>
        <v>11</v>
      </c>
      <c r="DR235" s="23">
        <f>SUM(DM235,DN235,DO235)</f>
        <v>200.02499999999998</v>
      </c>
      <c r="DS235" s="14">
        <f>0</f>
        <v>0</v>
      </c>
      <c r="DT235" s="14">
        <f>0</f>
        <v>0</v>
      </c>
      <c r="DU235" s="14">
        <f ca="1">SUM(DV235*DW235)</f>
        <v>0</v>
      </c>
      <c r="DV235" s="17">
        <f>SUM((DS235+DT235)*0.00833333333333333)</f>
        <v>0</v>
      </c>
      <c r="DW235" s="23">
        <f ca="1">MONTH(TODAY())+1</f>
        <v>5</v>
      </c>
      <c r="DX235" s="14">
        <f ca="1">SUM(DS235,DT235,DU235)</f>
        <v>0</v>
      </c>
      <c r="DY235" s="14">
        <f>SUM( BQ235, BW235, CC235, CI235, CO235,CU235,DA235,DG235,DM235,DS235)</f>
        <v>900.63499999999988</v>
      </c>
      <c r="DZ235" s="14">
        <f>SUM(BR235,BX235,CD235,CJ235, CP235,CV235,DB235,DH235,DN235,DT235)</f>
        <v>70.060999999999993</v>
      </c>
      <c r="EA235" s="14">
        <f ca="1">SUM(BS235,BY235,CE235,CK235, CQ235,CW235,DC235,DI235,DO235,DU235)</f>
        <v>81.684533333333292</v>
      </c>
      <c r="EB235" s="25">
        <f ca="1">SUM(DY235:EA235)</f>
        <v>1052.3805333333332</v>
      </c>
      <c r="EC235" s="47">
        <f ca="1">SUM(EB235/ES235)</f>
        <v>1.8207275663206457E-2</v>
      </c>
      <c r="ED235" s="14">
        <f>20+10+40</f>
        <v>70</v>
      </c>
      <c r="EE235" s="32">
        <f>COUNTIF(AO235, "*")+COUNTIF(AJ235, "*")+COUNTIF(AA235, "*")+COUNTIF(FG235, "*")+COUNTIF(FM235, "*")+COUNTIF(FS235, "*")+COUNTIF(FW235, "*")+COUNTIF(GD235, "*")+COUNTIF(AS235, "*")+COUNTIF(GM235, "*")+COUNTIF(GX235, "*")+COUNTIF(HI235, "*")+COUNTIF(HQ235, "*")+COUNTIF(HY235, "*")+COUNTIF(IG235, "*")</f>
        <v>2</v>
      </c>
      <c r="EF235" s="14">
        <f>EE235*0.64</f>
        <v>1.28</v>
      </c>
      <c r="EG235" s="4"/>
      <c r="EH235" s="4">
        <v>32.53</v>
      </c>
      <c r="EI235" s="4"/>
      <c r="EJ235" s="4"/>
      <c r="EL235" s="4"/>
      <c r="EM235" s="14">
        <f>SUM(EH235:EL235)</f>
        <v>32.53</v>
      </c>
      <c r="EN235" s="14">
        <f ca="1">SUM(EB235,ED235,EM235, EG235, EF235,GJ235)</f>
        <v>1156.1905333333332</v>
      </c>
      <c r="EO235" s="24" t="s">
        <v>4935</v>
      </c>
      <c r="EP235" s="23">
        <v>3.8</v>
      </c>
      <c r="EQ235" s="14">
        <v>57800</v>
      </c>
      <c r="ER235" s="14">
        <v>0</v>
      </c>
      <c r="ES235" s="4">
        <f>SUM(EQ235+ER235)</f>
        <v>57800</v>
      </c>
      <c r="ET235" s="14">
        <v>88900</v>
      </c>
      <c r="EU235" s="14">
        <v>0</v>
      </c>
      <c r="EV235" s="4">
        <f>SUM(ET235+EU235)</f>
        <v>88900</v>
      </c>
      <c r="EW235" s="10"/>
      <c r="EX235" s="10"/>
      <c r="EY235" s="10"/>
      <c r="EZ235" s="10"/>
      <c r="FA235" s="10"/>
      <c r="FB235" s="10"/>
      <c r="FC235" s="10"/>
      <c r="FD235" s="10"/>
      <c r="GJ235" s="4"/>
      <c r="IK235" s="9"/>
      <c r="IV235" s="4"/>
      <c r="IW235" s="4"/>
      <c r="IX235" s="4"/>
      <c r="IY235" s="9"/>
      <c r="IZ235" s="9"/>
      <c r="JA235" s="9"/>
      <c r="JB235" s="9"/>
      <c r="JC235" s="9"/>
    </row>
    <row r="236" spans="1:263" ht="15" customHeight="1">
      <c r="A236" s="19">
        <v>102022029</v>
      </c>
      <c r="B236" t="s">
        <v>2792</v>
      </c>
      <c r="D236" s="1">
        <v>2024</v>
      </c>
      <c r="E236" s="3"/>
      <c r="F236" s="3"/>
      <c r="K236" t="s">
        <v>2972</v>
      </c>
      <c r="AG236" s="43"/>
      <c r="AJ236" t="s">
        <v>328</v>
      </c>
      <c r="AL236" t="s">
        <v>290</v>
      </c>
      <c r="AM236"/>
      <c r="AN236"/>
      <c r="AO236" s="3" t="s">
        <v>2973</v>
      </c>
      <c r="AP236" s="3" t="s">
        <v>258</v>
      </c>
      <c r="AQ236" t="s">
        <v>2974</v>
      </c>
      <c r="AR236"/>
      <c r="AS236" s="1"/>
      <c r="AT236" s="1"/>
      <c r="AU236" s="1"/>
      <c r="AV236" s="1"/>
      <c r="AW236" s="1"/>
      <c r="AX236" s="2"/>
      <c r="AY236" s="116"/>
      <c r="AZ236" s="115"/>
      <c r="BA236" s="2"/>
      <c r="BB236" s="2"/>
      <c r="BC236" s="2"/>
      <c r="BD236" s="2"/>
      <c r="BE236" s="2"/>
      <c r="BF236" s="2"/>
      <c r="BG236" s="20">
        <f ca="1">SUM(DK236)+214.5</f>
        <v>259.97950000000003</v>
      </c>
      <c r="BH236" s="22">
        <f ca="1">PMT(10%/12,12,BG236,0,0)</f>
        <v>-22.856328404114283</v>
      </c>
      <c r="BI236" s="22">
        <f ca="1">SUM(BH236*-1)</f>
        <v>22.856328404114283</v>
      </c>
      <c r="BJ236" s="14">
        <f>SUM(DU236*0.0052)/12</f>
        <v>0.43333333333333335</v>
      </c>
      <c r="BK236" s="22">
        <f ca="1">SUM(BI236+BJ236)</f>
        <v>23.289661737447616</v>
      </c>
      <c r="BL236" s="14"/>
      <c r="BM236" s="14">
        <f>SUM(BL236*0.1)</f>
        <v>0</v>
      </c>
      <c r="BN236" s="14">
        <f ca="1">SUM(BO236*BP236)</f>
        <v>0</v>
      </c>
      <c r="BO236" s="17">
        <f>SUM((BL236+BM236)*0.00833333333333333)</f>
        <v>0</v>
      </c>
      <c r="BP236" s="23">
        <f ca="1">MONTH(TODAY())+49</f>
        <v>53</v>
      </c>
      <c r="BQ236" s="14">
        <f ca="1">SUM(BL236,BM236,BN236)</f>
        <v>0</v>
      </c>
      <c r="BR236" s="14"/>
      <c r="BS236" s="14">
        <f>SUM(BR236*0.1)</f>
        <v>0</v>
      </c>
      <c r="BT236" s="14">
        <f ca="1">SUM(BU236*BV236)</f>
        <v>0</v>
      </c>
      <c r="BU236" s="17">
        <f>SUM((BR236+BS236)*0.00833333333333333)</f>
        <v>0</v>
      </c>
      <c r="BV236" s="23">
        <f ca="1">MONTH(TODAY())+37</f>
        <v>41</v>
      </c>
      <c r="BW236" s="14">
        <f ca="1">SUM(BR236,BS236,BT236)</f>
        <v>0</v>
      </c>
      <c r="BX236" s="14">
        <f>SUM(DU236*0.0052)</f>
        <v>5.2</v>
      </c>
      <c r="BY236" s="14">
        <f>SUM(BX236*0.1)</f>
        <v>0.52</v>
      </c>
      <c r="BZ236" s="14">
        <f ca="1">SUM(CA236*CB236)</f>
        <v>1.3823333333333327</v>
      </c>
      <c r="CA236" s="17">
        <f>SUM((BX236+BY236)*0.00833333333333333)</f>
        <v>4.7666666666666649E-2</v>
      </c>
      <c r="CB236" s="23">
        <f ca="1">MONTH(TODAY())+25</f>
        <v>29</v>
      </c>
      <c r="CC236" s="14">
        <f ca="1">SUM(BX236,BY236,BZ236)</f>
        <v>7.1023333333333332</v>
      </c>
      <c r="CD236" s="14">
        <f>SUM(DU236*0.0052)</f>
        <v>5.2</v>
      </c>
      <c r="CE236" s="14">
        <f>SUM(CD236*0.1)</f>
        <v>0.52</v>
      </c>
      <c r="CF236" s="14">
        <f ca="1">SUM(CG236*CH236)</f>
        <v>0.81033333333333302</v>
      </c>
      <c r="CG236" s="17">
        <f>SUM((CD236+CE236)*0.00833333333333333)</f>
        <v>4.7666666666666649E-2</v>
      </c>
      <c r="CH236" s="23">
        <f ca="1">MONTH(TODAY())+13</f>
        <v>17</v>
      </c>
      <c r="CI236" s="14">
        <f ca="1">SUM(CD236,CE236,CF236)</f>
        <v>6.530333333333334</v>
      </c>
      <c r="CJ236" s="14">
        <f>SUM(DU236*0.0052)</f>
        <v>5.2</v>
      </c>
      <c r="CK236" s="14">
        <f>SUM(CJ236*0.1)</f>
        <v>0.52</v>
      </c>
      <c r="CL236" s="14">
        <f ca="1">SUM(CM236*CN236)</f>
        <v>0.23833333333333323</v>
      </c>
      <c r="CM236" s="17">
        <f>SUM((CJ236+CK236)*0.00833333333333333)</f>
        <v>4.7666666666666649E-2</v>
      </c>
      <c r="CN236" s="23">
        <f ca="1">MONTH(TODAY())+1</f>
        <v>5</v>
      </c>
      <c r="CO236" s="14">
        <f ca="1">SUM(CJ236,CK236,CL236)</f>
        <v>5.9583333333333339</v>
      </c>
      <c r="CP236" s="14">
        <f>SUM(DU236*0.0052)/2</f>
        <v>2.6</v>
      </c>
      <c r="CQ236" s="14">
        <f>SUM(CP236*0.1)</f>
        <v>0.26</v>
      </c>
      <c r="CR236" s="14">
        <f ca="1">SUM(CS236*CT236)</f>
        <v>-7.149999999999998E-2</v>
      </c>
      <c r="CS236" s="17">
        <f>SUM((CP236+CQ236)*0.00833333333333333)</f>
        <v>2.3833333333333324E-2</v>
      </c>
      <c r="CT236" s="23">
        <f ca="1">MONTH(TODAY())-7</f>
        <v>-3</v>
      </c>
      <c r="CU236" s="23">
        <f ca="1">SUM(CP236,CQ236,CR236)</f>
        <v>2.7885000000000004</v>
      </c>
      <c r="CV236" s="14">
        <f>SUM(DU236*0.0052)/2</f>
        <v>2.6</v>
      </c>
      <c r="CW236" s="14">
        <v>0</v>
      </c>
      <c r="CX236" s="14">
        <v>0</v>
      </c>
      <c r="CY236" s="17">
        <f>SUM((CV236+CW236)*0.00833333333333333)</f>
        <v>2.1666666666666657E-2</v>
      </c>
      <c r="CZ236" s="23">
        <f ca="1">MONTH(TODAY())-6</f>
        <v>-2</v>
      </c>
      <c r="DA236" s="23">
        <f>SUM(CV236,CW236,CX236)</f>
        <v>2.6</v>
      </c>
      <c r="DB236" s="14">
        <f>SUM(BL236, BR236, BX236, CD236, CJ236, CP236,CV236)</f>
        <v>20.800000000000004</v>
      </c>
      <c r="DC236" s="14">
        <f t="shared" ref="DC236:DD238" si="35">SUM(BM236, BS236,BY236,CE236,CK236, CQ236,CW236)</f>
        <v>1.82</v>
      </c>
      <c r="DD236" s="14">
        <f t="shared" ca="1" si="35"/>
        <v>2.3594999999999993</v>
      </c>
      <c r="DE236" s="14">
        <f ca="1">SUM(DB236:DD236)</f>
        <v>24.979500000000005</v>
      </c>
      <c r="DF236" s="47">
        <f ca="1">SUM(DE236/DU236)</f>
        <v>2.4979500000000005E-2</v>
      </c>
      <c r="DG236" s="14">
        <v>19.5</v>
      </c>
      <c r="DH236" s="32">
        <f>COUNTIF(DN236, "*")+COUNTIF(AO236, "*")+COUNTIF(AJ236, "*")+COUNTIF(AA236, "*")+COUNTIF(EK236, "*")+COUNTIF(EQ236, "*")+COUNTIF(EW236, "*")+COUNTIF(FA236, "*")+COUNTIF(FH236, "*")+COUNTIF(FO236, "*")+COUNTIF(FV236, "*")+COUNTIF(GG236, "*")+COUNTIF(GR236, "*")+COUNTIF(GZ236, "*")+COUNTIF(HH236, "*")+COUNTIF(HP236, "*")+COUNTIF(HX236, "*")</f>
        <v>2</v>
      </c>
      <c r="DI236" s="14">
        <f>DH236*0.5</f>
        <v>1</v>
      </c>
      <c r="DJ236" s="4"/>
      <c r="DK236" s="14">
        <f ca="1">SUM(DE236,DG236,DQ236, DJ236, DI236,FS236)</f>
        <v>45.479500000000002</v>
      </c>
      <c r="DL236" s="4"/>
      <c r="DM236" s="4"/>
      <c r="DN236" s="4"/>
      <c r="DP236" s="4"/>
      <c r="DQ236" s="14">
        <f>SUM(DL236:DP236)</f>
        <v>0</v>
      </c>
      <c r="DR236" s="24" t="s">
        <v>2770</v>
      </c>
      <c r="DS236" s="4">
        <v>1000</v>
      </c>
      <c r="DT236" s="4">
        <v>0</v>
      </c>
      <c r="DU236" s="25">
        <f>SUM(DS236+DT236)</f>
        <v>1000</v>
      </c>
      <c r="DV236" s="35">
        <v>0.13</v>
      </c>
      <c r="ID236" s="9"/>
      <c r="IO236" s="14">
        <f ca="1">SUM(IE236-DK236-FS236-IM236)</f>
        <v>-45.479500000000002</v>
      </c>
      <c r="IP236" s="9"/>
      <c r="IQ236" s="9"/>
      <c r="IR236" s="9"/>
      <c r="IS236" s="9"/>
      <c r="IT236" s="9"/>
    </row>
    <row r="237" spans="1:263" ht="15" customHeight="1">
      <c r="A237" s="19">
        <v>102022195</v>
      </c>
      <c r="B237" t="s">
        <v>2883</v>
      </c>
      <c r="D237" s="1">
        <v>2025</v>
      </c>
      <c r="E237" s="3"/>
      <c r="F237" s="3"/>
      <c r="K237" t="s">
        <v>2972</v>
      </c>
      <c r="AG237" s="43"/>
      <c r="AJ237" t="s">
        <v>328</v>
      </c>
      <c r="AL237" t="s">
        <v>290</v>
      </c>
      <c r="AM237"/>
      <c r="AN237"/>
      <c r="AO237" s="3" t="s">
        <v>2973</v>
      </c>
      <c r="AP237" s="3" t="s">
        <v>258</v>
      </c>
      <c r="AQ237" t="s">
        <v>2974</v>
      </c>
      <c r="AR237"/>
      <c r="AS237" s="1"/>
      <c r="AT237" s="1"/>
      <c r="AU237" s="1"/>
      <c r="AV237" s="1"/>
      <c r="AW237" s="1"/>
      <c r="AX237" s="2"/>
      <c r="AY237" s="116"/>
      <c r="AZ237" s="115"/>
      <c r="BA237" s="2"/>
      <c r="BB237" s="2"/>
      <c r="BC237" s="2"/>
      <c r="BD237" s="2"/>
      <c r="BE237" s="2"/>
      <c r="BF237" s="2"/>
      <c r="BG237" s="20">
        <f ca="1">SUM(DK237)+214.5</f>
        <v>252.87716666666665</v>
      </c>
      <c r="BH237" s="22">
        <f ca="1">PMT(10%/12,12,BG237,0,0)</f>
        <v>-22.231920467711006</v>
      </c>
      <c r="BI237" s="22">
        <f ca="1">SUM(BH237*-1)</f>
        <v>22.231920467711006</v>
      </c>
      <c r="BJ237" s="14">
        <f>SUM(DU237*0.0052)/12</f>
        <v>0.43333333333333335</v>
      </c>
      <c r="BK237" s="22">
        <f ca="1">SUM(BI237+BJ237)</f>
        <v>22.66525380104434</v>
      </c>
      <c r="BL237" s="14"/>
      <c r="BM237" s="14">
        <f>SUM(BL237*0.1)</f>
        <v>0</v>
      </c>
      <c r="BN237" s="14">
        <f ca="1">SUM(BO237*BP237)</f>
        <v>0</v>
      </c>
      <c r="BO237" s="17">
        <f>SUM((BL237+BM237)*0.00833333333333333)</f>
        <v>0</v>
      </c>
      <c r="BP237" s="23">
        <f ca="1">MONTH(TODAY())+49</f>
        <v>53</v>
      </c>
      <c r="BQ237" s="14">
        <f ca="1">SUM(BL237,BM237,BN237)</f>
        <v>0</v>
      </c>
      <c r="BR237" s="14"/>
      <c r="BS237" s="14">
        <f>SUM(BR237*0.1)</f>
        <v>0</v>
      </c>
      <c r="BT237" s="14">
        <f ca="1">SUM(BU237*BV237)</f>
        <v>0</v>
      </c>
      <c r="BU237" s="17">
        <f>SUM((BR237+BS237)*0.00833333333333333)</f>
        <v>0</v>
      </c>
      <c r="BV237" s="23">
        <f ca="1">MONTH(TODAY())+37</f>
        <v>41</v>
      </c>
      <c r="BW237" s="14">
        <f ca="1">SUM(BR237,BS237,BT237)</f>
        <v>0</v>
      </c>
      <c r="BX237" s="14"/>
      <c r="BY237" s="14">
        <f>SUM(BX237*0.1)</f>
        <v>0</v>
      </c>
      <c r="BZ237" s="14">
        <f ca="1">SUM(CA237*CB237)</f>
        <v>0</v>
      </c>
      <c r="CA237" s="17">
        <f>SUM((BX237+BY237)*0.00833333333333333)</f>
        <v>0</v>
      </c>
      <c r="CB237" s="23">
        <f ca="1">MONTH(TODAY())+25</f>
        <v>29</v>
      </c>
      <c r="CC237" s="14">
        <f ca="1">SUM(BX237,BY237,BZ237)</f>
        <v>0</v>
      </c>
      <c r="CD237" s="14">
        <f>SUM(DU237*0.0052)</f>
        <v>5.2</v>
      </c>
      <c r="CE237" s="14">
        <f>SUM(CD237*0.1)</f>
        <v>0.52</v>
      </c>
      <c r="CF237" s="14">
        <f ca="1">SUM(CG237*CH237)</f>
        <v>0.81033333333333302</v>
      </c>
      <c r="CG237" s="17">
        <f>SUM((CD237+CE237)*0.00833333333333333)</f>
        <v>4.7666666666666649E-2</v>
      </c>
      <c r="CH237" s="23">
        <f ca="1">MONTH(TODAY())+13</f>
        <v>17</v>
      </c>
      <c r="CI237" s="14">
        <f ca="1">SUM(CD237,CE237,CF237)</f>
        <v>6.530333333333334</v>
      </c>
      <c r="CJ237" s="14">
        <f>SUM(DU237*0.0052)</f>
        <v>5.2</v>
      </c>
      <c r="CK237" s="14">
        <f>SUM(CJ237*0.1)</f>
        <v>0.52</v>
      </c>
      <c r="CL237" s="14">
        <f ca="1">SUM(CM237*CN237)</f>
        <v>0.23833333333333323</v>
      </c>
      <c r="CM237" s="17">
        <f>SUM((CJ237+CK237)*0.00833333333333333)</f>
        <v>4.7666666666666649E-2</v>
      </c>
      <c r="CN237" s="23">
        <f ca="1">MONTH(TODAY())+1</f>
        <v>5</v>
      </c>
      <c r="CO237" s="14">
        <f ca="1">SUM(CJ237,CK237,CL237)</f>
        <v>5.9583333333333339</v>
      </c>
      <c r="CP237" s="14">
        <f>SUM(DU237*0.0052)/2</f>
        <v>2.6</v>
      </c>
      <c r="CQ237" s="14">
        <f>SUM(CP237*0.1)</f>
        <v>0.26</v>
      </c>
      <c r="CR237" s="14">
        <f ca="1">SUM(CS237*CT237)</f>
        <v>-7.149999999999998E-2</v>
      </c>
      <c r="CS237" s="17">
        <f>SUM((CP237+CQ237)*0.00833333333333333)</f>
        <v>2.3833333333333324E-2</v>
      </c>
      <c r="CT237" s="23">
        <f ca="1">MONTH(TODAY())-7</f>
        <v>-3</v>
      </c>
      <c r="CU237" s="23">
        <f ca="1">SUM(CP237,CQ237,CR237)</f>
        <v>2.7885000000000004</v>
      </c>
      <c r="CV237" s="14">
        <f>SUM(DU237*0.0052)/2</f>
        <v>2.6</v>
      </c>
      <c r="CW237" s="14">
        <v>0</v>
      </c>
      <c r="CX237" s="14">
        <v>0</v>
      </c>
      <c r="CY237" s="17">
        <f>SUM((CV237+CW237)*0.00833333333333333)</f>
        <v>2.1666666666666657E-2</v>
      </c>
      <c r="CZ237" s="23">
        <f ca="1">MONTH(TODAY())-6</f>
        <v>-2</v>
      </c>
      <c r="DA237" s="23">
        <f>SUM(CV237,CW237,CX237)</f>
        <v>2.6</v>
      </c>
      <c r="DB237" s="14">
        <f>SUM(BL237, BR237, BX237, CD237, CJ237, CP237,CV237)</f>
        <v>15.6</v>
      </c>
      <c r="DC237" s="14">
        <f t="shared" si="35"/>
        <v>1.3</v>
      </c>
      <c r="DD237" s="14">
        <f t="shared" ca="1" si="35"/>
        <v>0.97716666666666618</v>
      </c>
      <c r="DE237" s="14">
        <f ca="1">SUM(DB237:DD237)</f>
        <v>17.877166666666664</v>
      </c>
      <c r="DF237" s="47">
        <f ca="1">SUM(DE237/DU237)</f>
        <v>1.7877166666666663E-2</v>
      </c>
      <c r="DG237" s="14">
        <v>19.5</v>
      </c>
      <c r="DH237" s="32">
        <f>COUNTIF(DN237, "*")+COUNTIF(AO237, "*")+COUNTIF(AJ237, "*")+COUNTIF(AA237, "*")+COUNTIF(EK237, "*")+COUNTIF(EQ237, "*")+COUNTIF(EW237, "*")+COUNTIF(FA237, "*")+COUNTIF(FH237, "*")+COUNTIF(FO237, "*")+COUNTIF(FV237, "*")+COUNTIF(GG237, "*")+COUNTIF(GR237, "*")+COUNTIF(GZ237, "*")+COUNTIF(HH237, "*")+COUNTIF(HP237, "*")+COUNTIF(HX237, "*")</f>
        <v>2</v>
      </c>
      <c r="DI237" s="14">
        <f>DH237*0.5</f>
        <v>1</v>
      </c>
      <c r="DJ237" s="4"/>
      <c r="DK237" s="14">
        <f ca="1">SUM(DE237,DG237,DQ237, DJ237, DI237,FS237)</f>
        <v>38.377166666666668</v>
      </c>
      <c r="DL237" s="4"/>
      <c r="DM237" s="4"/>
      <c r="DN237" s="4"/>
      <c r="DP237" s="4"/>
      <c r="DQ237" s="14">
        <f>SUM(DL237:DP237)</f>
        <v>0</v>
      </c>
      <c r="DR237" s="24" t="s">
        <v>2773</v>
      </c>
      <c r="DS237" s="4">
        <v>1000</v>
      </c>
      <c r="DT237" s="4">
        <v>0</v>
      </c>
      <c r="DU237" s="25">
        <f>SUM(DS237+DT237)</f>
        <v>1000</v>
      </c>
      <c r="DV237" s="35">
        <v>0.15</v>
      </c>
      <c r="ID237" s="9"/>
      <c r="IO237" s="14">
        <f ca="1">SUM(IE237-DK237-FS237-IM237)</f>
        <v>-38.377166666666668</v>
      </c>
      <c r="IP237" s="9"/>
      <c r="IQ237" s="9"/>
      <c r="IR237" s="9"/>
      <c r="IS237" s="9"/>
      <c r="IT237" s="9"/>
    </row>
    <row r="238" spans="1:263" ht="15" customHeight="1">
      <c r="A238" s="19">
        <v>102022028</v>
      </c>
      <c r="B238" t="s">
        <v>2791</v>
      </c>
      <c r="D238" s="1">
        <v>2024</v>
      </c>
      <c r="E238" s="3"/>
      <c r="F238" s="3"/>
      <c r="K238" t="s">
        <v>2972</v>
      </c>
      <c r="AG238" s="43"/>
      <c r="AJ238" t="s">
        <v>328</v>
      </c>
      <c r="AL238" t="s">
        <v>290</v>
      </c>
      <c r="AM238"/>
      <c r="AN238"/>
      <c r="AO238" s="3" t="s">
        <v>2973</v>
      </c>
      <c r="AP238" s="3" t="s">
        <v>258</v>
      </c>
      <c r="AQ238" t="s">
        <v>2974</v>
      </c>
      <c r="AR238"/>
      <c r="AS238" s="1"/>
      <c r="AT238" s="1"/>
      <c r="AU238" s="1"/>
      <c r="AV238" s="1"/>
      <c r="AW238" s="1"/>
      <c r="AX238" s="2"/>
      <c r="AY238" s="116"/>
      <c r="AZ238" s="115"/>
      <c r="BA238" s="2"/>
      <c r="BB238" s="2"/>
      <c r="BC238" s="2"/>
      <c r="BD238" s="2"/>
      <c r="BE238" s="2"/>
      <c r="BF238" s="2"/>
      <c r="BG238" s="20">
        <f ca="1">SUM(DK238)+214.5</f>
        <v>259.97950000000003</v>
      </c>
      <c r="BH238" s="22">
        <f ca="1">PMT(10%/12,12,BG238,0,0)</f>
        <v>-22.856328404114283</v>
      </c>
      <c r="BI238" s="22">
        <f ca="1">SUM(BH238*-1)</f>
        <v>22.856328404114283</v>
      </c>
      <c r="BJ238" s="14">
        <f>SUM(DU238*0.0052)/12</f>
        <v>0.43333333333333335</v>
      </c>
      <c r="BK238" s="22">
        <f ca="1">SUM(BI238+BJ238)</f>
        <v>23.289661737447616</v>
      </c>
      <c r="BL238" s="14"/>
      <c r="BM238" s="14">
        <f>SUM(BL238*0.1)</f>
        <v>0</v>
      </c>
      <c r="BN238" s="14">
        <f ca="1">SUM(BO238*BP238)</f>
        <v>0</v>
      </c>
      <c r="BO238" s="17">
        <f>SUM((BL238+BM238)*0.00833333333333333)</f>
        <v>0</v>
      </c>
      <c r="BP238" s="23">
        <f ca="1">MONTH(TODAY())+49</f>
        <v>53</v>
      </c>
      <c r="BQ238" s="14">
        <f ca="1">SUM(BL238,BM238,BN238)</f>
        <v>0</v>
      </c>
      <c r="BR238" s="14"/>
      <c r="BS238" s="14">
        <f>SUM(BR238*0.1)</f>
        <v>0</v>
      </c>
      <c r="BT238" s="14">
        <f ca="1">SUM(BU238*BV238)</f>
        <v>0</v>
      </c>
      <c r="BU238" s="17">
        <f>SUM((BR238+BS238)*0.00833333333333333)</f>
        <v>0</v>
      </c>
      <c r="BV238" s="23">
        <f ca="1">MONTH(TODAY())+37</f>
        <v>41</v>
      </c>
      <c r="BW238" s="14">
        <f ca="1">SUM(BR238,BS238,BT238)</f>
        <v>0</v>
      </c>
      <c r="BX238" s="14">
        <f>SUM(DU238*0.0052)</f>
        <v>5.2</v>
      </c>
      <c r="BY238" s="14">
        <f>SUM(BX238*0.1)</f>
        <v>0.52</v>
      </c>
      <c r="BZ238" s="14">
        <f ca="1">SUM(CA238*CB238)</f>
        <v>1.3823333333333327</v>
      </c>
      <c r="CA238" s="17">
        <f>SUM((BX238+BY238)*0.00833333333333333)</f>
        <v>4.7666666666666649E-2</v>
      </c>
      <c r="CB238" s="23">
        <f ca="1">MONTH(TODAY())+25</f>
        <v>29</v>
      </c>
      <c r="CC238" s="14">
        <f ca="1">SUM(BX238,BY238,BZ238)</f>
        <v>7.1023333333333332</v>
      </c>
      <c r="CD238" s="14">
        <f>SUM(DU238*0.0052)</f>
        <v>5.2</v>
      </c>
      <c r="CE238" s="14">
        <f>SUM(CD238*0.1)</f>
        <v>0.52</v>
      </c>
      <c r="CF238" s="14">
        <f ca="1">SUM(CG238*CH238)</f>
        <v>0.81033333333333302</v>
      </c>
      <c r="CG238" s="17">
        <f>SUM((CD238+CE238)*0.00833333333333333)</f>
        <v>4.7666666666666649E-2</v>
      </c>
      <c r="CH238" s="23">
        <f ca="1">MONTH(TODAY())+13</f>
        <v>17</v>
      </c>
      <c r="CI238" s="14">
        <f ca="1">SUM(CD238,CE238,CF238)</f>
        <v>6.530333333333334</v>
      </c>
      <c r="CJ238" s="14">
        <f>SUM(DU238*0.0052)</f>
        <v>5.2</v>
      </c>
      <c r="CK238" s="14">
        <f>SUM(CJ238*0.1)</f>
        <v>0.52</v>
      </c>
      <c r="CL238" s="14">
        <f ca="1">SUM(CM238*CN238)</f>
        <v>0.23833333333333323</v>
      </c>
      <c r="CM238" s="17">
        <f>SUM((CJ238+CK238)*0.00833333333333333)</f>
        <v>4.7666666666666649E-2</v>
      </c>
      <c r="CN238" s="23">
        <f ca="1">MONTH(TODAY())+1</f>
        <v>5</v>
      </c>
      <c r="CO238" s="14">
        <f ca="1">SUM(CJ238,CK238,CL238)</f>
        <v>5.9583333333333339</v>
      </c>
      <c r="CP238" s="14">
        <f>SUM(DU238*0.0052)/2</f>
        <v>2.6</v>
      </c>
      <c r="CQ238" s="14">
        <f>SUM(CP238*0.1)</f>
        <v>0.26</v>
      </c>
      <c r="CR238" s="14">
        <f ca="1">SUM(CS238*CT238)</f>
        <v>-7.149999999999998E-2</v>
      </c>
      <c r="CS238" s="17">
        <f>SUM((CP238+CQ238)*0.00833333333333333)</f>
        <v>2.3833333333333324E-2</v>
      </c>
      <c r="CT238" s="23">
        <f ca="1">MONTH(TODAY())-7</f>
        <v>-3</v>
      </c>
      <c r="CU238" s="23">
        <f ca="1">SUM(CP238,CQ238,CR238)</f>
        <v>2.7885000000000004</v>
      </c>
      <c r="CV238" s="14">
        <f>SUM(DU238*0.0052)/2</f>
        <v>2.6</v>
      </c>
      <c r="CW238" s="14">
        <v>0</v>
      </c>
      <c r="CX238" s="14">
        <v>0</v>
      </c>
      <c r="CY238" s="17">
        <f>SUM((CV238+CW238)*0.00833333333333333)</f>
        <v>2.1666666666666657E-2</v>
      </c>
      <c r="CZ238" s="23">
        <f ca="1">MONTH(TODAY())-6</f>
        <v>-2</v>
      </c>
      <c r="DA238" s="23">
        <f>SUM(CV238,CW238,CX238)</f>
        <v>2.6</v>
      </c>
      <c r="DB238" s="14">
        <f>SUM(BL238, BR238, BX238, CD238, CJ238, CP238,CV238)</f>
        <v>20.800000000000004</v>
      </c>
      <c r="DC238" s="14">
        <f t="shared" si="35"/>
        <v>1.82</v>
      </c>
      <c r="DD238" s="14">
        <f t="shared" ca="1" si="35"/>
        <v>2.3594999999999993</v>
      </c>
      <c r="DE238" s="14">
        <f ca="1">SUM(DB238:DD238)</f>
        <v>24.979500000000005</v>
      </c>
      <c r="DF238" s="47">
        <f ca="1">SUM(DE238/DU238)</f>
        <v>2.4979500000000005E-2</v>
      </c>
      <c r="DG238" s="14">
        <v>19.5</v>
      </c>
      <c r="DH238" s="32">
        <f>COUNTIF(DN238, "*")+COUNTIF(AO238, "*")+COUNTIF(AJ238, "*")+COUNTIF(AA238, "*")+COUNTIF(EK238, "*")+COUNTIF(EQ238, "*")+COUNTIF(EW238, "*")+COUNTIF(FA238, "*")+COUNTIF(FH238, "*")+COUNTIF(FO238, "*")+COUNTIF(FV238, "*")+COUNTIF(GG238, "*")+COUNTIF(GR238, "*")+COUNTIF(GZ238, "*")+COUNTIF(HH238, "*")+COUNTIF(HP238, "*")+COUNTIF(HX238, "*")</f>
        <v>2</v>
      </c>
      <c r="DI238" s="14">
        <f>DH238*0.5</f>
        <v>1</v>
      </c>
      <c r="DJ238" s="4"/>
      <c r="DK238" s="14">
        <f ca="1">SUM(DE238,DG238,DQ238, DJ238, DI238,FS238)</f>
        <v>45.479500000000002</v>
      </c>
      <c r="DL238" s="4"/>
      <c r="DM238" s="4"/>
      <c r="DN238" s="4"/>
      <c r="DP238" s="4"/>
      <c r="DQ238" s="14">
        <f>SUM(DL238:DP238)</f>
        <v>0</v>
      </c>
      <c r="DR238" s="24" t="s">
        <v>2770</v>
      </c>
      <c r="DS238" s="4">
        <v>1000</v>
      </c>
      <c r="DT238" s="4">
        <v>0</v>
      </c>
      <c r="DU238" s="25">
        <f>SUM(DS238+DT238)</f>
        <v>1000</v>
      </c>
      <c r="DV238" s="35">
        <v>0.14000000000000001</v>
      </c>
      <c r="ID238" s="9"/>
      <c r="IO238" s="14">
        <f ca="1">SUM(IE238-DK238-FS238-IM238)</f>
        <v>-45.479500000000002</v>
      </c>
      <c r="IP238" s="9"/>
      <c r="IQ238" s="9"/>
      <c r="IR238" s="9"/>
      <c r="IS238" s="9"/>
      <c r="IT238" s="9"/>
    </row>
    <row r="239" spans="1:263" ht="15" customHeight="1">
      <c r="A239" s="19">
        <v>102020074</v>
      </c>
      <c r="B239" s="18" t="s">
        <v>1731</v>
      </c>
      <c r="C239" s="18"/>
      <c r="D239" s="13"/>
      <c r="E239" s="18" t="s">
        <v>1868</v>
      </c>
      <c r="F239" s="18">
        <v>200002913</v>
      </c>
      <c r="G239" s="18"/>
      <c r="H239" s="18"/>
      <c r="I239" s="18"/>
      <c r="J239" s="18" t="s">
        <v>554</v>
      </c>
      <c r="K239" s="18" t="s">
        <v>1347</v>
      </c>
      <c r="L239" s="18" t="s">
        <v>556</v>
      </c>
      <c r="M239" s="18" t="s">
        <v>763</v>
      </c>
      <c r="N239" s="18"/>
      <c r="O239" s="18"/>
      <c r="P239" s="18" t="s">
        <v>1347</v>
      </c>
      <c r="Q239" s="18" t="s">
        <v>1730</v>
      </c>
      <c r="R239" s="18" t="s">
        <v>392</v>
      </c>
      <c r="S239" s="18"/>
      <c r="T239" s="18"/>
      <c r="U239" s="18"/>
      <c r="V239" s="18"/>
      <c r="W239" s="18"/>
      <c r="X239" s="18"/>
      <c r="Y239" s="18"/>
      <c r="Z239" s="18"/>
      <c r="AA239" s="18"/>
      <c r="AB239" s="18"/>
      <c r="AC239" s="18"/>
      <c r="AD239" s="18"/>
      <c r="AE239" s="18"/>
      <c r="AF239" s="18"/>
      <c r="AG239" s="231"/>
      <c r="AH239" s="18"/>
      <c r="AI239" s="18"/>
      <c r="AJ239" s="18"/>
      <c r="AK239" s="18"/>
      <c r="AL239" s="18"/>
      <c r="AM239" s="24"/>
      <c r="AN239" s="24"/>
      <c r="AO239" s="18"/>
      <c r="AP239" s="13"/>
      <c r="AQ239" s="24"/>
      <c r="AR239" s="24"/>
      <c r="AS239" s="18"/>
      <c r="AT239" s="18"/>
      <c r="AU239" s="18"/>
      <c r="AV239" s="18"/>
      <c r="AW239" s="18"/>
      <c r="AX239" s="48"/>
      <c r="AY239" s="48"/>
      <c r="AZ239" s="48"/>
      <c r="BA239" s="48"/>
      <c r="BB239" s="19"/>
      <c r="BC239" s="48"/>
      <c r="BD239" s="48"/>
      <c r="BE239" s="48"/>
      <c r="BF239" s="19"/>
      <c r="BG239" s="20"/>
      <c r="BH239" s="22"/>
      <c r="BI239" s="22"/>
      <c r="BJ239" s="14"/>
      <c r="BK239" s="14"/>
      <c r="BL239" s="14"/>
      <c r="BM239" s="17"/>
      <c r="BN239" s="23"/>
      <c r="BO239" s="14"/>
      <c r="BP239" s="14"/>
      <c r="BQ239" s="14"/>
      <c r="BR239" s="14"/>
      <c r="BS239" s="17"/>
      <c r="BT239" s="23"/>
      <c r="BU239" s="14"/>
      <c r="BV239" s="14"/>
      <c r="BW239" s="14"/>
      <c r="BX239" s="14"/>
      <c r="BY239" s="17"/>
      <c r="BZ239" s="23"/>
      <c r="CA239" s="14"/>
      <c r="CB239" s="14"/>
      <c r="CC239" s="14"/>
      <c r="CD239" s="14"/>
      <c r="CE239" s="17"/>
      <c r="CF239" s="23"/>
      <c r="CG239" s="14"/>
      <c r="CH239" s="14"/>
      <c r="CI239" s="14"/>
      <c r="CJ239" s="14"/>
      <c r="CK239" s="17"/>
      <c r="CL239" s="23"/>
      <c r="CM239" s="14"/>
      <c r="CN239" s="14"/>
      <c r="CO239" s="14"/>
      <c r="CP239" s="14"/>
      <c r="CQ239" s="17"/>
      <c r="CR239" s="23"/>
      <c r="CS239" s="14"/>
      <c r="CT239" s="14"/>
      <c r="CU239" s="14"/>
      <c r="CV239" s="14"/>
      <c r="CW239" s="17"/>
      <c r="CX239" s="23"/>
      <c r="CY239" s="14"/>
      <c r="CZ239" s="14"/>
      <c r="DA239" s="14"/>
      <c r="DB239" s="14"/>
      <c r="DC239" s="14"/>
      <c r="DD239" s="14"/>
      <c r="DE239" s="47"/>
      <c r="DF239" s="24"/>
      <c r="DG239" s="14"/>
      <c r="DH239" s="32"/>
      <c r="DI239" s="14"/>
      <c r="DJ239" s="14"/>
      <c r="DK239" s="14"/>
      <c r="DL239" s="14"/>
      <c r="DM239" s="14"/>
      <c r="DN239" s="14"/>
      <c r="DO239" s="23"/>
      <c r="DP239" s="25"/>
      <c r="DQ239" s="14"/>
      <c r="DR239" s="25"/>
      <c r="DS239" s="25"/>
      <c r="DT239" s="25"/>
      <c r="DU239" s="36"/>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27"/>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27"/>
      <c r="IE239" s="18"/>
      <c r="IF239" s="18"/>
      <c r="IG239" s="18"/>
      <c r="IH239" s="18"/>
      <c r="II239" s="18"/>
      <c r="IJ239" s="18"/>
      <c r="IK239" s="18"/>
      <c r="IX239" s="18"/>
      <c r="IY239" s="18"/>
      <c r="IZ239" s="18"/>
      <c r="JA239" s="18"/>
      <c r="JB239" s="18"/>
      <c r="JC239" s="18"/>
    </row>
    <row r="240" spans="1:263" ht="15" customHeight="1">
      <c r="A240" s="2">
        <v>102020063</v>
      </c>
      <c r="B240" t="s">
        <v>1771</v>
      </c>
      <c r="J240" t="s">
        <v>554</v>
      </c>
      <c r="K240" t="s">
        <v>1709</v>
      </c>
      <c r="L240" t="s">
        <v>420</v>
      </c>
      <c r="M240" t="s">
        <v>650</v>
      </c>
      <c r="P240" t="s">
        <v>1709</v>
      </c>
      <c r="Q240" t="s">
        <v>1145</v>
      </c>
      <c r="R240" t="s">
        <v>354</v>
      </c>
      <c r="T240" s="1"/>
      <c r="AG240" s="248"/>
      <c r="AJ240" s="4"/>
      <c r="AK240" s="4"/>
      <c r="AO240" s="4"/>
      <c r="AP240" s="5"/>
      <c r="AS240" s="5"/>
      <c r="AT240" s="5"/>
      <c r="AU240" s="1"/>
      <c r="AV240" s="1"/>
      <c r="AW240" s="1"/>
      <c r="AX240" s="1"/>
      <c r="AY240" s="1"/>
      <c r="AZ240" s="1"/>
      <c r="BA240" s="1"/>
      <c r="BB240" s="1"/>
      <c r="BC240" s="1"/>
      <c r="BD240" s="1"/>
      <c r="BE240" s="1"/>
      <c r="BF240" s="1"/>
      <c r="BG240" s="5"/>
      <c r="BH240" s="16"/>
      <c r="BI240" s="16"/>
      <c r="BJ240" s="4"/>
      <c r="BK240" s="4"/>
      <c r="BL240" s="4"/>
      <c r="BM240" s="6"/>
      <c r="BN240" s="7"/>
      <c r="BO240" s="4"/>
      <c r="BP240" s="4"/>
      <c r="BQ240" s="4"/>
      <c r="BR240" s="4"/>
      <c r="BS240" s="6"/>
      <c r="BT240" s="7"/>
      <c r="BU240" s="4"/>
      <c r="BV240" s="4"/>
      <c r="BW240" s="4"/>
      <c r="BX240" s="4"/>
      <c r="BY240" s="6"/>
      <c r="BZ240" s="7"/>
      <c r="CA240" s="4"/>
      <c r="CB240" s="4"/>
      <c r="CC240" s="4"/>
      <c r="CD240" s="4"/>
      <c r="CE240" s="6"/>
      <c r="CF240" s="7"/>
      <c r="CG240" s="4"/>
      <c r="CH240" s="4"/>
      <c r="CI240" s="4"/>
      <c r="CJ240" s="4"/>
      <c r="CK240" s="6"/>
      <c r="CL240" s="7"/>
      <c r="CM240" s="4"/>
      <c r="CN240" s="4"/>
      <c r="CO240" s="4"/>
      <c r="CP240" s="4"/>
      <c r="CQ240" s="6"/>
      <c r="CR240" s="7"/>
      <c r="CS240" s="4"/>
      <c r="CT240" s="4"/>
      <c r="CU240" s="4"/>
      <c r="CV240" s="4"/>
      <c r="CW240" s="6"/>
      <c r="CX240" s="7"/>
      <c r="CY240" s="4"/>
      <c r="CZ240" s="4"/>
      <c r="DA240" s="4"/>
      <c r="DB240" s="4"/>
      <c r="DC240" s="4"/>
      <c r="DD240" s="3"/>
      <c r="DE240" s="4"/>
      <c r="DF240" s="234"/>
      <c r="DG240" s="4"/>
      <c r="DH240" s="4"/>
      <c r="DI240" s="4"/>
      <c r="DJ240" s="4"/>
      <c r="DK240" s="4"/>
      <c r="DL240" s="4"/>
      <c r="DM240" s="7"/>
      <c r="DN240" s="8"/>
      <c r="DO240" s="4"/>
      <c r="DP240" s="8"/>
      <c r="DQ240" s="8"/>
      <c r="DR240" s="8"/>
      <c r="DS240" s="35"/>
      <c r="EB240" s="11"/>
      <c r="EH240" s="11"/>
      <c r="EI240" s="11"/>
      <c r="EJ240" s="4"/>
      <c r="EK240" s="4"/>
      <c r="EL240" s="4"/>
      <c r="EM240" s="4"/>
      <c r="EN240" s="4"/>
      <c r="EO240" s="4"/>
      <c r="EP240" s="4"/>
      <c r="EQ240" s="4"/>
      <c r="ER240" s="4"/>
      <c r="ES240" s="4"/>
      <c r="ET240" s="4"/>
      <c r="EU240" s="4"/>
      <c r="EV240" s="4"/>
      <c r="EW240" s="4"/>
      <c r="EX240" s="4"/>
      <c r="FB240" s="9"/>
      <c r="FK240" s="9"/>
      <c r="FQ240" s="4"/>
      <c r="FV240" s="10"/>
      <c r="GF240" s="10"/>
      <c r="GU240" s="9"/>
      <c r="IC240" s="4"/>
      <c r="ID240" s="4"/>
      <c r="IE240" s="9"/>
    </row>
    <row r="241" spans="1:263" ht="15" customHeight="1">
      <c r="A241" s="2">
        <v>102024035</v>
      </c>
      <c r="B241" t="s">
        <v>5078</v>
      </c>
      <c r="C241" s="10"/>
      <c r="D241" s="161">
        <v>2025</v>
      </c>
      <c r="E241" s="147"/>
      <c r="F241" s="160"/>
      <c r="G241" s="147"/>
      <c r="H241" s="10"/>
      <c r="I241" s="10"/>
      <c r="J241" s="10" t="s">
        <v>253</v>
      </c>
      <c r="K241" s="10" t="s">
        <v>5175</v>
      </c>
      <c r="L241" s="10" t="s">
        <v>5176</v>
      </c>
      <c r="M241" s="10" t="s">
        <v>396</v>
      </c>
      <c r="N241" s="10"/>
      <c r="O241" s="147"/>
      <c r="P241" s="10"/>
      <c r="Q241" s="10"/>
      <c r="R241" s="10"/>
      <c r="S241" s="10"/>
      <c r="T241" s="10"/>
      <c r="U241" s="10"/>
      <c r="V241" s="10"/>
      <c r="W241" s="10"/>
      <c r="X241" s="10"/>
      <c r="Y241" s="10"/>
      <c r="Z241" s="10"/>
      <c r="AA241" s="10"/>
      <c r="AB241" s="10"/>
      <c r="AC241" s="10"/>
      <c r="AD241" s="10"/>
      <c r="AE241" s="10"/>
      <c r="AF241" s="10"/>
      <c r="AG241" s="141"/>
      <c r="AH241" s="10"/>
      <c r="AI241" s="10"/>
      <c r="AJ241" t="s">
        <v>328</v>
      </c>
      <c r="AK241" s="1"/>
      <c r="AL241" t="s">
        <v>290</v>
      </c>
      <c r="AM241"/>
      <c r="AN241"/>
      <c r="AO241" t="s">
        <v>5177</v>
      </c>
      <c r="AP241" s="1" t="s">
        <v>258</v>
      </c>
      <c r="AQ241" t="s">
        <v>290</v>
      </c>
      <c r="AR241" t="s">
        <v>260</v>
      </c>
      <c r="AX241" s="1"/>
      <c r="AY241" s="1"/>
      <c r="AZ241" s="1"/>
      <c r="BA241" s="1"/>
      <c r="BB241" s="1"/>
      <c r="BC241" s="70"/>
      <c r="BD241" s="115"/>
      <c r="BE241" s="144"/>
      <c r="BF241" s="70"/>
      <c r="BG241" s="2"/>
      <c r="BH241" s="70"/>
      <c r="BI241" s="70"/>
      <c r="BJ241" s="70"/>
      <c r="BK241" s="70"/>
      <c r="BL241" s="20">
        <f ca="1">SUM(EB241)+220</f>
        <v>339.06099999999998</v>
      </c>
      <c r="BM241" s="22">
        <f ca="1">PMT(10%/12,12,BL241,0,0)</f>
        <v>-29.808848640094279</v>
      </c>
      <c r="BN241" s="22">
        <f ca="1">SUM(BM241*-1)</f>
        <v>29.808848640094279</v>
      </c>
      <c r="BO241" s="14">
        <f>SUM(EJ241*0.0052)/12</f>
        <v>1.3</v>
      </c>
      <c r="BP241" s="22">
        <f ca="1">SUM(BN241+BO241)</f>
        <v>31.10884864009428</v>
      </c>
      <c r="BQ241" s="14">
        <v>0</v>
      </c>
      <c r="BR241" s="14">
        <f>SUM(BQ241*0.1)</f>
        <v>0</v>
      </c>
      <c r="BS241" s="14">
        <f ca="1">SUM(BT241*BU241)</f>
        <v>0</v>
      </c>
      <c r="BT241" s="17">
        <f>SUM((BQ241+BR241)*0.00833333333333333)</f>
        <v>0</v>
      </c>
      <c r="BU241" s="23">
        <f ca="1">MONTH(TODAY())+37</f>
        <v>41</v>
      </c>
      <c r="BV241" s="14">
        <f ca="1">SUM(BQ241,BR241,BS241)</f>
        <v>0</v>
      </c>
      <c r="BW241" s="14">
        <f>SUM(EG241*0.0052)</f>
        <v>15.6</v>
      </c>
      <c r="BX241" s="14">
        <f>SUM(BW241*0.1)</f>
        <v>1.56</v>
      </c>
      <c r="BY241" s="14">
        <f ca="1">SUM(BZ241*CA241)</f>
        <v>5.8629999999999969</v>
      </c>
      <c r="BZ241" s="17">
        <f>SUM((BW241+BX241)*0.00833333333333333)</f>
        <v>0.14299999999999993</v>
      </c>
      <c r="CA241" s="167">
        <f ca="1">MONTH(TODAY())+37</f>
        <v>41</v>
      </c>
      <c r="CB241" s="14">
        <f ca="1">SUM(BW241,BX241,BY241)</f>
        <v>23.022999999999996</v>
      </c>
      <c r="CC241" s="14">
        <f>SUM(EG241*0.0052)/2</f>
        <v>7.8</v>
      </c>
      <c r="CD241" s="14">
        <f>SUM(CC241*0.1)</f>
        <v>0.78</v>
      </c>
      <c r="CE241" s="14">
        <f ca="1">SUM(CF241*CG241)</f>
        <v>2.3594999999999988</v>
      </c>
      <c r="CF241" s="17">
        <f>SUM((CC241+CD241)*0.00833333333333333)</f>
        <v>7.1499999999999966E-2</v>
      </c>
      <c r="CG241" s="167">
        <f ca="1">MONTH(TODAY())+29</f>
        <v>33</v>
      </c>
      <c r="CH241" s="23">
        <f ca="1">SUM(CC241,CD241,CE241)</f>
        <v>10.939499999999999</v>
      </c>
      <c r="CI241" s="14">
        <f>SUM(EG241*0.0052)/2</f>
        <v>7.8</v>
      </c>
      <c r="CJ241" s="14">
        <f>SUM(CI241*0.1)</f>
        <v>0.78</v>
      </c>
      <c r="CK241" s="14">
        <f ca="1">SUM(CL241*CM241)</f>
        <v>2.0734999999999992</v>
      </c>
      <c r="CL241" s="17">
        <f>SUM((CI241+CJ241)*0.00833333333333333)</f>
        <v>7.1499999999999966E-2</v>
      </c>
      <c r="CM241" s="58">
        <f ca="1">MONTH(TODAY())+25</f>
        <v>29</v>
      </c>
      <c r="CN241" s="14">
        <f ca="1">SUM(CI241,CJ241,CK241)</f>
        <v>10.653499999999999</v>
      </c>
      <c r="CO241" s="14">
        <f>SUM(EJ241*0.0045)/2</f>
        <v>6.7499999999999991</v>
      </c>
      <c r="CP241" s="14">
        <f>SUM(CO241*0.1)</f>
        <v>0.67499999999999993</v>
      </c>
      <c r="CQ241" s="14">
        <f ca="1">SUM(CR241*CS241)</f>
        <v>1.4231249999999991</v>
      </c>
      <c r="CR241" s="17">
        <f>SUM((CO241+CP241)*0.00833333333333333)</f>
        <v>6.1874999999999965E-2</v>
      </c>
      <c r="CS241" s="58">
        <f ca="1">MONTH(TODAY())+19</f>
        <v>23</v>
      </c>
      <c r="CT241" s="14">
        <f ca="1">SUM(CO241,CP241,CQ241)</f>
        <v>8.8481249999999978</v>
      </c>
      <c r="CU241" s="14">
        <f>SUM(EJ241*0.0045)/2</f>
        <v>6.7499999999999991</v>
      </c>
      <c r="CV241" s="14">
        <f>SUM(CU241*0.1)</f>
        <v>0.67499999999999993</v>
      </c>
      <c r="CW241" s="14">
        <f ca="1">SUM(CX241*CY241)</f>
        <v>1.0518749999999994</v>
      </c>
      <c r="CX241" s="17">
        <f>SUM((CU241+CV241)*0.00833333333333333)</f>
        <v>6.1874999999999965E-2</v>
      </c>
      <c r="CY241" s="58">
        <f ca="1">MONTH(TODAY())+13</f>
        <v>17</v>
      </c>
      <c r="CZ241" s="14">
        <f ca="1">SUM(CU241,CV241,CW241)</f>
        <v>8.4768749999999979</v>
      </c>
      <c r="DA241" s="14">
        <f>SUM(EJ241*0.0045)/2</f>
        <v>6.7499999999999991</v>
      </c>
      <c r="DB241" s="14">
        <f>SUM(DA241*0.1)</f>
        <v>0.67499999999999993</v>
      </c>
      <c r="DC241" s="14">
        <f ca="1">SUM(DD241*DE241)</f>
        <v>0.68062499999999959</v>
      </c>
      <c r="DD241" s="17">
        <f>SUM((DA241+DB241)*0.00833333333333333)</f>
        <v>6.1874999999999965E-2</v>
      </c>
      <c r="DE241" s="58">
        <f ca="1">MONTH(TODAY())+7</f>
        <v>11</v>
      </c>
      <c r="DF241" s="14">
        <f ca="1">SUM(DA241,DB241,DC241)</f>
        <v>8.1056249999999981</v>
      </c>
      <c r="DG241" s="180">
        <f>SUM(EJ241*0.0045)/2</f>
        <v>6.7499999999999991</v>
      </c>
      <c r="DH241" s="14">
        <f>SUM(DG241*0.1)</f>
        <v>0.67499999999999993</v>
      </c>
      <c r="DI241" s="103">
        <f ca="1">SUM(DJ241*DK241)</f>
        <v>0.30937499999999984</v>
      </c>
      <c r="DJ241" s="17">
        <f>SUM((DG241+DH241)*0.00833333333333333)</f>
        <v>6.1874999999999965E-2</v>
      </c>
      <c r="DK241" s="58">
        <f ca="1">MONTH(TODAY())+1</f>
        <v>5</v>
      </c>
      <c r="DL241" s="14">
        <f ca="1">SUM(DG241,DH241,DI241)</f>
        <v>7.7343749999999991</v>
      </c>
      <c r="DM241" s="192">
        <f>SUM(BQ241, BW241, CC241,CI241,CO241,CU241,DA241,DG241)</f>
        <v>58.199999999999996</v>
      </c>
      <c r="DN241" s="192">
        <f>SUM(BR241,BX241, CD241,CJ241,CP241,CV241,DB241,DH241)</f>
        <v>5.8199999999999994</v>
      </c>
      <c r="DO241" s="192">
        <f ca="1">SUM(BS241,BY241, CE241,CK241,CQ241,CW241,DC241,DI241)</f>
        <v>13.760999999999992</v>
      </c>
      <c r="DP241" s="25">
        <f ca="1">SUM(DM241:DO241)</f>
        <v>77.780999999999992</v>
      </c>
      <c r="DQ241" s="47">
        <f ca="1">SUM(DP241/EG241)</f>
        <v>2.5926999999999999E-2</v>
      </c>
      <c r="DR241" s="14">
        <v>40</v>
      </c>
      <c r="DS241" s="32">
        <f>COUNTIF(AO241, "*")+COUNTIF(AJ241, "*")+COUNTIF(AA241, "*")+COUNTIF(EU241, "*")+COUNTIF(FA241, "*")+COUNTIF(FG241, "*")+COUNTIF(FK241, "*")+COUNTIF(FR241, "*")+COUNTIF(AT241, "*")+COUNTIF(GA241, "*")+COUNTIF(GL241, "*")+COUNTIF(GW241, "*")+COUNTIF(HE241, "*")+COUNTIF(HM241, "*")+COUNTIF(HU241, "*")</f>
        <v>2</v>
      </c>
      <c r="DT241" s="14">
        <f>DS241*0.64</f>
        <v>1.28</v>
      </c>
      <c r="DU241" s="4"/>
      <c r="DV241" s="4"/>
      <c r="DW241" s="4"/>
      <c r="DX241" s="4"/>
      <c r="DY241" s="4"/>
      <c r="DZ241" s="4"/>
      <c r="EA241" s="14">
        <f>SUM(DU241:DZ241)</f>
        <v>0</v>
      </c>
      <c r="EB241" s="103">
        <f ca="1">SUM(DP241,DR241,EA241,DT241,FX241)</f>
        <v>119.06099999999999</v>
      </c>
      <c r="EC241" s="24" t="s">
        <v>4944</v>
      </c>
      <c r="ED241" s="23">
        <f>0.07+0.07+0.07</f>
        <v>0.21000000000000002</v>
      </c>
      <c r="EE241" s="14">
        <f>1000+1000+1000</f>
        <v>3000</v>
      </c>
      <c r="EF241" s="14">
        <v>0</v>
      </c>
      <c r="EG241" s="14">
        <f>SUM(EE241+EF241)</f>
        <v>3000</v>
      </c>
      <c r="EH241" s="14">
        <f>1000+1000+1000</f>
        <v>3000</v>
      </c>
      <c r="EI241" s="14">
        <v>0</v>
      </c>
      <c r="EJ241" s="14">
        <f>SUM(EH241+EI241)</f>
        <v>3000</v>
      </c>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9"/>
      <c r="FP241" s="10"/>
      <c r="FQ241" s="10"/>
      <c r="FR241" s="10"/>
      <c r="FS241" s="10"/>
      <c r="FT241" s="10"/>
      <c r="FU241" s="10"/>
      <c r="FV241" s="9"/>
      <c r="FW241" s="10"/>
      <c r="FX241" s="10"/>
      <c r="FY241" s="10"/>
      <c r="FZ241" s="10"/>
      <c r="GA241" s="10"/>
      <c r="GB241" s="10"/>
      <c r="GC241" s="10"/>
      <c r="GD241" s="10"/>
      <c r="GE241" s="9"/>
      <c r="GF241" s="10"/>
      <c r="GG241" s="10"/>
      <c r="GH241" s="10"/>
      <c r="GI241" s="10"/>
      <c r="GJ241" s="10"/>
      <c r="GK241" s="10"/>
      <c r="GL241" s="10"/>
      <c r="GM241" s="10"/>
      <c r="GN241" s="10"/>
      <c r="GO241" s="10"/>
      <c r="GP241" s="9"/>
      <c r="GQ241" s="10"/>
      <c r="GR241" s="10"/>
      <c r="GS241" s="10"/>
      <c r="GT241" s="10"/>
      <c r="GU241" s="10"/>
      <c r="GV241" s="10"/>
      <c r="GW241" s="10"/>
      <c r="GX241" s="10"/>
      <c r="GY241" s="10"/>
      <c r="GZ241" s="10"/>
      <c r="HA241" s="9"/>
      <c r="HB241" s="10"/>
      <c r="HC241" s="10"/>
      <c r="HD241" s="10"/>
      <c r="HE241" s="10"/>
      <c r="HF241" s="10"/>
      <c r="HG241" s="10"/>
      <c r="HH241" s="10"/>
      <c r="HI241" s="9"/>
      <c r="HJ241" s="10"/>
      <c r="HK241" s="10"/>
      <c r="HL241" s="10"/>
      <c r="HM241" s="10"/>
      <c r="HN241" s="10"/>
      <c r="HO241" s="10"/>
      <c r="HP241" s="10"/>
      <c r="HQ241" s="9"/>
      <c r="HR241" s="10"/>
      <c r="HS241" s="10"/>
      <c r="HT241" s="10"/>
      <c r="HU241" s="10"/>
      <c r="HV241" s="10"/>
      <c r="HW241" s="10"/>
      <c r="HX241" s="10"/>
      <c r="HY241" s="9"/>
      <c r="HZ241" s="4"/>
      <c r="IA241" s="4"/>
      <c r="IB241" s="10"/>
      <c r="IC241" s="10"/>
      <c r="ID241" s="10"/>
      <c r="IE241" s="10"/>
      <c r="IF241" s="4"/>
      <c r="IG241" s="4"/>
      <c r="IH241" s="4"/>
      <c r="II241" s="4"/>
      <c r="IJ241" s="4"/>
      <c r="IK241" s="9"/>
      <c r="IL241" s="9"/>
      <c r="IM241" s="9"/>
      <c r="IN241" s="9"/>
      <c r="IO241" s="9"/>
      <c r="IP241" s="27" t="s">
        <v>5913</v>
      </c>
    </row>
    <row r="242" spans="1:263" ht="15" customHeight="1">
      <c r="A242" s="19">
        <v>102022021</v>
      </c>
      <c r="B242" t="s">
        <v>2787</v>
      </c>
      <c r="D242" s="1">
        <v>2024</v>
      </c>
      <c r="E242" s="3"/>
      <c r="F242" s="3"/>
      <c r="G242" t="s">
        <v>4529</v>
      </c>
      <c r="J242" t="s">
        <v>311</v>
      </c>
      <c r="K242" t="s">
        <v>1078</v>
      </c>
      <c r="L242" t="s">
        <v>4523</v>
      </c>
      <c r="M242" t="s">
        <v>469</v>
      </c>
      <c r="O242" s="3"/>
      <c r="AG242" s="43"/>
      <c r="AJ242" t="s">
        <v>328</v>
      </c>
      <c r="AL242" t="s">
        <v>290</v>
      </c>
      <c r="AM242"/>
      <c r="AN242"/>
      <c r="AO242" t="s">
        <v>4524</v>
      </c>
      <c r="AP242" s="3"/>
      <c r="AQ242" t="s">
        <v>290</v>
      </c>
      <c r="AR242" t="s">
        <v>260</v>
      </c>
      <c r="AX242" s="1"/>
      <c r="AY242" s="1"/>
      <c r="AZ242" s="1"/>
      <c r="BA242" s="1"/>
      <c r="BB242" s="1"/>
      <c r="BC242" s="2"/>
      <c r="BD242" s="116"/>
      <c r="BE242" s="115"/>
      <c r="BF242" s="2"/>
      <c r="BG242" s="2"/>
      <c r="BH242" s="2"/>
      <c r="BI242" s="2"/>
      <c r="BJ242" s="2"/>
      <c r="BK242" s="2"/>
      <c r="BL242" s="20">
        <f ca="1">SUM(DP242)+220</f>
        <v>363.78199999999998</v>
      </c>
      <c r="BM242" s="22">
        <f ca="1">PMT(10%/12,12,BL242,0,0)</f>
        <v>-31.98221728830735</v>
      </c>
      <c r="BN242" s="22">
        <f ca="1">SUM(BM242*-1)</f>
        <v>31.98221728830735</v>
      </c>
      <c r="BO242" s="14">
        <f>SUM(DX242*0.0052)/12</f>
        <v>1.3</v>
      </c>
      <c r="BP242" s="22">
        <f ca="1">SUM(BN242+BO242)</f>
        <v>33.282217288307351</v>
      </c>
      <c r="BQ242" s="14"/>
      <c r="BR242" s="14">
        <f>SUM(BQ242*0.1)</f>
        <v>0</v>
      </c>
      <c r="BS242" s="14">
        <f ca="1">SUM(BT242*BU242)</f>
        <v>0</v>
      </c>
      <c r="BT242" s="17">
        <f>SUM((BQ242+BR242)*0.00833333333333333)</f>
        <v>0</v>
      </c>
      <c r="BU242" s="23">
        <f ca="1">MONTH(TODAY())+49</f>
        <v>53</v>
      </c>
      <c r="BV242" s="14">
        <f ca="1">SUM(BQ242,BR242,BS242)</f>
        <v>0</v>
      </c>
      <c r="BW242" s="14">
        <f>SUM(DU242*0.0052)</f>
        <v>15.6</v>
      </c>
      <c r="BX242" s="14">
        <f>SUM(BW242*0.1)</f>
        <v>1.56</v>
      </c>
      <c r="BY242" s="14">
        <f ca="1">SUM(BZ242*CA242)</f>
        <v>5.8629999999999969</v>
      </c>
      <c r="BZ242" s="17">
        <f>SUM((BW242+BX242)*0.00833333333333333)</f>
        <v>0.14299999999999993</v>
      </c>
      <c r="CA242" s="23">
        <f ca="1">MONTH(TODAY())+37</f>
        <v>41</v>
      </c>
      <c r="CB242" s="14">
        <f ca="1">SUM(BW242,BX242,BY242)</f>
        <v>23.022999999999996</v>
      </c>
      <c r="CC242" s="14">
        <f>SUM(DU242*0.0052)</f>
        <v>15.6</v>
      </c>
      <c r="CD242" s="14">
        <f>SUM(CC242*0.1)</f>
        <v>1.56</v>
      </c>
      <c r="CE242" s="14">
        <f ca="1">SUM(CF242*CG242)</f>
        <v>4.1469999999999985</v>
      </c>
      <c r="CF242" s="17">
        <f>SUM((CC242+CD242)*0.00833333333333333)</f>
        <v>0.14299999999999993</v>
      </c>
      <c r="CG242" s="23">
        <f ca="1">MONTH(TODAY())+25</f>
        <v>29</v>
      </c>
      <c r="CH242" s="14">
        <f ca="1">SUM(CC242,CD242,CE242)</f>
        <v>21.306999999999999</v>
      </c>
      <c r="CI242" s="14">
        <f>SUM(DU242*0.0052)</f>
        <v>15.6</v>
      </c>
      <c r="CJ242" s="14">
        <f>SUM(CI242*0.1)</f>
        <v>1.56</v>
      </c>
      <c r="CK242" s="14">
        <f ca="1">SUM(CL242*CM242)</f>
        <v>2.4309999999999987</v>
      </c>
      <c r="CL242" s="17">
        <f>SUM((CI242+CJ242)*0.00833333333333333)</f>
        <v>0.14299999999999993</v>
      </c>
      <c r="CM242" s="23">
        <f ca="1">MONTH(TODAY())+13</f>
        <v>17</v>
      </c>
      <c r="CN242" s="14">
        <f ca="1">SUM(CI242,CJ242,CK242)</f>
        <v>19.590999999999998</v>
      </c>
      <c r="CO242" s="14">
        <f>SUM(DU242*0.0052)/2</f>
        <v>7.8</v>
      </c>
      <c r="CP242" s="14">
        <f>SUM(CO242*0.1)</f>
        <v>0.78</v>
      </c>
      <c r="CQ242" s="14">
        <f ca="1">SUM(CR242*CS242)</f>
        <v>0.64349999999999974</v>
      </c>
      <c r="CR242" s="17">
        <f>SUM((CO242+CP242)*0.00833333333333333)</f>
        <v>7.1499999999999966E-2</v>
      </c>
      <c r="CS242" s="23">
        <f ca="1">MONTH(TODAY())+5</f>
        <v>9</v>
      </c>
      <c r="CT242" s="23">
        <f ca="1">SUM(CO242,CP242,CQ242)</f>
        <v>9.2234999999999996</v>
      </c>
      <c r="CU242" s="14">
        <f>SUM(DU242*0.0052)/2</f>
        <v>7.8</v>
      </c>
      <c r="CV242" s="14">
        <f>SUM(CU242*0.1)</f>
        <v>0.78</v>
      </c>
      <c r="CW242" s="14">
        <f ca="1">SUM(CX242*CY242)</f>
        <v>0.35749999999999982</v>
      </c>
      <c r="CX242" s="17">
        <f>SUM((CU242+CV242)*0.00833333333333333)</f>
        <v>7.1499999999999966E-2</v>
      </c>
      <c r="CY242" s="23">
        <f ca="1">MONTH(TODAY())+1</f>
        <v>5</v>
      </c>
      <c r="CZ242" s="23">
        <f ca="1">SUM(CU242,CV242,CW242)</f>
        <v>8.9375</v>
      </c>
      <c r="DA242" s="14">
        <f>SUM( BQ242, BW242, CC242, CI242, CO242,CU242)</f>
        <v>62.399999999999991</v>
      </c>
      <c r="DB242" s="14">
        <f>SUM(BR242,BX242,CD242,CJ242, CP242,CV242)</f>
        <v>6.24</v>
      </c>
      <c r="DC242" s="14">
        <f ca="1">SUM(BS242,BY242,CE242,CK242, CQ242,CW242)</f>
        <v>13.441999999999993</v>
      </c>
      <c r="DD242" s="25">
        <f ca="1">SUM(DA242:DC242)</f>
        <v>82.081999999999979</v>
      </c>
      <c r="DE242" s="47">
        <f ca="1">SUM(DD242/DU242)</f>
        <v>2.7360666666666658E-2</v>
      </c>
      <c r="DF242" s="14">
        <f>19.5+20+20</f>
        <v>59.5</v>
      </c>
      <c r="DG242" s="32">
        <f>COUNTIF(DL242, "*")+COUNTIF(AO242, "*")+COUNTIF(AJ242, "*")+COUNTIF(AA242, "*")+COUNTIF(EM242, "*")+COUNTIF(ES242, "*")+COUNTIF(EY242, "*")+COUNTIF(FC242, "*")+COUNTIF(FJ242, "*")+COUNTIF(AT242, "*")+COUNTIF(FS242, "*")+COUNTIF(GD242, "*")+COUNTIF(GO242, "*")+COUNTIF(GW242, "*")+COUNTIF(HE242, "*")+COUNTIF(HM242, "*")+COUNTIF(HU242, "*")</f>
        <v>2</v>
      </c>
      <c r="DH242" s="14">
        <f>DG242*0.5+DG242*0.6</f>
        <v>2.2000000000000002</v>
      </c>
      <c r="DI242" s="4"/>
      <c r="DJ242" s="4"/>
      <c r="DK242" s="4"/>
      <c r="DL242" s="4"/>
      <c r="DN242" s="4"/>
      <c r="DO242" s="14">
        <f>SUM(DJ242:DN242)</f>
        <v>0</v>
      </c>
      <c r="DP242" s="14">
        <f ca="1">SUM(DD242,DF242,DO242, DI242, DH242,FP242)</f>
        <v>143.78199999999998</v>
      </c>
      <c r="DQ242" s="24" t="s">
        <v>2770</v>
      </c>
      <c r="DR242" s="7">
        <f>0.073*3</f>
        <v>0.21899999999999997</v>
      </c>
      <c r="DS242" s="4">
        <f>1000+1000+1000</f>
        <v>3000</v>
      </c>
      <c r="DT242" s="4">
        <v>0</v>
      </c>
      <c r="DU242" s="14">
        <f>SUM(DS242+DT242)</f>
        <v>3000</v>
      </c>
      <c r="DV242" s="14">
        <f>1000+1000+1000</f>
        <v>3000</v>
      </c>
      <c r="DW242" s="14">
        <v>0</v>
      </c>
      <c r="DX242" s="14">
        <f>SUM(DV242+DW242)</f>
        <v>3000</v>
      </c>
      <c r="IA242" s="9"/>
      <c r="IL242" s="14">
        <f ca="1">SUM(IB242-DP242-FP242-IJ242)</f>
        <v>-143.78199999999998</v>
      </c>
      <c r="IM242" s="9"/>
      <c r="IN242" s="9"/>
      <c r="IO242" s="9"/>
      <c r="IP242" s="9"/>
      <c r="IQ242" s="9"/>
    </row>
    <row r="243" spans="1:263" ht="15" customHeight="1">
      <c r="A243" s="19">
        <v>102021069</v>
      </c>
      <c r="B243" t="s">
        <v>2001</v>
      </c>
      <c r="F243" t="s">
        <v>2437</v>
      </c>
      <c r="G243">
        <v>210002342</v>
      </c>
      <c r="J243" t="s">
        <v>253</v>
      </c>
      <c r="K243" t="s">
        <v>2002</v>
      </c>
      <c r="L243" t="s">
        <v>2003</v>
      </c>
      <c r="M243" t="s">
        <v>326</v>
      </c>
      <c r="P243" t="s">
        <v>2002</v>
      </c>
      <c r="Q243" t="s">
        <v>971</v>
      </c>
      <c r="AC243" t="s">
        <v>2421</v>
      </c>
      <c r="AD243" t="s">
        <v>311</v>
      </c>
      <c r="AE243" s="3" t="s">
        <v>607</v>
      </c>
      <c r="AF243" s="272" t="s">
        <v>2422</v>
      </c>
      <c r="AG243" t="s">
        <v>2423</v>
      </c>
      <c r="AI243" t="s">
        <v>279</v>
      </c>
      <c r="AL243" s="3"/>
      <c r="AM243"/>
      <c r="AN243" s="1" t="s">
        <v>2195</v>
      </c>
      <c r="AO243" s="1" t="s">
        <v>258</v>
      </c>
      <c r="AP243" s="3" t="s">
        <v>267</v>
      </c>
      <c r="AQ243"/>
      <c r="AR243"/>
      <c r="AW243" s="48"/>
      <c r="AX243" s="48"/>
      <c r="AY243" s="70"/>
      <c r="AZ243" s="48"/>
      <c r="BA243" s="19"/>
      <c r="BB243" s="48"/>
      <c r="BC243" s="48"/>
      <c r="BD243" s="2"/>
      <c r="BE243" s="2"/>
      <c r="BF243" s="20"/>
      <c r="BG243" s="22"/>
      <c r="BH243" s="22"/>
      <c r="BI243" s="14"/>
      <c r="BJ243" s="22"/>
      <c r="BK243" s="14"/>
      <c r="BL243" s="14"/>
      <c r="BM243" s="14"/>
      <c r="BN243" s="17"/>
      <c r="BO243" s="23"/>
      <c r="BP243" s="14"/>
      <c r="BQ243" s="14"/>
      <c r="BR243" s="14"/>
      <c r="BS243" s="14"/>
      <c r="BT243" s="17"/>
      <c r="BU243" s="23"/>
      <c r="BV243" s="14"/>
      <c r="BW243" s="14"/>
      <c r="BX243" s="14"/>
      <c r="BY243" s="14"/>
      <c r="BZ243" s="17"/>
      <c r="CA243" s="23"/>
      <c r="CB243" s="14"/>
      <c r="CC243" s="14"/>
      <c r="CD243" s="14"/>
      <c r="CE243" s="14"/>
      <c r="CF243" s="17"/>
      <c r="CG243" s="23"/>
      <c r="CH243" s="14"/>
      <c r="CI243" s="14"/>
      <c r="CJ243" s="14"/>
      <c r="CK243" s="14"/>
      <c r="CL243" s="17"/>
      <c r="CM243" s="23"/>
      <c r="CN243" s="14"/>
      <c r="CO243" s="14"/>
      <c r="CP243" s="14"/>
      <c r="CQ243" s="14"/>
      <c r="CR243" s="17"/>
      <c r="CS243" s="23"/>
      <c r="CT243" s="14"/>
      <c r="CU243" s="14"/>
      <c r="CV243" s="14"/>
      <c r="CW243" s="14"/>
      <c r="CX243" s="17"/>
      <c r="CY243" s="23"/>
      <c r="CZ243" s="14"/>
      <c r="DA243" s="14"/>
      <c r="DB243" s="14"/>
      <c r="DC243" s="14"/>
      <c r="DD243" s="17"/>
      <c r="DE243" s="23"/>
      <c r="DF243" s="14"/>
      <c r="DG243" s="14"/>
      <c r="DH243" s="14">
        <f>SUM(BL243, BR243, BX243, CD243, CJ243, CP243,CV243,DB243)</f>
        <v>0</v>
      </c>
      <c r="DI243" s="14">
        <f>SUM(BM243, BS243, BY243, CE243, CK243, CQ243,CW243,DC243)</f>
        <v>0</v>
      </c>
      <c r="DJ243" s="14">
        <f>SUM(DG243:DI243)</f>
        <v>0</v>
      </c>
      <c r="DK243" s="47">
        <f>SUM(DJ243/DZ243)</f>
        <v>0</v>
      </c>
      <c r="DL243" s="14">
        <f>39+195+195+58.5</f>
        <v>487.5</v>
      </c>
      <c r="DM243" s="32">
        <f>COUNTIF(DS243, "*")+COUNTIF(AN243, "*")+COUNTIF(AJ243, "*")+COUNTIF(AA243, "*")+COUNTIF(EP243, "*")+COUNTIF(EV243, "*")+COUNTIF(FB243, "*")+COUNTIF(FF243, "*")+COUNTIF(FM243, "*")+COUNTIF(FU243, "*")+COUNTIF(GB243, "*")+COUNTIF(GM243, "*")+COUNTIF(GX243, "*")+COUNTIF(HF243, "*")+COUNTIF(HN243, "*")+COUNTIF(HV243, "*")+COUNTIF(ID243, "*")</f>
        <v>3</v>
      </c>
      <c r="DN243" s="14">
        <f>DM243*0.5+DM243*6.36</f>
        <v>20.580000000000002</v>
      </c>
      <c r="DO243" s="14">
        <v>150</v>
      </c>
      <c r="DP243" s="14">
        <f>SUM(DJ243,DL243,DV243, DO243, DN243,FY243)</f>
        <v>1542.36</v>
      </c>
      <c r="DQ243" s="14">
        <v>93.75</v>
      </c>
      <c r="DR243" s="14">
        <f>44.53+746</f>
        <v>790.53</v>
      </c>
      <c r="DS243" s="14"/>
      <c r="DT243" s="23"/>
      <c r="DU243" s="25"/>
      <c r="DV243" s="14">
        <f>SUM(DQ243:DU243)</f>
        <v>884.28</v>
      </c>
      <c r="DW243" s="24" t="s">
        <v>1997</v>
      </c>
      <c r="DX243" s="25">
        <v>26000</v>
      </c>
      <c r="DY243" s="25">
        <v>124600</v>
      </c>
      <c r="DZ243" s="25">
        <f>SUM(DX243+DY243)</f>
        <v>150600</v>
      </c>
      <c r="EA243" s="36">
        <v>0.69</v>
      </c>
      <c r="EB243" s="18" t="s">
        <v>2289</v>
      </c>
      <c r="EC243" t="s">
        <v>2290</v>
      </c>
      <c r="ED243" t="s">
        <v>2291</v>
      </c>
      <c r="FE243" t="s">
        <v>2294</v>
      </c>
      <c r="FF243" t="s">
        <v>2292</v>
      </c>
      <c r="FH243" t="s">
        <v>543</v>
      </c>
      <c r="FI243" t="s">
        <v>544</v>
      </c>
      <c r="FJ243" s="9">
        <v>40934</v>
      </c>
      <c r="FK243" t="s">
        <v>2293</v>
      </c>
      <c r="FL243" t="s">
        <v>2295</v>
      </c>
      <c r="FM243" t="s">
        <v>2296</v>
      </c>
      <c r="FO243" t="s">
        <v>274</v>
      </c>
      <c r="FP243" t="s">
        <v>275</v>
      </c>
      <c r="FQ243" s="9">
        <v>40934</v>
      </c>
      <c r="FR243" t="s">
        <v>2297</v>
      </c>
      <c r="IJ243" s="240"/>
      <c r="IM243" s="4"/>
      <c r="JC243" s="240"/>
    </row>
    <row r="244" spans="1:263" ht="15" customHeight="1">
      <c r="A244" s="19">
        <v>102021053</v>
      </c>
      <c r="B244" t="s">
        <v>2023</v>
      </c>
      <c r="J244" t="s">
        <v>311</v>
      </c>
      <c r="K244" t="s">
        <v>2024</v>
      </c>
      <c r="L244" t="s">
        <v>2025</v>
      </c>
      <c r="M244" t="s">
        <v>309</v>
      </c>
      <c r="AF244" s="3"/>
      <c r="AG244" s="272"/>
      <c r="AK244" s="3"/>
      <c r="AL244" s="3"/>
      <c r="AM244"/>
      <c r="AN244" s="1" t="s">
        <v>2178</v>
      </c>
      <c r="AO244" s="1" t="s">
        <v>258</v>
      </c>
      <c r="AP244" s="3" t="s">
        <v>267</v>
      </c>
      <c r="AQ244"/>
      <c r="AR244"/>
      <c r="AW244" s="48"/>
      <c r="AX244" s="48"/>
      <c r="AY244" s="70"/>
      <c r="AZ244" s="48"/>
      <c r="BA244" s="19"/>
      <c r="BB244" s="48"/>
      <c r="BC244" s="48"/>
      <c r="BD244" s="2"/>
      <c r="BE244" s="2"/>
      <c r="BF244" s="20"/>
      <c r="BG244" s="22"/>
      <c r="BH244" s="22"/>
      <c r="BI244" s="14"/>
      <c r="BJ244" s="14"/>
      <c r="BK244" s="14"/>
      <c r="BL244" s="17"/>
      <c r="BM244" s="23"/>
      <c r="BN244" s="14"/>
      <c r="BO244" s="14"/>
      <c r="BP244" s="14"/>
      <c r="BQ244" s="14"/>
      <c r="BR244" s="17"/>
      <c r="BS244" s="23"/>
      <c r="BT244" s="14"/>
      <c r="BU244" s="14"/>
      <c r="BV244" s="14"/>
      <c r="BW244" s="14"/>
      <c r="BX244" s="17"/>
      <c r="BY244" s="23"/>
      <c r="BZ244" s="14"/>
      <c r="CA244" s="14"/>
      <c r="CB244" s="14"/>
      <c r="CC244" s="14"/>
      <c r="CD244" s="17"/>
      <c r="CE244" s="23"/>
      <c r="CF244" s="14"/>
      <c r="CG244" s="14"/>
      <c r="CH244" s="14"/>
      <c r="CI244" s="14"/>
      <c r="CJ244" s="17"/>
      <c r="CK244" s="23"/>
      <c r="CL244" s="14"/>
      <c r="CM244" s="14"/>
      <c r="CN244" s="14"/>
      <c r="CO244" s="14"/>
      <c r="CP244" s="17"/>
      <c r="CQ244" s="23"/>
      <c r="CR244" s="14"/>
      <c r="CS244" s="14"/>
      <c r="CT244" s="14"/>
      <c r="CU244" s="14"/>
      <c r="CV244" s="17"/>
      <c r="CW244" s="23"/>
      <c r="CX244" s="14"/>
      <c r="CY244" s="14"/>
      <c r="CZ244" s="14"/>
      <c r="DA244" s="14"/>
      <c r="DB244" s="17"/>
      <c r="DC244" s="23"/>
      <c r="DD244" s="14"/>
      <c r="DE244" s="14"/>
      <c r="DF244" s="14"/>
      <c r="DG244" s="14"/>
      <c r="DH244" s="14">
        <f>SUM(DE244:DG244)</f>
        <v>0</v>
      </c>
      <c r="DI244" s="47">
        <f>SUM(DH244/DX244)</f>
        <v>0</v>
      </c>
      <c r="DJ244" s="14">
        <f>39+195+195</f>
        <v>429</v>
      </c>
      <c r="DK244" s="32">
        <f>COUNTIF(DQ244, "*")+COUNTIF(AN244, "*")+COUNTIF(AI244, "*")+COUNTIF(AA244, "*")+COUNTIF(EN244, "*")+COUNTIF(ET244, "*")+COUNTIF(EZ244, "*")+COUNTIF(FD244, "*")+COUNTIF(FK244, "*")+COUNTIF(FS244, "*")+COUNTIF(FZ244, "*")+COUNTIF(GK244, "*")+COUNTIF(GV244, "*")+COUNTIF(HD244, "*")+COUNTIF(HL244, "*")+COUNTIF(HT244, "*")+COUNTIF(IB244, "*")</f>
        <v>2</v>
      </c>
      <c r="DL244" s="14">
        <f>DK244*0.5+DK244*6.36</f>
        <v>13.72</v>
      </c>
      <c r="DM244" s="14">
        <v>150</v>
      </c>
      <c r="DN244" s="14">
        <f>SUM(DH244,DJ244,DT244, DM244, DL244,FW244)</f>
        <v>637.25</v>
      </c>
      <c r="DO244" s="14"/>
      <c r="DP244" s="14">
        <v>44.53</v>
      </c>
      <c r="DQ244" s="14"/>
      <c r="DR244" s="23"/>
      <c r="DS244" s="25"/>
      <c r="DT244" s="14">
        <f>SUM(DO244:DS244)</f>
        <v>44.53</v>
      </c>
      <c r="DU244" s="24" t="s">
        <v>1997</v>
      </c>
      <c r="DV244" s="25">
        <v>26000</v>
      </c>
      <c r="DW244" s="25">
        <v>120700</v>
      </c>
      <c r="DX244" s="25">
        <f>SUM(DV244+DW244)</f>
        <v>146700</v>
      </c>
      <c r="DY244" s="36">
        <v>0.41</v>
      </c>
      <c r="DZ244" s="18" t="s">
        <v>2274</v>
      </c>
      <c r="EA244" t="s">
        <v>2275</v>
      </c>
      <c r="FC244" t="s">
        <v>2276</v>
      </c>
      <c r="FD244" t="s">
        <v>2277</v>
      </c>
      <c r="FF244" t="s">
        <v>1331</v>
      </c>
      <c r="FG244" t="s">
        <v>2278</v>
      </c>
      <c r="FH244" s="9">
        <v>39625</v>
      </c>
      <c r="FI244" t="s">
        <v>2279</v>
      </c>
      <c r="IJ244" s="18"/>
      <c r="IK244" s="18"/>
      <c r="IL244" s="18"/>
      <c r="IM244" s="18"/>
      <c r="IN244" s="14"/>
      <c r="IO244" s="27">
        <v>44377</v>
      </c>
      <c r="IP244" s="18"/>
      <c r="IQ244" s="18"/>
      <c r="IR244" s="18"/>
      <c r="IS244" s="18"/>
      <c r="IT244" s="18"/>
      <c r="IU244" s="18"/>
      <c r="IV244" s="18"/>
      <c r="IW244" s="18"/>
      <c r="IX244" s="18"/>
    </row>
    <row r="245" spans="1:263" ht="15" customHeight="1">
      <c r="A245" s="19">
        <v>102022072</v>
      </c>
      <c r="B245" t="s">
        <v>2817</v>
      </c>
      <c r="D245" s="1"/>
      <c r="J245" t="s">
        <v>311</v>
      </c>
      <c r="K245" t="s">
        <v>3066</v>
      </c>
      <c r="L245" t="s">
        <v>3067</v>
      </c>
      <c r="M245" t="s">
        <v>428</v>
      </c>
      <c r="AG245" s="43"/>
      <c r="AM245"/>
      <c r="AN245"/>
      <c r="AO245" s="3" t="s">
        <v>3068</v>
      </c>
      <c r="AP245" s="3" t="s">
        <v>258</v>
      </c>
      <c r="AQ245" t="s">
        <v>267</v>
      </c>
      <c r="AR245" t="s">
        <v>260</v>
      </c>
      <c r="AS245" s="1"/>
      <c r="AT245" s="1"/>
      <c r="AU245" s="1"/>
      <c r="AV245" s="1"/>
      <c r="AW245" s="1"/>
      <c r="AX245" s="2"/>
      <c r="AY245" s="116"/>
      <c r="AZ245" s="115">
        <v>44649</v>
      </c>
      <c r="BA245" s="2"/>
      <c r="BB245" s="2"/>
      <c r="BC245" s="2"/>
      <c r="BD245" s="2"/>
      <c r="BE245" s="2"/>
      <c r="BF245" s="2"/>
      <c r="BG245" s="20">
        <f ca="1">SUM(CY245)+214.5</f>
        <v>1007.0326666666666</v>
      </c>
      <c r="BH245" s="22">
        <f ca="1">PMT(10%/12,12,BG245,0,0)</f>
        <v>-88.534170359602513</v>
      </c>
      <c r="BI245" s="22">
        <f ca="1">SUM(BH245*-1)</f>
        <v>88.534170359602513</v>
      </c>
      <c r="BJ245" s="14">
        <f>SUM(DI245*0.0052)/12</f>
        <v>12.133333333333333</v>
      </c>
      <c r="BK245" s="22">
        <f ca="1">SUM(BI245+BJ245)</f>
        <v>100.66750369293584</v>
      </c>
      <c r="BL245" s="14"/>
      <c r="BM245" s="14">
        <f>SUM(BL245*0.1)</f>
        <v>0</v>
      </c>
      <c r="BN245" s="14">
        <f ca="1">SUM(BO245*BP245)</f>
        <v>0</v>
      </c>
      <c r="BO245" s="17">
        <f>SUM((BL245+BM245)*0.00833333333333333)</f>
        <v>0</v>
      </c>
      <c r="BP245" s="23">
        <f ca="1">MONTH(TODAY())+49</f>
        <v>53</v>
      </c>
      <c r="BQ245" s="14">
        <f ca="1">SUM(BL245,BM245,BN245)</f>
        <v>0</v>
      </c>
      <c r="BR245" s="14"/>
      <c r="BS245" s="14">
        <f>SUM(BR245*0.1)</f>
        <v>0</v>
      </c>
      <c r="BT245" s="14">
        <f ca="1">SUM(BU245*BV245)</f>
        <v>0</v>
      </c>
      <c r="BU245" s="17">
        <f>SUM((BR245+BS245)*0.00833333333333333)</f>
        <v>0</v>
      </c>
      <c r="BV245" s="23">
        <f ca="1">MONTH(TODAY())+37</f>
        <v>41</v>
      </c>
      <c r="BW245" s="14">
        <f ca="1">SUM(BR245,BS245,BT245)</f>
        <v>0</v>
      </c>
      <c r="BX245" s="14"/>
      <c r="BY245" s="14">
        <f>SUM(BX245*0.1)</f>
        <v>0</v>
      </c>
      <c r="BZ245" s="14">
        <f ca="1">SUM(CA245*CB245)</f>
        <v>0</v>
      </c>
      <c r="CA245" s="17">
        <f>SUM((BX245+BY245)*0.00833333333333333)</f>
        <v>0</v>
      </c>
      <c r="CB245" s="23">
        <f ca="1">MONTH(TODAY())+25</f>
        <v>29</v>
      </c>
      <c r="CC245" s="14">
        <f ca="1">SUM(BX245,BY245,BZ245)</f>
        <v>0</v>
      </c>
      <c r="CD245" s="14">
        <f>SUM(DI245*0.0052)</f>
        <v>145.6</v>
      </c>
      <c r="CE245" s="14">
        <f>SUM(CD245*0.1)</f>
        <v>14.56</v>
      </c>
      <c r="CF245" s="14">
        <f ca="1">SUM(CG245*CH245)</f>
        <v>22.689333333333323</v>
      </c>
      <c r="CG245" s="17">
        <f>SUM((CD245+CE245)*0.00833333333333333)</f>
        <v>1.334666666666666</v>
      </c>
      <c r="CH245" s="23">
        <f ca="1">MONTH(TODAY())+13</f>
        <v>17</v>
      </c>
      <c r="CI245" s="14">
        <f ca="1">SUM(CD245,CE245,CF245)</f>
        <v>182.84933333333333</v>
      </c>
      <c r="CJ245" s="14">
        <f>SUM(DI245*0.0052)</f>
        <v>145.6</v>
      </c>
      <c r="CK245" s="14">
        <f>SUM(CJ245*0.1)</f>
        <v>14.56</v>
      </c>
      <c r="CL245" s="14">
        <f ca="1">SUM(CM245*CN245)</f>
        <v>6.6733333333333302</v>
      </c>
      <c r="CM245" s="17">
        <f>SUM((CJ245+CK245)*0.00833333333333333)</f>
        <v>1.334666666666666</v>
      </c>
      <c r="CN245" s="23">
        <f ca="1">MONTH(TODAY())+1</f>
        <v>5</v>
      </c>
      <c r="CO245" s="14">
        <f ca="1">SUM(CJ245,CK245,CL245)</f>
        <v>166.83333333333331</v>
      </c>
      <c r="CP245" s="14">
        <f>SUM(BL245, BR245,BX245,CD245,CJ245)</f>
        <v>291.2</v>
      </c>
      <c r="CQ245" s="14">
        <f>SUM(BM245, BS245,BY245,CE245,CK245)</f>
        <v>29.12</v>
      </c>
      <c r="CR245" s="14">
        <f ca="1">SUM(BN245, BT245,BZ245,CF245,CL245)</f>
        <v>29.362666666666655</v>
      </c>
      <c r="CS245" s="14">
        <f ca="1">SUM(CP245:CR245)</f>
        <v>349.68266666666665</v>
      </c>
      <c r="CT245" s="47">
        <f ca="1">SUM(CS245/DI245)</f>
        <v>1.2488666666666665E-2</v>
      </c>
      <c r="CU245" s="14">
        <f>19.5+19.5+195</f>
        <v>234</v>
      </c>
      <c r="CV245" s="32">
        <f>COUNTIF(DB245, "*")+COUNTIF(AO245, "*")+COUNTIF(AJ245, "*")+COUNTIF(AA245, "*")+COUNTIF(DY245, "*")+COUNTIF(EE245, "*")+COUNTIF(EK245, "*")+COUNTIF(EO245, "*")+COUNTIF(EV245, "*")+COUNTIF(FC245, "*")+COUNTIF(FJ245, "*")+COUNTIF(FU245, "*")+COUNTIF(GF245, "*")+COUNTIF(GN245, "*")+COUNTIF(GV245, "*")+COUNTIF(HD245, "*")+COUNTIF(HL245, "*")</f>
        <v>2</v>
      </c>
      <c r="CW245" s="14">
        <f>CV245*0.5+CV245*6.66</f>
        <v>14.32</v>
      </c>
      <c r="CX245" s="4">
        <v>150</v>
      </c>
      <c r="CY245" s="14">
        <f ca="1">SUM(CS245,CU245,DE245, CX245, CW245,FG245)</f>
        <v>792.53266666666661</v>
      </c>
      <c r="CZ245" s="14">
        <v>44.53</v>
      </c>
      <c r="DE245" s="14">
        <f>SUM(CZ245:DD245)</f>
        <v>44.53</v>
      </c>
      <c r="DF245" s="24" t="s">
        <v>2773</v>
      </c>
      <c r="DG245" s="4">
        <v>28000</v>
      </c>
      <c r="DH245" s="4">
        <v>0</v>
      </c>
      <c r="DI245" s="25">
        <f>SUM(DG245+DH245)</f>
        <v>28000</v>
      </c>
      <c r="DJ245" s="35">
        <v>0.42</v>
      </c>
      <c r="DK245" t="s">
        <v>3669</v>
      </c>
      <c r="DL245" t="s">
        <v>3670</v>
      </c>
      <c r="EN245" t="s">
        <v>3671</v>
      </c>
      <c r="EO245" t="s">
        <v>3672</v>
      </c>
      <c r="EQ245" t="s">
        <v>600</v>
      </c>
      <c r="ER245" t="s">
        <v>260</v>
      </c>
      <c r="ES245" s="9">
        <v>44006</v>
      </c>
      <c r="ET245" t="s">
        <v>3673</v>
      </c>
      <c r="IC245" s="4"/>
    </row>
    <row r="246" spans="1:263" ht="15" customHeight="1">
      <c r="A246" s="19">
        <v>102022167</v>
      </c>
      <c r="B246" t="s">
        <v>2896</v>
      </c>
      <c r="D246" s="1">
        <v>2025</v>
      </c>
      <c r="E246" s="3"/>
      <c r="F246" s="3"/>
      <c r="J246" t="s">
        <v>554</v>
      </c>
      <c r="K246" t="s">
        <v>2122</v>
      </c>
      <c r="L246" t="s">
        <v>1294</v>
      </c>
      <c r="M246" t="s">
        <v>309</v>
      </c>
      <c r="P246" t="s">
        <v>2122</v>
      </c>
      <c r="Q246" t="s">
        <v>3207</v>
      </c>
      <c r="R246" t="s">
        <v>354</v>
      </c>
      <c r="AG246" s="43"/>
      <c r="AJ246" s="18" t="s">
        <v>328</v>
      </c>
      <c r="AL246" t="s">
        <v>290</v>
      </c>
      <c r="AM246"/>
      <c r="AN246"/>
      <c r="AO246" s="3" t="s">
        <v>3206</v>
      </c>
      <c r="AP246" s="3" t="s">
        <v>258</v>
      </c>
      <c r="AQ246" t="s">
        <v>290</v>
      </c>
      <c r="AR246" t="s">
        <v>268</v>
      </c>
      <c r="AS246" s="1"/>
      <c r="AT246" s="1"/>
      <c r="AU246" s="1"/>
      <c r="AV246" s="1"/>
      <c r="AW246" s="1"/>
      <c r="AX246" s="2"/>
      <c r="AY246" s="116"/>
      <c r="AZ246" s="115"/>
      <c r="BA246" s="2"/>
      <c r="BB246" s="2"/>
      <c r="BC246" s="2"/>
      <c r="BD246" s="2"/>
      <c r="BE246" s="2"/>
      <c r="BF246" s="2"/>
      <c r="BG246" s="20">
        <f ca="1">SUM(DK246)+214.5</f>
        <v>324.38583333333332</v>
      </c>
      <c r="BH246" s="22">
        <f ca="1">PMT(10%/12,12,BG246,0,0)</f>
        <v>-28.518668342346022</v>
      </c>
      <c r="BI246" s="22">
        <f ca="1">SUM(BH246*-1)</f>
        <v>28.518668342346022</v>
      </c>
      <c r="BJ246" s="14">
        <f>SUM(DU246*0.0052)/12</f>
        <v>2.1666666666666665</v>
      </c>
      <c r="BK246" s="22">
        <f ca="1">SUM(BI246+BJ246)</f>
        <v>30.68533500901269</v>
      </c>
      <c r="BL246" s="14"/>
      <c r="BM246" s="14">
        <f>SUM(BL246*0.1)</f>
        <v>0</v>
      </c>
      <c r="BN246" s="14">
        <f ca="1">SUM(BO246*BP246)</f>
        <v>0</v>
      </c>
      <c r="BO246" s="17">
        <f>SUM((BL246+BM246)*0.00833333333333333)</f>
        <v>0</v>
      </c>
      <c r="BP246" s="23">
        <f ca="1">MONTH(TODAY())+49</f>
        <v>53</v>
      </c>
      <c r="BQ246" s="14">
        <f ca="1">SUM(BL246,BM246,BN246)</f>
        <v>0</v>
      </c>
      <c r="BR246" s="14"/>
      <c r="BS246" s="14">
        <f>SUM(BR246*0.1)</f>
        <v>0</v>
      </c>
      <c r="BT246" s="14">
        <f ca="1">SUM(BU246*BV246)</f>
        <v>0</v>
      </c>
      <c r="BU246" s="17">
        <f>SUM((BR246+BS246)*0.00833333333333333)</f>
        <v>0</v>
      </c>
      <c r="BV246" s="23">
        <f ca="1">MONTH(TODAY())+37</f>
        <v>41</v>
      </c>
      <c r="BW246" s="14">
        <f ca="1">SUM(BR246,BS246,BT246)</f>
        <v>0</v>
      </c>
      <c r="BX246" s="14"/>
      <c r="BY246" s="14">
        <f>SUM(BX246*0.1)</f>
        <v>0</v>
      </c>
      <c r="BZ246" s="14">
        <f ca="1">SUM(CA246*CB246)</f>
        <v>0</v>
      </c>
      <c r="CA246" s="17">
        <f>SUM((BX246+BY246)*0.00833333333333333)</f>
        <v>0</v>
      </c>
      <c r="CB246" s="23">
        <f ca="1">MONTH(TODAY())+25</f>
        <v>29</v>
      </c>
      <c r="CC246" s="14">
        <f ca="1">SUM(BX246,BY246,BZ246)</f>
        <v>0</v>
      </c>
      <c r="CD246" s="14">
        <f>SUM(DU246*0.0052)</f>
        <v>26</v>
      </c>
      <c r="CE246" s="14">
        <f>SUM(CD246*0.1)</f>
        <v>2.6</v>
      </c>
      <c r="CF246" s="14">
        <f ca="1">SUM(CG246*CH246)</f>
        <v>4.051666666666665</v>
      </c>
      <c r="CG246" s="17">
        <f>SUM((CD246+CE246)*0.00833333333333333)</f>
        <v>0.23833333333333323</v>
      </c>
      <c r="CH246" s="23">
        <f ca="1">MONTH(TODAY())+13</f>
        <v>17</v>
      </c>
      <c r="CI246" s="14">
        <f ca="1">SUM(CD246,CE246,CF246)</f>
        <v>32.651666666666664</v>
      </c>
      <c r="CJ246" s="14">
        <f>SUM(DU246*0.0052)</f>
        <v>26</v>
      </c>
      <c r="CK246" s="14">
        <f>SUM(CJ246*0.1)</f>
        <v>2.6</v>
      </c>
      <c r="CL246" s="14">
        <f ca="1">SUM(CM246*CN246)</f>
        <v>1.1916666666666662</v>
      </c>
      <c r="CM246" s="17">
        <f>SUM((CJ246+CK246)*0.00833333333333333)</f>
        <v>0.23833333333333323</v>
      </c>
      <c r="CN246" s="23">
        <f ca="1">MONTH(TODAY())+1</f>
        <v>5</v>
      </c>
      <c r="CO246" s="14">
        <f ca="1">SUM(CJ246,CK246,CL246)</f>
        <v>29.791666666666668</v>
      </c>
      <c r="CP246" s="14">
        <f>SUM(DU246*0.0052)/2</f>
        <v>13</v>
      </c>
      <c r="CQ246" s="14">
        <f>SUM(CP246*0.1)</f>
        <v>1.3</v>
      </c>
      <c r="CR246" s="14">
        <f ca="1">SUM(CS246*CT246)</f>
        <v>-0.35749999999999982</v>
      </c>
      <c r="CS246" s="17">
        <f>SUM((CP246+CQ246)*0.00833333333333333)</f>
        <v>0.11916666666666662</v>
      </c>
      <c r="CT246" s="23">
        <f ca="1">MONTH(TODAY())-7</f>
        <v>-3</v>
      </c>
      <c r="CU246" s="23">
        <f ca="1">SUM(CP246,CQ246,CR246)</f>
        <v>13.942500000000001</v>
      </c>
      <c r="CV246" s="14">
        <f>SUM(DU246*0.0052)/2</f>
        <v>13</v>
      </c>
      <c r="CW246" s="14">
        <v>0</v>
      </c>
      <c r="CX246" s="14">
        <v>0</v>
      </c>
      <c r="CY246" s="17">
        <f>SUM((CV246+CW246)*0.00833333333333333)</f>
        <v>0.10833333333333328</v>
      </c>
      <c r="CZ246" s="23">
        <f ca="1">MONTH(TODAY())-6</f>
        <v>-2</v>
      </c>
      <c r="DA246" s="23">
        <f>SUM(CV246,CW246,CX246)</f>
        <v>13</v>
      </c>
      <c r="DB246" s="14">
        <f>SUM(BL246, BR246, BX246, CD246, CJ246, CP246,CV246)</f>
        <v>78</v>
      </c>
      <c r="DC246" s="14">
        <f>SUM(BM246, BS246,BY246,CE246,CK246, CQ246,CW246)</f>
        <v>6.5</v>
      </c>
      <c r="DD246" s="14">
        <f ca="1">SUM(BN246, BT246,BZ246,CF246,CL246, CR246,CX246)</f>
        <v>4.8858333333333315</v>
      </c>
      <c r="DE246" s="14">
        <f ca="1">SUM(DB246:DD246)</f>
        <v>89.385833333333338</v>
      </c>
      <c r="DF246" s="47">
        <f ca="1">SUM(DE246/DU246)</f>
        <v>1.7877166666666666E-2</v>
      </c>
      <c r="DG246" s="14">
        <v>19.5</v>
      </c>
      <c r="DH246" s="32">
        <f>COUNTIF(DN246, "*")+COUNTIF(AO246, "*")+COUNTIF(AJ246, "*")+COUNTIF(AA246, "*")+COUNTIF(EK246, "*")+COUNTIF(EQ246, "*")+COUNTIF(EW246, "*")+COUNTIF(FA246, "*")+COUNTIF(FH246, "*")+COUNTIF(FO246, "*")+COUNTIF(FV246, "*")+COUNTIF(GG246, "*")+COUNTIF(GR246, "*")+COUNTIF(GZ246, "*")+COUNTIF(HH246, "*")+COUNTIF(HP246, "*")+COUNTIF(HX246, "*")</f>
        <v>2</v>
      </c>
      <c r="DI246" s="14">
        <f>DH246*0.5</f>
        <v>1</v>
      </c>
      <c r="DJ246" s="4"/>
      <c r="DK246" s="14">
        <f ca="1">SUM(DE246,DG246,DQ246, DJ246, DI246,FS246)</f>
        <v>109.88583333333334</v>
      </c>
      <c r="DL246" s="4"/>
      <c r="DM246" s="4"/>
      <c r="DN246" s="4"/>
      <c r="DP246" s="4"/>
      <c r="DQ246" s="14">
        <f>SUM(DL246:DP246)</f>
        <v>0</v>
      </c>
      <c r="DR246" s="24" t="s">
        <v>2773</v>
      </c>
      <c r="DS246" s="4">
        <v>5000</v>
      </c>
      <c r="DT246" s="4">
        <v>0</v>
      </c>
      <c r="DU246" s="25">
        <f>SUM(DS246+DT246)</f>
        <v>5000</v>
      </c>
      <c r="DV246" s="35">
        <v>0.26</v>
      </c>
      <c r="ID246" s="9"/>
      <c r="IO246" s="14">
        <f ca="1">SUM(IE246-DK246-FS246-IM246)</f>
        <v>-109.88583333333334</v>
      </c>
      <c r="IP246" s="9"/>
      <c r="IQ246" s="9"/>
      <c r="IR246" s="9"/>
      <c r="IS246" s="9"/>
      <c r="IT246" s="9"/>
    </row>
    <row r="247" spans="1:263" ht="15" customHeight="1">
      <c r="A247" s="2">
        <v>102020032</v>
      </c>
      <c r="B247" t="s">
        <v>1623</v>
      </c>
      <c r="J247" t="s">
        <v>434</v>
      </c>
      <c r="K247" t="s">
        <v>1624</v>
      </c>
      <c r="L247" t="s">
        <v>574</v>
      </c>
      <c r="M247" t="s">
        <v>357</v>
      </c>
      <c r="P247" t="s">
        <v>1624</v>
      </c>
      <c r="Q247" t="s">
        <v>1096</v>
      </c>
      <c r="R247" t="s">
        <v>326</v>
      </c>
      <c r="AG247" s="248"/>
      <c r="AY247" s="9"/>
      <c r="BG247" s="5"/>
      <c r="BH247" s="22"/>
      <c r="BI247" s="22"/>
      <c r="BJ247" s="14"/>
      <c r="BK247" s="14"/>
      <c r="BL247" s="14"/>
      <c r="BM247" s="17"/>
      <c r="BN247" s="23"/>
      <c r="BO247" s="14"/>
      <c r="BP247" s="14"/>
      <c r="BQ247" s="14"/>
      <c r="BR247" s="14"/>
      <c r="BS247" s="17"/>
      <c r="BT247" s="23"/>
      <c r="BU247" s="14"/>
      <c r="BV247" s="14"/>
      <c r="BW247" s="14"/>
      <c r="BX247" s="14"/>
      <c r="BY247" s="17"/>
      <c r="BZ247" s="23"/>
      <c r="CA247" s="14"/>
      <c r="CB247" s="14"/>
      <c r="CC247" s="14"/>
      <c r="CD247" s="14"/>
      <c r="CE247" s="17"/>
      <c r="CF247" s="23"/>
      <c r="CG247" s="14"/>
      <c r="CH247" s="14"/>
      <c r="CI247" s="14"/>
      <c r="CJ247" s="14"/>
      <c r="CK247" s="17"/>
      <c r="CL247" s="23"/>
      <c r="CM247" s="14"/>
      <c r="CN247" s="14"/>
      <c r="CO247" s="14"/>
      <c r="CP247" s="14"/>
      <c r="CQ247" s="17"/>
      <c r="CR247" s="23"/>
      <c r="CS247" s="14"/>
      <c r="CT247" s="4"/>
      <c r="CU247" s="14"/>
      <c r="CV247" s="14"/>
      <c r="CW247" s="17"/>
      <c r="CX247" s="23"/>
      <c r="CY247" s="14"/>
      <c r="CZ247" s="4"/>
      <c r="DA247" s="4"/>
      <c r="DB247" s="4"/>
      <c r="DC247" s="14"/>
      <c r="DD247" s="3"/>
      <c r="DE247" s="4"/>
      <c r="DF247" s="234"/>
      <c r="DG247" s="14"/>
      <c r="DH247" s="4"/>
      <c r="DI247" s="4"/>
      <c r="DJ247" s="4"/>
      <c r="DK247" s="4"/>
      <c r="DL247" s="14"/>
      <c r="DM247" s="23"/>
      <c r="DN247" s="25"/>
      <c r="DO247" s="14"/>
      <c r="DP247" s="25"/>
      <c r="DQ247" s="25"/>
      <c r="DR247" s="25"/>
      <c r="DS247" s="35"/>
      <c r="IL247" s="4"/>
      <c r="IM247" s="4"/>
      <c r="IW247" s="18"/>
      <c r="IX247" s="18"/>
      <c r="IY247" s="18"/>
    </row>
    <row r="248" spans="1:263" ht="15" customHeight="1">
      <c r="A248" s="2">
        <v>102019008</v>
      </c>
      <c r="B248" s="4" t="s">
        <v>1324</v>
      </c>
      <c r="C248" s="4"/>
      <c r="D248" s="3"/>
      <c r="E248" s="3"/>
      <c r="F248" s="3"/>
      <c r="G248" s="3"/>
      <c r="H248" s="3"/>
      <c r="J248" t="s">
        <v>305</v>
      </c>
      <c r="K248" t="s">
        <v>1215</v>
      </c>
      <c r="L248" t="s">
        <v>1216</v>
      </c>
      <c r="M248" t="s">
        <v>256</v>
      </c>
      <c r="O248" s="1"/>
      <c r="P248" t="s">
        <v>1215</v>
      </c>
      <c r="Q248" t="s">
        <v>1217</v>
      </c>
      <c r="R248" t="s">
        <v>326</v>
      </c>
      <c r="T248" s="1"/>
      <c r="AJ248" s="4"/>
      <c r="AO248" s="4"/>
      <c r="AP248" s="5"/>
      <c r="AS248" s="5"/>
      <c r="AT248" s="5"/>
      <c r="AU248" s="1"/>
      <c r="AV248" s="1"/>
      <c r="AW248" s="1"/>
      <c r="AX248" s="1"/>
      <c r="AY248" s="1"/>
      <c r="AZ248" s="1"/>
      <c r="BA248" s="1"/>
      <c r="BB248" s="1"/>
      <c r="BC248" s="1"/>
      <c r="BD248" s="1"/>
      <c r="BE248" s="1"/>
      <c r="BF248" s="1"/>
      <c r="BG248" s="5"/>
      <c r="BH248" s="16"/>
      <c r="BI248" s="16"/>
      <c r="BK248" s="4"/>
      <c r="BL248" s="4"/>
      <c r="BM248" s="6"/>
      <c r="BN248" s="7"/>
      <c r="BO248" s="4"/>
      <c r="BP248" s="4"/>
      <c r="BQ248" s="4"/>
      <c r="BR248" s="4"/>
      <c r="BS248" s="6"/>
      <c r="BT248" s="7"/>
      <c r="BU248" s="4"/>
      <c r="BV248" s="4"/>
      <c r="BW248" s="4"/>
      <c r="BX248" s="4"/>
      <c r="BY248" s="6"/>
      <c r="BZ248" s="7"/>
      <c r="CA248" s="4"/>
      <c r="CB248" s="4"/>
      <c r="CC248" s="4"/>
      <c r="CD248" s="4"/>
      <c r="CE248" s="6"/>
      <c r="CF248" s="7"/>
      <c r="CG248" s="4"/>
      <c r="CH248" s="4"/>
      <c r="CI248" s="4"/>
      <c r="CJ248" s="4"/>
      <c r="CK248" s="6"/>
      <c r="CL248" s="7"/>
      <c r="CM248" s="4"/>
      <c r="CN248" s="4"/>
      <c r="CO248" s="4"/>
      <c r="CP248" s="4"/>
      <c r="CQ248" s="6"/>
      <c r="CR248" s="7"/>
      <c r="CS248" s="4"/>
      <c r="CT248" s="4"/>
      <c r="CU248" s="4"/>
      <c r="CV248" s="4"/>
      <c r="CW248" s="6"/>
      <c r="CX248" s="7"/>
      <c r="CY248" s="4"/>
      <c r="CZ248" s="4"/>
      <c r="DA248" s="4"/>
      <c r="DB248" s="4"/>
      <c r="DC248" s="6"/>
      <c r="DD248" s="7"/>
      <c r="DE248" s="4"/>
      <c r="DF248" s="4"/>
      <c r="DG248" s="4"/>
      <c r="DH248" s="14"/>
      <c r="DI248" s="14"/>
      <c r="DJ248" s="4"/>
      <c r="DK248" s="3"/>
      <c r="DL248" s="4"/>
      <c r="DM248" s="234"/>
      <c r="DN248" s="4"/>
      <c r="DO248" s="4"/>
      <c r="DP248" s="4"/>
      <c r="DQ248" s="4"/>
      <c r="DR248" s="4"/>
      <c r="DS248" s="4"/>
      <c r="DT248" s="7"/>
      <c r="DU248" s="8"/>
      <c r="DV248" s="4"/>
      <c r="DW248" s="4"/>
      <c r="DX248" s="4"/>
      <c r="DY248" s="4"/>
      <c r="DZ248" s="33"/>
      <c r="EA248" s="251"/>
      <c r="EB248" s="251"/>
      <c r="EI248" s="11"/>
      <c r="EO248" s="11"/>
      <c r="EP248" s="11"/>
      <c r="EQ248" s="4"/>
      <c r="ER248" s="4"/>
      <c r="ES248" s="4"/>
      <c r="ET248" s="4"/>
      <c r="EU248" s="4"/>
      <c r="EV248" s="4"/>
      <c r="EW248" s="4"/>
      <c r="EX248" s="4"/>
      <c r="EY248" s="4"/>
      <c r="EZ248" s="4"/>
      <c r="FA248" s="4"/>
      <c r="FB248" s="4"/>
      <c r="FC248" s="4"/>
      <c r="FD248" s="4"/>
      <c r="FE248" s="4"/>
      <c r="FI248" s="9"/>
      <c r="FR248" s="9"/>
      <c r="FX248" s="4"/>
      <c r="GC248" s="10"/>
      <c r="GM248" s="10"/>
      <c r="HB248" s="9"/>
      <c r="II248" s="9"/>
      <c r="IJ248" s="4"/>
      <c r="IK248" s="4"/>
      <c r="IO248" s="4"/>
      <c r="IP248" s="4">
        <v>10188.879999999999</v>
      </c>
    </row>
    <row r="249" spans="1:263" ht="15" customHeight="1">
      <c r="A249" s="19">
        <v>102019008</v>
      </c>
      <c r="B249" s="18" t="s">
        <v>1324</v>
      </c>
      <c r="D249" s="1">
        <v>2025</v>
      </c>
      <c r="E249" s="3"/>
      <c r="F249" s="3"/>
      <c r="J249" s="18" t="s">
        <v>554</v>
      </c>
      <c r="K249" s="18" t="s">
        <v>1215</v>
      </c>
      <c r="L249" s="130" t="s">
        <v>1216</v>
      </c>
      <c r="M249" s="130" t="s">
        <v>256</v>
      </c>
      <c r="N249" s="18"/>
      <c r="O249" s="252"/>
      <c r="P249" s="130" t="s">
        <v>1215</v>
      </c>
      <c r="Q249" s="130" t="s">
        <v>1217</v>
      </c>
      <c r="R249" s="130" t="s">
        <v>326</v>
      </c>
      <c r="S249" s="130"/>
      <c r="AG249" s="43"/>
      <c r="AJ249" s="18"/>
      <c r="AK249" s="18"/>
      <c r="AL249" s="18"/>
      <c r="AM249" s="18"/>
      <c r="AN249" s="18"/>
      <c r="AO249" s="18" t="s">
        <v>4128</v>
      </c>
      <c r="AP249" s="18" t="s">
        <v>258</v>
      </c>
      <c r="AQ249" s="18" t="s">
        <v>290</v>
      </c>
      <c r="AR249" s="18" t="s">
        <v>260</v>
      </c>
      <c r="AX249" s="1"/>
      <c r="AY249" s="1"/>
      <c r="AZ249" s="1"/>
      <c r="BA249" s="1"/>
      <c r="BB249" s="1"/>
      <c r="BC249" s="2"/>
      <c r="BD249" s="116"/>
      <c r="BE249" s="115"/>
      <c r="BF249" s="2"/>
      <c r="BG249" s="2"/>
      <c r="BH249" s="2"/>
      <c r="BI249" s="2"/>
      <c r="BJ249" s="2"/>
      <c r="BK249" s="2"/>
      <c r="BL249" s="20">
        <f ca="1">SUM(DP249)+220</f>
        <v>265.76800000000003</v>
      </c>
      <c r="BM249" s="22">
        <f ca="1">PMT(10%/12,12,BL249,0,0)</f>
        <v>-23.365229517345192</v>
      </c>
      <c r="BN249" s="22">
        <f ca="1">SUM(BM249*-1)</f>
        <v>23.365229517345192</v>
      </c>
      <c r="BO249" s="14">
        <f>SUM(DX249*0.0052)/12</f>
        <v>0.95333333333333325</v>
      </c>
      <c r="BP249" s="22">
        <f ca="1">SUM(BN249+BO249)</f>
        <v>24.318562850678525</v>
      </c>
      <c r="BQ249" s="14"/>
      <c r="BR249" s="14">
        <f>SUM(BQ249*0.1)</f>
        <v>0</v>
      </c>
      <c r="BS249" s="14">
        <f ca="1">SUM(BT249*BU249)</f>
        <v>0</v>
      </c>
      <c r="BT249" s="17">
        <f>SUM((BQ249+BR249)*0.00833333333333333)</f>
        <v>0</v>
      </c>
      <c r="BU249" s="23">
        <f ca="1">MONTH(TODAY())+49</f>
        <v>53</v>
      </c>
      <c r="BV249" s="14">
        <f ca="1">SUM(BQ249,BR249,BS249)</f>
        <v>0</v>
      </c>
      <c r="BW249" s="14"/>
      <c r="BX249" s="14">
        <f>SUM(BW249*0.1)</f>
        <v>0</v>
      </c>
      <c r="BY249" s="14">
        <f ca="1">SUM(BZ249*CA249)</f>
        <v>0</v>
      </c>
      <c r="BZ249" s="17">
        <f>SUM((BW249+BX249)*0.00833333333333333)</f>
        <v>0</v>
      </c>
      <c r="CA249" s="23">
        <f ca="1">MONTH(TODAY())+37</f>
        <v>41</v>
      </c>
      <c r="CB249" s="14">
        <f ca="1">SUM(BW249,BX249,BY249)</f>
        <v>0</v>
      </c>
      <c r="CC249" s="14">
        <v>0</v>
      </c>
      <c r="CD249" s="14">
        <f>SUM(CC249*0.1)</f>
        <v>0</v>
      </c>
      <c r="CE249" s="14">
        <f ca="1">SUM(CF249*CG249)</f>
        <v>0</v>
      </c>
      <c r="CF249" s="17">
        <f>SUM((CC249+CD249)*0.00833333333333333)</f>
        <v>0</v>
      </c>
      <c r="CG249" s="23">
        <f ca="1">MONTH(TODAY())+25</f>
        <v>29</v>
      </c>
      <c r="CH249" s="14">
        <f ca="1">SUM(CC249,CD249,CE249)</f>
        <v>0</v>
      </c>
      <c r="CI249" s="14">
        <f>SUM(DU249*0.0052)</f>
        <v>10.4</v>
      </c>
      <c r="CJ249" s="14">
        <f>SUM(CI249*0.1)</f>
        <v>1.04</v>
      </c>
      <c r="CK249" s="14">
        <f ca="1">SUM(CL249*CM249)</f>
        <v>1.620666666666666</v>
      </c>
      <c r="CL249" s="17">
        <f>SUM((CI249+CJ249)*0.00833333333333333)</f>
        <v>9.5333333333333298E-2</v>
      </c>
      <c r="CM249" s="23">
        <f ca="1">MONTH(TODAY())+13</f>
        <v>17</v>
      </c>
      <c r="CN249" s="14">
        <f ca="1">SUM(CI249,CJ249,CK249)</f>
        <v>13.060666666666668</v>
      </c>
      <c r="CO249" s="14">
        <f>SUM(DU249*0.0052)/2</f>
        <v>5.2</v>
      </c>
      <c r="CP249" s="14">
        <f>SUM(CO249*0.1)</f>
        <v>0.52</v>
      </c>
      <c r="CQ249" s="14">
        <f ca="1">SUM(CR249*CS249)</f>
        <v>0.42899999999999983</v>
      </c>
      <c r="CR249" s="17">
        <f>SUM((CO249+CP249)*0.00833333333333333)</f>
        <v>4.7666666666666649E-2</v>
      </c>
      <c r="CS249" s="23">
        <f ca="1">MONTH(TODAY())+5</f>
        <v>9</v>
      </c>
      <c r="CT249" s="23">
        <f ca="1">SUM(CO249,CP249,CQ249)</f>
        <v>6.1490000000000009</v>
      </c>
      <c r="CU249" s="14">
        <f>SUM(DU249*0.0052)/2</f>
        <v>5.2</v>
      </c>
      <c r="CV249" s="14">
        <f>SUM(CU249*0.1)</f>
        <v>0.52</v>
      </c>
      <c r="CW249" s="14">
        <f ca="1">SUM(CX249*CY249)</f>
        <v>0.23833333333333323</v>
      </c>
      <c r="CX249" s="17">
        <f>SUM((CU249+CV249)*0.00833333333333333)</f>
        <v>4.7666666666666649E-2</v>
      </c>
      <c r="CY249" s="23">
        <f ca="1">MONTH(TODAY())+1</f>
        <v>5</v>
      </c>
      <c r="CZ249" s="23">
        <f ca="1">SUM(CU249,CV249,CW249)</f>
        <v>5.9583333333333339</v>
      </c>
      <c r="DA249" s="14">
        <f>SUM( BQ249, BW249, CC249, CI249, CO249,CU249)</f>
        <v>20.8</v>
      </c>
      <c r="DB249" s="14">
        <f>SUM(BR249,BX249,CD249,CJ249, CP249,CV249)</f>
        <v>2.08</v>
      </c>
      <c r="DC249" s="14">
        <f ca="1">SUM(BS249,BY249,CE249,CK249, CQ249,CW249)</f>
        <v>2.2879999999999994</v>
      </c>
      <c r="DD249" s="25">
        <f ca="1">SUM(DA249:DC249)</f>
        <v>25.168000000000003</v>
      </c>
      <c r="DE249" s="47">
        <f ca="1">SUM(DD249/DU249)</f>
        <v>1.2584000000000001E-2</v>
      </c>
      <c r="DF249" s="14">
        <v>20</v>
      </c>
      <c r="DG249" s="32">
        <f>COUNTIF(DL249, "*")+COUNTIF(AO249, "*")+COUNTIF(AJ249, "*")+COUNTIF(AA249, "*")+COUNTIF(EM249, "*")+COUNTIF(ES249, "*")+COUNTIF(EY249, "*")+COUNTIF(FC249, "*")+COUNTIF(FJ249, "*")+COUNTIF(AT249, "*")+COUNTIF(FS249, "*")+COUNTIF(GD249, "*")+COUNTIF(GO249, "*")+COUNTIF(GW249, "*")+COUNTIF(HE249, "*")+COUNTIF(HM249, "*")+COUNTIF(HU249, "*")</f>
        <v>1</v>
      </c>
      <c r="DH249" s="14">
        <f>DG249*0.6</f>
        <v>0.6</v>
      </c>
      <c r="DI249" s="4"/>
      <c r="DJ249" s="4"/>
      <c r="DK249" s="4"/>
      <c r="DL249" s="4"/>
      <c r="DN249" s="4"/>
      <c r="DO249" s="14">
        <f>SUM(DJ249:DN249)</f>
        <v>0</v>
      </c>
      <c r="DP249" s="14">
        <f ca="1">SUM(DD249,DF249,DO249, DI249, DH249,FP249)</f>
        <v>45.768000000000008</v>
      </c>
      <c r="DQ249" s="24" t="s">
        <v>3879</v>
      </c>
      <c r="DR249" s="23">
        <v>0.6</v>
      </c>
      <c r="DS249" s="14">
        <v>2000</v>
      </c>
      <c r="DT249" s="14">
        <v>0</v>
      </c>
      <c r="DU249" s="14">
        <v>2000</v>
      </c>
      <c r="DV249" s="14">
        <v>2200</v>
      </c>
      <c r="DW249" s="14">
        <v>0</v>
      </c>
      <c r="DX249" s="14">
        <f>SUM(DV249+DW249)</f>
        <v>2200</v>
      </c>
      <c r="IA249" s="9"/>
      <c r="IL249" s="4"/>
      <c r="IM249" s="9"/>
      <c r="IN249" s="9"/>
      <c r="IO249" s="9"/>
      <c r="IP249" s="9"/>
      <c r="IQ249" s="9"/>
    </row>
    <row r="250" spans="1:263" ht="15" customHeight="1">
      <c r="A250" s="2">
        <v>102018065</v>
      </c>
      <c r="B250" s="4" t="s">
        <v>1214</v>
      </c>
      <c r="C250" s="4"/>
      <c r="D250" s="3"/>
      <c r="E250" s="3"/>
      <c r="F250" s="2"/>
      <c r="G250">
        <v>190001457</v>
      </c>
      <c r="J250" t="s">
        <v>305</v>
      </c>
      <c r="K250" t="s">
        <v>1215</v>
      </c>
      <c r="L250" t="s">
        <v>1216</v>
      </c>
      <c r="M250" t="s">
        <v>256</v>
      </c>
      <c r="O250" s="1"/>
      <c r="P250" t="s">
        <v>1215</v>
      </c>
      <c r="Q250" t="s">
        <v>1217</v>
      </c>
      <c r="R250" t="s">
        <v>326</v>
      </c>
      <c r="T250" s="1"/>
      <c r="AF250" s="1"/>
      <c r="AH250" s="3"/>
      <c r="AJ250" s="4"/>
      <c r="AK250" s="4"/>
      <c r="AM250" s="34"/>
      <c r="AO250" s="4"/>
      <c r="AP250" s="5"/>
      <c r="AQ250" s="34"/>
      <c r="AS250" s="5"/>
      <c r="AT250" s="5"/>
      <c r="AU250" s="1"/>
      <c r="AV250" s="1"/>
      <c r="AW250" s="1"/>
      <c r="AX250" s="1"/>
      <c r="AY250" s="1"/>
      <c r="AZ250" s="1"/>
      <c r="BA250" s="1"/>
      <c r="BB250" s="1"/>
      <c r="BC250" s="1"/>
      <c r="BD250" s="1"/>
      <c r="BE250" s="1"/>
      <c r="BF250" s="1"/>
      <c r="BG250" s="5"/>
      <c r="BH250" s="16"/>
      <c r="BI250" s="16"/>
      <c r="BK250" s="4"/>
      <c r="BL250" s="4"/>
      <c r="BM250" s="6"/>
      <c r="BN250" s="7"/>
      <c r="BO250" s="4"/>
      <c r="BQ250" s="4"/>
      <c r="BR250" s="4"/>
      <c r="BS250" s="6"/>
      <c r="BT250" s="7"/>
      <c r="BU250" s="4"/>
      <c r="BW250" s="4"/>
      <c r="BX250" s="4"/>
      <c r="BY250" s="6"/>
      <c r="BZ250" s="7"/>
      <c r="CA250" s="4"/>
      <c r="CB250" s="4"/>
      <c r="CC250" s="4"/>
      <c r="CD250" s="4"/>
      <c r="CE250" s="6"/>
      <c r="CF250" s="7"/>
      <c r="CG250" s="4"/>
      <c r="CH250" s="6"/>
      <c r="CI250" s="4"/>
      <c r="CJ250" s="4"/>
      <c r="CK250" s="6"/>
      <c r="CL250" s="7"/>
      <c r="CM250" s="4"/>
      <c r="CN250" s="4"/>
      <c r="CO250" s="4"/>
      <c r="CP250" s="4"/>
      <c r="CQ250" s="6"/>
      <c r="CR250" s="7"/>
      <c r="CS250" s="4"/>
      <c r="CT250" s="4"/>
      <c r="CU250" s="4"/>
      <c r="CV250" s="4"/>
      <c r="CW250" s="6"/>
      <c r="CX250" s="7"/>
      <c r="CY250" s="4"/>
      <c r="CZ250" s="4"/>
      <c r="DA250" s="4"/>
      <c r="DB250" s="4"/>
      <c r="DC250" s="6"/>
      <c r="DD250" s="7"/>
      <c r="DE250" s="4"/>
      <c r="DF250" s="4"/>
      <c r="DG250" s="4"/>
      <c r="DH250" s="4"/>
      <c r="DI250" s="6"/>
      <c r="DJ250" s="7"/>
      <c r="DK250" s="4"/>
      <c r="DL250" s="4"/>
      <c r="DM250" s="4"/>
      <c r="DN250" s="4"/>
      <c r="DO250" s="4"/>
      <c r="DP250" s="4"/>
      <c r="DR250" s="4"/>
      <c r="DS250" s="4"/>
      <c r="DT250" s="4"/>
      <c r="DU250" s="4"/>
      <c r="DV250" s="4"/>
      <c r="DW250" s="4"/>
      <c r="DX250" s="4"/>
      <c r="DY250" s="7"/>
      <c r="DZ250" s="4"/>
      <c r="EA250" s="4"/>
      <c r="EB250" s="34"/>
      <c r="EC250" s="4"/>
      <c r="ED250" s="4"/>
      <c r="EM250" s="11"/>
      <c r="ES250" s="11"/>
      <c r="ET250" s="11"/>
      <c r="EU250" s="4"/>
      <c r="EV250" s="4"/>
      <c r="EW250" s="4"/>
      <c r="EX250" s="4"/>
      <c r="EY250" s="4"/>
      <c r="EZ250" s="4"/>
      <c r="FA250" s="4"/>
      <c r="FB250" s="4"/>
      <c r="FC250" s="4"/>
      <c r="FD250" s="4"/>
      <c r="FE250" s="4"/>
      <c r="FF250" s="4"/>
      <c r="FG250" s="4"/>
      <c r="FH250" s="4"/>
      <c r="FL250" s="9"/>
      <c r="FU250" s="9"/>
      <c r="GE250" s="10"/>
      <c r="GO250" s="10"/>
      <c r="HD250" s="9"/>
      <c r="IP250" s="4">
        <v>278</v>
      </c>
      <c r="IV250" s="9">
        <v>42696</v>
      </c>
    </row>
    <row r="251" spans="1:263" ht="15" customHeight="1">
      <c r="A251" s="2">
        <v>102019060</v>
      </c>
      <c r="B251" s="4" t="s">
        <v>1385</v>
      </c>
      <c r="C251" s="1"/>
      <c r="D251" s="1"/>
      <c r="E251" s="3"/>
      <c r="F251" s="2"/>
      <c r="G251" s="2"/>
      <c r="H251" s="2"/>
      <c r="J251" t="s">
        <v>554</v>
      </c>
      <c r="K251" t="s">
        <v>1386</v>
      </c>
      <c r="L251" t="s">
        <v>1387</v>
      </c>
      <c r="M251" t="s">
        <v>763</v>
      </c>
      <c r="O251" s="1"/>
      <c r="P251" t="s">
        <v>1386</v>
      </c>
      <c r="Q251" t="s">
        <v>1388</v>
      </c>
      <c r="R251" t="s">
        <v>850</v>
      </c>
      <c r="T251" s="1"/>
      <c r="W251" s="1"/>
      <c r="AD251" s="3"/>
      <c r="AG251" s="272"/>
      <c r="AJ251" s="4"/>
      <c r="AK251" s="4"/>
      <c r="AO251" s="4"/>
      <c r="AP251" s="5"/>
      <c r="AS251" s="5"/>
      <c r="AT251" s="5"/>
      <c r="AU251" s="1"/>
      <c r="AV251" s="1"/>
      <c r="AW251" s="1"/>
      <c r="AX251" s="1"/>
      <c r="AY251" s="1"/>
      <c r="AZ251" s="1"/>
      <c r="BA251" s="1"/>
      <c r="BB251" s="1"/>
      <c r="BC251" s="1"/>
      <c r="BD251" s="1"/>
      <c r="BE251" s="1"/>
      <c r="BF251" s="1"/>
      <c r="BG251" s="5"/>
      <c r="BH251" s="16"/>
      <c r="BI251" s="16"/>
      <c r="BJ251" s="4"/>
      <c r="BK251" s="4"/>
      <c r="BL251" s="4"/>
      <c r="BM251" s="6"/>
      <c r="BN251" s="7"/>
      <c r="BO251" s="4"/>
      <c r="BP251" s="4"/>
      <c r="BQ251" s="4"/>
      <c r="BR251" s="4"/>
      <c r="BS251" s="6"/>
      <c r="BT251" s="7"/>
      <c r="BU251" s="4"/>
      <c r="BV251" s="4"/>
      <c r="BW251" s="4"/>
      <c r="BX251" s="4"/>
      <c r="BY251" s="6"/>
      <c r="BZ251" s="7"/>
      <c r="CA251" s="4"/>
      <c r="CB251" s="4"/>
      <c r="CC251" s="4"/>
      <c r="CD251" s="4"/>
      <c r="CE251" s="6"/>
      <c r="CF251" s="7"/>
      <c r="CG251" s="4"/>
      <c r="CH251" s="4"/>
      <c r="CI251" s="4"/>
      <c r="CJ251" s="4"/>
      <c r="CK251" s="6"/>
      <c r="CL251" s="7"/>
      <c r="CM251" s="4"/>
      <c r="CN251" s="4"/>
      <c r="CO251" s="4"/>
      <c r="CP251" s="4"/>
      <c r="CQ251" s="6"/>
      <c r="CR251" s="7"/>
      <c r="CS251" s="4"/>
      <c r="CT251" s="4"/>
      <c r="CU251" s="4"/>
      <c r="CV251" s="4"/>
      <c r="CW251" s="6"/>
      <c r="CX251" s="7"/>
      <c r="CY251" s="4"/>
      <c r="CZ251" s="4"/>
      <c r="DA251" s="4"/>
      <c r="DB251" s="4"/>
      <c r="DC251" s="4"/>
      <c r="DD251" s="3"/>
      <c r="DE251" s="4"/>
      <c r="DF251" s="234"/>
      <c r="DG251" s="4"/>
      <c r="DH251" s="4"/>
      <c r="DI251" s="4"/>
      <c r="DJ251" s="4"/>
      <c r="DK251" s="4"/>
      <c r="DL251" s="4"/>
      <c r="DM251" s="4"/>
      <c r="DN251" s="8"/>
      <c r="DO251" s="4"/>
      <c r="DP251" s="8"/>
      <c r="DQ251" s="8"/>
      <c r="DR251" s="8"/>
      <c r="DS251" s="35"/>
      <c r="EB251" s="11"/>
      <c r="EH251" s="11"/>
      <c r="EI251" s="11"/>
      <c r="EJ251" s="4"/>
      <c r="EK251" s="4"/>
      <c r="EL251" s="4"/>
      <c r="EM251" s="4"/>
      <c r="EN251" s="4"/>
      <c r="EO251" s="4"/>
      <c r="EP251" s="4"/>
      <c r="EQ251" s="4"/>
      <c r="ER251" s="4"/>
      <c r="ES251" s="4"/>
      <c r="ET251" s="4"/>
      <c r="EU251" s="4"/>
      <c r="EV251" s="4"/>
      <c r="EW251" s="4"/>
      <c r="EX251" s="4"/>
      <c r="FB251" s="9"/>
      <c r="FK251" s="9"/>
      <c r="FQ251" s="4"/>
      <c r="FV251" s="10"/>
      <c r="GF251" s="10"/>
      <c r="IC251" s="4"/>
      <c r="ID251" s="4"/>
      <c r="IE251" s="9"/>
      <c r="IN251" t="s">
        <v>772</v>
      </c>
      <c r="IO251" t="s">
        <v>773</v>
      </c>
      <c r="IP251" t="s">
        <v>386</v>
      </c>
      <c r="IS251" s="66">
        <v>121</v>
      </c>
      <c r="IT251" s="66">
        <v>10708.59</v>
      </c>
      <c r="IU251" s="9">
        <v>43643</v>
      </c>
      <c r="IV251" s="9">
        <v>43661</v>
      </c>
      <c r="IW251" s="9">
        <v>43699</v>
      </c>
      <c r="IX251" s="9">
        <v>43711</v>
      </c>
      <c r="IZ251" s="18"/>
      <c r="JA251" s="18"/>
      <c r="JB251" s="18"/>
      <c r="JC251" s="18"/>
    </row>
    <row r="252" spans="1:263" ht="15" customHeight="1">
      <c r="A252" s="19">
        <v>102019060</v>
      </c>
      <c r="B252" s="18" t="s">
        <v>1385</v>
      </c>
      <c r="D252" s="1"/>
      <c r="E252" s="3"/>
      <c r="F252" s="3"/>
      <c r="J252" s="18" t="s">
        <v>554</v>
      </c>
      <c r="K252" s="18" t="s">
        <v>1386</v>
      </c>
      <c r="L252" s="130" t="s">
        <v>1387</v>
      </c>
      <c r="M252" s="130" t="s">
        <v>763</v>
      </c>
      <c r="N252" s="18"/>
      <c r="O252" s="252"/>
      <c r="P252" s="130" t="s">
        <v>1386</v>
      </c>
      <c r="Q252" s="130" t="s">
        <v>1388</v>
      </c>
      <c r="R252" s="130" t="s">
        <v>850</v>
      </c>
      <c r="S252" s="130"/>
      <c r="AG252" s="43"/>
      <c r="AJ252" s="18"/>
      <c r="AK252" s="18"/>
      <c r="AL252" s="18"/>
      <c r="AM252" s="18"/>
      <c r="AN252" s="18"/>
      <c r="AO252" s="18" t="s">
        <v>4130</v>
      </c>
      <c r="AP252" s="18" t="s">
        <v>258</v>
      </c>
      <c r="AQ252" s="18" t="s">
        <v>290</v>
      </c>
      <c r="AR252" s="18" t="s">
        <v>260</v>
      </c>
      <c r="AX252" s="1"/>
      <c r="AY252" s="1"/>
      <c r="AZ252" s="1"/>
      <c r="BA252" s="1"/>
      <c r="BB252" s="1"/>
      <c r="BC252" s="2"/>
      <c r="BD252" s="116"/>
      <c r="BE252" s="115"/>
      <c r="BF252" s="2"/>
      <c r="BG252" s="2"/>
      <c r="BH252" s="2"/>
      <c r="BI252" s="2"/>
      <c r="BJ252" s="2"/>
      <c r="BK252" s="2"/>
      <c r="BL252" s="20">
        <f ca="1">SUM(DP252)+220</f>
        <v>346.30560000000003</v>
      </c>
      <c r="BM252" s="22">
        <f ca="1">PMT(10%/12,12,BL252,0,0)</f>
        <v>-30.445764076720813</v>
      </c>
      <c r="BN252" s="22">
        <f ca="1">SUM(BM252*-1)</f>
        <v>30.445764076720813</v>
      </c>
      <c r="BO252" s="14">
        <f>SUM(DX252*0.0052)/12</f>
        <v>3.9</v>
      </c>
      <c r="BP252" s="22">
        <f ca="1">SUM(BN252+BO252)</f>
        <v>34.345764076720812</v>
      </c>
      <c r="BQ252" s="14"/>
      <c r="BR252" s="14">
        <f>SUM(BQ252*0.1)</f>
        <v>0</v>
      </c>
      <c r="BS252" s="14">
        <f ca="1">SUM(BT252*BU252)</f>
        <v>0</v>
      </c>
      <c r="BT252" s="17">
        <f>SUM((BQ252+BR252)*0.00833333333333333)</f>
        <v>0</v>
      </c>
      <c r="BU252" s="23">
        <f ca="1">MONTH(TODAY())+49</f>
        <v>53</v>
      </c>
      <c r="BV252" s="14">
        <f ca="1">SUM(BQ252,BR252,BS252)</f>
        <v>0</v>
      </c>
      <c r="BW252" s="14"/>
      <c r="BX252" s="14">
        <f>SUM(BW252*0.1)</f>
        <v>0</v>
      </c>
      <c r="BY252" s="14">
        <f ca="1">SUM(BZ252*CA252)</f>
        <v>0</v>
      </c>
      <c r="BZ252" s="17">
        <f>SUM((BW252+BX252)*0.00833333333333333)</f>
        <v>0</v>
      </c>
      <c r="CA252" s="23">
        <f ca="1">MONTH(TODAY())+37</f>
        <v>41</v>
      </c>
      <c r="CB252" s="14">
        <f ca="1">SUM(BW252,BX252,BY252)</f>
        <v>0</v>
      </c>
      <c r="CC252" s="14">
        <v>0</v>
      </c>
      <c r="CD252" s="14">
        <f>SUM(CC252*0.1)</f>
        <v>0</v>
      </c>
      <c r="CE252" s="14">
        <f ca="1">SUM(CF252*CG252)</f>
        <v>0</v>
      </c>
      <c r="CF252" s="17">
        <f>SUM((CC252+CD252)*0.00833333333333333)</f>
        <v>0</v>
      </c>
      <c r="CG252" s="23">
        <f ca="1">MONTH(TODAY())+25</f>
        <v>29</v>
      </c>
      <c r="CH252" s="14">
        <f ca="1">SUM(CC252,CD252,CE252)</f>
        <v>0</v>
      </c>
      <c r="CI252" s="14">
        <f>SUM(DU252*0.0052)</f>
        <v>43.68</v>
      </c>
      <c r="CJ252" s="14">
        <f>SUM(CI252*0.1)</f>
        <v>4.3680000000000003</v>
      </c>
      <c r="CK252" s="14">
        <f ca="1">SUM(CL252*CM252)</f>
        <v>6.8067999999999973</v>
      </c>
      <c r="CL252" s="17">
        <f>SUM((CI252+CJ252)*0.00833333333333333)</f>
        <v>0.40039999999999987</v>
      </c>
      <c r="CM252" s="23">
        <f ca="1">MONTH(TODAY())+13</f>
        <v>17</v>
      </c>
      <c r="CN252" s="14">
        <f ca="1">SUM(CI252,CJ252,CK252)</f>
        <v>54.854799999999997</v>
      </c>
      <c r="CO252" s="14">
        <f>SUM(DU252*0.0052)/2</f>
        <v>21.84</v>
      </c>
      <c r="CP252" s="14">
        <f>SUM(CO252*0.1)</f>
        <v>2.1840000000000002</v>
      </c>
      <c r="CQ252" s="14">
        <f ca="1">SUM(CR252*CS252)</f>
        <v>1.8017999999999994</v>
      </c>
      <c r="CR252" s="17">
        <f>SUM((CO252+CP252)*0.00833333333333333)</f>
        <v>0.20019999999999993</v>
      </c>
      <c r="CS252" s="23">
        <f ca="1">MONTH(TODAY())+5</f>
        <v>9</v>
      </c>
      <c r="CT252" s="23">
        <f ca="1">SUM(CO252,CP252,CQ252)</f>
        <v>25.825800000000001</v>
      </c>
      <c r="CU252" s="14">
        <f>SUM(DU252*0.0052)/2</f>
        <v>21.84</v>
      </c>
      <c r="CV252" s="14">
        <f>SUM(CU252*0.1)</f>
        <v>2.1840000000000002</v>
      </c>
      <c r="CW252" s="14">
        <f ca="1">SUM(CX252*CY252)</f>
        <v>1.0009999999999997</v>
      </c>
      <c r="CX252" s="17">
        <f>SUM((CU252+CV252)*0.00833333333333333)</f>
        <v>0.20019999999999993</v>
      </c>
      <c r="CY252" s="23">
        <f ca="1">MONTH(TODAY())+1</f>
        <v>5</v>
      </c>
      <c r="CZ252" s="23">
        <f ca="1">SUM(CU252,CV252,CW252)</f>
        <v>25.025000000000002</v>
      </c>
      <c r="DA252" s="14">
        <f>SUM( BQ252, BW252, CC252, CI252, CO252,CU252)</f>
        <v>87.36</v>
      </c>
      <c r="DB252" s="14">
        <f>SUM(BR252,BX252,CD252,CJ252, CP252,CV252)</f>
        <v>8.7360000000000007</v>
      </c>
      <c r="DC252" s="14">
        <f ca="1">SUM(BS252,BY252,CE252,CK252, CQ252,CW252)</f>
        <v>9.6095999999999968</v>
      </c>
      <c r="DD252" s="25">
        <f ca="1">SUM(DA252:DC252)</f>
        <v>105.7056</v>
      </c>
      <c r="DE252" s="47">
        <f ca="1">SUM(DD252/DU252)</f>
        <v>1.2584E-2</v>
      </c>
      <c r="DF252" s="14">
        <v>20</v>
      </c>
      <c r="DG252" s="32">
        <f>COUNTIF(DL252, "*")+COUNTIF(AO252, "*")+COUNTIF(AJ252, "*")+COUNTIF(AA252, "*")+COUNTIF(EM252, "*")+COUNTIF(ES252, "*")+COUNTIF(EY252, "*")+COUNTIF(FC252, "*")+COUNTIF(FJ252, "*")+COUNTIF(AT252, "*")+COUNTIF(FS252, "*")+COUNTIF(GD252, "*")+COUNTIF(GO252, "*")+COUNTIF(GW252, "*")+COUNTIF(HE252, "*")+COUNTIF(HM252, "*")+COUNTIF(HU252, "*")</f>
        <v>1</v>
      </c>
      <c r="DH252" s="14">
        <f>DG252*0.6</f>
        <v>0.6</v>
      </c>
      <c r="DI252" s="4"/>
      <c r="DJ252" s="4"/>
      <c r="DK252" s="4"/>
      <c r="DL252" s="4"/>
      <c r="DN252" s="4"/>
      <c r="DO252" s="14">
        <f>SUM(DJ252:DN252)</f>
        <v>0</v>
      </c>
      <c r="DP252" s="14">
        <f ca="1">SUM(DD252,DF252,DO252, DI252, DH252,FP252)</f>
        <v>126.3056</v>
      </c>
      <c r="DQ252" s="24" t="s">
        <v>3879</v>
      </c>
      <c r="DR252" s="23">
        <v>0.63</v>
      </c>
      <c r="DS252" s="14">
        <v>4100</v>
      </c>
      <c r="DT252" s="14">
        <v>4300</v>
      </c>
      <c r="DU252" s="14">
        <v>8400</v>
      </c>
      <c r="DV252" s="14">
        <v>4700</v>
      </c>
      <c r="DW252" s="14">
        <v>4300</v>
      </c>
      <c r="DX252" s="14">
        <f>SUM(DV252+DW252)</f>
        <v>9000</v>
      </c>
      <c r="IA252" s="9"/>
      <c r="IL252" s="4"/>
      <c r="IM252" s="9"/>
      <c r="IN252" s="9"/>
      <c r="IO252" s="9"/>
      <c r="IP252" s="9"/>
      <c r="IQ252" s="9"/>
    </row>
    <row r="253" spans="1:263" ht="15" customHeight="1">
      <c r="A253" s="19">
        <v>102023139</v>
      </c>
      <c r="B253" s="18" t="s">
        <v>4342</v>
      </c>
      <c r="D253" s="1"/>
      <c r="E253" s="3"/>
      <c r="F253" s="3"/>
      <c r="J253" s="18" t="s">
        <v>311</v>
      </c>
      <c r="K253" s="18" t="s">
        <v>4343</v>
      </c>
      <c r="L253" s="130" t="s">
        <v>1163</v>
      </c>
      <c r="M253" s="130" t="s">
        <v>396</v>
      </c>
      <c r="N253" s="130"/>
      <c r="O253" s="288"/>
      <c r="P253" s="130"/>
      <c r="Q253" s="130"/>
      <c r="R253" s="130"/>
      <c r="S253" s="130"/>
      <c r="AG253" s="43"/>
      <c r="AM253"/>
      <c r="AN253"/>
      <c r="AO253" t="s">
        <v>4344</v>
      </c>
      <c r="AP253" s="3" t="s">
        <v>258</v>
      </c>
      <c r="AQ253" t="s">
        <v>290</v>
      </c>
      <c r="AR253" t="s">
        <v>260</v>
      </c>
      <c r="AX253" s="1"/>
      <c r="AY253" s="1"/>
      <c r="AZ253" s="1"/>
      <c r="BA253" s="1"/>
      <c r="BB253" s="1"/>
      <c r="BC253" s="2"/>
      <c r="BD253" s="115"/>
      <c r="BE253" s="115"/>
      <c r="BF253" s="2"/>
      <c r="BG253" s="2"/>
      <c r="BH253" s="2"/>
      <c r="BI253" s="2"/>
      <c r="BJ253" s="2"/>
      <c r="BK253" s="2"/>
      <c r="BL253" s="20">
        <f ca="1">SUM(DP253)+220</f>
        <v>1183.1415999999999</v>
      </c>
      <c r="BM253" s="22">
        <f ca="1">PMT(10%/12,12,BL253,0,0)</f>
        <v>-104.01694348273311</v>
      </c>
      <c r="BN253" s="22">
        <f ca="1">SUM(BM253*-1)</f>
        <v>104.01694348273311</v>
      </c>
      <c r="BO253" s="14">
        <f>SUM(DX253*0.0052)/12</f>
        <v>41.08</v>
      </c>
      <c r="BP253" s="22">
        <f ca="1">SUM(BN253+BO253)</f>
        <v>145.09694348273311</v>
      </c>
      <c r="BQ253" s="14"/>
      <c r="BR253" s="14">
        <f>SUM(BQ253*0.1)</f>
        <v>0</v>
      </c>
      <c r="BS253" s="14">
        <f ca="1">SUM(BT253*BU253)</f>
        <v>0</v>
      </c>
      <c r="BT253" s="17">
        <f>SUM((BQ253+BR253)*0.00833333333333333)</f>
        <v>0</v>
      </c>
      <c r="BU253" s="23">
        <f ca="1">MONTH(TODAY())+49</f>
        <v>53</v>
      </c>
      <c r="BV253" s="14">
        <f ca="1">SUM(BQ253,BR253,BS253)</f>
        <v>0</v>
      </c>
      <c r="BW253" s="14"/>
      <c r="BX253" s="14">
        <f>SUM(BW253*0.1)</f>
        <v>0</v>
      </c>
      <c r="BY253" s="14">
        <f ca="1">SUM(BZ253*CA253)</f>
        <v>0</v>
      </c>
      <c r="BZ253" s="17">
        <f>SUM((BW253+BX253)*0.00833333333333333)</f>
        <v>0</v>
      </c>
      <c r="CA253" s="23">
        <f ca="1">MONTH(TODAY())+37</f>
        <v>41</v>
      </c>
      <c r="CB253" s="14">
        <f ca="1">SUM(BW253,BX253,BY253)</f>
        <v>0</v>
      </c>
      <c r="CC253" s="14">
        <v>0</v>
      </c>
      <c r="CD253" s="14">
        <f>SUM(CC253*0.1)</f>
        <v>0</v>
      </c>
      <c r="CE253" s="14">
        <f ca="1">SUM(CF253*CG253)</f>
        <v>0</v>
      </c>
      <c r="CF253" s="17">
        <f>SUM((CC253+CD253)*0.00833333333333333)</f>
        <v>0</v>
      </c>
      <c r="CG253" s="23">
        <f ca="1">MONTH(TODAY())+25</f>
        <v>29</v>
      </c>
      <c r="CH253" s="14">
        <f ca="1">SUM(CC253,CD253,CE253)</f>
        <v>0</v>
      </c>
      <c r="CI253" s="14">
        <f>SUM(DU253*0.0052)</f>
        <v>389.47999999999996</v>
      </c>
      <c r="CJ253" s="14">
        <f>SUM(CI253*0.1)</f>
        <v>38.948</v>
      </c>
      <c r="CK253" s="14">
        <f ca="1">SUM(CL253*CM253)</f>
        <v>60.693966666666633</v>
      </c>
      <c r="CL253" s="17">
        <f>SUM((CI253+CJ253)*0.00833333333333333)</f>
        <v>3.5702333333333311</v>
      </c>
      <c r="CM253" s="23">
        <f ca="1">MONTH(TODAY())+13</f>
        <v>17</v>
      </c>
      <c r="CN253" s="14">
        <f ca="1">SUM(CI253,CJ253,CK253)</f>
        <v>489.12196666666659</v>
      </c>
      <c r="CO253" s="14">
        <f>SUM(DU253*0.0052)/2</f>
        <v>194.73999999999998</v>
      </c>
      <c r="CP253" s="14">
        <f>SUM(CO253*0.1)</f>
        <v>19.474</v>
      </c>
      <c r="CQ253" s="14">
        <f ca="1">SUM(CR253*CS253)</f>
        <v>16.06604999999999</v>
      </c>
      <c r="CR253" s="17">
        <f>SUM((CO253+CP253)*0.00833333333333333)</f>
        <v>1.7851166666666656</v>
      </c>
      <c r="CS253" s="23">
        <f ca="1">MONTH(TODAY())+5</f>
        <v>9</v>
      </c>
      <c r="CT253" s="23">
        <f ca="1">SUM(CO253,CP253,CQ253)</f>
        <v>230.28004999999996</v>
      </c>
      <c r="CU253" s="14">
        <f>SUM(DU253*0.0052)/2</f>
        <v>194.73999999999998</v>
      </c>
      <c r="CV253" s="14">
        <f>SUM(CU253*0.1)</f>
        <v>19.474</v>
      </c>
      <c r="CW253" s="14">
        <f ca="1">SUM(CX253*CY253)</f>
        <v>8.9255833333333285</v>
      </c>
      <c r="CX253" s="17">
        <f>SUM((CU253+CV253)*0.00833333333333333)</f>
        <v>1.7851166666666656</v>
      </c>
      <c r="CY253" s="23">
        <f ca="1">MONTH(TODAY())+1</f>
        <v>5</v>
      </c>
      <c r="CZ253" s="23">
        <f ca="1">SUM(CU253,CV253,CW253)</f>
        <v>223.13958333333329</v>
      </c>
      <c r="DA253" s="14">
        <f>SUM( BQ253, BW253, CC253, CI253, CO253,CU253)</f>
        <v>778.95999999999992</v>
      </c>
      <c r="DB253" s="14">
        <f>SUM(BR253,BX253,CD253,CJ253, CP253,CV253)</f>
        <v>77.896000000000001</v>
      </c>
      <c r="DC253" s="14">
        <f ca="1">SUM(BS253,BY253,CE253,CK253, CQ253,CW253)</f>
        <v>85.685599999999937</v>
      </c>
      <c r="DD253" s="25">
        <f ca="1">SUM(DA253:DC253)</f>
        <v>942.54159999999979</v>
      </c>
      <c r="DE253" s="47">
        <f ca="1">SUM(DD253/DU253)</f>
        <v>1.2583999999999998E-2</v>
      </c>
      <c r="DF253" s="14">
        <v>20</v>
      </c>
      <c r="DG253" s="32">
        <f>COUNTIF(DL253, "*")+COUNTIF(AO253, "*")+COUNTIF(AJ253, "*")+COUNTIF(AA253, "*")+COUNTIF(EM253, "*")+COUNTIF(ES253, "*")+COUNTIF(EY253, "*")+COUNTIF(FC253, "*")+COUNTIF(FJ253, "*")+COUNTIF(AT253, "*")+COUNTIF(FS253, "*")+COUNTIF(GD253, "*")+COUNTIF(GO253, "*")+COUNTIF(GW253, "*")+COUNTIF(HE253, "*")+COUNTIF(HM253, "*")+COUNTIF(HU253, "*")</f>
        <v>1</v>
      </c>
      <c r="DH253" s="14">
        <f>DG253*0.6</f>
        <v>0.6</v>
      </c>
      <c r="DI253" s="4"/>
      <c r="DJ253" s="4"/>
      <c r="DK253" s="4"/>
      <c r="DL253" s="4"/>
      <c r="DN253" s="4"/>
      <c r="DO253" s="14">
        <f>SUM(DJ253:DN253)</f>
        <v>0</v>
      </c>
      <c r="DP253" s="14">
        <f ca="1">SUM(DD253,DF253,DO253, DI253, DH253,FP253)</f>
        <v>963.14159999999981</v>
      </c>
      <c r="DQ253" s="24" t="s">
        <v>3879</v>
      </c>
      <c r="DR253" s="130">
        <v>0.49</v>
      </c>
      <c r="DS253" s="14">
        <v>20000</v>
      </c>
      <c r="DT253" s="14">
        <v>54900</v>
      </c>
      <c r="DU253" s="14">
        <v>74900</v>
      </c>
      <c r="DV253" s="14">
        <v>23000</v>
      </c>
      <c r="DW253" s="14">
        <v>71800</v>
      </c>
      <c r="DX253" s="14">
        <f>SUM(DV253+DW253)</f>
        <v>94800</v>
      </c>
      <c r="FG253" s="9"/>
      <c r="FN253" s="9"/>
      <c r="IA253" s="9"/>
      <c r="IL253" s="14">
        <f ca="1">SUM(IB253-DP253-FP253-IJ253)</f>
        <v>-963.14159999999981</v>
      </c>
      <c r="IM253" s="9"/>
      <c r="IN253" s="9"/>
      <c r="IO253" s="9"/>
      <c r="IP253" s="9"/>
      <c r="IQ253" s="9"/>
    </row>
    <row r="254" spans="1:263" ht="15" customHeight="1">
      <c r="A254" s="19">
        <v>102022117</v>
      </c>
      <c r="B254" t="s">
        <v>2856</v>
      </c>
      <c r="D254" s="1"/>
      <c r="E254" s="3"/>
      <c r="F254" s="3"/>
      <c r="K254" t="s">
        <v>3122</v>
      </c>
      <c r="Z254" t="s">
        <v>3125</v>
      </c>
      <c r="AA254" t="s">
        <v>3126</v>
      </c>
      <c r="AB254" t="s">
        <v>300</v>
      </c>
      <c r="AC254" t="s">
        <v>301</v>
      </c>
      <c r="AG254" s="43"/>
      <c r="AJ254" t="s">
        <v>3123</v>
      </c>
      <c r="AK254" t="s">
        <v>258</v>
      </c>
      <c r="AL254" t="s">
        <v>290</v>
      </c>
      <c r="AM254" t="s">
        <v>260</v>
      </c>
      <c r="AN254"/>
      <c r="AO254" s="3" t="s">
        <v>3124</v>
      </c>
      <c r="AP254" s="3"/>
      <c r="AQ254" t="s">
        <v>290</v>
      </c>
      <c r="AR254"/>
      <c r="AS254" s="1"/>
      <c r="AT254" s="1"/>
      <c r="AU254" s="1"/>
      <c r="AV254" s="1"/>
      <c r="AW254" s="1"/>
      <c r="AX254" s="2"/>
      <c r="AY254" s="116"/>
      <c r="AZ254" s="115"/>
      <c r="BA254" s="2"/>
      <c r="BB254" s="2"/>
      <c r="BC254" s="2"/>
      <c r="BD254" s="2"/>
      <c r="BE254" s="2"/>
      <c r="BF254" s="2"/>
      <c r="BG254" s="20">
        <f ca="1">SUM(CY254)+214.5</f>
        <v>1417.5766000000001</v>
      </c>
      <c r="BH254" s="22">
        <f ca="1">PMT(10%/12,12,BG254,0,0)</f>
        <v>-124.62750450550043</v>
      </c>
      <c r="BI254" s="22">
        <f ca="1">SUM(BH254*-1)</f>
        <v>124.62750450550043</v>
      </c>
      <c r="BJ254" s="14">
        <f>SUM(DI254*0.0052)/12</f>
        <v>26.13</v>
      </c>
      <c r="BK254" s="22">
        <f ca="1">SUM(BI254+BJ254)</f>
        <v>150.75750450550044</v>
      </c>
      <c r="BL254" s="14"/>
      <c r="BM254" s="14">
        <f>SUM(BL254*0.1)</f>
        <v>0</v>
      </c>
      <c r="BN254" s="14">
        <f ca="1">SUM(BO254*BP254)</f>
        <v>0</v>
      </c>
      <c r="BO254" s="17">
        <f>SUM((BL254+BM254)*0.00833333333333333)</f>
        <v>0</v>
      </c>
      <c r="BP254" s="23">
        <f ca="1">MONTH(TODAY())+49</f>
        <v>53</v>
      </c>
      <c r="BQ254" s="14">
        <f ca="1">SUM(BL254,BM254,BN254)</f>
        <v>0</v>
      </c>
      <c r="BR254" s="14"/>
      <c r="BS254" s="14">
        <f>SUM(BR254*0.1)</f>
        <v>0</v>
      </c>
      <c r="BT254" s="14">
        <f ca="1">SUM(BU254*BV254)</f>
        <v>0</v>
      </c>
      <c r="BU254" s="17">
        <f>SUM((BR254+BS254)*0.00833333333333333)</f>
        <v>0</v>
      </c>
      <c r="BV254" s="23">
        <f ca="1">MONTH(TODAY())+37</f>
        <v>41</v>
      </c>
      <c r="BW254" s="14">
        <f ca="1">SUM(BR254,BS254,BT254)</f>
        <v>0</v>
      </c>
      <c r="BX254" s="14"/>
      <c r="BY254" s="14">
        <f>SUM(BX254*0.1)</f>
        <v>0</v>
      </c>
      <c r="BZ254" s="14">
        <f ca="1">SUM(CA254*CB254)</f>
        <v>0</v>
      </c>
      <c r="CA254" s="17">
        <f>SUM((BX254+BY254)*0.00833333333333333)</f>
        <v>0</v>
      </c>
      <c r="CB254" s="23">
        <f ca="1">MONTH(TODAY())+25</f>
        <v>29</v>
      </c>
      <c r="CC254" s="14">
        <f ca="1">SUM(BX254,BY254,BZ254)</f>
        <v>0</v>
      </c>
      <c r="CD254" s="14">
        <f>SUM(DI254*0.0052)</f>
        <v>313.56</v>
      </c>
      <c r="CE254" s="14">
        <f>SUM(CD254*0.1)</f>
        <v>31.356000000000002</v>
      </c>
      <c r="CF254" s="14">
        <f ca="1">SUM(CG254*CH254)</f>
        <v>48.863099999999974</v>
      </c>
      <c r="CG254" s="17">
        <f>SUM((CD254+CE254)*0.00833333333333333)</f>
        <v>2.8742999999999985</v>
      </c>
      <c r="CH254" s="23">
        <f ca="1">MONTH(TODAY())+13</f>
        <v>17</v>
      </c>
      <c r="CI254" s="14">
        <f ca="1">SUM(CD254,CE254,CF254)</f>
        <v>393.77909999999997</v>
      </c>
      <c r="CJ254" s="14">
        <f>SUM(DI254*0.0052)</f>
        <v>313.56</v>
      </c>
      <c r="CK254" s="14">
        <f>SUM(CJ254*0.1)</f>
        <v>31.356000000000002</v>
      </c>
      <c r="CL254" s="14">
        <f ca="1">SUM(CM254*CN254)</f>
        <v>14.371499999999992</v>
      </c>
      <c r="CM254" s="17">
        <f>SUM((CJ254+CK254)*0.00833333333333333)</f>
        <v>2.8742999999999985</v>
      </c>
      <c r="CN254" s="23">
        <f ca="1">MONTH(TODAY())+1</f>
        <v>5</v>
      </c>
      <c r="CO254" s="14">
        <f ca="1">SUM(CJ254,CK254,CL254)</f>
        <v>359.28749999999997</v>
      </c>
      <c r="CP254" s="14">
        <f>SUM(BL254, BR254,BX254,CD254,CJ254)</f>
        <v>627.12</v>
      </c>
      <c r="CQ254" s="14">
        <f>SUM(BM254, BS254,BY254,CE254,CK254)</f>
        <v>62.712000000000003</v>
      </c>
      <c r="CR254" s="14">
        <f ca="1">SUM(BN254, BT254,BZ254,CF254,CL254)</f>
        <v>63.234599999999965</v>
      </c>
      <c r="CS254" s="14">
        <f ca="1">SUM(CP254:CR254)</f>
        <v>753.06659999999999</v>
      </c>
      <c r="CT254" s="47">
        <f ca="1">SUM(CS254/DI254)</f>
        <v>1.2488666666666667E-2</v>
      </c>
      <c r="CU254" s="14">
        <f>19.5+19.5+195</f>
        <v>234</v>
      </c>
      <c r="CV254" s="32">
        <f>COUNTIF(DB254, "*")+COUNTIF(AO254, "*")+COUNTIF(AJ254, "*")+COUNTIF(AA254, "*")+COUNTIF(DY254, "*")+COUNTIF(EE254, "*")+COUNTIF(EK254, "*")+COUNTIF(EO254, "*")+COUNTIF(EV254, "*")+COUNTIF(FC254, "*")+COUNTIF(FJ254, "*")+COUNTIF(FU254, "*")+COUNTIF(GF254, "*")+COUNTIF(GN254, "*")+COUNTIF(GV254, "*")+COUNTIF(HD254, "*")+COUNTIF(HL254, "*")</f>
        <v>3</v>
      </c>
      <c r="CW254" s="14">
        <f>CV254*0.5+CV254*6.66</f>
        <v>21.48</v>
      </c>
      <c r="CX254" s="4">
        <v>150</v>
      </c>
      <c r="CY254" s="14">
        <f ca="1">SUM(CS254,CU254,DE254, CX254, CW254,FG254)</f>
        <v>1203.0766000000001</v>
      </c>
      <c r="CZ254" s="14">
        <v>44.53</v>
      </c>
      <c r="DE254" s="14">
        <f>SUM(CZ254:DD254)</f>
        <v>44.53</v>
      </c>
      <c r="DF254" s="24" t="s">
        <v>2773</v>
      </c>
      <c r="DG254" s="4">
        <f>2000+26000+3000</f>
        <v>31000</v>
      </c>
      <c r="DH254" s="4">
        <v>29300</v>
      </c>
      <c r="DI254" s="25">
        <f>SUM(DG254+DH254)</f>
        <v>60300</v>
      </c>
      <c r="DJ254" s="35">
        <f>0.29+0.16+1.42</f>
        <v>1.8699999999999999</v>
      </c>
      <c r="IC254" s="4"/>
    </row>
    <row r="255" spans="1:263" ht="15" customHeight="1">
      <c r="A255" s="19">
        <v>102021042</v>
      </c>
      <c r="B255" s="18" t="s">
        <v>2055</v>
      </c>
      <c r="C255" s="18"/>
      <c r="D255" s="18"/>
      <c r="E255" s="18" t="s">
        <v>2537</v>
      </c>
      <c r="F255" s="18"/>
      <c r="G255" s="18"/>
      <c r="H255" s="18"/>
      <c r="I255" s="18"/>
      <c r="J255" s="18" t="s">
        <v>311</v>
      </c>
      <c r="K255" s="18" t="s">
        <v>956</v>
      </c>
      <c r="L255" s="18" t="s">
        <v>2056</v>
      </c>
      <c r="M255" s="18"/>
      <c r="N255" s="18" t="s">
        <v>341</v>
      </c>
      <c r="O255" s="18"/>
      <c r="P255" s="18"/>
      <c r="Q255" s="18"/>
      <c r="R255" s="18"/>
      <c r="S255" s="18"/>
      <c r="T255" s="18"/>
      <c r="U255" s="18"/>
      <c r="V255" s="18"/>
      <c r="W255" s="18"/>
      <c r="X255" s="18"/>
      <c r="Y255" s="18"/>
      <c r="Z255" s="18"/>
      <c r="AA255" s="18"/>
      <c r="AB255" s="18"/>
      <c r="AC255" s="18"/>
      <c r="AD255" s="18"/>
      <c r="AE255" s="18"/>
      <c r="AF255" s="18"/>
      <c r="AG255" s="231"/>
      <c r="AH255" s="18"/>
      <c r="AI255" s="18"/>
      <c r="AJ255" s="18" t="s">
        <v>328</v>
      </c>
      <c r="AK255" s="18"/>
      <c r="AL255" s="18" t="s">
        <v>267</v>
      </c>
      <c r="AM255" s="24"/>
      <c r="AN255" s="24" t="s">
        <v>2163</v>
      </c>
      <c r="AO255" s="18" t="s">
        <v>2164</v>
      </c>
      <c r="AP255" s="13" t="s">
        <v>258</v>
      </c>
      <c r="AQ255" s="24" t="s">
        <v>2165</v>
      </c>
      <c r="AR255" s="24"/>
      <c r="AS255" s="13"/>
      <c r="AT255" s="13"/>
      <c r="AU255" s="13"/>
      <c r="AV255" s="13"/>
      <c r="AW255" s="13"/>
      <c r="AX255" s="48"/>
      <c r="AY255" s="48"/>
      <c r="AZ255" s="48"/>
      <c r="BA255" s="48"/>
      <c r="BB255" s="19"/>
      <c r="BC255" s="48"/>
      <c r="BD255" s="48"/>
      <c r="BE255" s="48"/>
      <c r="BF255" s="19"/>
      <c r="BG255" s="20"/>
      <c r="BH255" s="22"/>
      <c r="BI255" s="22"/>
      <c r="BJ255" s="14"/>
      <c r="BK255" s="22"/>
      <c r="BL255" s="14"/>
      <c r="BM255" s="14"/>
      <c r="BN255" s="14"/>
      <c r="BO255" s="17"/>
      <c r="BP255" s="23"/>
      <c r="BQ255" s="14"/>
      <c r="BR255" s="14"/>
      <c r="BS255" s="14"/>
      <c r="BT255" s="14"/>
      <c r="BU255" s="17"/>
      <c r="BV255" s="23"/>
      <c r="BW255" s="14"/>
      <c r="BX255" s="14"/>
      <c r="BY255" s="14"/>
      <c r="BZ255" s="14"/>
      <c r="CA255" s="17"/>
      <c r="CB255" s="23"/>
      <c r="CC255" s="14"/>
      <c r="CD255" s="14"/>
      <c r="CE255" s="14"/>
      <c r="CF255" s="14"/>
      <c r="CG255" s="17"/>
      <c r="CH255" s="23"/>
      <c r="CI255" s="14"/>
      <c r="CJ255" s="14"/>
      <c r="CK255" s="14"/>
      <c r="CL255" s="14"/>
      <c r="CM255" s="17"/>
      <c r="CN255" s="23"/>
      <c r="CO255" s="14"/>
      <c r="CP255" s="14"/>
      <c r="CQ255" s="14"/>
      <c r="CR255" s="14"/>
      <c r="CS255" s="17"/>
      <c r="CT255" s="23"/>
      <c r="CU255" s="14"/>
      <c r="CV255" s="14"/>
      <c r="CW255" s="14"/>
      <c r="CX255" s="14"/>
      <c r="CY255" s="14"/>
      <c r="CZ255" s="14"/>
      <c r="DA255" s="14"/>
      <c r="DB255" s="14"/>
      <c r="DC255" s="14"/>
      <c r="DD255" s="14"/>
      <c r="DE255" s="14"/>
      <c r="DF255" s="47"/>
      <c r="DG255" s="14"/>
      <c r="DH255" s="32"/>
      <c r="DI255" s="14"/>
      <c r="DJ255" s="14">
        <v>150</v>
      </c>
      <c r="DK255" s="14">
        <f>SUM(DE255,DG255,DQ255, DJ255, DI255,FS255)</f>
        <v>926.53</v>
      </c>
      <c r="DL255" s="14">
        <v>24.53</v>
      </c>
      <c r="DM255" s="14">
        <f>93.75+85</f>
        <v>178.75</v>
      </c>
      <c r="DN255" s="14">
        <v>63.25</v>
      </c>
      <c r="DO255" s="23"/>
      <c r="DP255" s="25">
        <v>510</v>
      </c>
      <c r="DQ255" s="14">
        <f>SUM(DL255:DP255)</f>
        <v>776.53</v>
      </c>
      <c r="DR255" s="24" t="s">
        <v>1997</v>
      </c>
      <c r="DS255" s="25">
        <v>22400</v>
      </c>
      <c r="DT255" s="25">
        <v>0</v>
      </c>
      <c r="DU255" s="25">
        <f>SUM(DS255+DT255)</f>
        <v>22400</v>
      </c>
      <c r="DV255" s="36">
        <v>2</v>
      </c>
      <c r="DW255" s="18" t="s">
        <v>2511</v>
      </c>
      <c r="DX255" s="18" t="s">
        <v>2512</v>
      </c>
      <c r="DY255" t="s">
        <v>2514</v>
      </c>
      <c r="DZ255" s="18" t="s">
        <v>2513</v>
      </c>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4"/>
      <c r="IN255" s="14"/>
      <c r="IO255" s="27">
        <v>44333</v>
      </c>
      <c r="IP255" s="18"/>
      <c r="IQ255" s="18"/>
      <c r="IR255" s="18"/>
      <c r="IS255" s="18"/>
    </row>
    <row r="256" spans="1:263" ht="15" customHeight="1">
      <c r="A256" s="19">
        <v>102021042</v>
      </c>
      <c r="B256" s="18" t="s">
        <v>2055</v>
      </c>
      <c r="C256" s="18"/>
      <c r="D256" s="18"/>
      <c r="E256" s="18" t="s">
        <v>2537</v>
      </c>
      <c r="F256" s="18"/>
      <c r="G256" s="18"/>
      <c r="H256" s="18"/>
      <c r="I256" s="18"/>
      <c r="J256" s="18"/>
      <c r="K256" s="18" t="s">
        <v>956</v>
      </c>
      <c r="L256" s="18" t="s">
        <v>2056</v>
      </c>
      <c r="M256" s="18"/>
      <c r="N256" s="18" t="s">
        <v>341</v>
      </c>
      <c r="O256" s="18"/>
      <c r="P256" s="18"/>
      <c r="Q256" s="18"/>
      <c r="R256" s="18"/>
      <c r="S256" s="18"/>
      <c r="T256" s="18"/>
      <c r="U256" s="18"/>
      <c r="V256" s="18"/>
      <c r="W256" s="18"/>
      <c r="X256" s="18"/>
      <c r="Y256" s="18"/>
      <c r="Z256" s="18"/>
      <c r="AA256" s="18"/>
      <c r="AB256" s="18"/>
      <c r="AC256" s="18"/>
      <c r="AD256" s="18"/>
      <c r="AE256" s="18"/>
      <c r="AF256" s="18"/>
      <c r="AG256" s="18"/>
      <c r="AH256" s="18"/>
      <c r="AI256" s="18"/>
      <c r="AJ256" s="18" t="s">
        <v>328</v>
      </c>
      <c r="AK256" s="18" t="s">
        <v>267</v>
      </c>
      <c r="AL256" s="18"/>
      <c r="AM256" s="18" t="s">
        <v>2163</v>
      </c>
      <c r="AN256" s="24" t="s">
        <v>2164</v>
      </c>
      <c r="AO256" s="24" t="s">
        <v>2165</v>
      </c>
      <c r="AP256" s="18"/>
      <c r="AQ256" s="25">
        <v>22400</v>
      </c>
      <c r="AR256" s="25">
        <v>0</v>
      </c>
      <c r="AS256" s="25">
        <v>22400</v>
      </c>
      <c r="AT256" s="36">
        <v>2</v>
      </c>
      <c r="AU256" s="18" t="s">
        <v>2511</v>
      </c>
      <c r="AV256" s="18" t="s">
        <v>2512</v>
      </c>
      <c r="AW256" s="18" t="s">
        <v>2514</v>
      </c>
      <c r="AX256" s="18" t="s">
        <v>2513</v>
      </c>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4">
        <f>SUM(BQ256, BW256, CC256, CI256,CO256,CU256,DA256,DG256,DM256)</f>
        <v>0</v>
      </c>
      <c r="DT256" s="14">
        <f>SUM(BR256,BX256,CD256, CJ256,CP256,CV256,DB256,DH256,DN256)</f>
        <v>0</v>
      </c>
      <c r="DU256" s="14">
        <f>SUM(BS256,BY256,CE256, CK256,CQ256,CW256,DC256,DI256,DO256)</f>
        <v>0</v>
      </c>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t="s">
        <v>2730</v>
      </c>
      <c r="II256" s="18" t="s">
        <v>2731</v>
      </c>
      <c r="IJ256" s="18" t="s">
        <v>290</v>
      </c>
      <c r="IK256" s="18"/>
      <c r="IL256" s="18"/>
      <c r="IM256" s="18"/>
      <c r="IN256" s="14">
        <v>9339.2612666666664</v>
      </c>
      <c r="IO256" s="18"/>
      <c r="IP256" s="18"/>
      <c r="IQ256" s="18"/>
      <c r="IR256" s="27">
        <v>44453</v>
      </c>
      <c r="IS256" s="27">
        <v>44501</v>
      </c>
      <c r="IT256" s="27">
        <v>44505</v>
      </c>
      <c r="IU256" s="27">
        <v>44529</v>
      </c>
      <c r="IV256" s="18"/>
      <c r="IW256" s="18"/>
      <c r="IX256" s="18"/>
      <c r="IY256" s="18"/>
      <c r="IZ256" s="18"/>
      <c r="JA256" s="18"/>
      <c r="JB256" s="18"/>
      <c r="JC256" s="18"/>
    </row>
    <row r="257" spans="1:263" ht="15" customHeight="1">
      <c r="A257" s="19">
        <v>102023068</v>
      </c>
      <c r="B257" s="18" t="s">
        <v>4180</v>
      </c>
      <c r="D257" s="1"/>
      <c r="E257" s="3"/>
      <c r="F257" s="3"/>
      <c r="J257" s="18" t="s">
        <v>554</v>
      </c>
      <c r="K257" s="18" t="s">
        <v>632</v>
      </c>
      <c r="L257" s="18" t="s">
        <v>512</v>
      </c>
      <c r="M257" s="18" t="s">
        <v>537</v>
      </c>
      <c r="N257" s="18" t="s">
        <v>579</v>
      </c>
      <c r="O257" s="24"/>
      <c r="P257" s="18" t="s">
        <v>632</v>
      </c>
      <c r="Q257" s="18" t="s">
        <v>551</v>
      </c>
      <c r="R257" s="18" t="s">
        <v>403</v>
      </c>
      <c r="S257" s="18"/>
      <c r="AG257" s="43"/>
      <c r="AJ257" s="18" t="s">
        <v>328</v>
      </c>
      <c r="AK257" s="18"/>
      <c r="AL257" s="18" t="s">
        <v>290</v>
      </c>
      <c r="AM257" s="18"/>
      <c r="AN257" s="18"/>
      <c r="AO257" s="18" t="s">
        <v>4179</v>
      </c>
      <c r="AP257" s="18" t="s">
        <v>258</v>
      </c>
      <c r="AQ257" s="18" t="s">
        <v>4178</v>
      </c>
      <c r="AR257" s="18" t="s">
        <v>4177</v>
      </c>
      <c r="AX257" s="1"/>
      <c r="AY257" s="1"/>
      <c r="AZ257" s="1"/>
      <c r="BA257" s="1"/>
      <c r="BB257" s="1"/>
      <c r="BC257" s="2"/>
      <c r="BD257" s="115"/>
      <c r="BE257" s="115"/>
      <c r="BF257" s="2"/>
      <c r="BG257" s="2"/>
      <c r="BH257" s="2"/>
      <c r="BI257" s="2"/>
      <c r="BJ257" s="2"/>
      <c r="BK257" s="2"/>
      <c r="BL257" s="20">
        <f ca="1">SUM(EB257)+220</f>
        <v>798.11620000000005</v>
      </c>
      <c r="BM257" s="22">
        <f ca="1">PMT(10%/12,12,BL257,0,0)</f>
        <v>-70.167093835643783</v>
      </c>
      <c r="BN257" s="22">
        <f ca="1">SUM(BM257*-1)</f>
        <v>70.167093835643783</v>
      </c>
      <c r="BO257" s="14">
        <f>SUM(EJ257*0.0052)/12</f>
        <v>18.07</v>
      </c>
      <c r="BP257" s="22">
        <f ca="1">SUM(BN257+BO257)</f>
        <v>88.237093835643776</v>
      </c>
      <c r="BQ257" s="14"/>
      <c r="BR257" s="14">
        <f>SUM(BQ257*0.1)</f>
        <v>0</v>
      </c>
      <c r="BS257" s="14">
        <f ca="1">SUM(BT257*BU257)</f>
        <v>0</v>
      </c>
      <c r="BT257" s="17">
        <f>SUM((BQ257+BR257)*0.00833333333333333)</f>
        <v>0</v>
      </c>
      <c r="BU257" s="23">
        <f ca="1">MONTH(TODAY())+49</f>
        <v>53</v>
      </c>
      <c r="BV257" s="14">
        <f ca="1">SUM(BQ257,BR257,BS257)</f>
        <v>0</v>
      </c>
      <c r="BW257" s="14"/>
      <c r="BX257" s="14">
        <f>SUM(BW257*0.1)</f>
        <v>0</v>
      </c>
      <c r="BY257" s="14">
        <f ca="1">SUM(BZ257*CA257)</f>
        <v>0</v>
      </c>
      <c r="BZ257" s="17">
        <f>SUM((BW257+BX257)*0.00833333333333333)</f>
        <v>0</v>
      </c>
      <c r="CA257" s="23">
        <f ca="1">MONTH(TODAY())+37</f>
        <v>41</v>
      </c>
      <c r="CB257" s="14">
        <f ca="1">SUM(BW257,BX257,BY257)</f>
        <v>0</v>
      </c>
      <c r="CC257" s="14">
        <v>0</v>
      </c>
      <c r="CD257" s="14">
        <f>SUM(CC257*0.1)</f>
        <v>0</v>
      </c>
      <c r="CE257" s="14">
        <f ca="1">SUM(CF257*CG257)</f>
        <v>0</v>
      </c>
      <c r="CF257" s="17">
        <f>SUM((CC257+CD257)*0.00833333333333333)</f>
        <v>0</v>
      </c>
      <c r="CG257" s="23">
        <f ca="1">MONTH(TODAY())+25</f>
        <v>29</v>
      </c>
      <c r="CH257" s="14">
        <f ca="1">SUM(CC257,CD257,CE257)</f>
        <v>0</v>
      </c>
      <c r="CI257" s="14">
        <f>SUM(EG257*0.0052)</f>
        <v>191.35999999999999</v>
      </c>
      <c r="CJ257" s="14">
        <f>SUM(CI257*0.1)</f>
        <v>19.135999999999999</v>
      </c>
      <c r="CK257" s="14">
        <f ca="1">SUM(CL257*CM257)</f>
        <v>29.820266666666651</v>
      </c>
      <c r="CL257" s="17">
        <f>SUM((CI257+CJ257)*0.00833333333333333)</f>
        <v>1.7541333333333324</v>
      </c>
      <c r="CM257" s="23">
        <f ca="1">MONTH(TODAY())+13</f>
        <v>17</v>
      </c>
      <c r="CN257" s="14">
        <f ca="1">SUM(CI257,CJ257,CK257)</f>
        <v>240.31626666666662</v>
      </c>
      <c r="CO257" s="14">
        <f>SUM(EG257*0.0052)/2</f>
        <v>95.679999999999993</v>
      </c>
      <c r="CP257" s="14">
        <f>SUM(CO257*0.1)</f>
        <v>9.5679999999999996</v>
      </c>
      <c r="CQ257" s="14">
        <f ca="1">SUM(CR257*CS257)</f>
        <v>7.8935999999999957</v>
      </c>
      <c r="CR257" s="17">
        <f>SUM((CO257+CP257)*0.00833333333333333)</f>
        <v>0.87706666666666622</v>
      </c>
      <c r="CS257" s="23">
        <f ca="1">MONTH(TODAY())+5</f>
        <v>9</v>
      </c>
      <c r="CT257" s="23">
        <f ca="1">SUM(CO257,CP257,CQ257)</f>
        <v>113.14159999999998</v>
      </c>
      <c r="CU257" s="14">
        <f>SUM(EG257*0.0052)/2</f>
        <v>95.679999999999993</v>
      </c>
      <c r="CV257" s="14">
        <f>SUM(CU257*0.1)</f>
        <v>9.5679999999999996</v>
      </c>
      <c r="CW257" s="14">
        <f ca="1">SUM(CX257*CY257)</f>
        <v>4.3853333333333309</v>
      </c>
      <c r="CX257" s="17">
        <f>SUM((CU257+CV257)*0.00833333333333333)</f>
        <v>0.87706666666666622</v>
      </c>
      <c r="CY257" s="23">
        <f ca="1">MONTH(TODAY())+1</f>
        <v>5</v>
      </c>
      <c r="CZ257" s="23">
        <f ca="1">SUM(CU257,CV257,CW257)</f>
        <v>109.63333333333333</v>
      </c>
      <c r="DA257" s="14">
        <f>SUM(EJ257*0.0045)/2</f>
        <v>93.824999999999989</v>
      </c>
      <c r="DB257" s="14">
        <v>0</v>
      </c>
      <c r="DC257" s="14">
        <v>0</v>
      </c>
      <c r="DD257" s="17">
        <f>SUM((DA257+DB257)*0.00833333333333333)</f>
        <v>0.78187499999999954</v>
      </c>
      <c r="DE257" s="23">
        <f ca="1">MONTH(TODAY())-5</f>
        <v>-1</v>
      </c>
      <c r="DF257" s="23">
        <f>SUM(DA257,DB257,DC257)</f>
        <v>93.824999999999989</v>
      </c>
      <c r="DG257" s="14">
        <v>0</v>
      </c>
      <c r="DH257" s="14">
        <v>0</v>
      </c>
      <c r="DI257" s="14">
        <v>0</v>
      </c>
      <c r="DJ257" s="17">
        <f>SUM((DG257+DH257)*0.00833333333333333)</f>
        <v>0</v>
      </c>
      <c r="DK257" s="23">
        <f ca="1">MONTH(TODAY())+1</f>
        <v>5</v>
      </c>
      <c r="DL257" s="23">
        <f>SUM(DG257,DH257,DI257)</f>
        <v>0</v>
      </c>
      <c r="DM257" s="14">
        <f>SUM( BQ257, BW257, CC257, CI257, CO257,CU257,DA257,DG257)</f>
        <v>476.54499999999996</v>
      </c>
      <c r="DN257" s="14">
        <f>SUM(BR257,BX257,CD257,CJ257, CP257,CV257,DB257,DH257)</f>
        <v>38.271999999999998</v>
      </c>
      <c r="DO257" s="14">
        <f ca="1">SUM(BS257,BY257,CE257,CK257, CQ257,CW257,DC257,DI257)</f>
        <v>42.099199999999975</v>
      </c>
      <c r="DP257" s="25">
        <f ca="1">SUM(DM257:DO257)</f>
        <v>556.9162</v>
      </c>
      <c r="DQ257" s="47">
        <f ca="1">SUM(DP257/EG257)</f>
        <v>1.5133592391304348E-2</v>
      </c>
      <c r="DR257" s="14">
        <v>20</v>
      </c>
      <c r="DS257" s="32">
        <f>COUNTIF(DX257, "*")+COUNTIF(AO257, "*")+COUNTIF(AJ257, "*")+COUNTIF(AA257, "*")+COUNTIF(EY257, "*")+COUNTIF(FE257, "*")+COUNTIF(FK257, "*")+COUNTIF(FO257, "*")+COUNTIF(FV257, "*")+COUNTIF(AT257, "*")+COUNTIF(GE257, "*")+COUNTIF(GP257, "*")+COUNTIF(HA257, "*")+COUNTIF(HI257, "*")+COUNTIF(HQ257, "*")+COUNTIF(HY257, "*")+COUNTIF(IG257, "*")</f>
        <v>2</v>
      </c>
      <c r="DT257" s="14">
        <f>DS257*0.6</f>
        <v>1.2</v>
      </c>
      <c r="DU257" s="4"/>
      <c r="DV257" s="4"/>
      <c r="DW257" s="4"/>
      <c r="DX257" s="4"/>
      <c r="DZ257" s="4"/>
      <c r="EA257" s="14">
        <f>SUM(DV257:DZ257)</f>
        <v>0</v>
      </c>
      <c r="EB257" s="14">
        <f ca="1">SUM(DP257,DR257,EA257, DU257, DT257,GB257)</f>
        <v>578.11620000000005</v>
      </c>
      <c r="EC257" s="24" t="s">
        <v>3879</v>
      </c>
      <c r="ED257" s="130">
        <v>4.9400000000000004</v>
      </c>
      <c r="EE257" s="14">
        <v>36800</v>
      </c>
      <c r="EF257" s="14">
        <v>0</v>
      </c>
      <c r="EG257" s="14">
        <v>36800</v>
      </c>
      <c r="EH257" s="14">
        <v>41700</v>
      </c>
      <c r="EI257" s="14">
        <v>0</v>
      </c>
      <c r="EJ257" s="14">
        <f>SUM(EH257+EI257)</f>
        <v>41700</v>
      </c>
      <c r="FS257" s="9"/>
      <c r="FZ257" s="9"/>
      <c r="IM257" s="9"/>
      <c r="IX257" s="14">
        <f ca="1">SUM(IN257-EB257-GB257-IV257)</f>
        <v>-578.11620000000005</v>
      </c>
      <c r="IY257" s="9"/>
      <c r="IZ257" s="9"/>
      <c r="JA257" s="9"/>
      <c r="JB257" s="9"/>
      <c r="JC257" s="9"/>
    </row>
    <row r="258" spans="1:263" ht="15" customHeight="1">
      <c r="A258" s="2">
        <v>102019043</v>
      </c>
      <c r="B258" s="4" t="s">
        <v>1357</v>
      </c>
      <c r="C258" s="4"/>
      <c r="E258" s="3"/>
      <c r="F258" s="2"/>
      <c r="G258" s="2"/>
      <c r="H258" s="2"/>
      <c r="J258" t="s">
        <v>311</v>
      </c>
      <c r="K258" t="s">
        <v>1311</v>
      </c>
      <c r="L258" t="s">
        <v>1358</v>
      </c>
      <c r="M258" t="s">
        <v>354</v>
      </c>
      <c r="O258" s="1"/>
      <c r="T258" s="1"/>
      <c r="AJ258" s="4"/>
      <c r="AK258" s="4"/>
      <c r="AO258" s="4"/>
      <c r="AP258" s="5"/>
      <c r="AS258" s="5"/>
      <c r="AT258" s="5"/>
      <c r="AU258" s="1"/>
      <c r="AV258" s="1"/>
      <c r="AW258" s="1"/>
      <c r="AX258" s="1"/>
      <c r="AY258" s="15"/>
      <c r="AZ258" s="1"/>
      <c r="BA258" s="1"/>
      <c r="BB258" s="1"/>
      <c r="BC258" s="1"/>
      <c r="BD258" s="1"/>
      <c r="BE258" s="1"/>
      <c r="BF258" s="1"/>
      <c r="BG258" s="5"/>
      <c r="BH258" s="16"/>
      <c r="BI258" s="16"/>
      <c r="BK258" s="4"/>
      <c r="BL258" s="4"/>
      <c r="BM258" s="6"/>
      <c r="BN258" s="7"/>
      <c r="BO258" s="4"/>
      <c r="BP258" s="4"/>
      <c r="BQ258" s="4"/>
      <c r="BR258" s="4"/>
      <c r="BS258" s="6"/>
      <c r="BT258" s="7"/>
      <c r="BU258" s="4"/>
      <c r="BV258" s="4"/>
      <c r="BW258" s="4"/>
      <c r="BX258" s="4"/>
      <c r="BY258" s="6"/>
      <c r="BZ258" s="7"/>
      <c r="CA258" s="4"/>
      <c r="CB258" s="4"/>
      <c r="CC258" s="4"/>
      <c r="CD258" s="4"/>
      <c r="CE258" s="6"/>
      <c r="CF258" s="7"/>
      <c r="CG258" s="4"/>
      <c r="CH258" s="4"/>
      <c r="CI258" s="4"/>
      <c r="CJ258" s="4"/>
      <c r="CK258" s="6"/>
      <c r="CL258" s="7"/>
      <c r="CM258" s="4"/>
      <c r="CN258" s="4"/>
      <c r="CO258" s="4"/>
      <c r="CP258" s="4"/>
      <c r="CQ258" s="6"/>
      <c r="CR258" s="7"/>
      <c r="CS258" s="4"/>
      <c r="CT258" s="4"/>
      <c r="CU258" s="4"/>
      <c r="CV258" s="4"/>
      <c r="CW258" s="6"/>
      <c r="CX258" s="7"/>
      <c r="CY258" s="4"/>
      <c r="CZ258" s="4"/>
      <c r="DA258" s="4"/>
      <c r="DB258" s="4"/>
      <c r="DC258" s="6"/>
      <c r="DD258" s="7"/>
      <c r="DE258" s="4"/>
      <c r="DF258" s="4"/>
      <c r="DG258" s="4"/>
      <c r="DH258" s="14"/>
      <c r="DI258" s="14"/>
      <c r="DJ258" s="4"/>
      <c r="DK258" s="3"/>
      <c r="DL258" s="4"/>
      <c r="DM258" s="234"/>
      <c r="DN258" s="4"/>
      <c r="DO258" s="4"/>
      <c r="DP258" s="4"/>
      <c r="DQ258" s="4"/>
      <c r="DR258" s="4"/>
      <c r="DS258" s="4"/>
      <c r="DT258" s="7"/>
      <c r="DU258" s="8"/>
      <c r="DV258" s="4"/>
      <c r="DW258" s="8"/>
      <c r="DX258" s="4"/>
      <c r="DY258" s="4"/>
      <c r="DZ258" s="7"/>
      <c r="EI258" s="11"/>
      <c r="EQ258" s="4"/>
      <c r="ER258" s="4"/>
      <c r="EU258" s="4"/>
      <c r="EV258" s="4"/>
      <c r="EW258" s="4"/>
      <c r="EX258" s="4"/>
      <c r="EY258" s="4"/>
      <c r="EZ258" s="4"/>
      <c r="FA258" s="4"/>
      <c r="FB258" s="4"/>
      <c r="FC258" s="4"/>
      <c r="FD258" s="4"/>
      <c r="FE258" s="4"/>
      <c r="FI258" s="9"/>
      <c r="FR258" s="9"/>
      <c r="FX258" s="4"/>
      <c r="GC258" s="10"/>
      <c r="GM258" s="10"/>
      <c r="HB258" s="9"/>
      <c r="IJ258" s="4"/>
      <c r="IK258" s="4"/>
      <c r="IL258" s="9"/>
      <c r="IS258" s="4"/>
      <c r="IT258" s="4"/>
    </row>
    <row r="259" spans="1:263" ht="15" customHeight="1">
      <c r="A259" s="19">
        <v>102021084</v>
      </c>
      <c r="B259" s="18" t="s">
        <v>2592</v>
      </c>
      <c r="C259" s="18"/>
      <c r="D259" s="13"/>
      <c r="E259" s="18"/>
      <c r="F259" s="18"/>
      <c r="G259" s="18"/>
      <c r="H259" s="18"/>
      <c r="I259" s="18"/>
      <c r="J259" s="18"/>
      <c r="K259" s="18" t="s">
        <v>2593</v>
      </c>
      <c r="L259" s="18"/>
      <c r="M259" s="18"/>
      <c r="N259" s="18"/>
      <c r="O259" s="18"/>
      <c r="P259" s="18"/>
      <c r="Q259" s="18"/>
      <c r="R259" s="18"/>
      <c r="S259" s="18"/>
      <c r="T259" s="18"/>
      <c r="U259" s="18"/>
      <c r="V259" s="18"/>
      <c r="W259" s="18"/>
      <c r="X259" s="18"/>
      <c r="Y259" s="18"/>
      <c r="Z259" s="18" t="s">
        <v>2594</v>
      </c>
      <c r="AA259" s="18" t="s">
        <v>2595</v>
      </c>
      <c r="AB259" s="18" t="s">
        <v>267</v>
      </c>
      <c r="AC259" s="18" t="s">
        <v>268</v>
      </c>
      <c r="AD259" s="18"/>
      <c r="AE259" s="18"/>
      <c r="AF259" s="18"/>
      <c r="AG259" s="231"/>
      <c r="AH259" s="18"/>
      <c r="AI259" s="18"/>
      <c r="AJ259" s="18" t="s">
        <v>328</v>
      </c>
      <c r="AK259" s="18"/>
      <c r="AL259" s="18" t="s">
        <v>290</v>
      </c>
      <c r="AM259" s="24"/>
      <c r="AN259" s="24"/>
      <c r="AO259" s="18" t="s">
        <v>2596</v>
      </c>
      <c r="AP259" s="13" t="s">
        <v>258</v>
      </c>
      <c r="AQ259" s="24" t="s">
        <v>300</v>
      </c>
      <c r="AR259" s="24"/>
      <c r="AS259" s="13"/>
      <c r="AT259" s="13"/>
      <c r="AU259" s="13"/>
      <c r="AV259" s="13"/>
      <c r="AW259" s="13"/>
      <c r="AX259" s="19"/>
      <c r="AY259" s="19"/>
      <c r="AZ259" s="48"/>
      <c r="BA259" s="19"/>
      <c r="BB259" s="19"/>
      <c r="BC259" s="19"/>
      <c r="BD259" s="19"/>
      <c r="BE259" s="19"/>
      <c r="BF259" s="19"/>
      <c r="BG259" s="20"/>
      <c r="BH259" s="22"/>
      <c r="BI259" s="22"/>
      <c r="BJ259" s="14"/>
      <c r="BK259" s="22"/>
      <c r="BL259" s="14"/>
      <c r="BM259" s="14"/>
      <c r="BN259" s="14"/>
      <c r="BO259" s="17"/>
      <c r="BP259" s="23"/>
      <c r="BQ259" s="14"/>
      <c r="BR259" s="14"/>
      <c r="BS259" s="14"/>
      <c r="BT259" s="14"/>
      <c r="BU259" s="17"/>
      <c r="BV259" s="23"/>
      <c r="BW259" s="14"/>
      <c r="BX259" s="14"/>
      <c r="BY259" s="14"/>
      <c r="BZ259" s="14"/>
      <c r="CA259" s="17"/>
      <c r="CB259" s="23"/>
      <c r="CC259" s="14"/>
      <c r="CD259" s="14"/>
      <c r="CE259" s="14"/>
      <c r="CF259" s="14"/>
      <c r="CG259" s="17"/>
      <c r="CH259" s="23"/>
      <c r="CI259" s="14"/>
      <c r="CJ259" s="14"/>
      <c r="CK259" s="14"/>
      <c r="CL259" s="14"/>
      <c r="CM259" s="17"/>
      <c r="CN259" s="23"/>
      <c r="CO259" s="14"/>
      <c r="CP259" s="14"/>
      <c r="CQ259" s="14"/>
      <c r="CR259" s="14"/>
      <c r="CS259" s="17"/>
      <c r="CT259" s="23"/>
      <c r="CU259" s="14"/>
      <c r="CV259" s="14"/>
      <c r="CW259" s="18"/>
      <c r="CX259" s="18"/>
      <c r="CY259" s="18"/>
      <c r="CZ259" s="18"/>
      <c r="DA259" s="14"/>
      <c r="DB259" s="14"/>
      <c r="DC259" s="14"/>
      <c r="DD259" s="14"/>
      <c r="DE259" s="14"/>
      <c r="DF259" s="47"/>
      <c r="DG259" s="14"/>
      <c r="DH259" s="32"/>
      <c r="DI259" s="14"/>
      <c r="DJ259" s="18"/>
      <c r="DK259" s="14">
        <f>SUM(DE259,DG259,DQ259, DJ259, DI259,FS259)</f>
        <v>0</v>
      </c>
      <c r="DL259" s="18"/>
      <c r="DM259" s="18"/>
      <c r="DN259" s="18"/>
      <c r="DO259" s="18"/>
      <c r="DP259" s="18"/>
      <c r="DQ259" s="14">
        <f>SUM(DL259:DP259)</f>
        <v>0</v>
      </c>
      <c r="DR259" s="24" t="s">
        <v>1944</v>
      </c>
      <c r="DS259" s="14">
        <v>0</v>
      </c>
      <c r="DT259" s="14">
        <v>5700</v>
      </c>
      <c r="DU259" s="25">
        <f>SUM(DS259+DT259)</f>
        <v>5700</v>
      </c>
      <c r="DV259" s="36">
        <v>0.04</v>
      </c>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row>
    <row r="260" spans="1:263" ht="15" customHeight="1">
      <c r="A260" s="19">
        <v>102023102</v>
      </c>
      <c r="B260" s="18" t="s">
        <v>4382</v>
      </c>
      <c r="C260" s="10"/>
      <c r="D260" s="161"/>
      <c r="E260" s="147"/>
      <c r="F260" s="160"/>
      <c r="G260" s="147"/>
      <c r="H260" s="10"/>
      <c r="I260" s="10"/>
      <c r="J260" s="28" t="s">
        <v>311</v>
      </c>
      <c r="K260" s="28" t="s">
        <v>4400</v>
      </c>
      <c r="L260" s="28" t="s">
        <v>4401</v>
      </c>
      <c r="M260" s="28"/>
      <c r="N260" s="28"/>
      <c r="O260" s="149"/>
      <c r="P260" s="28"/>
      <c r="Q260" s="28"/>
      <c r="R260" s="28"/>
      <c r="S260" s="28"/>
      <c r="T260" s="10"/>
      <c r="U260" s="10"/>
      <c r="V260" s="10"/>
      <c r="W260" s="10"/>
      <c r="X260" s="10"/>
      <c r="Y260" s="10"/>
      <c r="Z260" s="10"/>
      <c r="AA260" s="10"/>
      <c r="AB260" s="10"/>
      <c r="AC260" s="10"/>
      <c r="AD260" s="10"/>
      <c r="AE260" s="10"/>
      <c r="AF260" s="10"/>
      <c r="AG260" s="141"/>
      <c r="AH260" s="10"/>
      <c r="AI260" s="10"/>
      <c r="AJ260" s="18" t="s">
        <v>328</v>
      </c>
      <c r="AK260" s="1"/>
      <c r="AL260" s="18" t="s">
        <v>290</v>
      </c>
      <c r="AM260"/>
      <c r="AN260"/>
      <c r="AO260" s="18" t="s">
        <v>4402</v>
      </c>
      <c r="AP260" s="1" t="s">
        <v>258</v>
      </c>
      <c r="AQ260" s="18" t="s">
        <v>290</v>
      </c>
      <c r="AR260" s="18" t="s">
        <v>268</v>
      </c>
      <c r="AX260" s="1"/>
      <c r="AY260" s="1"/>
      <c r="AZ260" s="1"/>
      <c r="BA260" s="1"/>
      <c r="BB260" s="1"/>
      <c r="BC260" s="70"/>
      <c r="BD260" s="115">
        <v>45060</v>
      </c>
      <c r="BE260" s="144"/>
      <c r="BF260" s="70"/>
      <c r="BG260" s="2"/>
      <c r="BH260" s="70"/>
      <c r="BI260" s="70"/>
      <c r="BJ260" s="70"/>
      <c r="BK260" s="70"/>
      <c r="BL260" s="20">
        <f ca="1">SUM(EB260)+220</f>
        <v>425.74389999999994</v>
      </c>
      <c r="BM260" s="22">
        <f ca="1">PMT(10%/12,12,BL260,0,0)</f>
        <v>-37.429652701264473</v>
      </c>
      <c r="BN260" s="22">
        <f ca="1">SUM(BM260*-1)</f>
        <v>37.429652701264473</v>
      </c>
      <c r="BO260" s="14">
        <f>SUM(EJ260*0.0052)/12</f>
        <v>2.4699999999999998</v>
      </c>
      <c r="BP260" s="22">
        <f ca="1">SUM(BN260+BO260)</f>
        <v>39.899652701264472</v>
      </c>
      <c r="BQ260" s="14">
        <v>0</v>
      </c>
      <c r="BR260" s="14">
        <f>SUM(BQ260*0.1)</f>
        <v>0</v>
      </c>
      <c r="BS260" s="14">
        <f ca="1">SUM(BT260*BU260)</f>
        <v>0</v>
      </c>
      <c r="BT260" s="17">
        <f>SUM((BQ260+BR260)*0.00833333333333333)</f>
        <v>0</v>
      </c>
      <c r="BU260" s="23">
        <f ca="1">MONTH(TODAY())+37</f>
        <v>41</v>
      </c>
      <c r="BV260" s="14">
        <f ca="1">SUM(BQ260,BR260,BS260)</f>
        <v>0</v>
      </c>
      <c r="BW260" s="14">
        <f>SUM(EG260*0.0052)</f>
        <v>29.639999999999997</v>
      </c>
      <c r="BX260" s="14">
        <f>SUM(BW260*0.1)</f>
        <v>2.964</v>
      </c>
      <c r="BY260" s="14">
        <f ca="1">SUM(BZ260*CA260)</f>
        <v>11.139699999999996</v>
      </c>
      <c r="BZ260" s="17">
        <f>SUM((BW260+BX260)*0.00833333333333333)</f>
        <v>0.27169999999999989</v>
      </c>
      <c r="CA260" s="167">
        <f ca="1">MONTH(TODAY())+37</f>
        <v>41</v>
      </c>
      <c r="CB260" s="14">
        <f ca="1">SUM(BW260,BX260,BY260)</f>
        <v>43.743699999999997</v>
      </c>
      <c r="CC260" s="14">
        <f>SUM(EG260*0.0052)/2</f>
        <v>14.819999999999999</v>
      </c>
      <c r="CD260" s="14">
        <f>SUM(CC260*0.1)</f>
        <v>1.482</v>
      </c>
      <c r="CE260" s="14">
        <f ca="1">SUM(CF260*CG260)</f>
        <v>4.4830499999999978</v>
      </c>
      <c r="CF260" s="17">
        <f>SUM((CC260+CD260)*0.00833333333333333)</f>
        <v>0.13584999999999994</v>
      </c>
      <c r="CG260" s="167">
        <f ca="1">MONTH(TODAY())+29</f>
        <v>33</v>
      </c>
      <c r="CH260" s="23">
        <f ca="1">SUM(CC260,CD260,CE260)</f>
        <v>20.785049999999998</v>
      </c>
      <c r="CI260" s="14">
        <f>SUM(EG260*0.0052)/2</f>
        <v>14.819999999999999</v>
      </c>
      <c r="CJ260" s="14">
        <f>SUM(CI260*0.1)</f>
        <v>1.482</v>
      </c>
      <c r="CK260" s="14">
        <f ca="1">SUM(CL260*CM260)</f>
        <v>3.9396499999999985</v>
      </c>
      <c r="CL260" s="17">
        <f>SUM((CI260+CJ260)*0.00833333333333333)</f>
        <v>0.13584999999999994</v>
      </c>
      <c r="CM260" s="58">
        <f ca="1">MONTH(TODAY())+25</f>
        <v>29</v>
      </c>
      <c r="CN260" s="14">
        <f ca="1">SUM(CI260,CJ260,CK260)</f>
        <v>20.24165</v>
      </c>
      <c r="CO260" s="14">
        <f>SUM(EJ260*0.0045)/2</f>
        <v>12.824999999999999</v>
      </c>
      <c r="CP260" s="14">
        <f>SUM(CO260*0.1)</f>
        <v>1.2825</v>
      </c>
      <c r="CQ260" s="14">
        <f ca="1">SUM(CR260*CS260)</f>
        <v>2.7039374999999986</v>
      </c>
      <c r="CR260" s="17">
        <f>SUM((CO260+CP260)*0.00833333333333333)</f>
        <v>0.11756249999999994</v>
      </c>
      <c r="CS260" s="58">
        <f ca="1">MONTH(TODAY())+19</f>
        <v>23</v>
      </c>
      <c r="CT260" s="14">
        <f ca="1">SUM(CO260,CP260,CQ260)</f>
        <v>16.811437499999997</v>
      </c>
      <c r="CU260" s="14">
        <f>SUM(EJ260*0.0045)/2</f>
        <v>12.824999999999999</v>
      </c>
      <c r="CV260" s="14">
        <f>SUM(CU260*0.1)</f>
        <v>1.2825</v>
      </c>
      <c r="CW260" s="14">
        <f ca="1">SUM(CX260*CY260)</f>
        <v>1.9985624999999991</v>
      </c>
      <c r="CX260" s="17">
        <f>SUM((CU260+CV260)*0.00833333333333333)</f>
        <v>0.11756249999999994</v>
      </c>
      <c r="CY260" s="58">
        <f ca="1">MONTH(TODAY())+13</f>
        <v>17</v>
      </c>
      <c r="CZ260" s="14">
        <f ca="1">SUM(CU260,CV260,CW260)</f>
        <v>16.1060625</v>
      </c>
      <c r="DA260" s="14">
        <f>SUM(EJ260*0.0045)/2</f>
        <v>12.824999999999999</v>
      </c>
      <c r="DB260" s="14">
        <f>SUM(DA260*0.1)</f>
        <v>1.2825</v>
      </c>
      <c r="DC260" s="14">
        <f ca="1">SUM(DD260*DE260)</f>
        <v>1.2931874999999995</v>
      </c>
      <c r="DD260" s="17">
        <f>SUM((DA260+DB260)*0.00833333333333333)</f>
        <v>0.11756249999999994</v>
      </c>
      <c r="DE260" s="58">
        <f ca="1">MONTH(TODAY())+7</f>
        <v>11</v>
      </c>
      <c r="DF260" s="14">
        <f ca="1">SUM(DA260,DB260,DC260)</f>
        <v>15.4006875</v>
      </c>
      <c r="DG260" s="180">
        <f>SUM(EJ260*0.0045)/2</f>
        <v>12.824999999999999</v>
      </c>
      <c r="DH260" s="14">
        <f>SUM(DG260*0.1)</f>
        <v>1.2825</v>
      </c>
      <c r="DI260" s="103">
        <f ca="1">SUM(DJ260*DK260)</f>
        <v>0.58781249999999974</v>
      </c>
      <c r="DJ260" s="17">
        <f>SUM((DG260+DH260)*0.00833333333333333)</f>
        <v>0.11756249999999994</v>
      </c>
      <c r="DK260" s="58">
        <f ca="1">MONTH(TODAY())+1</f>
        <v>5</v>
      </c>
      <c r="DL260" s="14">
        <f ca="1">SUM(DG260,DH260,DI260)</f>
        <v>14.6953125</v>
      </c>
      <c r="DM260" s="192">
        <f>SUM(BQ260, BW260, CC260,CI260,CO260,CU260,DA260,DG260)</f>
        <v>110.58</v>
      </c>
      <c r="DN260" s="192">
        <f>SUM(BR260,BX260, CD260,CJ260,CP260,CV260,DB260,DH260)</f>
        <v>11.058000000000002</v>
      </c>
      <c r="DO260" s="192">
        <f ca="1">SUM(BS260,BY260, CE260,CK260,CQ260,CW260,DC260,DI260)</f>
        <v>26.145899999999983</v>
      </c>
      <c r="DP260" s="25">
        <f ca="1">SUM(DM260:DO260)</f>
        <v>147.78389999999999</v>
      </c>
      <c r="DQ260" s="47">
        <f ca="1">SUM(DP260/EG260)</f>
        <v>2.5926999999999999E-2</v>
      </c>
      <c r="DR260" s="14">
        <v>20</v>
      </c>
      <c r="DS260" s="32">
        <f>COUNTIF(AO260, "*")+COUNTIF(AJ260, "*")+COUNTIF(AA260, "*")+COUNTIF(EU260, "*")+COUNTIF(FA260, "*")+COUNTIF(FG260, "*")+COUNTIF(FK260, "*")+COUNTIF(FR260, "*")+COUNTIF(AT260, "*")+COUNTIF(GA260, "*")+COUNTIF(GL260, "*")+COUNTIF(GW260, "*")+COUNTIF(HE260, "*")+COUNTIF(HM260, "*")+COUNTIF(HU260, "*")</f>
        <v>2</v>
      </c>
      <c r="DT260" s="14">
        <f>DS260*0.6</f>
        <v>1.2</v>
      </c>
      <c r="DU260" s="4">
        <v>36.76</v>
      </c>
      <c r="DV260" s="4"/>
      <c r="DW260" s="4"/>
      <c r="DX260" s="4"/>
      <c r="DY260" s="4"/>
      <c r="DZ260" s="4"/>
      <c r="EA260" s="14">
        <f>SUM(DU260:DZ260)</f>
        <v>36.76</v>
      </c>
      <c r="EB260" s="103">
        <f ca="1">SUM(DP260,DR260,EA260,DT260,FX260)</f>
        <v>205.74389999999997</v>
      </c>
      <c r="EC260" s="24" t="s">
        <v>3879</v>
      </c>
      <c r="ED260" s="23">
        <v>0.04</v>
      </c>
      <c r="EE260" s="14">
        <v>0</v>
      </c>
      <c r="EF260" s="14">
        <v>5700</v>
      </c>
      <c r="EG260" s="14">
        <f>SUM(EE260+EF260)</f>
        <v>5700</v>
      </c>
      <c r="EH260" s="14">
        <v>0</v>
      </c>
      <c r="EI260" s="14">
        <v>5700</v>
      </c>
      <c r="EJ260" s="14">
        <f>SUM(EH260+EI260)</f>
        <v>5700</v>
      </c>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9"/>
      <c r="FP260" s="10"/>
      <c r="FQ260" s="10"/>
      <c r="FR260" s="10"/>
      <c r="FS260" s="10"/>
      <c r="FT260" s="10"/>
      <c r="FU260" s="10"/>
      <c r="FV260" s="9"/>
      <c r="FW260" s="10"/>
      <c r="FX260" s="10"/>
      <c r="FY260" s="10"/>
      <c r="FZ260" s="10"/>
      <c r="GA260" s="10"/>
      <c r="GB260" s="10"/>
      <c r="GC260" s="10"/>
      <c r="GD260" s="10"/>
      <c r="GE260" s="9"/>
      <c r="GF260" s="10"/>
      <c r="GG260" s="10"/>
      <c r="GH260" s="10"/>
      <c r="GI260" s="10"/>
      <c r="GJ260" s="10"/>
      <c r="GK260" s="10"/>
      <c r="GL260" s="10"/>
      <c r="GM260" s="10"/>
      <c r="GN260" s="10"/>
      <c r="GO260" s="10"/>
      <c r="GP260" s="9"/>
      <c r="GQ260" s="10"/>
      <c r="GR260" s="10"/>
      <c r="GS260" s="10"/>
      <c r="GT260" s="10"/>
      <c r="GU260" s="10"/>
      <c r="GV260" s="10"/>
      <c r="GW260" s="10"/>
      <c r="GX260" s="10"/>
      <c r="GY260" s="10"/>
      <c r="GZ260" s="10"/>
      <c r="HA260" s="9"/>
      <c r="HB260" s="10"/>
      <c r="HC260" s="10"/>
      <c r="HD260" s="10"/>
      <c r="HE260" s="10"/>
      <c r="HF260" s="10"/>
      <c r="HG260" s="10"/>
      <c r="HH260" s="10"/>
      <c r="HI260" s="9"/>
      <c r="HJ260" s="10"/>
      <c r="HK260" s="10"/>
      <c r="HL260" s="10"/>
      <c r="HM260" s="10"/>
      <c r="HN260" s="10"/>
      <c r="HO260" s="10"/>
      <c r="HP260" s="10"/>
      <c r="HQ260" s="9"/>
      <c r="HR260" s="10"/>
      <c r="HS260" s="10"/>
      <c r="HT260" s="10"/>
      <c r="HU260" s="10"/>
      <c r="HV260" s="10"/>
      <c r="HW260" s="10"/>
      <c r="HX260" s="10"/>
      <c r="HY260" s="9"/>
      <c r="HZ260" s="4"/>
      <c r="IA260" s="4"/>
      <c r="IB260" s="10"/>
      <c r="IC260" s="10"/>
      <c r="ID260" s="10"/>
      <c r="IE260" s="10"/>
      <c r="IF260" s="4"/>
      <c r="IG260" s="4"/>
      <c r="IH260" s="14">
        <f ca="1">SUM(HZ260-EB260-FX260-IF260)</f>
        <v>-205.74389999999997</v>
      </c>
      <c r="II260" s="14"/>
      <c r="IJ260" s="14"/>
      <c r="IK260" s="9"/>
      <c r="IL260" s="9"/>
      <c r="IM260" s="9"/>
      <c r="IN260" s="9"/>
      <c r="IO260" s="9"/>
      <c r="IP260" s="27" t="s">
        <v>5913</v>
      </c>
      <c r="IQ260" s="42"/>
      <c r="IR260" s="42"/>
      <c r="IS260" s="42"/>
      <c r="IT260" s="42"/>
      <c r="IU260" s="42"/>
      <c r="IV260" s="42"/>
      <c r="IW260" s="42"/>
      <c r="IX260" s="42"/>
      <c r="IY260" s="42"/>
      <c r="IZ260" s="42"/>
      <c r="JA260" s="42"/>
      <c r="JB260" s="42"/>
      <c r="JC260" s="42"/>
    </row>
    <row r="261" spans="1:263" ht="15" customHeight="1">
      <c r="A261" s="19">
        <v>102022151</v>
      </c>
      <c r="B261" t="s">
        <v>2882</v>
      </c>
      <c r="D261" s="1"/>
      <c r="J261" t="s">
        <v>311</v>
      </c>
      <c r="K261" t="s">
        <v>3175</v>
      </c>
      <c r="L261" t="s">
        <v>3176</v>
      </c>
      <c r="M261" t="s">
        <v>326</v>
      </c>
      <c r="N261" t="s">
        <v>341</v>
      </c>
      <c r="AG261" s="43"/>
      <c r="AJ261" t="s">
        <v>3177</v>
      </c>
      <c r="AK261" t="s">
        <v>258</v>
      </c>
      <c r="AL261" t="s">
        <v>386</v>
      </c>
      <c r="AM261" t="s">
        <v>260</v>
      </c>
      <c r="AN261"/>
      <c r="AO261" s="3" t="s">
        <v>3178</v>
      </c>
      <c r="AP261" s="3" t="s">
        <v>258</v>
      </c>
      <c r="AQ261" t="s">
        <v>329</v>
      </c>
      <c r="AR261" t="s">
        <v>260</v>
      </c>
      <c r="AS261" s="1"/>
      <c r="AT261" s="1"/>
      <c r="AU261" s="1"/>
      <c r="AV261" s="1"/>
      <c r="AW261" s="1"/>
      <c r="AX261" s="2"/>
      <c r="AY261" s="116"/>
      <c r="AZ261" s="115">
        <v>44649</v>
      </c>
      <c r="BA261" s="2"/>
      <c r="BB261" s="2"/>
      <c r="BC261" s="2"/>
      <c r="BD261" s="2"/>
      <c r="BE261" s="2"/>
      <c r="BF261" s="2"/>
      <c r="BG261" s="20">
        <f ca="1">SUM(CY261)+214.5</f>
        <v>1055.9877333333334</v>
      </c>
      <c r="BH261" s="22">
        <f ca="1">PMT(10%/12,12,BG261,0,0)</f>
        <v>-92.838098480006778</v>
      </c>
      <c r="BI261" s="22">
        <f ca="1">SUM(BH261*-1)</f>
        <v>92.838098480006778</v>
      </c>
      <c r="BJ261" s="14">
        <f>SUM(DI261*0.0052)/12</f>
        <v>13.086666666666666</v>
      </c>
      <c r="BK261" s="22">
        <f ca="1">SUM(BI261+BJ261)</f>
        <v>105.92476514667345</v>
      </c>
      <c r="BL261" s="14"/>
      <c r="BM261" s="14">
        <f>SUM(BL261*0.1)</f>
        <v>0</v>
      </c>
      <c r="BN261" s="14">
        <f ca="1">SUM(BO261*BP261)</f>
        <v>0</v>
      </c>
      <c r="BO261" s="17">
        <f>SUM((BL261+BM261)*0.00833333333333333)</f>
        <v>0</v>
      </c>
      <c r="BP261" s="23">
        <f ca="1">MONTH(TODAY())+49</f>
        <v>53</v>
      </c>
      <c r="BQ261" s="14">
        <f ca="1">SUM(BL261,BM261,BN261)</f>
        <v>0</v>
      </c>
      <c r="BR261" s="14"/>
      <c r="BS261" s="14">
        <f>SUM(BR261*0.1)</f>
        <v>0</v>
      </c>
      <c r="BT261" s="14">
        <f ca="1">SUM(BU261*BV261)</f>
        <v>0</v>
      </c>
      <c r="BU261" s="17">
        <f>SUM((BR261+BS261)*0.00833333333333333)</f>
        <v>0</v>
      </c>
      <c r="BV261" s="23">
        <f ca="1">MONTH(TODAY())+37</f>
        <v>41</v>
      </c>
      <c r="BW261" s="14">
        <f ca="1">SUM(BR261,BS261,BT261)</f>
        <v>0</v>
      </c>
      <c r="BX261" s="14"/>
      <c r="BY261" s="14">
        <f>SUM(BX261*0.1)</f>
        <v>0</v>
      </c>
      <c r="BZ261" s="14">
        <f ca="1">SUM(CA261*CB261)</f>
        <v>0</v>
      </c>
      <c r="CA261" s="17">
        <f>SUM((BX261+BY261)*0.00833333333333333)</f>
        <v>0</v>
      </c>
      <c r="CB261" s="23">
        <f ca="1">MONTH(TODAY())+25</f>
        <v>29</v>
      </c>
      <c r="CC261" s="14">
        <f ca="1">SUM(BX261,BY261,BZ261)</f>
        <v>0</v>
      </c>
      <c r="CD261" s="14">
        <f>SUM(DI261*0.0052)</f>
        <v>157.04</v>
      </c>
      <c r="CE261" s="14">
        <f>SUM(CD261*0.1)</f>
        <v>15.704000000000001</v>
      </c>
      <c r="CF261" s="14">
        <f ca="1">SUM(CG261*CH261)</f>
        <v>24.472066666666656</v>
      </c>
      <c r="CG261" s="17">
        <f>SUM((CD261+CE261)*0.00833333333333333)</f>
        <v>1.4395333333333327</v>
      </c>
      <c r="CH261" s="23">
        <f ca="1">MONTH(TODAY())+13</f>
        <v>17</v>
      </c>
      <c r="CI261" s="14">
        <f ca="1">SUM(CD261,CE261,CF261)</f>
        <v>197.21606666666665</v>
      </c>
      <c r="CJ261" s="14">
        <f>SUM(DI261*0.0052)</f>
        <v>157.04</v>
      </c>
      <c r="CK261" s="14">
        <f>SUM(CJ261*0.1)</f>
        <v>15.704000000000001</v>
      </c>
      <c r="CL261" s="14">
        <f ca="1">SUM(CM261*CN261)</f>
        <v>7.1976666666666631</v>
      </c>
      <c r="CM261" s="17">
        <f>SUM((CJ261+CK261)*0.00833333333333333)</f>
        <v>1.4395333333333327</v>
      </c>
      <c r="CN261" s="23">
        <f ca="1">MONTH(TODAY())+1</f>
        <v>5</v>
      </c>
      <c r="CO261" s="14">
        <f ca="1">SUM(CJ261,CK261,CL261)</f>
        <v>179.94166666666666</v>
      </c>
      <c r="CP261" s="14">
        <f>SUM(BL261, BR261,BX261,CD261,CJ261)</f>
        <v>314.08</v>
      </c>
      <c r="CQ261" s="14">
        <f>SUM(BM261, BS261,BY261,CE261,CK261)</f>
        <v>31.408000000000001</v>
      </c>
      <c r="CR261" s="14">
        <f ca="1">SUM(BN261, BT261,BZ261,CF261,CL261)</f>
        <v>31.669733333333319</v>
      </c>
      <c r="CS261" s="14">
        <f ca="1">SUM(CP261:CR261)</f>
        <v>377.15773333333334</v>
      </c>
      <c r="CT261" s="47">
        <f ca="1">SUM(CS261/DI261)</f>
        <v>1.2488666666666667E-2</v>
      </c>
      <c r="CU261" s="14">
        <f>19.5+19.5+195</f>
        <v>234</v>
      </c>
      <c r="CV261" s="32">
        <f>COUNTIF(DB261, "*")+COUNTIF(AO261, "*")+COUNTIF(AJ261, "*")+COUNTIF(AA261, "*")+COUNTIF(DY261, "*")+COUNTIF(EE261, "*")+COUNTIF(EK261, "*")+COUNTIF(EO261, "*")+COUNTIF(EV261, "*")+COUNTIF(FC261, "*")+COUNTIF(FJ261, "*")+COUNTIF(FU261, "*")+COUNTIF(GF261, "*")+COUNTIF(GN261, "*")+COUNTIF(GV261, "*")+COUNTIF(HD261, "*")+COUNTIF(HL261, "*")</f>
        <v>5</v>
      </c>
      <c r="CW261" s="14">
        <f>CV261*0.5+CV261*6.66</f>
        <v>35.799999999999997</v>
      </c>
      <c r="CX261" s="4">
        <v>150</v>
      </c>
      <c r="CY261" s="14">
        <f ca="1">SUM(CS261,CU261,DE261, CX261, CW261,FG261)</f>
        <v>841.48773333333327</v>
      </c>
      <c r="CZ261" s="14">
        <v>44.53</v>
      </c>
      <c r="DE261" s="14">
        <f>SUM(CZ261:DD261)</f>
        <v>44.53</v>
      </c>
      <c r="DF261" s="24" t="s">
        <v>2773</v>
      </c>
      <c r="DG261" s="4">
        <v>24000</v>
      </c>
      <c r="DH261" s="4">
        <v>6200</v>
      </c>
      <c r="DI261" s="25">
        <f>SUM(DG261+DH261)</f>
        <v>30200</v>
      </c>
      <c r="DJ261" s="35">
        <v>1</v>
      </c>
      <c r="DK261" t="s">
        <v>3666</v>
      </c>
      <c r="DL261" t="s">
        <v>3667</v>
      </c>
      <c r="DM261" t="s">
        <v>3668</v>
      </c>
      <c r="DN261" t="s">
        <v>3674</v>
      </c>
      <c r="FH261" t="s">
        <v>833</v>
      </c>
      <c r="FI261" t="s">
        <v>834</v>
      </c>
      <c r="FJ261" t="s">
        <v>266</v>
      </c>
      <c r="FL261" t="s">
        <v>267</v>
      </c>
      <c r="FM261" t="s">
        <v>268</v>
      </c>
      <c r="FN261" s="9">
        <v>40994</v>
      </c>
      <c r="FO261" t="s">
        <v>3715</v>
      </c>
      <c r="FS261" t="s">
        <v>3675</v>
      </c>
      <c r="FT261" t="s">
        <v>790</v>
      </c>
      <c r="FU261" t="s">
        <v>3676</v>
      </c>
      <c r="FW261" t="s">
        <v>290</v>
      </c>
      <c r="FX261" t="s">
        <v>260</v>
      </c>
      <c r="FY261" s="9">
        <v>41887</v>
      </c>
      <c r="FZ261" t="s">
        <v>3677</v>
      </c>
      <c r="GD261" t="s">
        <v>3678</v>
      </c>
      <c r="GE261" t="s">
        <v>3679</v>
      </c>
      <c r="GF261" t="s">
        <v>3680</v>
      </c>
      <c r="GG261" t="s">
        <v>3681</v>
      </c>
      <c r="GH261" t="s">
        <v>3505</v>
      </c>
      <c r="GI261" t="s">
        <v>301</v>
      </c>
      <c r="GJ261" s="9">
        <v>42398</v>
      </c>
      <c r="GK261" t="s">
        <v>3682</v>
      </c>
      <c r="IC261" s="4"/>
    </row>
    <row r="262" spans="1:263" ht="15" customHeight="1">
      <c r="A262" s="19">
        <v>102022015</v>
      </c>
      <c r="B262" t="s">
        <v>2782</v>
      </c>
      <c r="D262" s="1"/>
      <c r="K262" t="s">
        <v>2104</v>
      </c>
      <c r="Z262" t="s">
        <v>1594</v>
      </c>
      <c r="AA262" t="s">
        <v>773</v>
      </c>
      <c r="AB262" t="s">
        <v>386</v>
      </c>
      <c r="AC262" t="s">
        <v>260</v>
      </c>
      <c r="AJ262" s="18" t="s">
        <v>328</v>
      </c>
      <c r="AL262" t="s">
        <v>386</v>
      </c>
      <c r="AM262"/>
      <c r="AN262"/>
      <c r="AO262" s="3" t="s">
        <v>773</v>
      </c>
      <c r="AP262" s="1" t="s">
        <v>258</v>
      </c>
      <c r="AQ262" s="3" t="s">
        <v>386</v>
      </c>
      <c r="AR262" t="s">
        <v>260</v>
      </c>
      <c r="AU262" s="2"/>
      <c r="AV262" s="2"/>
      <c r="AW262" s="70"/>
      <c r="AX262" s="2"/>
      <c r="AY262" s="2"/>
      <c r="AZ262" s="2"/>
      <c r="BA262" s="2"/>
      <c r="BB262" s="2"/>
      <c r="BC262" s="2"/>
      <c r="BD262" s="20"/>
      <c r="BE262" s="22"/>
      <c r="BF262" s="22"/>
      <c r="BG262" s="14"/>
      <c r="BH262" s="22"/>
      <c r="BI262" s="14"/>
      <c r="BJ262" s="14"/>
      <c r="BK262" s="14"/>
      <c r="BL262" s="17"/>
      <c r="BM262" s="23"/>
      <c r="BN262" s="14"/>
      <c r="BO262" s="14"/>
      <c r="BP262" s="14"/>
      <c r="BQ262" s="14"/>
      <c r="BR262" s="17"/>
      <c r="BS262" s="23"/>
      <c r="BT262" s="14"/>
      <c r="BU262" s="14"/>
      <c r="BV262" s="14"/>
      <c r="BW262" s="14"/>
      <c r="BX262" s="17"/>
      <c r="BY262" s="23"/>
      <c r="BZ262" s="14"/>
      <c r="CA262" s="14"/>
      <c r="CB262" s="14"/>
      <c r="CC262" s="14"/>
      <c r="CD262" s="17"/>
      <c r="CE262" s="23"/>
      <c r="CF262" s="14"/>
      <c r="CG262" s="14"/>
      <c r="CH262" s="14"/>
      <c r="CI262" s="14"/>
      <c r="CJ262" s="17"/>
      <c r="CK262" s="23"/>
      <c r="CL262" s="14"/>
      <c r="CM262" s="14"/>
      <c r="CN262" s="14"/>
      <c r="CO262" s="14"/>
      <c r="CP262" s="14"/>
      <c r="CQ262" s="47"/>
      <c r="CR262" s="14"/>
      <c r="CS262" s="32"/>
      <c r="CT262" s="14"/>
      <c r="CV262" s="14"/>
      <c r="DB262" s="14"/>
      <c r="DC262" s="24"/>
      <c r="DD262" s="4"/>
      <c r="DE262" s="4"/>
      <c r="DF262" s="25"/>
      <c r="DG262" s="35">
        <v>453.64</v>
      </c>
      <c r="HZ262" s="4"/>
    </row>
    <row r="263" spans="1:263" ht="15" customHeight="1">
      <c r="A263" s="19">
        <v>102022016</v>
      </c>
      <c r="B263" t="s">
        <v>2783</v>
      </c>
      <c r="D263" s="1"/>
      <c r="K263" t="s">
        <v>2104</v>
      </c>
      <c r="Z263" t="s">
        <v>1594</v>
      </c>
      <c r="AA263" t="s">
        <v>773</v>
      </c>
      <c r="AB263" t="s">
        <v>386</v>
      </c>
      <c r="AC263" t="s">
        <v>260</v>
      </c>
      <c r="AJ263" s="18" t="s">
        <v>328</v>
      </c>
      <c r="AL263" t="s">
        <v>386</v>
      </c>
      <c r="AM263"/>
      <c r="AN263"/>
      <c r="AO263" s="3" t="s">
        <v>773</v>
      </c>
      <c r="AP263" s="1" t="s">
        <v>258</v>
      </c>
      <c r="AQ263" s="3" t="s">
        <v>386</v>
      </c>
      <c r="AR263" t="s">
        <v>260</v>
      </c>
      <c r="AU263" s="2"/>
      <c r="AV263" s="48"/>
      <c r="AW263" s="70"/>
      <c r="AX263" s="2"/>
      <c r="AY263" s="2"/>
      <c r="AZ263" s="2"/>
      <c r="BA263" s="2"/>
      <c r="BB263" s="2"/>
      <c r="BC263" s="2"/>
      <c r="BD263" s="20"/>
      <c r="BE263" s="22"/>
      <c r="BF263" s="22"/>
      <c r="BG263" s="14"/>
      <c r="BH263" s="22"/>
      <c r="BI263" s="14"/>
      <c r="BJ263" s="14"/>
      <c r="BK263" s="14"/>
      <c r="BL263" s="17"/>
      <c r="BM263" s="23"/>
      <c r="BN263" s="14"/>
      <c r="BO263" s="14"/>
      <c r="BP263" s="14"/>
      <c r="BQ263" s="14"/>
      <c r="BR263" s="17"/>
      <c r="BS263" s="23"/>
      <c r="BT263" s="14"/>
      <c r="BU263" s="14"/>
      <c r="BV263" s="14"/>
      <c r="BW263" s="14"/>
      <c r="BX263" s="17"/>
      <c r="BY263" s="23"/>
      <c r="BZ263" s="14"/>
      <c r="CA263" s="14"/>
      <c r="CB263" s="14"/>
      <c r="CC263" s="14"/>
      <c r="CD263" s="17"/>
      <c r="CE263" s="23"/>
      <c r="CF263" s="14"/>
      <c r="CG263" s="14"/>
      <c r="CH263" s="14"/>
      <c r="CI263" s="14"/>
      <c r="CJ263" s="17"/>
      <c r="CK263" s="23"/>
      <c r="CL263" s="14"/>
      <c r="CM263" s="14"/>
      <c r="CN263" s="14"/>
      <c r="CO263" s="14"/>
      <c r="CP263" s="14"/>
      <c r="CQ263" s="47"/>
      <c r="CR263" s="14"/>
      <c r="CS263" s="32"/>
      <c r="CT263" s="14"/>
      <c r="CV263" s="14"/>
      <c r="DB263" s="14"/>
      <c r="DC263" s="24"/>
      <c r="DD263" s="4"/>
      <c r="DE263" s="4"/>
      <c r="DF263" s="25"/>
      <c r="DG263" s="35">
        <v>53.404000000000003</v>
      </c>
      <c r="HZ263" s="4"/>
    </row>
    <row r="264" spans="1:263" ht="15" customHeight="1">
      <c r="A264" s="2">
        <v>102019053</v>
      </c>
      <c r="B264" s="4" t="s">
        <v>1380</v>
      </c>
      <c r="C264" s="4"/>
      <c r="E264" s="3" t="s">
        <v>1381</v>
      </c>
      <c r="F264" s="2">
        <v>190003319</v>
      </c>
      <c r="G264" s="2"/>
      <c r="H264" s="2"/>
      <c r="J264" t="s">
        <v>253</v>
      </c>
      <c r="K264" t="s">
        <v>1327</v>
      </c>
      <c r="L264" t="s">
        <v>619</v>
      </c>
      <c r="M264" t="s">
        <v>256</v>
      </c>
      <c r="O264" s="1" t="s">
        <v>258</v>
      </c>
      <c r="T264" s="1"/>
      <c r="AF264" s="3"/>
      <c r="AG264" s="1"/>
      <c r="AJ264" s="11"/>
      <c r="AK264" s="11"/>
      <c r="AO264" s="4"/>
      <c r="AP264" s="5"/>
      <c r="AQ264" s="34"/>
      <c r="AR264" s="34"/>
      <c r="AS264" s="29"/>
      <c r="AT264" s="1"/>
      <c r="AU264" s="1"/>
      <c r="AV264" s="1"/>
      <c r="AW264" s="1"/>
      <c r="AX264" s="1"/>
      <c r="AY264" s="1"/>
      <c r="AZ264" s="15"/>
      <c r="BA264" s="1"/>
      <c r="BB264" s="1"/>
      <c r="BC264" s="1"/>
      <c r="BD264" s="1"/>
      <c r="BE264" s="1"/>
      <c r="BF264" s="1"/>
      <c r="BG264" s="5"/>
      <c r="BH264" s="16"/>
      <c r="BI264" s="16"/>
      <c r="BJ264" s="4"/>
      <c r="BK264" s="4"/>
      <c r="BL264" s="4"/>
      <c r="BM264" s="6"/>
      <c r="BN264" s="7"/>
      <c r="BO264" s="4"/>
      <c r="BQ264" s="4"/>
      <c r="BR264" s="4"/>
      <c r="BS264" s="6"/>
      <c r="BT264" s="7"/>
      <c r="BU264" s="4"/>
      <c r="BV264" s="4"/>
      <c r="BW264" s="4"/>
      <c r="BX264" s="4"/>
      <c r="BY264" s="6"/>
      <c r="BZ264" s="7"/>
      <c r="CA264" s="4"/>
      <c r="CB264" s="4"/>
      <c r="CC264" s="4"/>
      <c r="CD264" s="4"/>
      <c r="CE264" s="6"/>
      <c r="CF264" s="7"/>
      <c r="CG264" s="4"/>
      <c r="CH264" s="4"/>
      <c r="CI264" s="4"/>
      <c r="CJ264" s="4"/>
      <c r="CK264" s="6"/>
      <c r="CL264" s="7"/>
      <c r="CM264" s="4"/>
      <c r="CN264" s="4"/>
      <c r="CO264" s="4"/>
      <c r="CP264" s="4"/>
      <c r="CQ264" s="6"/>
      <c r="CR264" s="7"/>
      <c r="CS264" s="4"/>
      <c r="CT264" s="4"/>
      <c r="CU264" s="4"/>
      <c r="CV264" s="4"/>
      <c r="CW264" s="6"/>
      <c r="CX264" s="7"/>
      <c r="CY264" s="4"/>
      <c r="CZ264" s="4"/>
      <c r="DA264" s="4"/>
      <c r="DB264" s="4"/>
      <c r="DC264" s="6"/>
      <c r="DD264" s="7"/>
      <c r="DE264" s="4"/>
      <c r="DF264" s="4"/>
      <c r="DG264" s="4"/>
      <c r="DH264" s="14"/>
      <c r="DI264" s="14"/>
      <c r="DJ264" s="4"/>
      <c r="DL264" s="4"/>
      <c r="DM264" s="234"/>
      <c r="DN264" s="4"/>
      <c r="DO264" s="4"/>
      <c r="DP264" s="4"/>
      <c r="DQ264" s="3"/>
      <c r="DR264" s="3"/>
      <c r="DS264" s="3"/>
      <c r="DT264" s="3"/>
      <c r="DU264" s="8"/>
      <c r="DV264" s="4"/>
      <c r="DW264" s="8"/>
      <c r="DX264" s="4"/>
      <c r="DY264" s="14"/>
      <c r="DZ264" s="23"/>
      <c r="EA264" s="4"/>
      <c r="EB264" s="4"/>
      <c r="EC264" s="4"/>
      <c r="ED264" s="4"/>
      <c r="EE264" s="4"/>
      <c r="EF264" s="4"/>
      <c r="EG264" s="4"/>
      <c r="EH264" s="4"/>
      <c r="EI264" s="4"/>
      <c r="EJ264" s="4"/>
      <c r="EK264" s="4"/>
      <c r="EL264" s="4"/>
      <c r="FI264" s="9"/>
      <c r="FJ264" s="10"/>
      <c r="FQ264" s="10"/>
      <c r="FR264" s="9"/>
      <c r="FX264" s="4"/>
      <c r="GE264" s="9"/>
      <c r="GP264" s="9"/>
      <c r="HA264" s="9"/>
      <c r="HI264" s="9"/>
      <c r="HQ264" s="9"/>
      <c r="HY264" s="9"/>
      <c r="IG264" s="9"/>
      <c r="IJ264" s="4"/>
      <c r="IK264" s="4"/>
      <c r="IL264" s="18"/>
      <c r="IM264" s="18"/>
      <c r="IN264" s="14"/>
      <c r="IO264" s="14"/>
      <c r="IP264" s="27">
        <v>43767</v>
      </c>
      <c r="IQ264" s="27">
        <v>43803</v>
      </c>
      <c r="IR264" s="18"/>
      <c r="IS264" s="18"/>
      <c r="IT264" s="18"/>
      <c r="IZ264" s="243"/>
      <c r="JA264" s="243"/>
      <c r="JB264" s="243"/>
      <c r="JC264" s="243"/>
    </row>
    <row r="265" spans="1:263" ht="15" customHeight="1">
      <c r="A265" s="19">
        <v>102022196</v>
      </c>
      <c r="B265" t="s">
        <v>3262</v>
      </c>
      <c r="D265" s="1"/>
      <c r="K265" t="s">
        <v>1703</v>
      </c>
      <c r="Z265" t="s">
        <v>3259</v>
      </c>
      <c r="AA265" t="s">
        <v>1704</v>
      </c>
      <c r="AB265" t="s">
        <v>386</v>
      </c>
      <c r="AC265" t="s">
        <v>260</v>
      </c>
      <c r="AG265" s="43"/>
      <c r="AJ265" t="s">
        <v>3260</v>
      </c>
      <c r="AK265" t="s">
        <v>258</v>
      </c>
      <c r="AL265" t="s">
        <v>267</v>
      </c>
      <c r="AM265" t="s">
        <v>260</v>
      </c>
      <c r="AN265"/>
      <c r="AO265" s="3" t="s">
        <v>1704</v>
      </c>
      <c r="AP265" s="3" t="s">
        <v>258</v>
      </c>
      <c r="AQ265" t="s">
        <v>386</v>
      </c>
      <c r="AR265" t="s">
        <v>260</v>
      </c>
      <c r="AS265" s="1"/>
      <c r="AT265" s="1"/>
      <c r="AU265" s="1"/>
      <c r="AV265" s="1"/>
      <c r="AW265" s="1"/>
      <c r="AX265" s="2"/>
      <c r="AY265" s="115">
        <v>44647</v>
      </c>
      <c r="AZ265" s="115">
        <v>44636</v>
      </c>
      <c r="BA265" s="2"/>
      <c r="BB265" s="2"/>
      <c r="BC265" s="2"/>
      <c r="BD265" s="2"/>
      <c r="BE265" s="2"/>
      <c r="BF265" s="2"/>
      <c r="BG265" s="20">
        <f ca="1">SUM(CY265)+214.5</f>
        <v>1701.6593333333333</v>
      </c>
      <c r="BH265" s="22">
        <f ca="1">PMT(10%/12,12,BG265,0,0)</f>
        <v>-149.60289005322662</v>
      </c>
      <c r="BI265" s="22">
        <f ca="1">SUM(BH265*-1)</f>
        <v>149.60289005322662</v>
      </c>
      <c r="BJ265" s="14">
        <f>SUM(DI265*0.0052)/12</f>
        <v>35.966666666666661</v>
      </c>
      <c r="BK265" s="22">
        <f ca="1">SUM(BI265+BJ265)</f>
        <v>185.56955671989328</v>
      </c>
      <c r="BL265" s="14"/>
      <c r="BM265" s="14">
        <f>SUM(BL265*0.1)</f>
        <v>0</v>
      </c>
      <c r="BN265" s="14">
        <f ca="1">SUM(BO265*BP265)</f>
        <v>0</v>
      </c>
      <c r="BO265" s="17">
        <f>SUM((BL265+BM265)*0.00833333333333333)</f>
        <v>0</v>
      </c>
      <c r="BP265" s="23">
        <f ca="1">MONTH(TODAY())+49</f>
        <v>53</v>
      </c>
      <c r="BQ265" s="14">
        <f ca="1">SUM(BL265,BM265,BN265)</f>
        <v>0</v>
      </c>
      <c r="BR265" s="14"/>
      <c r="BS265" s="14">
        <f>SUM(BR265*0.1)</f>
        <v>0</v>
      </c>
      <c r="BT265" s="14">
        <f ca="1">SUM(BU265*BV265)</f>
        <v>0</v>
      </c>
      <c r="BU265" s="17">
        <f>SUM((BR265+BS265)*0.00833333333333333)</f>
        <v>0</v>
      </c>
      <c r="BV265" s="23">
        <f ca="1">MONTH(TODAY())+37</f>
        <v>41</v>
      </c>
      <c r="BW265" s="14">
        <f ca="1">SUM(BR265,BS265,BT265)</f>
        <v>0</v>
      </c>
      <c r="BX265" s="14"/>
      <c r="BY265" s="14">
        <f>SUM(BX265*0.1)</f>
        <v>0</v>
      </c>
      <c r="BZ265" s="14">
        <f ca="1">SUM(CA265*CB265)</f>
        <v>0</v>
      </c>
      <c r="CA265" s="17">
        <f>SUM((BX265+BY265)*0.00833333333333333)</f>
        <v>0</v>
      </c>
      <c r="CB265" s="23">
        <f ca="1">MONTH(TODAY())+25</f>
        <v>29</v>
      </c>
      <c r="CC265" s="14">
        <f ca="1">SUM(BX265,BY265,BZ265)</f>
        <v>0</v>
      </c>
      <c r="CD265" s="14">
        <f>SUM(DI265*0.0052)</f>
        <v>431.59999999999997</v>
      </c>
      <c r="CE265" s="14">
        <f>SUM(CD265*0.1)</f>
        <v>43.16</v>
      </c>
      <c r="CF265" s="14">
        <f ca="1">SUM(CG265*CH265)</f>
        <v>67.257666666666637</v>
      </c>
      <c r="CG265" s="17">
        <f>SUM((CD265+CE265)*0.00833333333333333)</f>
        <v>3.9563333333333315</v>
      </c>
      <c r="CH265" s="23">
        <f ca="1">MONTH(TODAY())+13</f>
        <v>17</v>
      </c>
      <c r="CI265" s="14">
        <f ca="1">SUM(CD265,CE265,CF265)</f>
        <v>542.01766666666663</v>
      </c>
      <c r="CJ265" s="14">
        <f>SUM(DI265*0.0052)</f>
        <v>431.59999999999997</v>
      </c>
      <c r="CK265" s="14">
        <f>SUM(CJ265*0.1)</f>
        <v>43.16</v>
      </c>
      <c r="CL265" s="14">
        <f ca="1">SUM(CM265*CN265)</f>
        <v>19.781666666666659</v>
      </c>
      <c r="CM265" s="17">
        <f>SUM((CJ265+CK265)*0.00833333333333333)</f>
        <v>3.9563333333333315</v>
      </c>
      <c r="CN265" s="23">
        <f ca="1">MONTH(TODAY())+1</f>
        <v>5</v>
      </c>
      <c r="CO265" s="14">
        <f ca="1">SUM(CJ265,CK265,CL265)</f>
        <v>494.54166666666663</v>
      </c>
      <c r="CP265" s="14">
        <f t="shared" ref="CP265:CR266" si="36">SUM(BL265, BR265,BX265,CD265,CJ265)</f>
        <v>863.19999999999993</v>
      </c>
      <c r="CQ265" s="14">
        <f t="shared" si="36"/>
        <v>86.32</v>
      </c>
      <c r="CR265" s="14">
        <f t="shared" ca="1" si="36"/>
        <v>87.039333333333303</v>
      </c>
      <c r="CS265" s="14">
        <f ca="1">SUM(CP265:CR265)</f>
        <v>1036.5593333333334</v>
      </c>
      <c r="CT265" s="47">
        <f ca="1">SUM(CS265/DI265)</f>
        <v>1.2488666666666667E-2</v>
      </c>
      <c r="CU265" s="14">
        <f>19.5+19.5+195</f>
        <v>234</v>
      </c>
      <c r="CV265" s="32">
        <f>COUNTIF(DB265, "*")+COUNTIF(AO265, "*")+COUNTIF(AJ265, "*")+COUNTIF(AA265, "*")+COUNTIF(DY265, "*")+COUNTIF(EE265, "*")+COUNTIF(EK265, "*")+COUNTIF(EO265, "*")+COUNTIF(EV265, "*")+COUNTIF(FC265, "*")+COUNTIF(FJ265, "*")+COUNTIF(FU265, "*")+COUNTIF(GF265, "*")+COUNTIF(GN265, "*")+COUNTIF(GV265, "*")+COUNTIF(HD265, "*")+COUNTIF(HL265, "*")</f>
        <v>5</v>
      </c>
      <c r="CW265" s="14">
        <f>CV265*0.5+CV265*6.66</f>
        <v>35.799999999999997</v>
      </c>
      <c r="CX265" s="4">
        <v>150</v>
      </c>
      <c r="CY265" s="14">
        <f ca="1">SUM(CS265,CU265,DE265, CX265, CW265,FG265)</f>
        <v>1487.1593333333333</v>
      </c>
      <c r="CZ265" s="4">
        <v>30.8</v>
      </c>
      <c r="DE265" s="14">
        <f>SUM(CZ265:DD265)</f>
        <v>30.8</v>
      </c>
      <c r="DF265" s="24" t="s">
        <v>2773</v>
      </c>
      <c r="DG265" s="4">
        <v>26000</v>
      </c>
      <c r="DH265" s="4">
        <v>57000</v>
      </c>
      <c r="DI265" s="25">
        <f>SUM(DG265+DH265)</f>
        <v>83000</v>
      </c>
      <c r="DJ265" s="35">
        <v>0.13</v>
      </c>
      <c r="DK265" t="s">
        <v>3492</v>
      </c>
      <c r="DL265" t="s">
        <v>3493</v>
      </c>
      <c r="EN265" t="s">
        <v>3471</v>
      </c>
      <c r="EO265" t="s">
        <v>1030</v>
      </c>
      <c r="EQ265" t="s">
        <v>259</v>
      </c>
      <c r="ER265" t="s">
        <v>260</v>
      </c>
      <c r="ES265" s="9">
        <v>42408</v>
      </c>
      <c r="ET265" t="s">
        <v>3499</v>
      </c>
      <c r="EV265" t="s">
        <v>3498</v>
      </c>
      <c r="EX265" t="s">
        <v>386</v>
      </c>
      <c r="EY265" t="s">
        <v>260</v>
      </c>
      <c r="EZ265" s="9">
        <v>42408</v>
      </c>
      <c r="FA265" t="s">
        <v>3499</v>
      </c>
      <c r="IC265" s="4"/>
    </row>
    <row r="266" spans="1:263" ht="15" customHeight="1">
      <c r="A266" s="19">
        <v>102022197</v>
      </c>
      <c r="B266" t="s">
        <v>3261</v>
      </c>
      <c r="D266" s="1"/>
      <c r="K266" t="s">
        <v>1703</v>
      </c>
      <c r="Z266" t="s">
        <v>3259</v>
      </c>
      <c r="AA266" t="s">
        <v>1704</v>
      </c>
      <c r="AB266" t="s">
        <v>386</v>
      </c>
      <c r="AC266" t="s">
        <v>260</v>
      </c>
      <c r="AG266" s="43"/>
      <c r="AJ266" t="s">
        <v>328</v>
      </c>
      <c r="AL266" t="s">
        <v>267</v>
      </c>
      <c r="AM266"/>
      <c r="AN266"/>
      <c r="AO266" s="3" t="s">
        <v>1704</v>
      </c>
      <c r="AP266" s="3" t="s">
        <v>258</v>
      </c>
      <c r="AQ266" t="s">
        <v>386</v>
      </c>
      <c r="AR266" t="s">
        <v>260</v>
      </c>
      <c r="AS266" s="1"/>
      <c r="AT266" s="1"/>
      <c r="AU266" s="1"/>
      <c r="AV266" s="1"/>
      <c r="AW266" s="1"/>
      <c r="AX266" s="2"/>
      <c r="AY266" s="115">
        <v>44647</v>
      </c>
      <c r="AZ266" s="115">
        <v>44636</v>
      </c>
      <c r="BA266" s="2"/>
      <c r="BB266" s="2"/>
      <c r="BC266" s="2"/>
      <c r="BD266" s="2"/>
      <c r="BE266" s="2"/>
      <c r="BF266" s="2"/>
      <c r="BG266" s="20">
        <f ca="1">SUM(CY266)+214.5</f>
        <v>1214.6013333333331</v>
      </c>
      <c r="BH266" s="22">
        <f ca="1">PMT(10%/12,12,BG266,0,0)</f>
        <v>-106.78275385075261</v>
      </c>
      <c r="BI266" s="22">
        <f ca="1">SUM(BH266*-1)</f>
        <v>106.78275385075261</v>
      </c>
      <c r="BJ266" s="14">
        <f>SUM(DI266*0.0052)/12</f>
        <v>19.066666666666666</v>
      </c>
      <c r="BK266" s="22">
        <f ca="1">SUM(BI266+BJ266)</f>
        <v>125.84942051741928</v>
      </c>
      <c r="BL266" s="14"/>
      <c r="BM266" s="14">
        <f>SUM(BL266*0.1)</f>
        <v>0</v>
      </c>
      <c r="BN266" s="14">
        <f ca="1">SUM(BO266*BP266)</f>
        <v>0</v>
      </c>
      <c r="BO266" s="17">
        <f>SUM((BL266+BM266)*0.00833333333333333)</f>
        <v>0</v>
      </c>
      <c r="BP266" s="23">
        <f ca="1">MONTH(TODAY())+49</f>
        <v>53</v>
      </c>
      <c r="BQ266" s="14">
        <f ca="1">SUM(BL266,BM266,BN266)</f>
        <v>0</v>
      </c>
      <c r="BR266" s="14"/>
      <c r="BS266" s="14">
        <f>SUM(BR266*0.1)</f>
        <v>0</v>
      </c>
      <c r="BT266" s="14">
        <f ca="1">SUM(BU266*BV266)</f>
        <v>0</v>
      </c>
      <c r="BU266" s="17">
        <f>SUM((BR266+BS266)*0.00833333333333333)</f>
        <v>0</v>
      </c>
      <c r="BV266" s="23">
        <f ca="1">MONTH(TODAY())+37</f>
        <v>41</v>
      </c>
      <c r="BW266" s="14">
        <f ca="1">SUM(BR266,BS266,BT266)</f>
        <v>0</v>
      </c>
      <c r="BX266" s="14"/>
      <c r="BY266" s="14">
        <f>SUM(BX266*0.1)</f>
        <v>0</v>
      </c>
      <c r="BZ266" s="14">
        <f ca="1">SUM(CA266*CB266)</f>
        <v>0</v>
      </c>
      <c r="CA266" s="17">
        <f>SUM((BX266+BY266)*0.00833333333333333)</f>
        <v>0</v>
      </c>
      <c r="CB266" s="23">
        <f ca="1">MONTH(TODAY())+25</f>
        <v>29</v>
      </c>
      <c r="CC266" s="14">
        <f ca="1">SUM(BX266,BY266,BZ266)</f>
        <v>0</v>
      </c>
      <c r="CD266" s="14">
        <f>SUM(DI266*0.0052)</f>
        <v>228.79999999999998</v>
      </c>
      <c r="CE266" s="14">
        <f>SUM(CD266*0.1)</f>
        <v>22.88</v>
      </c>
      <c r="CF266" s="14">
        <f ca="1">SUM(CG266*CH266)</f>
        <v>35.65466666666665</v>
      </c>
      <c r="CG266" s="17">
        <f>SUM((CD266+CE266)*0.00833333333333333)</f>
        <v>2.0973333333333324</v>
      </c>
      <c r="CH266" s="23">
        <f ca="1">MONTH(TODAY())+13</f>
        <v>17</v>
      </c>
      <c r="CI266" s="14">
        <f ca="1">SUM(CD266,CE266,CF266)</f>
        <v>287.33466666666664</v>
      </c>
      <c r="CJ266" s="14">
        <f>SUM(DI266*0.0052)</f>
        <v>228.79999999999998</v>
      </c>
      <c r="CK266" s="14">
        <f>SUM(CJ266*0.1)</f>
        <v>22.88</v>
      </c>
      <c r="CL266" s="14">
        <f ca="1">SUM(CM266*CN266)</f>
        <v>10.486666666666661</v>
      </c>
      <c r="CM266" s="17">
        <f>SUM((CJ266+CK266)*0.00833333333333333)</f>
        <v>2.0973333333333324</v>
      </c>
      <c r="CN266" s="23">
        <f ca="1">MONTH(TODAY())+1</f>
        <v>5</v>
      </c>
      <c r="CO266" s="14">
        <f ca="1">SUM(CJ266,CK266,CL266)</f>
        <v>262.16666666666663</v>
      </c>
      <c r="CP266" s="14">
        <f t="shared" si="36"/>
        <v>457.59999999999997</v>
      </c>
      <c r="CQ266" s="14">
        <f t="shared" si="36"/>
        <v>45.76</v>
      </c>
      <c r="CR266" s="14">
        <f t="shared" ca="1" si="36"/>
        <v>46.141333333333307</v>
      </c>
      <c r="CS266" s="14">
        <f ca="1">SUM(CP266:CR266)</f>
        <v>549.50133333333326</v>
      </c>
      <c r="CT266" s="47">
        <f ca="1">SUM(CS266/DI266)</f>
        <v>1.2488666666666665E-2</v>
      </c>
      <c r="CU266" s="14">
        <f>19.5+19.5+195</f>
        <v>234</v>
      </c>
      <c r="CV266" s="32">
        <f>COUNTIF(DB266, "*")+COUNTIF(AO266, "*")+COUNTIF(AJ266, "*")+COUNTIF(AA266, "*")+COUNTIF(DY266, "*")+COUNTIF(EE266, "*")+COUNTIF(EK266, "*")+COUNTIF(EO266, "*")+COUNTIF(EV266, "*")+COUNTIF(FC266, "*")+COUNTIF(FJ266, "*")+COUNTIF(FU266, "*")+COUNTIF(GF266, "*")+COUNTIF(GN266, "*")+COUNTIF(GV266, "*")+COUNTIF(HD266, "*")+COUNTIF(HL266, "*")</f>
        <v>5</v>
      </c>
      <c r="CW266" s="14">
        <f>CV266*0.5+CV266*6.66</f>
        <v>35.799999999999997</v>
      </c>
      <c r="CX266" s="4">
        <v>150</v>
      </c>
      <c r="CY266" s="14">
        <f ca="1">SUM(CS266,CU266,DE266, CX266, CW266,FG266)</f>
        <v>1000.1013333333332</v>
      </c>
      <c r="CZ266" s="4">
        <v>30.8</v>
      </c>
      <c r="DE266" s="14">
        <f>SUM(CZ266:DD266)</f>
        <v>30.8</v>
      </c>
      <c r="DF266" s="24" t="s">
        <v>2773</v>
      </c>
      <c r="DG266" s="4">
        <v>44000</v>
      </c>
      <c r="DH266" s="4">
        <v>0</v>
      </c>
      <c r="DI266" s="25">
        <f>SUM(DG266+DH266)</f>
        <v>44000</v>
      </c>
      <c r="DJ266" s="35">
        <v>0.22</v>
      </c>
      <c r="DK266" t="s">
        <v>3492</v>
      </c>
      <c r="DL266" t="s">
        <v>3493</v>
      </c>
      <c r="EN266" t="s">
        <v>3471</v>
      </c>
      <c r="EO266" t="s">
        <v>1030</v>
      </c>
      <c r="EQ266" t="s">
        <v>259</v>
      </c>
      <c r="ER266" t="s">
        <v>260</v>
      </c>
      <c r="ES266" s="9">
        <v>42408</v>
      </c>
      <c r="ET266" t="s">
        <v>3499</v>
      </c>
      <c r="EV266" t="s">
        <v>3498</v>
      </c>
      <c r="EX266" t="s">
        <v>386</v>
      </c>
      <c r="EY266" t="s">
        <v>260</v>
      </c>
      <c r="EZ266" s="9">
        <v>42408</v>
      </c>
      <c r="FA266" t="s">
        <v>3499</v>
      </c>
      <c r="IC266" s="4"/>
    </row>
    <row r="267" spans="1:263" ht="15" customHeight="1">
      <c r="A267" s="19">
        <v>102021015</v>
      </c>
      <c r="B267" t="s">
        <v>2018</v>
      </c>
      <c r="J267" t="s">
        <v>253</v>
      </c>
      <c r="K267" t="s">
        <v>2019</v>
      </c>
      <c r="L267" t="s">
        <v>1310</v>
      </c>
      <c r="M267" t="s">
        <v>256</v>
      </c>
      <c r="U267" s="18"/>
      <c r="V267" s="18"/>
      <c r="W267" s="18"/>
      <c r="X267" s="18"/>
      <c r="Y267" s="18"/>
      <c r="Z267" s="18"/>
      <c r="AA267" s="18"/>
      <c r="AB267" s="18"/>
      <c r="AC267" s="18"/>
      <c r="AD267" s="18"/>
      <c r="AE267" s="18"/>
      <c r="AF267" s="24"/>
      <c r="AG267" s="37"/>
      <c r="AH267" s="18"/>
      <c r="AI267" s="18"/>
      <c r="AJ267" s="18"/>
      <c r="AK267" s="18"/>
      <c r="AL267" s="24"/>
      <c r="AM267" s="24"/>
      <c r="AN267" s="18" t="s">
        <v>2144</v>
      </c>
      <c r="AO267" s="13" t="s">
        <v>258</v>
      </c>
      <c r="AP267" s="24" t="s">
        <v>267</v>
      </c>
      <c r="AQ267" s="18"/>
      <c r="AR267" s="18"/>
      <c r="AS267" s="18"/>
      <c r="AT267" s="18"/>
      <c r="AU267" s="18"/>
      <c r="AV267" s="18"/>
      <c r="AW267" s="19"/>
      <c r="AX267" s="19"/>
      <c r="AY267" s="19"/>
      <c r="AZ267" s="19"/>
      <c r="BA267" s="19"/>
      <c r="BB267" s="19"/>
      <c r="BC267" s="19"/>
      <c r="BD267" s="19"/>
      <c r="BE267" s="19"/>
      <c r="BF267" s="20"/>
      <c r="BG267" s="22"/>
      <c r="BH267" s="22"/>
      <c r="BI267" s="14"/>
      <c r="BJ267" s="14"/>
      <c r="BK267" s="14"/>
      <c r="BL267" s="17"/>
      <c r="BM267" s="23"/>
      <c r="BN267" s="14"/>
      <c r="BO267" s="14"/>
      <c r="BP267" s="14"/>
      <c r="BQ267" s="14"/>
      <c r="BR267" s="17"/>
      <c r="BS267" s="23"/>
      <c r="BT267" s="14"/>
      <c r="BU267" s="14"/>
      <c r="BV267" s="14"/>
      <c r="BW267" s="14"/>
      <c r="BX267" s="17"/>
      <c r="BY267" s="23"/>
      <c r="BZ267" s="14"/>
      <c r="CA267" s="14"/>
      <c r="CB267" s="14"/>
      <c r="CC267" s="14"/>
      <c r="CD267" s="17"/>
      <c r="CE267" s="23"/>
      <c r="CF267" s="14"/>
      <c r="CG267" s="14"/>
      <c r="CH267" s="14"/>
      <c r="CI267" s="14"/>
      <c r="CJ267" s="17"/>
      <c r="CK267" s="23"/>
      <c r="CL267" s="14"/>
      <c r="CM267" s="14"/>
      <c r="CN267" s="14"/>
      <c r="CO267" s="14"/>
      <c r="CP267" s="17"/>
      <c r="CQ267" s="23"/>
      <c r="CR267" s="14"/>
      <c r="CS267" s="14"/>
      <c r="CT267" s="14"/>
      <c r="CU267" s="14"/>
      <c r="CV267" s="17"/>
      <c r="CW267" s="23"/>
      <c r="CX267" s="14"/>
      <c r="CY267" s="14"/>
      <c r="CZ267" s="14"/>
      <c r="DA267" s="14"/>
      <c r="DB267" s="17"/>
      <c r="DC267" s="23"/>
      <c r="DD267" s="14"/>
      <c r="DE267" s="14"/>
      <c r="DF267" s="14"/>
      <c r="DG267" s="14"/>
      <c r="DH267" s="14">
        <f>SUM(DE267:DG267)</f>
        <v>0</v>
      </c>
      <c r="DI267" s="47">
        <f>SUM(DH267/DX267)</f>
        <v>0</v>
      </c>
      <c r="DJ267" s="14">
        <v>39</v>
      </c>
      <c r="DK267" s="32">
        <f>COUNTIF(DQ267, "*")+COUNTIF(AN267, "*")+COUNTIF(AJ267, "*")+COUNTIF(AA267, "*")+COUNTIF(EN267, "*")+COUNTIF(ET267, "*")+COUNTIF(EZ267, "*")+COUNTIF(FD267, "*")+COUNTIF(FK267, "*")+COUNTIF(FS267, "*")+COUNTIF(FZ267, "*")+COUNTIF(GK267, "*")+COUNTIF(GV267, "*")+COUNTIF(HD267, "*")+COUNTIF(HL267, "*")+COUNTIF(HT267, "*")+COUNTIF(IB267, "*")</f>
        <v>1</v>
      </c>
      <c r="DL267" s="14">
        <f>DK267*0.5</f>
        <v>0.5</v>
      </c>
      <c r="DM267" s="14"/>
      <c r="DN267" s="14">
        <f>SUM(DH267,DJ267,DT267, DM267, DL267,FW267)</f>
        <v>39.5</v>
      </c>
      <c r="DO267" s="14"/>
      <c r="DP267" s="14"/>
      <c r="DQ267" s="14"/>
      <c r="DR267" s="23"/>
      <c r="DS267" s="25"/>
      <c r="DT267" s="14">
        <f>SUM(DO267:DS267)</f>
        <v>0</v>
      </c>
      <c r="DU267" s="24" t="s">
        <v>1997</v>
      </c>
      <c r="DV267" s="25">
        <v>25000</v>
      </c>
      <c r="DW267" s="25">
        <v>101200</v>
      </c>
      <c r="DX267" s="25">
        <f>SUM(DV267+DW267)</f>
        <v>126200</v>
      </c>
      <c r="DY267" s="36">
        <v>2.02</v>
      </c>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240"/>
      <c r="IL267" s="240"/>
      <c r="IM267" s="240"/>
      <c r="IN267" s="18"/>
      <c r="IO267" s="18"/>
      <c r="IP267" s="18"/>
      <c r="IQ267" s="18"/>
      <c r="IR267" s="18"/>
      <c r="IS267" s="18"/>
      <c r="IT267" s="18"/>
      <c r="IU267" s="18"/>
      <c r="IV267" s="18"/>
      <c r="IW267" s="18"/>
      <c r="IX267" s="18"/>
    </row>
    <row r="268" spans="1:263" ht="15" customHeight="1">
      <c r="A268" s="53">
        <v>102023153</v>
      </c>
      <c r="B268" s="39" t="s">
        <v>2018</v>
      </c>
      <c r="C268" s="138"/>
      <c r="D268" s="162"/>
      <c r="E268" s="158"/>
      <c r="F268" s="163"/>
      <c r="G268" s="218">
        <v>230004881</v>
      </c>
      <c r="H268" s="138"/>
      <c r="I268" s="136"/>
      <c r="J268" s="62" t="s">
        <v>253</v>
      </c>
      <c r="K268" s="62" t="s">
        <v>2019</v>
      </c>
      <c r="L268" s="62" t="s">
        <v>1310</v>
      </c>
      <c r="M268" s="62" t="s">
        <v>256</v>
      </c>
      <c r="N268" s="62"/>
      <c r="O268" s="291"/>
      <c r="P268" s="62"/>
      <c r="Q268" s="62"/>
      <c r="R268" s="62"/>
      <c r="S268" s="62"/>
      <c r="T268" s="138"/>
      <c r="U268" s="138"/>
      <c r="V268" s="138"/>
      <c r="W268" s="138"/>
      <c r="X268" s="138"/>
      <c r="Y268" s="138"/>
      <c r="Z268" s="138"/>
      <c r="AA268" s="138"/>
      <c r="AB268" s="138"/>
      <c r="AC268" s="138"/>
      <c r="AD268" s="138"/>
      <c r="AE268" s="138"/>
      <c r="AF268" s="138"/>
      <c r="AG268" s="164" t="s">
        <v>4975</v>
      </c>
      <c r="AH268" s="138"/>
      <c r="AI268" s="138"/>
      <c r="AJ268" s="38"/>
      <c r="AK268" s="133"/>
      <c r="AL268" s="38"/>
      <c r="AM268" s="38"/>
      <c r="AN268" s="38"/>
      <c r="AO268" s="38" t="s">
        <v>2144</v>
      </c>
      <c r="AP268" s="133" t="s">
        <v>258</v>
      </c>
      <c r="AQ268" s="38" t="s">
        <v>267</v>
      </c>
      <c r="AR268" s="38" t="s">
        <v>260</v>
      </c>
      <c r="AS268" s="38"/>
      <c r="AT268" s="38"/>
      <c r="AU268" s="38"/>
      <c r="AV268" s="38"/>
      <c r="AW268" s="38"/>
      <c r="AX268" s="133"/>
      <c r="AY268" s="133" t="s">
        <v>258</v>
      </c>
      <c r="AZ268" s="133"/>
      <c r="BA268" s="133"/>
      <c r="BB268" s="133"/>
      <c r="BC268" s="142"/>
      <c r="BD268" s="140"/>
      <c r="BE268" s="145"/>
      <c r="BF268" s="142"/>
      <c r="BG268" s="137"/>
      <c r="BH268" s="142"/>
      <c r="BI268" s="142"/>
      <c r="BJ268" s="142"/>
      <c r="BK268" s="142"/>
      <c r="BL268" s="49">
        <f ca="1">SUM(EB268)+220</f>
        <v>4201.2510166666652</v>
      </c>
      <c r="BM268" s="50">
        <f ca="1">PMT(10%/12,12,BL268,0,0)</f>
        <v>-369.35671060622974</v>
      </c>
      <c r="BN268" s="50">
        <f ca="1">SUM(BM268*-1)</f>
        <v>369.35671060622974</v>
      </c>
      <c r="BO268" s="40">
        <f>SUM(EJ268*0.0052)/12</f>
        <v>65.216666666666654</v>
      </c>
      <c r="BP268" s="50">
        <f ca="1">SUM(BN268+BO268)</f>
        <v>434.57337727289638</v>
      </c>
      <c r="BQ268" s="40">
        <v>0</v>
      </c>
      <c r="BR268" s="40">
        <f>SUM(BQ268*0.1)</f>
        <v>0</v>
      </c>
      <c r="BS268" s="40">
        <f ca="1">SUM(BT268*BU268)</f>
        <v>0</v>
      </c>
      <c r="BT268" s="57">
        <f>SUM((BQ268+BR268)*0.00833333333333333)</f>
        <v>0</v>
      </c>
      <c r="BU268" s="58">
        <f ca="1">MONTH(TODAY())+37</f>
        <v>41</v>
      </c>
      <c r="BV268" s="40">
        <f ca="1">SUM(BQ268,BR268,BS268)</f>
        <v>0</v>
      </c>
      <c r="BW268" s="40">
        <v>0</v>
      </c>
      <c r="BX268" s="40">
        <f>SUM(BW268*0.1)</f>
        <v>0</v>
      </c>
      <c r="BY268" s="40">
        <f ca="1">SUM(BZ268*CA268)</f>
        <v>0</v>
      </c>
      <c r="BZ268" s="57">
        <f>SUM((BW268+BX268)*0.00833333333333333)</f>
        <v>0</v>
      </c>
      <c r="CA268" s="58">
        <f ca="1">MONTH(TODAY())+37</f>
        <v>41</v>
      </c>
      <c r="CB268" s="40">
        <f ca="1">SUM(BW268,BX268,BY268)</f>
        <v>0</v>
      </c>
      <c r="CC268" s="40">
        <v>0</v>
      </c>
      <c r="CD268" s="40">
        <f>SUM(CC268*0.1)</f>
        <v>0</v>
      </c>
      <c r="CE268" s="40">
        <f ca="1">SUM(CF268*CG268)</f>
        <v>0</v>
      </c>
      <c r="CF268" s="57">
        <f>SUM((CC268+CD268)*0.00833333333333333)</f>
        <v>0</v>
      </c>
      <c r="CG268" s="58">
        <f ca="1">MONTH(TODAY())+29</f>
        <v>33</v>
      </c>
      <c r="CH268" s="58">
        <f ca="1">SUM(CC268,CD268,CE268)</f>
        <v>0</v>
      </c>
      <c r="CI268" s="40">
        <v>0</v>
      </c>
      <c r="CJ268" s="40">
        <f>SUM(CI268*0.1)</f>
        <v>0</v>
      </c>
      <c r="CK268" s="40">
        <f ca="1">SUM(CL268*CM268)</f>
        <v>0</v>
      </c>
      <c r="CL268" s="57">
        <f>SUM((CI268+CJ268)*0.00833333333333333)</f>
        <v>0</v>
      </c>
      <c r="CM268" s="58">
        <f ca="1">MONTH(TODAY())+25</f>
        <v>29</v>
      </c>
      <c r="CN268" s="40">
        <f ca="1">SUM(CI268,CJ268,CK268)</f>
        <v>0</v>
      </c>
      <c r="CO268" s="40">
        <v>0</v>
      </c>
      <c r="CP268" s="40">
        <f>SUM(CO268*0.1)</f>
        <v>0</v>
      </c>
      <c r="CQ268" s="40">
        <f ca="1">SUM(CR268*CS268)</f>
        <v>0</v>
      </c>
      <c r="CR268" s="57">
        <f>SUM((CO268+CP268)*0.00833333333333333)</f>
        <v>0</v>
      </c>
      <c r="CS268" s="58">
        <f ca="1">MONTH(TODAY())+19</f>
        <v>23</v>
      </c>
      <c r="CT268" s="40">
        <f ca="1">SUM(CO268,CP268,CQ268)</f>
        <v>0</v>
      </c>
      <c r="CU268" s="40">
        <f>3822.17-131.78-131.78-131.78-131.78-131.78-131.78-131.78</f>
        <v>2899.7099999999987</v>
      </c>
      <c r="CV268" s="40">
        <f>SUM(CU268*0.1)</f>
        <v>289.97099999999989</v>
      </c>
      <c r="CW268" s="40">
        <f ca="1">SUM(CX268*CY268)</f>
        <v>451.87147499999963</v>
      </c>
      <c r="CX268" s="57">
        <f>SUM((CU268+CV268)*0.00833333333333333)</f>
        <v>26.580674999999978</v>
      </c>
      <c r="CY268" s="58">
        <f ca="1">MONTH(TODAY())+13</f>
        <v>17</v>
      </c>
      <c r="CZ268" s="40">
        <f ca="1">SUM(CU268,CV268,CW268)</f>
        <v>3641.5524749999981</v>
      </c>
      <c r="DA268" s="40">
        <v>0</v>
      </c>
      <c r="DB268" s="40">
        <f>SUM(DA268*0.1)</f>
        <v>0</v>
      </c>
      <c r="DC268" s="40">
        <f ca="1">SUM(DD268*DE268)</f>
        <v>0</v>
      </c>
      <c r="DD268" s="57">
        <f>SUM((DA268+DB268)*0.00833333333333333)</f>
        <v>0</v>
      </c>
      <c r="DE268" s="58">
        <f ca="1">MONTH(TODAY())+5</f>
        <v>9</v>
      </c>
      <c r="DF268" s="40">
        <v>0</v>
      </c>
      <c r="DG268" s="40">
        <v>129.59</v>
      </c>
      <c r="DH268" s="40">
        <f>SUM(DG268*0.1)</f>
        <v>12.959000000000001</v>
      </c>
      <c r="DI268" s="40">
        <f ca="1">SUM(DJ268*DK268)</f>
        <v>5.9395416666666643</v>
      </c>
      <c r="DJ268" s="57">
        <f>SUM((DG268+DH268)*0.00833333333333333)</f>
        <v>1.1879083333333329</v>
      </c>
      <c r="DK268" s="58">
        <f ca="1">MONTH(TODAY())+1</f>
        <v>5</v>
      </c>
      <c r="DL268" s="40">
        <f ca="1">SUM(DG268,DH268,DI268)</f>
        <v>148.48854166666666</v>
      </c>
      <c r="DM268" s="40">
        <f>SUM(BQ268, BW268, CC268,CI268,CO268,CU268,DA268,DG268)</f>
        <v>3029.2999999999988</v>
      </c>
      <c r="DN268" s="40">
        <f>SUM(BR268,BX268, CD268,CJ268,CP268,CV268,DB268,DH268)</f>
        <v>302.92999999999989</v>
      </c>
      <c r="DO268" s="40">
        <f ca="1">SUM(BS268,BY268, CE268,CK268,CQ268,CW268,DC268,DI268)</f>
        <v>457.81101666666632</v>
      </c>
      <c r="DP268" s="59">
        <f ca="1">SUM(DM268:DO268)</f>
        <v>3790.0410166666652</v>
      </c>
      <c r="DQ268" s="64">
        <f ca="1">SUM(DP268/EG268)</f>
        <v>3.0032020734284192E-2</v>
      </c>
      <c r="DR268" s="40">
        <f>20+60+160+60-116.95</f>
        <v>183.05</v>
      </c>
      <c r="DS268" s="65">
        <f>COUNTIF(AO268, "*")+COUNTIF(AJ268, "*")+COUNTIF(AA268, "*")+COUNTIF(EU268, "*")+COUNTIF(FA268, "*")+COUNTIF(FG268, "*")+COUNTIF(FK268, "*")+COUNTIF(FR268, "*")+COUNTIF(AT268, "*")+COUNTIF(GA268, "*")+COUNTIF(GL268, "*")+COUNTIF(GW268, "*")+COUNTIF(HE268, "*")+COUNTIF(HM268, "*")+COUNTIF(HU268, "*")</f>
        <v>1</v>
      </c>
      <c r="DT268" s="40">
        <v>8.16</v>
      </c>
      <c r="DU268" s="135"/>
      <c r="DV268" s="135"/>
      <c r="DW268" s="135"/>
      <c r="DX268" s="135"/>
      <c r="DY268" s="135"/>
      <c r="DZ268" s="135"/>
      <c r="EA268" s="40">
        <f>SUM(DU268:DZ268)</f>
        <v>0</v>
      </c>
      <c r="EB268" s="40">
        <f ca="1">SUM(DP268,DR268,EA268,DT268,FX268)</f>
        <v>3981.2510166666652</v>
      </c>
      <c r="EC268" s="56" t="s">
        <v>4944</v>
      </c>
      <c r="ED268" s="58">
        <v>2.02</v>
      </c>
      <c r="EE268" s="40">
        <v>25000</v>
      </c>
      <c r="EF268" s="40">
        <v>101200</v>
      </c>
      <c r="EG268" s="40">
        <f>SUM(EE268+EF268)</f>
        <v>126200</v>
      </c>
      <c r="EH268" s="40">
        <v>25000</v>
      </c>
      <c r="EI268" s="40">
        <v>125500</v>
      </c>
      <c r="EJ268" s="40">
        <f>SUM(EH268+EI268)</f>
        <v>150500</v>
      </c>
      <c r="EK268" s="138"/>
      <c r="EL268" s="138"/>
      <c r="EM268" s="138"/>
      <c r="EN268" s="138"/>
      <c r="EO268" s="138"/>
      <c r="EP268" s="138"/>
      <c r="EQ268" s="138"/>
      <c r="ER268" s="138"/>
      <c r="ES268" s="138"/>
      <c r="ET268" s="138"/>
      <c r="EU268" s="138"/>
      <c r="EV268" s="138"/>
      <c r="EW268" s="138"/>
      <c r="EX268" s="138"/>
      <c r="EY268" s="138"/>
      <c r="EZ268" s="138"/>
      <c r="FA268" s="138"/>
      <c r="FB268" s="138"/>
      <c r="FC268" s="138"/>
      <c r="FD268" s="138"/>
      <c r="FE268" s="138"/>
      <c r="FF268" s="138"/>
      <c r="FG268" s="138"/>
      <c r="FH268" s="138"/>
      <c r="FI268" s="138"/>
      <c r="FJ268" s="138"/>
      <c r="FK268" s="138"/>
      <c r="FL268" s="138"/>
      <c r="FM268" s="138"/>
      <c r="FN268" s="138"/>
      <c r="FO268" s="136"/>
      <c r="FP268" s="138"/>
      <c r="FQ268" s="138"/>
      <c r="FR268" s="138"/>
      <c r="FS268" s="138"/>
      <c r="FT268" s="138"/>
      <c r="FU268" s="138"/>
      <c r="FV268" s="136"/>
      <c r="FW268" s="138"/>
      <c r="FX268" s="138"/>
      <c r="FY268" s="138"/>
      <c r="FZ268" s="138"/>
      <c r="GA268" s="138"/>
      <c r="GB268" s="138"/>
      <c r="GC268" s="138"/>
      <c r="GD268" s="138"/>
      <c r="GE268" s="136"/>
      <c r="GF268" s="138"/>
      <c r="GG268" s="138"/>
      <c r="GH268" s="138"/>
      <c r="GI268" s="138"/>
      <c r="GJ268" s="138"/>
      <c r="GK268" s="138"/>
      <c r="GL268" s="138"/>
      <c r="GM268" s="138"/>
      <c r="GN268" s="138"/>
      <c r="GO268" s="138"/>
      <c r="GP268" s="136"/>
      <c r="GQ268" s="138"/>
      <c r="GR268" s="138"/>
      <c r="GS268" s="138"/>
      <c r="GT268" s="138"/>
      <c r="GU268" s="138"/>
      <c r="GV268" s="138"/>
      <c r="GW268" s="138"/>
      <c r="GX268" s="138"/>
      <c r="GY268" s="138"/>
      <c r="GZ268" s="138"/>
      <c r="HA268" s="136"/>
      <c r="HB268" s="138"/>
      <c r="HC268" s="138"/>
      <c r="HD268" s="138"/>
      <c r="HE268" s="138"/>
      <c r="HF268" s="138"/>
      <c r="HG268" s="138"/>
      <c r="HH268" s="138"/>
      <c r="HI268" s="136"/>
      <c r="HJ268" s="138"/>
      <c r="HK268" s="138"/>
      <c r="HL268" s="138"/>
      <c r="HM268" s="138"/>
      <c r="HN268" s="138"/>
      <c r="HO268" s="138"/>
      <c r="HP268" s="138"/>
      <c r="HQ268" s="136"/>
      <c r="HR268" s="138"/>
      <c r="HS268" s="138"/>
      <c r="HT268" s="138"/>
      <c r="HU268" s="138"/>
      <c r="HV268" s="138"/>
      <c r="HW268" s="138"/>
      <c r="HX268" s="138"/>
      <c r="HY268" s="136"/>
      <c r="HZ268" s="135"/>
      <c r="IA268" s="135"/>
      <c r="IB268" s="138"/>
      <c r="IC268" s="138"/>
      <c r="ID268" s="138"/>
      <c r="IE268" s="138"/>
      <c r="IF268" s="135"/>
      <c r="IG268" s="135"/>
      <c r="IH268" s="40">
        <f ca="1">SUM(HZ268-EB268-FX268-IF268)</f>
        <v>-3981.2510166666652</v>
      </c>
      <c r="II268" s="40"/>
      <c r="IJ268" s="40"/>
      <c r="IK268" s="136"/>
      <c r="IL268" s="136"/>
      <c r="IM268" s="136"/>
      <c r="IN268" s="136"/>
      <c r="IO268" s="136"/>
      <c r="IP268" s="38" t="s">
        <v>5913</v>
      </c>
    </row>
    <row r="269" spans="1:263" ht="15" customHeight="1">
      <c r="A269" s="19">
        <v>102022066</v>
      </c>
      <c r="B269" t="s">
        <v>2811</v>
      </c>
      <c r="D269" s="1"/>
      <c r="E269" s="3"/>
      <c r="G269" s="3">
        <v>220006325</v>
      </c>
      <c r="J269" t="s">
        <v>311</v>
      </c>
      <c r="K269" t="s">
        <v>1523</v>
      </c>
      <c r="L269" t="s">
        <v>3050</v>
      </c>
      <c r="M269" t="s">
        <v>403</v>
      </c>
      <c r="O269" s="3"/>
      <c r="AD269" t="s">
        <v>5015</v>
      </c>
      <c r="AE269" t="s">
        <v>311</v>
      </c>
      <c r="AF269" t="s">
        <v>1523</v>
      </c>
      <c r="AG269" s="43" t="s">
        <v>3923</v>
      </c>
      <c r="AH269" s="31" t="s">
        <v>5016</v>
      </c>
      <c r="AJ269" s="18"/>
      <c r="AM269"/>
      <c r="AN269"/>
      <c r="AO269" t="s">
        <v>3051</v>
      </c>
      <c r="AP269" s="3" t="s">
        <v>258</v>
      </c>
      <c r="AQ269" t="s">
        <v>267</v>
      </c>
      <c r="AR269" t="s">
        <v>260</v>
      </c>
      <c r="AX269" s="1"/>
      <c r="AY269" s="1" t="s">
        <v>258</v>
      </c>
      <c r="AZ269" s="1"/>
      <c r="BA269" s="1"/>
      <c r="BB269" s="1"/>
      <c r="BC269" s="70"/>
      <c r="BD269" s="114"/>
      <c r="BE269" s="115"/>
      <c r="BF269" s="2"/>
      <c r="BG269" s="2"/>
      <c r="BH269" s="2"/>
      <c r="BI269" s="2"/>
      <c r="BJ269" s="2"/>
      <c r="BK269" s="2"/>
      <c r="BL269" s="20">
        <f ca="1">SUM(EB269)+220</f>
        <v>4418.5737416666661</v>
      </c>
      <c r="BM269" s="22">
        <f ca="1">PMT(10%/12,12,BL269,0,0)</f>
        <v>-388.46283078984817</v>
      </c>
      <c r="BN269" s="22">
        <f ca="1">SUM(BM269*-1)</f>
        <v>388.46283078984817</v>
      </c>
      <c r="BO269" s="14">
        <f>SUM(EJ269*0.0052)/12</f>
        <v>115.83</v>
      </c>
      <c r="BP269" s="22">
        <f ca="1">SUM(BN269+BO269)</f>
        <v>504.29283078984815</v>
      </c>
      <c r="BQ269" s="14"/>
      <c r="BR269" s="14">
        <f>SUM(BQ269*0.1)</f>
        <v>0</v>
      </c>
      <c r="BS269" s="14">
        <f ca="1">SUM(BT269*BU269)</f>
        <v>0</v>
      </c>
      <c r="BT269" s="17">
        <f>SUM((BQ269+BR269)*0.00833333333333333)</f>
        <v>0</v>
      </c>
      <c r="BU269" s="23">
        <f ca="1">MONTH(TODAY())+61</f>
        <v>65</v>
      </c>
      <c r="BV269" s="14">
        <f ca="1">SUM(BQ269,BR269,BS269)</f>
        <v>0</v>
      </c>
      <c r="BW269" s="14"/>
      <c r="BX269" s="14">
        <f>SUM(BW269*0.1)</f>
        <v>0</v>
      </c>
      <c r="BY269" s="14">
        <f ca="1">SUM(BZ269*CA269)</f>
        <v>0</v>
      </c>
      <c r="BZ269" s="17">
        <f>SUM((BW269+BX269)*0.00833333333333333)</f>
        <v>0</v>
      </c>
      <c r="CA269" s="23">
        <f ca="1">MONTH(TODAY())+49</f>
        <v>53</v>
      </c>
      <c r="CB269" s="14">
        <f ca="1">SUM(BW269,BX269,BY269)</f>
        <v>0</v>
      </c>
      <c r="CC269" s="14">
        <v>0</v>
      </c>
      <c r="CD269" s="14">
        <f>SUM(CC269*0.1)</f>
        <v>0</v>
      </c>
      <c r="CE269" s="14">
        <f ca="1">SUM(CF269*CG269)</f>
        <v>0</v>
      </c>
      <c r="CF269" s="17">
        <f>SUM((CC269+CD269)*0.00833333333333333)</f>
        <v>0</v>
      </c>
      <c r="CG269" s="23">
        <f ca="1">MONTH(TODAY())+37</f>
        <v>41</v>
      </c>
      <c r="CH269" s="14">
        <f ca="1">SUM(CC269,CD269,CE269)</f>
        <v>0</v>
      </c>
      <c r="CI269" s="14">
        <f>1066.59-0.05-0.05-0.05-0.05-9.98-0.05-0.05</f>
        <v>1056.3100000000002</v>
      </c>
      <c r="CJ269" s="14">
        <f>SUM(CI269*0.1)</f>
        <v>105.63100000000003</v>
      </c>
      <c r="CK269" s="14">
        <f ca="1">SUM(CL269*CM269)</f>
        <v>280.80240833333329</v>
      </c>
      <c r="CL269" s="17">
        <f>SUM((CI269+CJ269)*0.00833333333333333)</f>
        <v>9.6828416666666648</v>
      </c>
      <c r="CM269" s="23">
        <f ca="1">MONTH(TODAY())+25</f>
        <v>29</v>
      </c>
      <c r="CN269" s="14">
        <f ca="1">SUM(CI269,CJ269,CK269)</f>
        <v>1442.7434083333335</v>
      </c>
      <c r="CO269" s="14">
        <f>SUM(EG269*0.0052)/2</f>
        <v>538.45999999999992</v>
      </c>
      <c r="CP269" s="14">
        <f>SUM(CO269*0.1)</f>
        <v>53.845999999999997</v>
      </c>
      <c r="CQ269" s="14">
        <f ca="1">SUM(CR269*CS269)</f>
        <v>103.65354999999994</v>
      </c>
      <c r="CR269" s="17">
        <f>SUM((CO269+CP269)*0.00833333333333333)</f>
        <v>4.9358833333333303</v>
      </c>
      <c r="CS269" s="23">
        <f ca="1">MONTH(TODAY())+17</f>
        <v>21</v>
      </c>
      <c r="CT269" s="23">
        <f ca="1">SUM(CO269,CP269,CQ269)</f>
        <v>695.95954999999981</v>
      </c>
      <c r="CU269" s="14">
        <v>179.46</v>
      </c>
      <c r="CV269" s="14">
        <f>SUM(CU269*0.1)</f>
        <v>17.946000000000002</v>
      </c>
      <c r="CW269" s="14">
        <f ca="1">SUM(CX269*CY269)</f>
        <v>27.965849999999985</v>
      </c>
      <c r="CX269" s="17">
        <f>SUM((CU269+CV269)*0.00833333333333333)</f>
        <v>1.6450499999999992</v>
      </c>
      <c r="CY269" s="23">
        <f ca="1">MONTH(TODAY())+13</f>
        <v>17</v>
      </c>
      <c r="CZ269" s="23">
        <f ca="1">SUM(CU269,CV269,CW269)</f>
        <v>225.37184999999999</v>
      </c>
      <c r="DA269" s="14">
        <f>601.43-0.07-0.07-0.07-0.07-0.07-0.07-258.84</f>
        <v>342.16999999999967</v>
      </c>
      <c r="DB269" s="14">
        <f>SUM(DA269*0.1)</f>
        <v>34.21699999999997</v>
      </c>
      <c r="DC269" s="14">
        <f ca="1">SUM(DD269*DE269)</f>
        <v>34.502141666666624</v>
      </c>
      <c r="DD269" s="17">
        <f>SUM((DA269+DB269)*0.00833333333333333)</f>
        <v>3.1365583333333293</v>
      </c>
      <c r="DE269" s="23">
        <f ca="1">MONTH(TODAY())+7</f>
        <v>11</v>
      </c>
      <c r="DF269" s="23">
        <f ca="1">SUM(DA269,DB269,DC269)</f>
        <v>410.88914166666626</v>
      </c>
      <c r="DG269" s="14">
        <f>601.43-86.28-0.35-0.35-0.35-0.35-0.35-0.35</f>
        <v>513.04999999999984</v>
      </c>
      <c r="DH269" s="14">
        <f>SUM(DG269*0.1)</f>
        <v>51.304999999999986</v>
      </c>
      <c r="DI269" s="14">
        <f ca="1">SUM(DJ269*DK269)</f>
        <v>23.514791666666646</v>
      </c>
      <c r="DJ269" s="17">
        <f>SUM((DG269+DH269)*0.00833333333333333)</f>
        <v>4.7029583333333296</v>
      </c>
      <c r="DK269" s="23">
        <f ca="1">MONTH(TODAY())+1</f>
        <v>5</v>
      </c>
      <c r="DL269" s="14">
        <f ca="1">SUM(DG269,DH269,DI269)</f>
        <v>587.8697916666664</v>
      </c>
      <c r="DM269" s="14">
        <f>SUM( BQ269, BW269, CC269, CI269, CO269,CU269,DA269,DG269)</f>
        <v>2629.4499999999994</v>
      </c>
      <c r="DN269" s="14">
        <f>SUM(BR269,BX269,CD269,CJ269, CP269,CV269,DB269,DH269)</f>
        <v>262.94499999999999</v>
      </c>
      <c r="DO269" s="14">
        <f ca="1">SUM(BS269,BY269,CE269,CK269, CQ269,CW269,DC269,DI269)</f>
        <v>470.43874166666649</v>
      </c>
      <c r="DP269" s="25">
        <f ca="1">SUM(DM269:DO269)</f>
        <v>3362.8337416666659</v>
      </c>
      <c r="DQ269" s="47">
        <f ca="1">SUM(DP269/EG269)</f>
        <v>1.623772931755995E-2</v>
      </c>
      <c r="DR269" s="14">
        <f>19.5+19.5+195+58.5+156+60+60+40</f>
        <v>608.5</v>
      </c>
      <c r="DS269" s="32">
        <f>COUNTIF(DX269, "*")+COUNTIF(AO269, "*")+COUNTIF(AJ269, "*")+COUNTIF(AA269, "*")+COUNTIF(EU269, "*")+COUNTIF(FA269, "*")+COUNTIF(FG269, "*")+COUNTIF(FK269, "*")+COUNTIF(FR269, "*")+COUNTIF(AT269, "*")+COUNTIF(GA269, "*")+COUNTIF(GL269, "*")+COUNTIF(GW269, "*")+COUNTIF(HE269, "*")+COUNTIF(HM269, "*")+COUNTIF(HU269, "*")</f>
        <v>1</v>
      </c>
      <c r="DT269" s="14">
        <f>DS269*0.53+DS269*6.66+7.81+7.81</f>
        <v>22.81</v>
      </c>
      <c r="DU269" s="14">
        <v>150</v>
      </c>
      <c r="DV269" s="4">
        <v>54.43</v>
      </c>
      <c r="DW269" s="4"/>
      <c r="DX269" s="4"/>
      <c r="DZ269" s="4"/>
      <c r="EA269" s="14">
        <f>SUM(DV269:DZ269)</f>
        <v>54.43</v>
      </c>
      <c r="EB269" s="14">
        <f ca="1">SUM(DP269,DR269,EA269, DU269, DT269,FX269)</f>
        <v>4198.5737416666661</v>
      </c>
      <c r="EC269" s="24" t="s">
        <v>2773</v>
      </c>
      <c r="ED269" s="7">
        <f>0.19+0.19+0.17+0.15+0.13+0.09+0.05+0.02</f>
        <v>0.9900000000000001</v>
      </c>
      <c r="EE269" s="4">
        <f>200+800+1000+21300+1500+1500+1500+1500</f>
        <v>29300</v>
      </c>
      <c r="EF269" s="4">
        <v>177800</v>
      </c>
      <c r="EG269" s="14">
        <f>SUM(EE269+EF269)</f>
        <v>207100</v>
      </c>
      <c r="EH269" s="14">
        <f>1500+1500+1500+1500+21300+1000+800+200</f>
        <v>29300</v>
      </c>
      <c r="EI269" s="14">
        <v>238000</v>
      </c>
      <c r="EJ269" s="14">
        <f>SUM(EH269+EI269)</f>
        <v>267300</v>
      </c>
      <c r="EK269" t="s">
        <v>3385</v>
      </c>
      <c r="EL269" t="s">
        <v>3386</v>
      </c>
      <c r="EM269" t="s">
        <v>3387</v>
      </c>
      <c r="FX269" s="4"/>
      <c r="IA269" s="9"/>
      <c r="IL269" s="14">
        <f ca="1">SUM(IB269-EB269-FX269-IJ269)</f>
        <v>-4198.5737416666661</v>
      </c>
      <c r="IM269" s="14"/>
      <c r="IN269" s="14"/>
      <c r="IO269" s="9"/>
      <c r="IP269" s="9"/>
      <c r="IQ269" s="9"/>
      <c r="IR269" s="9"/>
      <c r="IS269" s="9"/>
    </row>
    <row r="270" spans="1:263" ht="15" customHeight="1">
      <c r="A270" s="19">
        <v>102022081</v>
      </c>
      <c r="B270" t="s">
        <v>2826</v>
      </c>
      <c r="D270" s="1"/>
      <c r="J270" t="s">
        <v>311</v>
      </c>
      <c r="K270" t="s">
        <v>1186</v>
      </c>
      <c r="L270" t="s">
        <v>3083</v>
      </c>
      <c r="AG270" s="248"/>
      <c r="AJ270" t="s">
        <v>3084</v>
      </c>
      <c r="AK270" t="s">
        <v>258</v>
      </c>
      <c r="AL270" t="s">
        <v>267</v>
      </c>
      <c r="AM270" s="3" t="s">
        <v>260</v>
      </c>
      <c r="AO270" t="s">
        <v>773</v>
      </c>
      <c r="AP270" s="1" t="s">
        <v>258</v>
      </c>
      <c r="AQ270" s="3" t="s">
        <v>386</v>
      </c>
      <c r="AR270" s="3" t="s">
        <v>260</v>
      </c>
      <c r="AS270" s="1"/>
      <c r="AT270" s="1"/>
      <c r="AU270" s="1"/>
      <c r="AV270" s="1"/>
      <c r="AW270" s="1"/>
      <c r="AX270" s="2"/>
      <c r="AY270" s="116"/>
      <c r="AZ270" s="115"/>
      <c r="BA270" s="2"/>
      <c r="BB270" s="2"/>
      <c r="BC270" s="2"/>
      <c r="BD270" s="2"/>
      <c r="BE270" s="2"/>
      <c r="BF270" s="2"/>
      <c r="BG270" s="20"/>
      <c r="BH270" s="22"/>
      <c r="BI270" s="22"/>
      <c r="BJ270" s="14"/>
      <c r="BK270" s="22"/>
      <c r="BL270" s="14"/>
      <c r="BM270" s="14"/>
      <c r="BN270" s="14"/>
      <c r="BO270" s="17"/>
      <c r="BP270" s="23"/>
      <c r="BQ270" s="14"/>
      <c r="BR270" s="14"/>
      <c r="BS270" s="14"/>
      <c r="BT270" s="14"/>
      <c r="BU270" s="17"/>
      <c r="BV270" s="23"/>
      <c r="BW270" s="14"/>
      <c r="BX270" s="14"/>
      <c r="BY270" s="14"/>
      <c r="BZ270" s="14"/>
      <c r="CA270" s="17"/>
      <c r="CB270" s="23"/>
      <c r="CC270" s="14"/>
      <c r="CD270" s="14"/>
      <c r="CE270" s="14"/>
      <c r="CF270" s="14"/>
      <c r="CG270" s="17"/>
      <c r="CH270" s="23"/>
      <c r="CI270" s="14"/>
      <c r="CJ270" s="14"/>
      <c r="CK270" s="14"/>
      <c r="CL270" s="14"/>
      <c r="CM270" s="17"/>
      <c r="CN270" s="23"/>
      <c r="CO270" s="14"/>
      <c r="CP270" s="14"/>
      <c r="CQ270" s="14"/>
      <c r="CR270" s="14"/>
      <c r="CS270" s="14"/>
      <c r="CT270" s="47"/>
      <c r="CU270" s="14"/>
      <c r="CV270" s="32"/>
      <c r="CW270" s="14"/>
      <c r="CX270" s="4"/>
      <c r="CY270" s="14"/>
      <c r="CZ270" s="4"/>
      <c r="DE270" s="14"/>
      <c r="DF270" s="24"/>
      <c r="DG270" s="4"/>
      <c r="DH270" s="4"/>
      <c r="DI270" s="25"/>
      <c r="DJ270" s="35">
        <v>0.18</v>
      </c>
      <c r="IC270" s="4"/>
      <c r="IZ270" s="18"/>
    </row>
    <row r="271" spans="1:263" ht="15" customHeight="1">
      <c r="A271" s="2">
        <v>102024033</v>
      </c>
      <c r="B271" t="s">
        <v>5173</v>
      </c>
      <c r="D271" s="1"/>
      <c r="E271" s="3"/>
      <c r="G271" s="3">
        <v>240001380</v>
      </c>
      <c r="J271" t="s">
        <v>554</v>
      </c>
      <c r="K271" t="s">
        <v>5170</v>
      </c>
      <c r="L271" t="s">
        <v>5171</v>
      </c>
      <c r="M271" t="s">
        <v>850</v>
      </c>
      <c r="O271" s="3"/>
      <c r="P271" t="s">
        <v>5170</v>
      </c>
      <c r="Q271" t="s">
        <v>1177</v>
      </c>
      <c r="R271" t="s">
        <v>469</v>
      </c>
      <c r="AD271" t="s">
        <v>5238</v>
      </c>
      <c r="AE271" t="s">
        <v>253</v>
      </c>
      <c r="AF271" t="s">
        <v>5239</v>
      </c>
      <c r="AG271" s="43" t="s">
        <v>5240</v>
      </c>
      <c r="AH271" t="s">
        <v>5172</v>
      </c>
      <c r="AI271" t="s">
        <v>267</v>
      </c>
      <c r="AJ271" t="s">
        <v>328</v>
      </c>
      <c r="AK271" s="1"/>
      <c r="AL271" t="s">
        <v>267</v>
      </c>
      <c r="AM271"/>
      <c r="AN271"/>
      <c r="AO271" t="s">
        <v>5172</v>
      </c>
      <c r="AP271" s="1" t="s">
        <v>258</v>
      </c>
      <c r="AQ271" t="s">
        <v>267</v>
      </c>
      <c r="AR271" t="s">
        <v>260</v>
      </c>
      <c r="AS271" s="10"/>
      <c r="AT271" s="10"/>
      <c r="AU271" s="10"/>
      <c r="AV271" s="10"/>
      <c r="AW271" s="10"/>
      <c r="AX271" s="1"/>
      <c r="AY271" s="1"/>
      <c r="AZ271" s="1"/>
      <c r="BA271" s="1"/>
      <c r="BB271" s="1"/>
      <c r="BC271" s="2"/>
      <c r="BD271" s="115">
        <v>45382</v>
      </c>
      <c r="BE271" s="115"/>
      <c r="BF271" s="2"/>
      <c r="BG271" s="2"/>
      <c r="BH271" s="2"/>
      <c r="BI271" s="2"/>
      <c r="BJ271" s="2"/>
      <c r="BK271" s="2"/>
      <c r="BL271" s="20">
        <f ca="1">SUM(EB271)+220</f>
        <v>2534.3226666666665</v>
      </c>
      <c r="BM271" s="22">
        <f ca="1">PMT(10%/12,12,BL271,0,0)</f>
        <v>-222.80722576712384</v>
      </c>
      <c r="BN271" s="22">
        <f ca="1">SUM(BM271*-1)</f>
        <v>222.80722576712384</v>
      </c>
      <c r="BO271" s="14">
        <f>SUM(EJ271*0.0052)/12</f>
        <v>67.513333333333335</v>
      </c>
      <c r="BP271" s="22">
        <f ca="1">SUM(BN271+BO271)</f>
        <v>290.32055910045716</v>
      </c>
      <c r="BQ271" s="14"/>
      <c r="BR271" s="14">
        <f>SUM(BQ271*0.1)</f>
        <v>0</v>
      </c>
      <c r="BS271" s="14">
        <f ca="1">SUM(BT271*BU271)</f>
        <v>0</v>
      </c>
      <c r="BT271" s="17">
        <f>SUM((BQ271+BR271)*0.00833333333333333)</f>
        <v>0</v>
      </c>
      <c r="BU271" s="23">
        <f ca="1">MONTH(TODAY())+61</f>
        <v>65</v>
      </c>
      <c r="BV271" s="14">
        <f ca="1">SUM(BQ271,BR271,BS271)</f>
        <v>0</v>
      </c>
      <c r="BW271" s="14"/>
      <c r="BX271" s="14">
        <f>SUM(BW271*0.1)</f>
        <v>0</v>
      </c>
      <c r="BY271" s="14">
        <f ca="1">SUM(BZ271*CA271)</f>
        <v>0</v>
      </c>
      <c r="BZ271" s="17">
        <f>SUM((BW271+BX271)*0.00833333333333333)</f>
        <v>0</v>
      </c>
      <c r="CA271" s="23">
        <f ca="1">MONTH(TODAY())+49</f>
        <v>53</v>
      </c>
      <c r="CB271" s="14">
        <f ca="1">SUM(BW271,BX271,BY271)</f>
        <v>0</v>
      </c>
      <c r="CC271" s="14">
        <v>0</v>
      </c>
      <c r="CD271" s="14">
        <f>SUM(CC271*0.1)</f>
        <v>0</v>
      </c>
      <c r="CE271" s="14">
        <f ca="1">SUM(CF271*CG271)</f>
        <v>0</v>
      </c>
      <c r="CF271" s="17">
        <f>SUM((CC271+CD271)*0.00833333333333333)</f>
        <v>0</v>
      </c>
      <c r="CG271" s="23">
        <f ca="1">MONTH(TODAY())+37</f>
        <v>41</v>
      </c>
      <c r="CH271" s="14">
        <f ca="1">SUM(CC271,CD271,CE271)</f>
        <v>0</v>
      </c>
      <c r="CI271" s="14">
        <f>302.12</f>
        <v>302.12</v>
      </c>
      <c r="CJ271" s="14">
        <f>SUM(CI271*0.1)</f>
        <v>30.212000000000003</v>
      </c>
      <c r="CK271" s="14">
        <f ca="1">SUM(CL271*CM271)</f>
        <v>80.313566666666631</v>
      </c>
      <c r="CL271" s="17">
        <f>SUM((CI271+CJ271)*0.00833333333333333)</f>
        <v>2.7694333333333323</v>
      </c>
      <c r="CM271" s="23">
        <f ca="1">MONTH(TODAY())+25</f>
        <v>29</v>
      </c>
      <c r="CN271" s="14">
        <f ca="1">SUM(CI271,CJ271,CK271)</f>
        <v>412.64556666666664</v>
      </c>
      <c r="CO271" s="14">
        <f>SUM(EG271*0.0052)/2</f>
        <v>392.34</v>
      </c>
      <c r="CP271" s="14">
        <f>SUM(CO271*0.1)</f>
        <v>39.234000000000002</v>
      </c>
      <c r="CQ271" s="14">
        <f ca="1">SUM(CR271*CS271)</f>
        <v>75.525449999999964</v>
      </c>
      <c r="CR271" s="17">
        <f>SUM((CO271+CP271)*0.00833333333333333)</f>
        <v>3.5964499999999981</v>
      </c>
      <c r="CS271" s="23">
        <f ca="1">MONTH(TODAY())+17</f>
        <v>21</v>
      </c>
      <c r="CT271" s="23">
        <f ca="1">SUM(CO271,CP271,CQ271)</f>
        <v>507.09944999999993</v>
      </c>
      <c r="CU271" s="14">
        <f>SUM(EG271*0.0052)/2</f>
        <v>392.34</v>
      </c>
      <c r="CV271" s="14">
        <f>SUM(CU271*0.1)</f>
        <v>39.234000000000002</v>
      </c>
      <c r="CW271" s="14">
        <f ca="1">SUM(CX271*CY271)</f>
        <v>61.139649999999968</v>
      </c>
      <c r="CX271" s="17">
        <f>SUM((CU271+CV271)*0.00833333333333333)</f>
        <v>3.5964499999999981</v>
      </c>
      <c r="CY271" s="23">
        <f ca="1">MONTH(TODAY())+13</f>
        <v>17</v>
      </c>
      <c r="CZ271" s="23">
        <f ca="1">SUM(CU271,CV271,CW271)</f>
        <v>492.71364999999992</v>
      </c>
      <c r="DA271" s="14">
        <f>SUM(EJ271*0.0045)/2</f>
        <v>350.54999999999995</v>
      </c>
      <c r="DB271" s="14">
        <f>SUM(DA271*0.1)</f>
        <v>35.055</v>
      </c>
      <c r="DC271" s="14">
        <f ca="1">SUM(DD271*DE271)</f>
        <v>35.347124999999984</v>
      </c>
      <c r="DD271" s="17">
        <f>SUM((DA271+DB271)*0.00833333333333333)</f>
        <v>3.2133749999999983</v>
      </c>
      <c r="DE271" s="23">
        <f ca="1">MONTH(TODAY())+7</f>
        <v>11</v>
      </c>
      <c r="DF271" s="23">
        <f ca="1">SUM(DA271,DB271,DC271)</f>
        <v>420.95212499999997</v>
      </c>
      <c r="DG271" s="14">
        <f>SUM(EJ271*0.0045)/2</f>
        <v>350.54999999999995</v>
      </c>
      <c r="DH271" s="14">
        <f>SUM(DG271*0.1)</f>
        <v>35.055</v>
      </c>
      <c r="DI271" s="14">
        <f ca="1">SUM(DJ271*DK271)</f>
        <v>16.066874999999992</v>
      </c>
      <c r="DJ271" s="17">
        <f>SUM((DG271+DH271)*0.00833333333333333)</f>
        <v>3.2133749999999983</v>
      </c>
      <c r="DK271" s="23">
        <f ca="1">MONTH(TODAY())+1</f>
        <v>5</v>
      </c>
      <c r="DL271" s="14">
        <f ca="1">SUM(DG271,DH271,DI271)</f>
        <v>401.67187499999994</v>
      </c>
      <c r="DM271" s="14">
        <f>SUM( BQ271, BW271, CC271, CI271, CO271,CU271,DA271,DG271)</f>
        <v>1787.8999999999999</v>
      </c>
      <c r="DN271" s="14">
        <f>SUM(BR271,BX271,CD271,CJ271, CP271,CV271,DB271,DH271)</f>
        <v>178.79000000000002</v>
      </c>
      <c r="DO271" s="14">
        <f ca="1">SUM(BS271,BY271,CE271,CK271, CQ271,CW271,DC271,DI271)</f>
        <v>268.39266666666651</v>
      </c>
      <c r="DP271" s="25">
        <f ca="1">SUM(DM271:DO271)</f>
        <v>2235.0826666666662</v>
      </c>
      <c r="DQ271" s="47">
        <f ca="1">SUM(DP271/EG271)</f>
        <v>1.481168102496134E-2</v>
      </c>
      <c r="DR271" s="14">
        <f>40+10</f>
        <v>50</v>
      </c>
      <c r="DS271" s="32">
        <f>COUNTIF(AO271, "*")+COUNTIF(AJ271, "*")+COUNTIF(AA271, "*")+COUNTIF(EU271, "*")+COUNTIF(FA271, "*")+COUNTIF(FG271, "*")+COUNTIF(FK271, "*")+COUNTIF(FR271, "*")+COUNTIF(AT271, "*")+COUNTIF(GA271, "*")+COUNTIF(GL271, "*")+COUNTIF(GW271, "*")+COUNTIF(HE271, "*")+COUNTIF(HM271, "*")+COUNTIF(HU271, "*")</f>
        <v>2</v>
      </c>
      <c r="DT271" s="14">
        <f>DS271*0.64</f>
        <v>1.28</v>
      </c>
      <c r="DU271" s="4"/>
      <c r="DV271" s="4">
        <v>27.96</v>
      </c>
      <c r="DW271" s="4"/>
      <c r="DX271" s="4"/>
      <c r="DZ271" s="4"/>
      <c r="EA271" s="14">
        <f>SUM(DV271:DZ271)</f>
        <v>27.96</v>
      </c>
      <c r="EB271" s="14">
        <f ca="1">SUM(DP271,DR271,EA271, DU271, DT271,FX271)</f>
        <v>2314.3226666666665</v>
      </c>
      <c r="EC271" s="24" t="s">
        <v>4944</v>
      </c>
      <c r="ED271" s="130">
        <f>0.23+0.26+0.39</f>
        <v>0.88</v>
      </c>
      <c r="EE271" s="14">
        <f>58100+35100+52700</f>
        <v>145900</v>
      </c>
      <c r="EF271" s="14">
        <f>5000</f>
        <v>5000</v>
      </c>
      <c r="EG271" s="14">
        <f>SUM(EE271+EF271)</f>
        <v>150900</v>
      </c>
      <c r="EH271" s="14">
        <f>36300+54500+60000</f>
        <v>150800</v>
      </c>
      <c r="EI271" s="14">
        <f>5000</f>
        <v>5000</v>
      </c>
      <c r="EJ271" s="14">
        <f>SUM(EH271+EI271)</f>
        <v>155800</v>
      </c>
      <c r="EK271" s="10"/>
      <c r="EL271" s="10"/>
      <c r="EM271" s="10"/>
      <c r="EN271" s="10"/>
      <c r="EO271" s="10"/>
      <c r="EP271" s="10"/>
      <c r="EQ271" s="10"/>
      <c r="ER271" s="10"/>
      <c r="FX271" s="4"/>
      <c r="HY271" s="9"/>
      <c r="IJ271" s="4"/>
      <c r="IK271" s="4"/>
      <c r="IL271" s="4"/>
      <c r="IM271" s="9"/>
      <c r="IN271" s="9"/>
      <c r="IO271" s="9"/>
      <c r="IP271" s="9"/>
      <c r="IQ271" s="9"/>
    </row>
    <row r="272" spans="1:263" ht="15" customHeight="1">
      <c r="A272" s="19">
        <v>102022032</v>
      </c>
      <c r="B272" t="s">
        <v>2981</v>
      </c>
      <c r="D272" s="1"/>
      <c r="J272" t="s">
        <v>253</v>
      </c>
      <c r="K272" t="s">
        <v>2983</v>
      </c>
      <c r="L272" t="s">
        <v>2984</v>
      </c>
      <c r="M272" t="s">
        <v>396</v>
      </c>
      <c r="AD272" s="3" t="s">
        <v>3361</v>
      </c>
      <c r="AE272" s="3" t="s">
        <v>311</v>
      </c>
      <c r="AF272" t="s">
        <v>2983</v>
      </c>
      <c r="AG272" s="272" t="s">
        <v>3362</v>
      </c>
      <c r="AH272" s="118" t="s">
        <v>3363</v>
      </c>
      <c r="AM272"/>
      <c r="AN272"/>
      <c r="AO272" s="3" t="s">
        <v>2985</v>
      </c>
      <c r="AP272" s="1" t="s">
        <v>258</v>
      </c>
      <c r="AQ272" s="3" t="s">
        <v>267</v>
      </c>
      <c r="AR272" t="s">
        <v>260</v>
      </c>
      <c r="AT272" s="2"/>
      <c r="AU272" s="2"/>
      <c r="AV272" s="2"/>
      <c r="AW272" s="2"/>
      <c r="AX272" s="2"/>
      <c r="AY272" s="20"/>
      <c r="AZ272" s="22"/>
      <c r="BA272" s="22"/>
      <c r="BB272" s="14"/>
      <c r="BC272" s="22"/>
      <c r="BD272" s="14"/>
      <c r="BE272" s="14"/>
      <c r="BF272" s="14"/>
      <c r="BG272" s="17"/>
      <c r="BH272" s="23"/>
      <c r="BI272" s="14"/>
      <c r="BJ272" s="14"/>
      <c r="BK272" s="14"/>
      <c r="BL272" s="14"/>
      <c r="BM272" s="17"/>
      <c r="BN272" s="23"/>
      <c r="BO272" s="14"/>
      <c r="BP272" s="14"/>
      <c r="BQ272" s="14"/>
      <c r="BR272" s="14"/>
      <c r="BS272" s="17"/>
      <c r="BT272" s="23"/>
      <c r="BU272" s="14"/>
      <c r="BV272" s="14"/>
      <c r="BW272" s="14"/>
      <c r="BX272" s="14"/>
      <c r="BY272" s="17"/>
      <c r="BZ272" s="23"/>
      <c r="CA272" s="14"/>
      <c r="CB272" s="14"/>
      <c r="CC272" s="14"/>
      <c r="CD272" s="14"/>
      <c r="CE272" s="17"/>
      <c r="CF272" s="23"/>
      <c r="CG272" s="14"/>
      <c r="CH272" s="14"/>
      <c r="CI272" s="14"/>
      <c r="CJ272" s="14"/>
      <c r="CK272" s="14"/>
      <c r="CL272" s="47"/>
      <c r="CM272" s="14"/>
      <c r="CN272" s="32"/>
      <c r="CO272" s="14"/>
      <c r="CP272" s="4"/>
      <c r="CQ272" s="14"/>
      <c r="CR272" s="4"/>
      <c r="CW272" s="14"/>
      <c r="CX272" s="24"/>
      <c r="CY272" s="4"/>
      <c r="CZ272" s="4"/>
      <c r="DA272" s="25"/>
      <c r="DB272" s="35">
        <v>0.13</v>
      </c>
      <c r="HU272" s="4"/>
    </row>
    <row r="273" spans="1:263" ht="15" customHeight="1">
      <c r="A273" s="19">
        <v>102021025</v>
      </c>
      <c r="B273" t="s">
        <v>2103</v>
      </c>
      <c r="K273" t="s">
        <v>2104</v>
      </c>
      <c r="Z273" t="s">
        <v>1594</v>
      </c>
      <c r="AA273" t="s">
        <v>1300</v>
      </c>
      <c r="AB273" t="s">
        <v>386</v>
      </c>
      <c r="AC273" t="s">
        <v>260</v>
      </c>
      <c r="AG273" s="248"/>
      <c r="AJ273" s="18" t="s">
        <v>328</v>
      </c>
      <c r="AK273" s="18"/>
      <c r="AL273" s="18" t="s">
        <v>386</v>
      </c>
      <c r="AO273" t="s">
        <v>1300</v>
      </c>
      <c r="AP273" s="1" t="s">
        <v>258</v>
      </c>
      <c r="AQ273" s="3" t="s">
        <v>386</v>
      </c>
      <c r="AR273" s="3" t="s">
        <v>260</v>
      </c>
      <c r="AX273" s="2"/>
      <c r="AY273" s="2"/>
      <c r="AZ273" s="2"/>
      <c r="BA273" s="2"/>
      <c r="BB273" s="2"/>
      <c r="BC273" s="2"/>
      <c r="BD273" s="2"/>
      <c r="BE273" s="2"/>
      <c r="BF273" s="2"/>
      <c r="BG273" s="20"/>
      <c r="BH273" s="22"/>
      <c r="BI273" s="22"/>
      <c r="BJ273" s="14"/>
      <c r="BK273" s="14"/>
      <c r="BL273" s="14"/>
      <c r="BM273" s="17"/>
      <c r="BN273" s="23"/>
      <c r="BO273" s="14"/>
      <c r="BP273" s="14"/>
      <c r="BQ273" s="14"/>
      <c r="BR273" s="14"/>
      <c r="BS273" s="17"/>
      <c r="BT273" s="23"/>
      <c r="BU273" s="14"/>
      <c r="BV273" s="14"/>
      <c r="BW273" s="14"/>
      <c r="BX273" s="14"/>
      <c r="BY273" s="17"/>
      <c r="BZ273" s="23"/>
      <c r="CA273" s="14"/>
      <c r="CB273" s="14"/>
      <c r="CC273" s="14"/>
      <c r="CD273" s="14"/>
      <c r="CE273" s="17"/>
      <c r="CF273" s="23"/>
      <c r="CG273" s="14"/>
      <c r="CH273" s="14"/>
      <c r="CI273" s="14"/>
      <c r="CJ273" s="14"/>
      <c r="CK273" s="17"/>
      <c r="CL273" s="23"/>
      <c r="CM273" s="14"/>
      <c r="CN273" s="14"/>
      <c r="CO273" s="14"/>
      <c r="CP273" s="14"/>
      <c r="CQ273" s="17"/>
      <c r="CR273" s="23"/>
      <c r="CS273" s="14"/>
      <c r="CT273" s="14"/>
      <c r="CU273" s="14"/>
      <c r="CV273" s="14"/>
      <c r="CW273" s="17"/>
      <c r="CX273" s="23"/>
      <c r="CY273" s="14"/>
      <c r="CZ273" s="14"/>
      <c r="DA273" s="14"/>
      <c r="DB273" s="14"/>
      <c r="DC273" s="17"/>
      <c r="DD273" s="23"/>
      <c r="DE273" s="14"/>
      <c r="DF273" s="14"/>
      <c r="DG273" s="14"/>
      <c r="DH273" s="14"/>
      <c r="DI273" s="14"/>
      <c r="DJ273" s="47">
        <f>SUM(DI273/DY273)</f>
        <v>0</v>
      </c>
      <c r="DK273" s="14">
        <v>39</v>
      </c>
      <c r="DL273" s="32">
        <f>COUNTIF(DR273, "*")+COUNTIF(AO273, "*")+COUNTIF(AJ273, "*")+COUNTIF(AA273, "*")+COUNTIF(EO273, "*")+COUNTIF(EU273, "*")+COUNTIF(FA273, "*")+COUNTIF(FE273, "*")+COUNTIF(FL273, "*")+COUNTIF(FT273, "*")+COUNTIF(GA273, "*")+COUNTIF(GL273, "*")+COUNTIF(GW273, "*")+COUNTIF(HE273, "*")+COUNTIF(HM273, "*")+COUNTIF(HU273, "*")+COUNTIF(IC273, "*")</f>
        <v>3</v>
      </c>
      <c r="DM273" s="14">
        <f>DL273*0.5</f>
        <v>1.5</v>
      </c>
      <c r="DN273" s="14"/>
      <c r="DO273" s="14">
        <f>SUM(DI273,DK273,DU273, DN273, DM273,FX273)</f>
        <v>40.5</v>
      </c>
      <c r="DP273" s="14"/>
      <c r="DQ273" s="14"/>
      <c r="DR273" s="14"/>
      <c r="DS273" s="23"/>
      <c r="DT273" s="25"/>
      <c r="DU273" s="14">
        <f>SUM(DP273:DT273)</f>
        <v>0</v>
      </c>
      <c r="DV273" s="24" t="s">
        <v>1997</v>
      </c>
      <c r="DW273" s="25">
        <v>27000</v>
      </c>
      <c r="DX273" s="25">
        <v>0</v>
      </c>
      <c r="DY273" s="25">
        <f>SUM(DW273+DX273)</f>
        <v>27000</v>
      </c>
      <c r="DZ273" s="36">
        <v>1.66</v>
      </c>
      <c r="EA273" s="18"/>
      <c r="IL273" s="18"/>
      <c r="IM273" s="18"/>
      <c r="IN273" s="18"/>
      <c r="IO273" s="14"/>
      <c r="IP273" s="18"/>
      <c r="IQ273" s="18"/>
      <c r="IR273" s="18"/>
      <c r="IS273" s="18"/>
      <c r="IT273" s="18"/>
    </row>
    <row r="274" spans="1:263" ht="15" customHeight="1">
      <c r="A274" s="19">
        <v>102021026</v>
      </c>
      <c r="B274" t="s">
        <v>2105</v>
      </c>
      <c r="K274" t="s">
        <v>2104</v>
      </c>
      <c r="Z274" t="s">
        <v>1594</v>
      </c>
      <c r="AA274" t="s">
        <v>1300</v>
      </c>
      <c r="AB274" t="s">
        <v>386</v>
      </c>
      <c r="AC274" t="s">
        <v>260</v>
      </c>
      <c r="AG274" s="248"/>
      <c r="AJ274" s="18" t="s">
        <v>328</v>
      </c>
      <c r="AK274" s="18"/>
      <c r="AL274" s="18" t="s">
        <v>386</v>
      </c>
      <c r="AO274" t="s">
        <v>1300</v>
      </c>
      <c r="AP274" s="1" t="s">
        <v>258</v>
      </c>
      <c r="AQ274" s="3" t="s">
        <v>386</v>
      </c>
      <c r="AR274" s="3" t="s">
        <v>260</v>
      </c>
      <c r="AX274" s="2"/>
      <c r="AY274" s="2"/>
      <c r="AZ274" s="2"/>
      <c r="BA274" s="2"/>
      <c r="BB274" s="2"/>
      <c r="BC274" s="2"/>
      <c r="BD274" s="2"/>
      <c r="BE274" s="2"/>
      <c r="BF274" s="2"/>
      <c r="BG274" s="20"/>
      <c r="BH274" s="22"/>
      <c r="BI274" s="22"/>
      <c r="BJ274" s="14"/>
      <c r="BK274" s="14"/>
      <c r="BL274" s="14"/>
      <c r="BM274" s="17"/>
      <c r="BN274" s="23"/>
      <c r="BO274" s="14"/>
      <c r="BP274" s="14"/>
      <c r="BQ274" s="14"/>
      <c r="BR274" s="14"/>
      <c r="BS274" s="17"/>
      <c r="BT274" s="23"/>
      <c r="BU274" s="14"/>
      <c r="BV274" s="14"/>
      <c r="BW274" s="14"/>
      <c r="BX274" s="14"/>
      <c r="BY274" s="17"/>
      <c r="BZ274" s="23"/>
      <c r="CA274" s="14"/>
      <c r="CB274" s="14"/>
      <c r="CC274" s="14"/>
      <c r="CD274" s="14"/>
      <c r="CE274" s="17"/>
      <c r="CF274" s="23"/>
      <c r="CG274" s="14"/>
      <c r="CH274" s="14"/>
      <c r="CI274" s="14"/>
      <c r="CJ274" s="14"/>
      <c r="CK274" s="17"/>
      <c r="CL274" s="23"/>
      <c r="CM274" s="14"/>
      <c r="CN274" s="14"/>
      <c r="CO274" s="14"/>
      <c r="CP274" s="14"/>
      <c r="CQ274" s="17"/>
      <c r="CR274" s="23"/>
      <c r="CS274" s="14"/>
      <c r="CT274" s="14"/>
      <c r="CU274" s="14"/>
      <c r="CV274" s="14"/>
      <c r="CW274" s="17"/>
      <c r="CX274" s="23"/>
      <c r="CY274" s="14"/>
      <c r="CZ274" s="14"/>
      <c r="DA274" s="14"/>
      <c r="DB274" s="14"/>
      <c r="DC274" s="17"/>
      <c r="DD274" s="23"/>
      <c r="DE274" s="14"/>
      <c r="DF274" s="14"/>
      <c r="DG274" s="14"/>
      <c r="DH274" s="14"/>
      <c r="DI274" s="14"/>
      <c r="DJ274" s="47">
        <f>SUM(DI274/DY274)</f>
        <v>0</v>
      </c>
      <c r="DK274" s="14">
        <v>39</v>
      </c>
      <c r="DL274" s="32">
        <f>COUNTIF(DR274, "*")+COUNTIF(AO274, "*")+COUNTIF(AJ274, "*")+COUNTIF(AA274, "*")+COUNTIF(EO274, "*")+COUNTIF(EU274, "*")+COUNTIF(FA274, "*")+COUNTIF(FE274, "*")+COUNTIF(FL274, "*")+COUNTIF(FT274, "*")+COUNTIF(GA274, "*")+COUNTIF(GL274, "*")+COUNTIF(GW274, "*")+COUNTIF(HE274, "*")+COUNTIF(HM274, "*")+COUNTIF(HU274, "*")+COUNTIF(IC274, "*")</f>
        <v>3</v>
      </c>
      <c r="DM274" s="14">
        <f>DL274*0.5</f>
        <v>1.5</v>
      </c>
      <c r="DN274" s="14"/>
      <c r="DO274" s="14">
        <f>SUM(DI274,DK274,DU274, DN274, DM274,FX274)</f>
        <v>40.5</v>
      </c>
      <c r="DP274" s="14"/>
      <c r="DQ274" s="14"/>
      <c r="DR274" s="14"/>
      <c r="DS274" s="14"/>
      <c r="DT274" s="25"/>
      <c r="DU274" s="14">
        <f>SUM(DP274:DT274)</f>
        <v>0</v>
      </c>
      <c r="DV274" s="24" t="s">
        <v>1997</v>
      </c>
      <c r="DW274" s="25">
        <v>25100</v>
      </c>
      <c r="DX274" s="25">
        <v>0</v>
      </c>
      <c r="DY274" s="25">
        <f>SUM(DW274+DX274)</f>
        <v>25100</v>
      </c>
      <c r="DZ274" s="36">
        <v>1.03</v>
      </c>
      <c r="EA274" s="18"/>
      <c r="IO274" s="4"/>
      <c r="IZ274" s="18"/>
    </row>
    <row r="275" spans="1:263" ht="15" customHeight="1">
      <c r="A275" s="19">
        <v>102021027</v>
      </c>
      <c r="B275" t="s">
        <v>2106</v>
      </c>
      <c r="K275" t="s">
        <v>2104</v>
      </c>
      <c r="Z275" t="s">
        <v>1594</v>
      </c>
      <c r="AA275" t="s">
        <v>1300</v>
      </c>
      <c r="AB275" t="s">
        <v>386</v>
      </c>
      <c r="AC275" t="s">
        <v>260</v>
      </c>
      <c r="AG275" s="248"/>
      <c r="AJ275" s="18" t="s">
        <v>328</v>
      </c>
      <c r="AK275" s="18"/>
      <c r="AL275" s="18" t="s">
        <v>386</v>
      </c>
      <c r="AO275" t="s">
        <v>1300</v>
      </c>
      <c r="AP275" s="1" t="s">
        <v>258</v>
      </c>
      <c r="AQ275" s="3" t="s">
        <v>386</v>
      </c>
      <c r="AR275" s="3" t="s">
        <v>260</v>
      </c>
      <c r="AX275" s="2"/>
      <c r="AY275" s="2"/>
      <c r="AZ275" s="2"/>
      <c r="BA275" s="2"/>
      <c r="BB275" s="2"/>
      <c r="BC275" s="2"/>
      <c r="BD275" s="2"/>
      <c r="BE275" s="2"/>
      <c r="BF275" s="2"/>
      <c r="BG275" s="20"/>
      <c r="BH275" s="22"/>
      <c r="BI275" s="22"/>
      <c r="BJ275" s="14"/>
      <c r="BK275" s="14"/>
      <c r="BL275" s="14"/>
      <c r="BM275" s="17"/>
      <c r="BN275" s="23"/>
      <c r="BO275" s="14"/>
      <c r="BP275" s="14"/>
      <c r="BQ275" s="14"/>
      <c r="BR275" s="14"/>
      <c r="BS275" s="17"/>
      <c r="BT275" s="23"/>
      <c r="BU275" s="14"/>
      <c r="BV275" s="14"/>
      <c r="BW275" s="14"/>
      <c r="BX275" s="14"/>
      <c r="BY275" s="17"/>
      <c r="BZ275" s="23"/>
      <c r="CA275" s="14"/>
      <c r="CB275" s="14"/>
      <c r="CC275" s="14"/>
      <c r="CD275" s="14"/>
      <c r="CE275" s="17"/>
      <c r="CF275" s="23"/>
      <c r="CG275" s="14"/>
      <c r="CH275" s="14"/>
      <c r="CI275" s="14"/>
      <c r="CJ275" s="14"/>
      <c r="CK275" s="17"/>
      <c r="CL275" s="23"/>
      <c r="CM275" s="14"/>
      <c r="CN275" s="14"/>
      <c r="CO275" s="14"/>
      <c r="CP275" s="14"/>
      <c r="CQ275" s="17"/>
      <c r="CR275" s="23"/>
      <c r="CS275" s="14"/>
      <c r="CT275" s="14"/>
      <c r="CU275" s="14"/>
      <c r="CV275" s="14"/>
      <c r="CW275" s="17"/>
      <c r="CX275" s="23"/>
      <c r="CY275" s="14"/>
      <c r="CZ275" s="14"/>
      <c r="DA275" s="14"/>
      <c r="DB275" s="14"/>
      <c r="DC275" s="17"/>
      <c r="DD275" s="23"/>
      <c r="DE275" s="14"/>
      <c r="DF275" s="14"/>
      <c r="DG275" s="14"/>
      <c r="DH275" s="14"/>
      <c r="DI275" s="14"/>
      <c r="DJ275" s="47">
        <f>SUM(DI275/DY275)</f>
        <v>0</v>
      </c>
      <c r="DK275" s="14">
        <v>39</v>
      </c>
      <c r="DL275" s="32">
        <f>COUNTIF(DR275, "*")+COUNTIF(AO275, "*")+COUNTIF(AJ275, "*")+COUNTIF(AA275, "*")+COUNTIF(EO275, "*")+COUNTIF(EU275, "*")+COUNTIF(FA275, "*")+COUNTIF(FE275, "*")+COUNTIF(FL275, "*")+COUNTIF(FT275, "*")+COUNTIF(GA275, "*")+COUNTIF(GL275, "*")+COUNTIF(GW275, "*")+COUNTIF(HE275, "*")+COUNTIF(HM275, "*")+COUNTIF(HU275, "*")+COUNTIF(IC275, "*")</f>
        <v>3</v>
      </c>
      <c r="DM275" s="14">
        <f>DL275*0.5</f>
        <v>1.5</v>
      </c>
      <c r="DN275" s="14"/>
      <c r="DO275" s="14">
        <f>SUM(DI275,DK275,DU275, DN275, DM275,FX275)</f>
        <v>40.5</v>
      </c>
      <c r="DP275" s="14"/>
      <c r="DQ275" s="14"/>
      <c r="DR275" s="14"/>
      <c r="DS275" s="23"/>
      <c r="DT275" s="25"/>
      <c r="DU275" s="14">
        <f>SUM(DP275:DT275)</f>
        <v>0</v>
      </c>
      <c r="DV275" s="24" t="s">
        <v>1997</v>
      </c>
      <c r="DW275" s="25">
        <v>26400</v>
      </c>
      <c r="DX275" s="25">
        <v>0</v>
      </c>
      <c r="DY275" s="25">
        <f>SUM(DW275+DX275)</f>
        <v>26400</v>
      </c>
      <c r="DZ275" s="36">
        <v>1.45</v>
      </c>
      <c r="EA275" s="18"/>
      <c r="IO275" s="4"/>
    </row>
    <row r="276" spans="1:263" ht="15" customHeight="1">
      <c r="A276" s="19">
        <v>102021028</v>
      </c>
      <c r="B276" t="s">
        <v>2107</v>
      </c>
      <c r="K276" t="s">
        <v>2104</v>
      </c>
      <c r="Z276" t="s">
        <v>1594</v>
      </c>
      <c r="AA276" t="s">
        <v>1300</v>
      </c>
      <c r="AB276" t="s">
        <v>386</v>
      </c>
      <c r="AC276" t="s">
        <v>260</v>
      </c>
      <c r="AG276" s="248"/>
      <c r="AJ276" s="18" t="s">
        <v>328</v>
      </c>
      <c r="AK276" s="18"/>
      <c r="AL276" s="18" t="s">
        <v>386</v>
      </c>
      <c r="AO276" t="s">
        <v>1300</v>
      </c>
      <c r="AP276" s="1" t="s">
        <v>258</v>
      </c>
      <c r="AQ276" s="3" t="s">
        <v>386</v>
      </c>
      <c r="AR276" s="3" t="s">
        <v>260</v>
      </c>
      <c r="AX276" s="2"/>
      <c r="AY276" s="2"/>
      <c r="AZ276" s="2"/>
      <c r="BA276" s="2"/>
      <c r="BB276" s="2"/>
      <c r="BC276" s="2"/>
      <c r="BD276" s="2"/>
      <c r="BE276" s="2"/>
      <c r="BF276" s="2"/>
      <c r="BG276" s="20"/>
      <c r="BH276" s="22"/>
      <c r="BI276" s="22"/>
      <c r="BJ276" s="14"/>
      <c r="BK276" s="14"/>
      <c r="BL276" s="14"/>
      <c r="BM276" s="17"/>
      <c r="BN276" s="23"/>
      <c r="BO276" s="14"/>
      <c r="BP276" s="14"/>
      <c r="BQ276" s="14"/>
      <c r="BR276" s="14"/>
      <c r="BS276" s="17"/>
      <c r="BT276" s="23"/>
      <c r="BU276" s="14"/>
      <c r="BV276" s="14"/>
      <c r="BW276" s="14"/>
      <c r="BX276" s="14"/>
      <c r="BY276" s="17"/>
      <c r="BZ276" s="23"/>
      <c r="CA276" s="14"/>
      <c r="CB276" s="14"/>
      <c r="CC276" s="14"/>
      <c r="CD276" s="14"/>
      <c r="CE276" s="17"/>
      <c r="CF276" s="23"/>
      <c r="CG276" s="14"/>
      <c r="CH276" s="14"/>
      <c r="CI276" s="14"/>
      <c r="CJ276" s="14"/>
      <c r="CK276" s="17"/>
      <c r="CL276" s="23"/>
      <c r="CM276" s="14"/>
      <c r="CN276" s="14"/>
      <c r="CO276" s="14"/>
      <c r="CP276" s="14"/>
      <c r="CQ276" s="17"/>
      <c r="CR276" s="23"/>
      <c r="CS276" s="14"/>
      <c r="CT276" s="14"/>
      <c r="CU276" s="14"/>
      <c r="CV276" s="14"/>
      <c r="CW276" s="17"/>
      <c r="CX276" s="23"/>
      <c r="CY276" s="14"/>
      <c r="CZ276" s="14"/>
      <c r="DA276" s="14"/>
      <c r="DB276" s="14"/>
      <c r="DC276" s="17"/>
      <c r="DD276" s="23"/>
      <c r="DE276" s="14"/>
      <c r="DF276" s="14"/>
      <c r="DG276" s="14"/>
      <c r="DH276" s="14"/>
      <c r="DI276" s="14"/>
      <c r="DJ276" s="47">
        <f>SUM(DI276/DY276)</f>
        <v>0</v>
      </c>
      <c r="DK276" s="14">
        <v>39</v>
      </c>
      <c r="DL276" s="32">
        <f>COUNTIF(DR276, "*")+COUNTIF(AO276, "*")+COUNTIF(AJ276, "*")+COUNTIF(AA276, "*")+COUNTIF(EO276, "*")+COUNTIF(EU276, "*")+COUNTIF(FA276, "*")+COUNTIF(FE276, "*")+COUNTIF(FL276, "*")+COUNTIF(FT276, "*")+COUNTIF(GA276, "*")+COUNTIF(GL276, "*")+COUNTIF(GW276, "*")+COUNTIF(HE276, "*")+COUNTIF(HM276, "*")+COUNTIF(HU276, "*")+COUNTIF(IC276, "*")</f>
        <v>3</v>
      </c>
      <c r="DM276" s="14">
        <f>DL276*0.5</f>
        <v>1.5</v>
      </c>
      <c r="DN276" s="14"/>
      <c r="DO276" s="14">
        <f>SUM(DI276,DK276,DU276, DN276, DM276,FX276)</f>
        <v>40.5</v>
      </c>
      <c r="DP276" s="14"/>
      <c r="DQ276" s="14"/>
      <c r="DR276" s="14"/>
      <c r="DS276" s="23"/>
      <c r="DT276" s="25"/>
      <c r="DU276" s="14">
        <f>SUM(DP276:DT276)</f>
        <v>0</v>
      </c>
      <c r="DV276" s="24" t="s">
        <v>1997</v>
      </c>
      <c r="DW276" s="25">
        <v>26800</v>
      </c>
      <c r="DX276" s="25">
        <v>0</v>
      </c>
      <c r="DY276" s="25">
        <f>SUM(DW276+DX276)</f>
        <v>26800</v>
      </c>
      <c r="DZ276" s="36">
        <v>1.61</v>
      </c>
      <c r="EA276" s="18"/>
      <c r="IL276" s="18"/>
      <c r="IM276" s="18"/>
      <c r="IN276" s="18"/>
      <c r="IO276" s="14"/>
      <c r="IP276" s="27">
        <v>44377</v>
      </c>
      <c r="IQ276" s="18"/>
      <c r="IR276" s="18"/>
      <c r="IS276" s="18"/>
      <c r="IT276" s="18"/>
    </row>
    <row r="277" spans="1:263" ht="15" customHeight="1">
      <c r="A277" s="19">
        <v>102021029</v>
      </c>
      <c r="B277" t="s">
        <v>2108</v>
      </c>
      <c r="K277" t="s">
        <v>2104</v>
      </c>
      <c r="Z277" t="s">
        <v>1594</v>
      </c>
      <c r="AA277" t="s">
        <v>1300</v>
      </c>
      <c r="AB277" t="s">
        <v>386</v>
      </c>
      <c r="AC277" t="s">
        <v>260</v>
      </c>
      <c r="AG277" s="248"/>
      <c r="AJ277" s="18" t="s">
        <v>328</v>
      </c>
      <c r="AK277" s="18"/>
      <c r="AL277" s="18" t="s">
        <v>386</v>
      </c>
      <c r="AO277" t="s">
        <v>1300</v>
      </c>
      <c r="AP277" s="1" t="s">
        <v>258</v>
      </c>
      <c r="AQ277" s="3" t="s">
        <v>386</v>
      </c>
      <c r="AR277" s="3" t="s">
        <v>260</v>
      </c>
      <c r="AX277" s="2"/>
      <c r="AY277" s="2"/>
      <c r="AZ277" s="2"/>
      <c r="BA277" s="2"/>
      <c r="BB277" s="2"/>
      <c r="BC277" s="2"/>
      <c r="BD277" s="2"/>
      <c r="BE277" s="2"/>
      <c r="BF277" s="2"/>
      <c r="BG277" s="20"/>
      <c r="BH277" s="22"/>
      <c r="BI277" s="22"/>
      <c r="BJ277" s="14"/>
      <c r="BK277" s="14"/>
      <c r="BL277" s="14"/>
      <c r="BM277" s="17"/>
      <c r="BN277" s="23"/>
      <c r="BO277" s="14"/>
      <c r="BP277" s="14"/>
      <c r="BQ277" s="14"/>
      <c r="BR277" s="14"/>
      <c r="BS277" s="17"/>
      <c r="BT277" s="23"/>
      <c r="BU277" s="14"/>
      <c r="BV277" s="14"/>
      <c r="BW277" s="14"/>
      <c r="BX277" s="14"/>
      <c r="BY277" s="17"/>
      <c r="BZ277" s="23"/>
      <c r="CA277" s="14"/>
      <c r="CB277" s="14"/>
      <c r="CC277" s="14"/>
      <c r="CD277" s="14"/>
      <c r="CE277" s="17"/>
      <c r="CF277" s="23"/>
      <c r="CG277" s="14"/>
      <c r="CH277" s="14"/>
      <c r="CI277" s="14"/>
      <c r="CJ277" s="14"/>
      <c r="CK277" s="17"/>
      <c r="CL277" s="23"/>
      <c r="CM277" s="14"/>
      <c r="CN277" s="14"/>
      <c r="CO277" s="14"/>
      <c r="CP277" s="14"/>
      <c r="CQ277" s="17"/>
      <c r="CR277" s="23"/>
      <c r="CS277" s="14"/>
      <c r="CT277" s="14"/>
      <c r="CU277" s="14"/>
      <c r="CV277" s="14"/>
      <c r="CW277" s="17"/>
      <c r="CX277" s="23"/>
      <c r="CY277" s="14"/>
      <c r="CZ277" s="14"/>
      <c r="DA277" s="14"/>
      <c r="DB277" s="14"/>
      <c r="DC277" s="17"/>
      <c r="DD277" s="23"/>
      <c r="DE277" s="14"/>
      <c r="DF277" s="14"/>
      <c r="DG277" s="14"/>
      <c r="DH277" s="14"/>
      <c r="DI277" s="14"/>
      <c r="DJ277" s="47">
        <f>SUM(DI277/DY277)</f>
        <v>0</v>
      </c>
      <c r="DK277" s="14">
        <v>39</v>
      </c>
      <c r="DL277" s="32">
        <f>COUNTIF(DR277, "*")+COUNTIF(AO277, "*")+COUNTIF(AJ277, "*")+COUNTIF(AA277, "*")+COUNTIF(EO277, "*")+COUNTIF(EU277, "*")+COUNTIF(FA277, "*")+COUNTIF(FE277, "*")+COUNTIF(FL277, "*")+COUNTIF(FT277, "*")+COUNTIF(GA277, "*")+COUNTIF(GL277, "*")+COUNTIF(GW277, "*")+COUNTIF(HE277, "*")+COUNTIF(HM277, "*")+COUNTIF(HU277, "*")+COUNTIF(IC277, "*")</f>
        <v>3</v>
      </c>
      <c r="DM277" s="14">
        <f>DL277*0.5</f>
        <v>1.5</v>
      </c>
      <c r="DN277" s="14"/>
      <c r="DO277" s="14">
        <f>SUM(DI277,DK277,DU277, DN277, DM277,FX277)</f>
        <v>40.5</v>
      </c>
      <c r="DP277" s="14"/>
      <c r="DQ277" s="14"/>
      <c r="DR277" s="14"/>
      <c r="DS277" s="23"/>
      <c r="DT277" s="25"/>
      <c r="DU277" s="14">
        <f>SUM(DP277:DT277)</f>
        <v>0</v>
      </c>
      <c r="DV277" s="24" t="s">
        <v>1997</v>
      </c>
      <c r="DW277" s="25">
        <v>28400</v>
      </c>
      <c r="DX277" s="25">
        <v>0</v>
      </c>
      <c r="DY277" s="25">
        <f>SUM(DW277+DX277)</f>
        <v>28400</v>
      </c>
      <c r="DZ277" s="36">
        <v>2.12</v>
      </c>
      <c r="EA277" s="18"/>
      <c r="IL277" s="18"/>
      <c r="IM277" s="18"/>
      <c r="IN277" s="18"/>
      <c r="IO277" s="14"/>
      <c r="IP277" s="27">
        <v>44377</v>
      </c>
      <c r="IQ277" s="18"/>
      <c r="IR277" s="18"/>
      <c r="IS277" s="18"/>
      <c r="IT277" s="18"/>
      <c r="IU277" s="18"/>
      <c r="IV277" s="18"/>
      <c r="IW277" s="18"/>
      <c r="IX277" s="18"/>
      <c r="IY277" s="18"/>
    </row>
    <row r="278" spans="1:263" ht="15" customHeight="1">
      <c r="A278" s="19">
        <v>102021029</v>
      </c>
      <c r="B278" s="18" t="s">
        <v>2108</v>
      </c>
      <c r="D278" s="1"/>
      <c r="E278" s="3"/>
      <c r="F278" s="3"/>
      <c r="G278" s="3"/>
      <c r="J278" s="18"/>
      <c r="K278" s="18" t="s">
        <v>2104</v>
      </c>
      <c r="L278" s="18"/>
      <c r="M278" s="18"/>
      <c r="N278" s="18"/>
      <c r="O278" s="24"/>
      <c r="P278" s="18"/>
      <c r="Q278" s="18"/>
      <c r="R278" s="18"/>
      <c r="S278" s="18"/>
      <c r="AG278" s="43"/>
      <c r="AJ278" s="18" t="s">
        <v>328</v>
      </c>
      <c r="AK278" s="18"/>
      <c r="AL278" s="18" t="s">
        <v>386</v>
      </c>
      <c r="AM278" s="18"/>
      <c r="AN278" s="18"/>
      <c r="AO278" s="18" t="s">
        <v>1300</v>
      </c>
      <c r="AP278" s="18" t="s">
        <v>258</v>
      </c>
      <c r="AQ278" s="18" t="s">
        <v>386</v>
      </c>
      <c r="AR278" s="18" t="s">
        <v>260</v>
      </c>
      <c r="AX278" s="1"/>
      <c r="AY278" s="1"/>
      <c r="AZ278" s="1"/>
      <c r="BA278" s="1"/>
      <c r="BB278" s="1"/>
      <c r="BC278" s="2"/>
      <c r="BD278" s="115"/>
      <c r="BE278" s="115"/>
      <c r="BF278" s="2"/>
      <c r="BG278" s="2"/>
      <c r="BH278" s="2"/>
      <c r="BI278" s="2"/>
      <c r="BJ278" s="2"/>
      <c r="BK278" s="2"/>
      <c r="BL278" s="20">
        <f ca="1">SUM(EB278)+220</f>
        <v>753.88560000000007</v>
      </c>
      <c r="BM278" s="22">
        <f ca="1">PMT(10%/12,12,BL278,0,0)</f>
        <v>-66.278521393928131</v>
      </c>
      <c r="BN278" s="22">
        <f ca="1">SUM(BM278*-1)</f>
        <v>66.278521393928131</v>
      </c>
      <c r="BO278" s="25">
        <f>SUM(EJ278*0.0052)/12</f>
        <v>13.866666666666667</v>
      </c>
      <c r="BP278" s="22">
        <f ca="1">SUM(BN278+BO278)</f>
        <v>80.145188060594791</v>
      </c>
      <c r="BQ278" s="14"/>
      <c r="BR278" s="14">
        <f>SUM(BQ278*0.1)</f>
        <v>0</v>
      </c>
      <c r="BS278" s="14">
        <f ca="1">SUM(BT278*BU278)</f>
        <v>0</v>
      </c>
      <c r="BT278" s="17">
        <f>SUM((BQ278+BR278)*0.00833333333333333)</f>
        <v>0</v>
      </c>
      <c r="BU278" s="23">
        <f ca="1">MONTH(TODAY())+49</f>
        <v>53</v>
      </c>
      <c r="BV278" s="14">
        <f ca="1">SUM(BQ278,BR278,BS278)</f>
        <v>0</v>
      </c>
      <c r="BW278" s="14"/>
      <c r="BX278" s="14">
        <f>SUM(BW278*0.1)</f>
        <v>0</v>
      </c>
      <c r="BY278" s="14">
        <f ca="1">SUM(BZ278*CA278)</f>
        <v>0</v>
      </c>
      <c r="BZ278" s="17">
        <f>SUM((BW278+BX278)*0.00833333333333333)</f>
        <v>0</v>
      </c>
      <c r="CA278" s="23">
        <f ca="1">MONTH(TODAY())+37</f>
        <v>41</v>
      </c>
      <c r="CB278" s="14">
        <f ca="1">SUM(BW278,BX278,BY278)</f>
        <v>0</v>
      </c>
      <c r="CC278" s="14">
        <v>0</v>
      </c>
      <c r="CD278" s="14">
        <f>SUM(CC278*0.1)</f>
        <v>0</v>
      </c>
      <c r="CE278" s="14">
        <f ca="1">SUM(CF278*CG278)</f>
        <v>0</v>
      </c>
      <c r="CF278" s="17">
        <f>SUM((CC278+CD278)*0.00833333333333333)</f>
        <v>0</v>
      </c>
      <c r="CG278" s="23">
        <f ca="1">MONTH(TODAY())+25</f>
        <v>29</v>
      </c>
      <c r="CH278" s="14">
        <f ca="1">SUM(CC278,CD278,CE278)</f>
        <v>0</v>
      </c>
      <c r="CI278" s="14">
        <f>SUM(EG278*0.0052)</f>
        <v>147.68</v>
      </c>
      <c r="CJ278" s="14">
        <f>SUM(CI278*0.1)</f>
        <v>14.768000000000001</v>
      </c>
      <c r="CK278" s="14">
        <f ca="1">SUM(CL278*CM278)</f>
        <v>23.013466666666659</v>
      </c>
      <c r="CL278" s="17">
        <f>SUM((CI278+CJ278)*0.00833333333333333)</f>
        <v>1.3537333333333328</v>
      </c>
      <c r="CM278" s="23">
        <f ca="1">MONTH(TODAY())+13</f>
        <v>17</v>
      </c>
      <c r="CN278" s="14">
        <f ca="1">SUM(CI278,CJ278,CK278)</f>
        <v>185.46146666666667</v>
      </c>
      <c r="CO278" s="14">
        <f>SUM(EG278*0.0052)/2</f>
        <v>73.84</v>
      </c>
      <c r="CP278" s="14">
        <f>SUM(CO278*0.1)</f>
        <v>7.3840000000000003</v>
      </c>
      <c r="CQ278" s="14">
        <f ca="1">SUM(CR278*CS278)</f>
        <v>6.0917999999999974</v>
      </c>
      <c r="CR278" s="17">
        <f>SUM((CO278+CP278)*0.00833333333333333)</f>
        <v>0.67686666666666639</v>
      </c>
      <c r="CS278" s="23">
        <f ca="1">MONTH(TODAY())+5</f>
        <v>9</v>
      </c>
      <c r="CT278" s="23">
        <f ca="1">SUM(CO278,CP278,CQ278)</f>
        <v>87.315799999999996</v>
      </c>
      <c r="CU278" s="14">
        <f>SUM(EG278*0.0052)/2</f>
        <v>73.84</v>
      </c>
      <c r="CV278" s="14">
        <f>SUM(CU278*0.1)</f>
        <v>7.3840000000000003</v>
      </c>
      <c r="CW278" s="14">
        <f ca="1">SUM(CX278*CY278)</f>
        <v>3.3843333333333319</v>
      </c>
      <c r="CX278" s="17">
        <f>SUM((CU278+CV278)*0.00833333333333333)</f>
        <v>0.67686666666666639</v>
      </c>
      <c r="CY278" s="23">
        <f ca="1">MONTH(TODAY())+1</f>
        <v>5</v>
      </c>
      <c r="CZ278" s="23">
        <f ca="1">SUM(CU278,CV278,CW278)</f>
        <v>84.608333333333334</v>
      </c>
      <c r="DA278" s="14">
        <f>SUM(EJ278*0.0045)/2</f>
        <v>72</v>
      </c>
      <c r="DB278" s="14">
        <f>SUM(DA278*0.1)</f>
        <v>7.2</v>
      </c>
      <c r="DC278" s="14">
        <f ca="1">SUM(DD278*DE278)</f>
        <v>-0.6599999999999997</v>
      </c>
      <c r="DD278" s="17">
        <f>SUM((DA278+DB278)*0.00833333333333333)</f>
        <v>0.6599999999999997</v>
      </c>
      <c r="DE278" s="23">
        <f ca="1">MONTH(TODAY())-5</f>
        <v>-1</v>
      </c>
      <c r="DF278" s="23">
        <f ca="1">SUM(DA278,DB278,DC278)</f>
        <v>78.540000000000006</v>
      </c>
      <c r="DG278" s="14">
        <v>0</v>
      </c>
      <c r="DH278" s="14">
        <v>0</v>
      </c>
      <c r="DI278" s="14">
        <v>0</v>
      </c>
      <c r="DJ278" s="17">
        <f>SUM((DG278+DH278)*0.00833333333333333)</f>
        <v>0</v>
      </c>
      <c r="DK278" s="23">
        <f ca="1">MONTH(TODAY())+1</f>
        <v>5</v>
      </c>
      <c r="DL278" s="23">
        <f>SUM(DG278,DH278,DI278)</f>
        <v>0</v>
      </c>
      <c r="DM278" s="14">
        <f>SUM( BQ278, BW278, CC278, CI278, CO278,CU278,DA278,DG278)</f>
        <v>367.36</v>
      </c>
      <c r="DN278" s="14">
        <f>SUM(BR278,BX278,CD278,CJ278, CP278,CV278,DB278,DH278)</f>
        <v>36.736000000000004</v>
      </c>
      <c r="DO278" s="14">
        <f ca="1">SUM(BS278,BY278,CE278,CK278, CQ278,CW278,DC278,DI278)</f>
        <v>31.829599999999989</v>
      </c>
      <c r="DP278" s="25">
        <f ca="1">SUM(DM278:DO278)</f>
        <v>435.92559999999997</v>
      </c>
      <c r="DQ278" s="47">
        <f ca="1">SUM(DP278/EG278)</f>
        <v>1.5349492957746479E-2</v>
      </c>
      <c r="DR278" s="14">
        <v>60</v>
      </c>
      <c r="DS278" s="32">
        <f>COUNTIF(DX278, "*")+COUNTIF(AO278, "*")+COUNTIF(AJ278, "*")+COUNTIF(AA278, "*")+COUNTIF(EY278, "*")+COUNTIF(FE278, "*")+COUNTIF(FK278, "*")+COUNTIF(FO278, "*")+COUNTIF(FV278, "*")+COUNTIF(AT278, "*")+COUNTIF(GE278, "*")+COUNTIF(GP278, "*")+COUNTIF(HA278, "*")+COUNTIF(HI278, "*")+COUNTIF(HQ278, "*")+COUNTIF(HY278, "*")+COUNTIF(IG278, "*")</f>
        <v>2</v>
      </c>
      <c r="DT278" s="14">
        <f>DS278*0.6</f>
        <v>1.2</v>
      </c>
      <c r="DU278" s="4"/>
      <c r="DV278" s="4">
        <v>36.76</v>
      </c>
      <c r="DW278" s="4"/>
      <c r="DX278" s="4"/>
      <c r="DZ278" s="4"/>
      <c r="EA278" s="14">
        <f>SUM(DV278:DZ278)</f>
        <v>36.76</v>
      </c>
      <c r="EB278" s="14">
        <f ca="1">SUM(DP278,DR278,EA278, DU278, DT278,GB278)</f>
        <v>533.88560000000007</v>
      </c>
      <c r="EC278" s="24" t="s">
        <v>3879</v>
      </c>
      <c r="ED278" s="23">
        <v>1.236</v>
      </c>
      <c r="EE278" s="14">
        <v>28400</v>
      </c>
      <c r="EF278" s="14">
        <v>0</v>
      </c>
      <c r="EG278" s="14">
        <v>28400</v>
      </c>
      <c r="EH278" s="14">
        <v>32000</v>
      </c>
      <c r="EI278" s="14">
        <v>0</v>
      </c>
      <c r="EJ278" s="14">
        <f>SUM(EH278+EI278)</f>
        <v>32000</v>
      </c>
      <c r="IM278" s="9"/>
      <c r="IX278" s="4"/>
      <c r="IY278" s="9"/>
      <c r="IZ278" s="9"/>
      <c r="JA278" s="9"/>
      <c r="JB278" s="9"/>
      <c r="JC278" s="9"/>
    </row>
    <row r="279" spans="1:263" ht="15" customHeight="1">
      <c r="A279" s="19">
        <v>102021048</v>
      </c>
      <c r="B279" s="18" t="s">
        <v>2070</v>
      </c>
      <c r="C279" s="18"/>
      <c r="D279" s="13"/>
      <c r="E279" s="18"/>
      <c r="F279" s="18"/>
      <c r="G279" s="18"/>
      <c r="H279" s="18"/>
      <c r="I279" s="18"/>
      <c r="J279" s="18" t="s">
        <v>554</v>
      </c>
      <c r="K279" s="18" t="s">
        <v>1394</v>
      </c>
      <c r="L279" s="18" t="s">
        <v>2069</v>
      </c>
      <c r="M279" s="18" t="s">
        <v>309</v>
      </c>
      <c r="N279" s="18"/>
      <c r="O279" s="18" t="s">
        <v>258</v>
      </c>
      <c r="P279" s="18" t="s">
        <v>1394</v>
      </c>
      <c r="Q279" s="18" t="s">
        <v>2000</v>
      </c>
      <c r="R279" s="18" t="s">
        <v>392</v>
      </c>
      <c r="S279" s="18"/>
      <c r="T279" s="18"/>
      <c r="U279" s="18"/>
      <c r="V279" s="18"/>
      <c r="W279" s="18"/>
      <c r="X279" s="18"/>
      <c r="Y279" s="18"/>
      <c r="Z279" s="18"/>
      <c r="AA279" s="18"/>
      <c r="AB279" s="18"/>
      <c r="AC279" s="18"/>
      <c r="AD279" s="18" t="s">
        <v>2556</v>
      </c>
      <c r="AE279" s="18" t="s">
        <v>253</v>
      </c>
      <c r="AF279" s="18" t="s">
        <v>1394</v>
      </c>
      <c r="AG279" s="231" t="s">
        <v>2557</v>
      </c>
      <c r="AH279" s="18" t="s">
        <v>2558</v>
      </c>
      <c r="AI279" s="18" t="s">
        <v>300</v>
      </c>
      <c r="AJ279" s="18" t="s">
        <v>328</v>
      </c>
      <c r="AK279" s="18"/>
      <c r="AL279" s="18" t="s">
        <v>267</v>
      </c>
      <c r="AM279" s="24"/>
      <c r="AN279" s="24"/>
      <c r="AO279" s="18" t="s">
        <v>2173</v>
      </c>
      <c r="AP279" s="13" t="s">
        <v>258</v>
      </c>
      <c r="AQ279" s="24" t="s">
        <v>267</v>
      </c>
      <c r="AR279" s="24" t="s">
        <v>260</v>
      </c>
      <c r="AS279" s="13"/>
      <c r="AT279" s="13"/>
      <c r="AU279" s="13"/>
      <c r="AV279" s="13"/>
      <c r="AW279" s="48"/>
      <c r="AY279" s="48"/>
      <c r="AZ279" s="48"/>
      <c r="BA279" s="48"/>
      <c r="BB279" s="19"/>
      <c r="BC279" s="48"/>
      <c r="BD279" s="115">
        <v>45408</v>
      </c>
      <c r="BE279" s="144">
        <v>45426</v>
      </c>
      <c r="BF279" s="19"/>
      <c r="BG279" s="20"/>
      <c r="BH279" s="22"/>
      <c r="BI279" s="22"/>
      <c r="BJ279" s="14"/>
      <c r="BK279" s="22"/>
      <c r="BL279" s="20">
        <f ca="1">SUM(EN279)+220</f>
        <v>1221.4843666666666</v>
      </c>
      <c r="BM279" s="22">
        <f ca="1">PMT(10%/12,12,BL279,0,0)</f>
        <v>-107.38788183308635</v>
      </c>
      <c r="BN279" s="22">
        <f ca="1">SUM(BM279*-1)</f>
        <v>107.38788183308635</v>
      </c>
      <c r="BO279" s="14">
        <f>SUM(EV279*0.0052)/12</f>
        <v>22.143333333333331</v>
      </c>
      <c r="BP279" s="22">
        <f ca="1">SUM(BN279+BO279)</f>
        <v>129.53121516641968</v>
      </c>
      <c r="BQ279" s="14"/>
      <c r="BR279" s="14">
        <f>SUM(BQ279*0.1)</f>
        <v>0</v>
      </c>
      <c r="BS279" s="14">
        <f ca="1">SUM(BT279*BU279)</f>
        <v>0</v>
      </c>
      <c r="BT279" s="17">
        <f>SUM((BQ279+BR279)*0.00833333333333333)</f>
        <v>0</v>
      </c>
      <c r="BU279" s="23">
        <f ca="1">MONTH(TODAY())+61</f>
        <v>65</v>
      </c>
      <c r="BV279" s="14">
        <f ca="1">SUM(BQ279,BR279,BS279)</f>
        <v>0</v>
      </c>
      <c r="BW279" s="14"/>
      <c r="BX279" s="14">
        <f>SUM(BW279*0.1)</f>
        <v>0</v>
      </c>
      <c r="BY279" s="14">
        <f ca="1">SUM(BZ279*CA279)</f>
        <v>0</v>
      </c>
      <c r="BZ279" s="17">
        <f>SUM((BW279+BX279)*0.00833333333333333)</f>
        <v>0</v>
      </c>
      <c r="CA279" s="23">
        <f ca="1">MONTH(TODAY())+49</f>
        <v>53</v>
      </c>
      <c r="CB279" s="14">
        <f ca="1">SUM(BW279,BX279,BY279)</f>
        <v>0</v>
      </c>
      <c r="CC279" s="14">
        <v>0</v>
      </c>
      <c r="CD279" s="14">
        <f>SUM(CC279*0.1)</f>
        <v>0</v>
      </c>
      <c r="CE279" s="14">
        <f ca="1">SUM(CF279*CG279)</f>
        <v>0</v>
      </c>
      <c r="CF279" s="17">
        <f>SUM((CC279+CD279)*0.00833333333333333)</f>
        <v>0</v>
      </c>
      <c r="CG279" s="23">
        <f ca="1">MONTH(TODAY())+37</f>
        <v>41</v>
      </c>
      <c r="CH279" s="14">
        <f ca="1">SUM(CC279,CD279,CE279)</f>
        <v>0</v>
      </c>
      <c r="CI279" s="14">
        <v>0</v>
      </c>
      <c r="CJ279" s="14">
        <f>SUM(CI279*0.1)</f>
        <v>0</v>
      </c>
      <c r="CK279" s="14">
        <f ca="1">SUM(CL279*CM279)</f>
        <v>0</v>
      </c>
      <c r="CL279" s="17">
        <f>SUM((CI279+CJ279)*0.00833333333333333)</f>
        <v>0</v>
      </c>
      <c r="CM279" s="23">
        <f ca="1">MONTH(TODAY())+25</f>
        <v>29</v>
      </c>
      <c r="CN279" s="14">
        <f ca="1">SUM(CI279,CJ279,CK279)</f>
        <v>0</v>
      </c>
      <c r="CO279" s="14">
        <f>SUM(ES279*0.0052)/2</f>
        <v>112.58</v>
      </c>
      <c r="CP279" s="14">
        <f>SUM(CO279*0.1)</f>
        <v>11.258000000000001</v>
      </c>
      <c r="CQ279" s="14">
        <f ca="1">SUM(CR279*CS279)</f>
        <v>21.671649999999989</v>
      </c>
      <c r="CR279" s="17">
        <f>SUM((CO279+CP279)*0.00833333333333333)</f>
        <v>1.0319833333333328</v>
      </c>
      <c r="CS279" s="23">
        <f ca="1">MONTH(TODAY())+17</f>
        <v>21</v>
      </c>
      <c r="CT279" s="23">
        <f ca="1">SUM(CO279,CP279,CQ279)</f>
        <v>145.50964999999999</v>
      </c>
      <c r="CU279" s="14">
        <f>SUM(ES279*0.0052)/2</f>
        <v>112.58</v>
      </c>
      <c r="CV279" s="14">
        <f>SUM(CU279*0.1)</f>
        <v>11.258000000000001</v>
      </c>
      <c r="CW279" s="14">
        <f ca="1">SUM(CX279*CY279)</f>
        <v>17.543716666666658</v>
      </c>
      <c r="CX279" s="17">
        <f>SUM((CU279+CV279)*0.00833333333333333)</f>
        <v>1.0319833333333328</v>
      </c>
      <c r="CY279" s="23">
        <f ca="1">MONTH(TODAY())+13</f>
        <v>17</v>
      </c>
      <c r="CZ279" s="23">
        <f ca="1">SUM(CU279,CV279,CW279)</f>
        <v>141.38171666666665</v>
      </c>
      <c r="DA279" s="14">
        <f>SUM(EV279*0.0045)/2</f>
        <v>114.97499999999999</v>
      </c>
      <c r="DB279" s="14">
        <f>SUM(DA279*0.1)</f>
        <v>11.4975</v>
      </c>
      <c r="DC279" s="14">
        <f ca="1">SUM(DD279*DE279)</f>
        <v>11.593312499999994</v>
      </c>
      <c r="DD279" s="17">
        <f>SUM((DA279+DB279)*0.00833333333333333)</f>
        <v>1.0539374999999995</v>
      </c>
      <c r="DE279" s="23">
        <f ca="1">MONTH(TODAY())+7</f>
        <v>11</v>
      </c>
      <c r="DF279" s="23">
        <f ca="1">SUM(DA279,DB279,DC279)</f>
        <v>138.06581249999999</v>
      </c>
      <c r="DG279" s="14">
        <f>SUM(EV279*0.0045)/2</f>
        <v>114.97499999999999</v>
      </c>
      <c r="DH279" s="14">
        <f>SUM(DG279*0.1)</f>
        <v>11.4975</v>
      </c>
      <c r="DI279" s="14">
        <f ca="1">SUM(DJ279*DK279)</f>
        <v>5.2696874999999981</v>
      </c>
      <c r="DJ279" s="17">
        <f>SUM((DG279+DH279)*0.00833333333333333)</f>
        <v>1.0539374999999995</v>
      </c>
      <c r="DK279" s="23">
        <f ca="1">MONTH(TODAY())+1</f>
        <v>5</v>
      </c>
      <c r="DL279" s="14">
        <f ca="1">SUM(DG279,DH279,DI279)</f>
        <v>131.7421875</v>
      </c>
      <c r="DM279" s="14">
        <f>SUM(EV279*0.0045)/2</f>
        <v>114.97499999999999</v>
      </c>
      <c r="DN279" s="14">
        <f>0</f>
        <v>0</v>
      </c>
      <c r="DO279" s="14">
        <f>0</f>
        <v>0</v>
      </c>
      <c r="DP279" s="17">
        <f>SUM((DM279+DN279)*0.00833333333333333)</f>
        <v>0.95812499999999956</v>
      </c>
      <c r="DQ279" s="23">
        <f ca="1">MONTH(TODAY())+7</f>
        <v>11</v>
      </c>
      <c r="DR279" s="23">
        <f>SUM(DM279,DN279,DO279)</f>
        <v>114.97499999999999</v>
      </c>
      <c r="DS279" s="14">
        <f>0</f>
        <v>0</v>
      </c>
      <c r="DT279" s="14">
        <f>0</f>
        <v>0</v>
      </c>
      <c r="DU279" s="14">
        <f ca="1">SUM(DV279*DW279)</f>
        <v>0</v>
      </c>
      <c r="DV279" s="17">
        <f>SUM((DS279+DT279)*0.00833333333333333)</f>
        <v>0</v>
      </c>
      <c r="DW279" s="23">
        <f ca="1">MONTH(TODAY())+1</f>
        <v>5</v>
      </c>
      <c r="DX279" s="14">
        <f ca="1">SUM(DS279,DT279,DU279)</f>
        <v>0</v>
      </c>
      <c r="DY279" s="14">
        <f>SUM( BQ279, BW279, CC279, CI279, CO279,CU279,DA279,DG279,DM279,DS279)</f>
        <v>570.08500000000004</v>
      </c>
      <c r="DZ279" s="14">
        <f>SUM(BR279,BX279,CD279,CJ279, CP279,CV279,DB279,DH279,DN279,DT279)</f>
        <v>45.511000000000003</v>
      </c>
      <c r="EA279" s="14">
        <f ca="1">SUM(BS279,BY279,CE279,CK279, CQ279,CW279,DC279,DI279,DO279,DU279)</f>
        <v>56.078366666666639</v>
      </c>
      <c r="EB279" s="25">
        <f ca="1">SUM(DY279:EA279)</f>
        <v>671.67436666666663</v>
      </c>
      <c r="EC279" s="47">
        <f ca="1">SUM(EB279/ES279)</f>
        <v>1.5512110084680522E-2</v>
      </c>
      <c r="ED279" s="14">
        <f>20+10+100</f>
        <v>130</v>
      </c>
      <c r="EE279" s="32">
        <f>COUNTIF(AO279, "*")+COUNTIF(AJ279, "*")+COUNTIF(AA279, "*")+COUNTIF(FG279, "*")+COUNTIF(FM279, "*")+COUNTIF(FS279, "*")+COUNTIF(FW279, "*")+COUNTIF(GD279, "*")+COUNTIF(AS279, "*")+COUNTIF(GM279, "*")+COUNTIF(GX279, "*")+COUNTIF(HI279, "*")+COUNTIF(HQ279, "*")+COUNTIF(HY279, "*")+COUNTIF(IG279, "*")</f>
        <v>2</v>
      </c>
      <c r="EF279" s="14">
        <f>1.28+EE279*8</f>
        <v>17.28</v>
      </c>
      <c r="EG279" s="25">
        <v>150</v>
      </c>
      <c r="EH279" s="4">
        <v>32.53</v>
      </c>
      <c r="EM279" s="14">
        <f>SUM(EH279:EL279)</f>
        <v>32.53</v>
      </c>
      <c r="EN279" s="14">
        <f ca="1">SUM(EB279,ED279,EM279, EG279, EF279,GJ279)</f>
        <v>1001.4843666666666</v>
      </c>
      <c r="EO279" s="24" t="s">
        <v>4935</v>
      </c>
      <c r="EP279" s="36">
        <v>7.46</v>
      </c>
      <c r="EQ279" s="4">
        <v>43300</v>
      </c>
      <c r="ER279" s="4">
        <v>0</v>
      </c>
      <c r="ES279" s="14">
        <f>SUM(EQ279+ER279)</f>
        <v>43300</v>
      </c>
      <c r="ET279" s="4">
        <v>51100</v>
      </c>
      <c r="EU279" s="4">
        <v>0</v>
      </c>
      <c r="EV279" s="14">
        <f>SUM(ET279+EU279)</f>
        <v>51100</v>
      </c>
      <c r="EW279" s="18" t="s">
        <v>2330</v>
      </c>
      <c r="EX279" s="18" t="s">
        <v>2440</v>
      </c>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27">
        <v>44434</v>
      </c>
      <c r="JC279" s="18"/>
    </row>
    <row r="280" spans="1:263" ht="15" customHeight="1">
      <c r="A280" s="19">
        <v>102021049</v>
      </c>
      <c r="B280" s="18" t="s">
        <v>2068</v>
      </c>
      <c r="C280" s="18"/>
      <c r="D280" s="13"/>
      <c r="E280" s="18"/>
      <c r="F280" s="18"/>
      <c r="G280" s="18"/>
      <c r="H280" s="18"/>
      <c r="I280" s="18"/>
      <c r="J280" s="18" t="s">
        <v>554</v>
      </c>
      <c r="K280" s="18" t="s">
        <v>1394</v>
      </c>
      <c r="L280" s="18" t="s">
        <v>2069</v>
      </c>
      <c r="M280" s="18" t="s">
        <v>309</v>
      </c>
      <c r="N280" s="18"/>
      <c r="O280" s="18" t="s">
        <v>258</v>
      </c>
      <c r="P280" s="18" t="s">
        <v>1394</v>
      </c>
      <c r="Q280" s="18" t="s">
        <v>2000</v>
      </c>
      <c r="R280" s="18" t="s">
        <v>392</v>
      </c>
      <c r="S280" s="18"/>
      <c r="T280" s="18"/>
      <c r="U280" s="18"/>
      <c r="V280" s="18"/>
      <c r="W280" s="18"/>
      <c r="X280" s="18"/>
      <c r="Y280" s="18"/>
      <c r="Z280" s="18"/>
      <c r="AA280" s="18"/>
      <c r="AB280" s="18"/>
      <c r="AC280" s="18"/>
      <c r="AD280" s="18" t="s">
        <v>2556</v>
      </c>
      <c r="AE280" s="18" t="s">
        <v>253</v>
      </c>
      <c r="AF280" s="18" t="s">
        <v>1394</v>
      </c>
      <c r="AG280" s="231" t="s">
        <v>2557</v>
      </c>
      <c r="AH280" s="18" t="s">
        <v>2558</v>
      </c>
      <c r="AI280" s="18" t="s">
        <v>300</v>
      </c>
      <c r="AJ280" s="18"/>
      <c r="AK280" s="18"/>
      <c r="AL280" s="18"/>
      <c r="AM280" s="24"/>
      <c r="AN280" s="24"/>
      <c r="AO280" s="18" t="s">
        <v>2173</v>
      </c>
      <c r="AP280" s="13" t="s">
        <v>258</v>
      </c>
      <c r="AQ280" s="24" t="s">
        <v>267</v>
      </c>
      <c r="AR280" s="24" t="s">
        <v>260</v>
      </c>
      <c r="AS280" s="13"/>
      <c r="AT280" s="13"/>
      <c r="AU280" s="13"/>
      <c r="AV280" s="13"/>
      <c r="AW280" s="48"/>
      <c r="AY280" s="48"/>
      <c r="AZ280" s="48"/>
      <c r="BA280" s="48"/>
      <c r="BB280" s="19"/>
      <c r="BC280" s="48"/>
      <c r="BD280" s="115">
        <v>45408</v>
      </c>
      <c r="BE280" s="144">
        <v>45426</v>
      </c>
      <c r="BF280" s="19"/>
      <c r="BG280" s="20"/>
      <c r="BH280" s="22"/>
      <c r="BI280" s="22"/>
      <c r="BJ280" s="14"/>
      <c r="BK280" s="22"/>
      <c r="BL280" s="20">
        <f ca="1">SUM(EN280)+220</f>
        <v>1645.2500333333332</v>
      </c>
      <c r="BM280" s="22">
        <f ca="1">PMT(10%/12,12,BL280,0,0)</f>
        <v>-144.64361639570285</v>
      </c>
      <c r="BN280" s="22">
        <f ca="1">SUM(BM280*-1)</f>
        <v>144.64361639570285</v>
      </c>
      <c r="BO280" s="14">
        <f>SUM(EV280*0.0052)/12</f>
        <v>34.71</v>
      </c>
      <c r="BP280" s="22">
        <f ca="1">SUM(BN280+BO280)</f>
        <v>179.35361639570286</v>
      </c>
      <c r="BQ280" s="14"/>
      <c r="BR280" s="14">
        <f>SUM(BQ280*0.1)</f>
        <v>0</v>
      </c>
      <c r="BS280" s="14">
        <f ca="1">SUM(BT280*BU280)</f>
        <v>0</v>
      </c>
      <c r="BT280" s="17">
        <f>SUM((BQ280+BR280)*0.00833333333333333)</f>
        <v>0</v>
      </c>
      <c r="BU280" s="23">
        <f ca="1">MONTH(TODAY())+61</f>
        <v>65</v>
      </c>
      <c r="BV280" s="14">
        <f ca="1">SUM(BQ280,BR280,BS280)</f>
        <v>0</v>
      </c>
      <c r="BW280" s="14"/>
      <c r="BX280" s="14">
        <f>SUM(BW280*0.1)</f>
        <v>0</v>
      </c>
      <c r="BY280" s="14">
        <f ca="1">SUM(BZ280*CA280)</f>
        <v>0</v>
      </c>
      <c r="BZ280" s="17">
        <f>SUM((BW280+BX280)*0.00833333333333333)</f>
        <v>0</v>
      </c>
      <c r="CA280" s="23">
        <f ca="1">MONTH(TODAY())+49</f>
        <v>53</v>
      </c>
      <c r="CB280" s="14">
        <f ca="1">SUM(BW280,BX280,BY280)</f>
        <v>0</v>
      </c>
      <c r="CC280" s="14">
        <v>0</v>
      </c>
      <c r="CD280" s="14">
        <f>SUM(CC280*0.1)</f>
        <v>0</v>
      </c>
      <c r="CE280" s="14">
        <f ca="1">SUM(CF280*CG280)</f>
        <v>0</v>
      </c>
      <c r="CF280" s="17">
        <f>SUM((CC280+CD280)*0.00833333333333333)</f>
        <v>0</v>
      </c>
      <c r="CG280" s="23">
        <f ca="1">MONTH(TODAY())+37</f>
        <v>41</v>
      </c>
      <c r="CH280" s="14">
        <f ca="1">SUM(CC280,CD280,CE280)</f>
        <v>0</v>
      </c>
      <c r="CI280" s="14">
        <v>0</v>
      </c>
      <c r="CJ280" s="14">
        <f>SUM(CI280*0.1)</f>
        <v>0</v>
      </c>
      <c r="CK280" s="14">
        <f ca="1">SUM(CL280*CM280)</f>
        <v>0</v>
      </c>
      <c r="CL280" s="17">
        <f>SUM((CI280+CJ280)*0.00833333333333333)</f>
        <v>0</v>
      </c>
      <c r="CM280" s="23">
        <f ca="1">MONTH(TODAY())+25</f>
        <v>29</v>
      </c>
      <c r="CN280" s="14">
        <f ca="1">SUM(CI280,CJ280,CK280)</f>
        <v>0</v>
      </c>
      <c r="CO280" s="14">
        <f>SUM(ES280*0.0052)/2</f>
        <v>193.17999999999998</v>
      </c>
      <c r="CP280" s="14">
        <f>SUM(CO280*0.1)</f>
        <v>19.317999999999998</v>
      </c>
      <c r="CQ280" s="14">
        <f ca="1">SUM(CR280*CS280)</f>
        <v>37.187149999999981</v>
      </c>
      <c r="CR280" s="17">
        <f>SUM((CO280+CP280)*0.00833333333333333)</f>
        <v>1.7708166666666658</v>
      </c>
      <c r="CS280" s="23">
        <f ca="1">MONTH(TODAY())+17</f>
        <v>21</v>
      </c>
      <c r="CT280" s="23">
        <f ca="1">SUM(CO280,CP280,CQ280)</f>
        <v>249.68514999999996</v>
      </c>
      <c r="CU280" s="14">
        <f>SUM(ES280*0.0052)/2</f>
        <v>193.17999999999998</v>
      </c>
      <c r="CV280" s="14">
        <f>SUM(CU280*0.1)</f>
        <v>19.317999999999998</v>
      </c>
      <c r="CW280" s="14">
        <f ca="1">SUM(CX280*CY280)</f>
        <v>30.103883333333318</v>
      </c>
      <c r="CX280" s="17">
        <f>SUM((CU280+CV280)*0.00833333333333333)</f>
        <v>1.7708166666666658</v>
      </c>
      <c r="CY280" s="23">
        <f ca="1">MONTH(TODAY())+13</f>
        <v>17</v>
      </c>
      <c r="CZ280" s="23">
        <f ca="1">SUM(CU280,CV280,CW280)</f>
        <v>242.60188333333332</v>
      </c>
      <c r="DA280" s="14">
        <f>SUM(EV280*0.0045)/2</f>
        <v>180.22499999999999</v>
      </c>
      <c r="DB280" s="14">
        <f>SUM(DA280*0.1)</f>
        <v>18.022500000000001</v>
      </c>
      <c r="DC280" s="14">
        <f ca="1">SUM(DD280*DE280)</f>
        <v>18.172687499999991</v>
      </c>
      <c r="DD280" s="17">
        <f>SUM((DA280+DB280)*0.00833333333333333)</f>
        <v>1.6520624999999993</v>
      </c>
      <c r="DE280" s="23">
        <f ca="1">MONTH(TODAY())+7</f>
        <v>11</v>
      </c>
      <c r="DF280" s="23">
        <f ca="1">SUM(DA280,DB280,DC280)</f>
        <v>216.4201875</v>
      </c>
      <c r="DG280" s="14">
        <f>SUM(EV280*0.0045)/2</f>
        <v>180.22499999999999</v>
      </c>
      <c r="DH280" s="14">
        <f>SUM(DG280*0.1)</f>
        <v>18.022500000000001</v>
      </c>
      <c r="DI280" s="14">
        <f ca="1">SUM(DJ280*DK280)</f>
        <v>8.2603124999999959</v>
      </c>
      <c r="DJ280" s="17">
        <f>SUM((DG280+DH280)*0.00833333333333333)</f>
        <v>1.6520624999999993</v>
      </c>
      <c r="DK280" s="23">
        <f ca="1">MONTH(TODAY())+1</f>
        <v>5</v>
      </c>
      <c r="DL280" s="14">
        <f ca="1">SUM(DG280,DH280,DI280)</f>
        <v>206.5078125</v>
      </c>
      <c r="DM280" s="14">
        <f>SUM(EV280*0.0045)/2</f>
        <v>180.22499999999999</v>
      </c>
      <c r="DN280" s="14">
        <f>0</f>
        <v>0</v>
      </c>
      <c r="DO280" s="14">
        <f>0</f>
        <v>0</v>
      </c>
      <c r="DP280" s="17">
        <f>SUM((DM280+DN280)*0.00833333333333333)</f>
        <v>1.5018749999999994</v>
      </c>
      <c r="DQ280" s="23">
        <f ca="1">MONTH(TODAY())+7</f>
        <v>11</v>
      </c>
      <c r="DR280" s="23">
        <f>SUM(DM280,DN280,DO280)</f>
        <v>180.22499999999999</v>
      </c>
      <c r="DS280" s="14">
        <f>0</f>
        <v>0</v>
      </c>
      <c r="DT280" s="14">
        <f>0</f>
        <v>0</v>
      </c>
      <c r="DU280" s="14">
        <f ca="1">SUM(DV280*DW280)</f>
        <v>0</v>
      </c>
      <c r="DV280" s="17">
        <f>SUM((DS280+DT280)*0.00833333333333333)</f>
        <v>0</v>
      </c>
      <c r="DW280" s="23">
        <f ca="1">MONTH(TODAY())+1</f>
        <v>5</v>
      </c>
      <c r="DX280" s="14">
        <f ca="1">SUM(DS280,DT280,DU280)</f>
        <v>0</v>
      </c>
      <c r="DY280" s="14">
        <f>SUM( BQ280, BW280, CC280, CI280, CO280,CU280,DA280,DG280,DM280,DS280)</f>
        <v>927.03499999999997</v>
      </c>
      <c r="DZ280" s="14">
        <f>SUM(BR280,BX280,CD280,CJ280, CP280,CV280,DB280,DH280,DN280,DT280)</f>
        <v>74.680999999999997</v>
      </c>
      <c r="EA280" s="14">
        <f ca="1">SUM(BS280,BY280,CE280,CK280, CQ280,CW280,DC280,DI280,DO280,DU280)</f>
        <v>93.724033333333296</v>
      </c>
      <c r="EB280" s="25">
        <f ca="1">SUM(DY280:EA280)</f>
        <v>1095.4400333333333</v>
      </c>
      <c r="EC280" s="47">
        <f ca="1">SUM(EB280/ES280)</f>
        <v>1.4743472857783759E-2</v>
      </c>
      <c r="ED280" s="14">
        <f>20+10+100</f>
        <v>130</v>
      </c>
      <c r="EE280" s="32">
        <f>COUNTIF(AO280, "*")+COUNTIF(AJ280, "*")+COUNTIF(AA280, "*")+COUNTIF(FG280, "*")+COUNTIF(FM280, "*")+COUNTIF(FS280, "*")+COUNTIF(FW280, "*")+COUNTIF(GD280, "*")+COUNTIF(AS280, "*")+COUNTIF(GM280, "*")+COUNTIF(GX280, "*")+COUNTIF(HI280, "*")+COUNTIF(HQ280, "*")+COUNTIF(HY280, "*")+COUNTIF(IG280, "*")</f>
        <v>2</v>
      </c>
      <c r="EF280" s="14">
        <f>1.28+EE280*8</f>
        <v>17.28</v>
      </c>
      <c r="EG280" s="25">
        <v>150</v>
      </c>
      <c r="EH280" s="4">
        <v>32.53</v>
      </c>
      <c r="EM280" s="14">
        <f>SUM(EH280:EL280)</f>
        <v>32.53</v>
      </c>
      <c r="EN280" s="14">
        <f ca="1">SUM(EB280,ED280,EM280, EG280, EF280,GJ280)</f>
        <v>1425.2500333333332</v>
      </c>
      <c r="EO280" s="24" t="s">
        <v>4935</v>
      </c>
      <c r="EP280" s="36">
        <v>5.45</v>
      </c>
      <c r="EQ280" s="4">
        <v>55500</v>
      </c>
      <c r="ER280" s="4">
        <v>18800</v>
      </c>
      <c r="ES280" s="14">
        <f>SUM(EQ280+ER280)</f>
        <v>74300</v>
      </c>
      <c r="ET280" s="4">
        <v>61300</v>
      </c>
      <c r="EU280" s="4">
        <v>18800</v>
      </c>
      <c r="EV280" s="14">
        <f>SUM(ET280+EU280)</f>
        <v>80100</v>
      </c>
      <c r="EW280" s="18" t="s">
        <v>2331</v>
      </c>
      <c r="EX280" s="18" t="s">
        <v>2332</v>
      </c>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t="s">
        <v>2333</v>
      </c>
      <c r="FW280" s="18" t="s">
        <v>552</v>
      </c>
      <c r="FX280" s="18"/>
      <c r="FY280" s="18" t="s">
        <v>279</v>
      </c>
      <c r="FZ280" s="18" t="s">
        <v>268</v>
      </c>
      <c r="GA280" s="27">
        <v>37756</v>
      </c>
      <c r="GB280" s="18" t="s">
        <v>2334</v>
      </c>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row>
    <row r="281" spans="1:263" ht="15" customHeight="1">
      <c r="A281" s="2">
        <v>102020050</v>
      </c>
      <c r="B281" t="s">
        <v>1671</v>
      </c>
      <c r="J281" t="s">
        <v>554</v>
      </c>
      <c r="K281" t="s">
        <v>1672</v>
      </c>
      <c r="L281" t="s">
        <v>875</v>
      </c>
      <c r="M281" t="s">
        <v>354</v>
      </c>
      <c r="P281" t="s">
        <v>1672</v>
      </c>
      <c r="Q281" t="s">
        <v>1673</v>
      </c>
      <c r="R281" t="s">
        <v>598</v>
      </c>
      <c r="AG281" s="248"/>
      <c r="AY281" s="9"/>
      <c r="AZ281" s="9"/>
      <c r="BG281" s="5"/>
      <c r="BH281" s="16"/>
      <c r="BI281" s="16"/>
      <c r="BJ281" s="4"/>
      <c r="BK281" s="4"/>
      <c r="BL281" s="4"/>
      <c r="BM281" s="6"/>
      <c r="BN281" s="7"/>
      <c r="BO281" s="4"/>
      <c r="BP281" s="4"/>
      <c r="BQ281" s="4"/>
      <c r="BR281" s="4"/>
      <c r="BS281" s="6"/>
      <c r="BT281" s="7"/>
      <c r="BU281" s="4"/>
      <c r="BV281" s="4"/>
      <c r="BW281" s="4"/>
      <c r="BX281" s="4"/>
      <c r="BY281" s="6"/>
      <c r="BZ281" s="7"/>
      <c r="CA281" s="4"/>
      <c r="CB281" s="4"/>
      <c r="CC281" s="4"/>
      <c r="CD281" s="4"/>
      <c r="CE281" s="6"/>
      <c r="CF281" s="7"/>
      <c r="CG281" s="4"/>
      <c r="CH281" s="4"/>
      <c r="CI281" s="4"/>
      <c r="CJ281" s="4"/>
      <c r="CK281" s="6"/>
      <c r="CL281" s="7"/>
      <c r="CM281" s="4"/>
      <c r="CN281" s="4"/>
      <c r="CO281" s="4"/>
      <c r="CP281" s="4"/>
      <c r="CQ281" s="6"/>
      <c r="CR281" s="7"/>
      <c r="CS281" s="4"/>
      <c r="CT281" s="4"/>
      <c r="CU281" s="4"/>
      <c r="CV281" s="4"/>
      <c r="CW281" s="6"/>
      <c r="CX281" s="7"/>
      <c r="CY281" s="4"/>
      <c r="CZ281" s="4"/>
      <c r="DA281" s="4"/>
      <c r="DB281" s="4"/>
      <c r="DC281" s="4"/>
      <c r="DD281" s="3"/>
      <c r="DE281" s="4"/>
      <c r="DF281" s="234"/>
      <c r="DG281" s="4"/>
      <c r="DH281" s="4"/>
      <c r="DI281" s="4"/>
      <c r="DJ281" s="4"/>
      <c r="DK281" s="4"/>
      <c r="DL281" s="4"/>
      <c r="DM281" s="7"/>
      <c r="DN281" s="8"/>
      <c r="DO281" s="4"/>
      <c r="DP281" s="8"/>
      <c r="DQ281" s="8"/>
      <c r="DR281" s="8"/>
      <c r="DS281" s="35"/>
      <c r="IN281" s="4"/>
      <c r="IO281" s="4"/>
    </row>
    <row r="282" spans="1:263" ht="15" customHeight="1">
      <c r="A282" s="19">
        <v>102021064</v>
      </c>
      <c r="B282" t="s">
        <v>2005</v>
      </c>
      <c r="F282" t="s">
        <v>2433</v>
      </c>
      <c r="G282">
        <v>210002351</v>
      </c>
      <c r="K282" t="s">
        <v>2004</v>
      </c>
      <c r="AD282" t="s">
        <v>2428</v>
      </c>
      <c r="AE282" t="s">
        <v>311</v>
      </c>
      <c r="AF282" s="3" t="s">
        <v>2429</v>
      </c>
      <c r="AG282" s="272" t="s">
        <v>2430</v>
      </c>
      <c r="AH282" t="s">
        <v>2431</v>
      </c>
      <c r="AI282" t="s">
        <v>2432</v>
      </c>
      <c r="AJ282" s="18" t="s">
        <v>328</v>
      </c>
      <c r="AK282" s="18"/>
      <c r="AL282" s="24" t="s">
        <v>386</v>
      </c>
      <c r="AN282"/>
      <c r="AO282" s="1" t="s">
        <v>2189</v>
      </c>
      <c r="AP282" s="1" t="s">
        <v>258</v>
      </c>
      <c r="AQ282" s="3" t="s">
        <v>951</v>
      </c>
      <c r="AR282"/>
      <c r="AX282" s="2"/>
      <c r="AY282" s="48"/>
      <c r="AZ282" s="70"/>
      <c r="BA282" s="48"/>
      <c r="BB282" s="19"/>
      <c r="BC282" s="48"/>
      <c r="BD282" s="48"/>
      <c r="BE282" s="2"/>
      <c r="BF282" s="2"/>
      <c r="BG282" s="20"/>
      <c r="BH282" s="22"/>
      <c r="BI282" s="22"/>
      <c r="BJ282" s="14"/>
      <c r="BK282" s="22"/>
      <c r="BL282" s="14"/>
      <c r="BM282" s="14"/>
      <c r="BN282" s="14"/>
      <c r="BO282" s="17"/>
      <c r="BP282" s="23"/>
      <c r="BQ282" s="14"/>
      <c r="BR282" s="14"/>
      <c r="BS282" s="14"/>
      <c r="BT282" s="14"/>
      <c r="BU282" s="17"/>
      <c r="BV282" s="23"/>
      <c r="BW282" s="14"/>
      <c r="BX282" s="14"/>
      <c r="BY282" s="14"/>
      <c r="BZ282" s="14"/>
      <c r="CA282" s="17"/>
      <c r="CB282" s="23"/>
      <c r="CC282" s="14"/>
      <c r="CD282" s="14"/>
      <c r="CE282" s="14"/>
      <c r="CF282" s="14"/>
      <c r="CG282" s="17"/>
      <c r="CH282" s="23"/>
      <c r="CI282" s="14"/>
      <c r="CJ282" s="14"/>
      <c r="CK282" s="14"/>
      <c r="CL282" s="14"/>
      <c r="CM282" s="17"/>
      <c r="CN282" s="23"/>
      <c r="CO282" s="14"/>
      <c r="CP282" s="14"/>
      <c r="CQ282" s="14"/>
      <c r="CR282" s="14"/>
      <c r="CS282" s="17"/>
      <c r="CT282" s="23"/>
      <c r="CU282" s="14"/>
      <c r="CV282" s="14"/>
      <c r="CW282" s="14"/>
      <c r="CX282" s="14"/>
      <c r="CY282" s="17"/>
      <c r="CZ282" s="23"/>
      <c r="DA282" s="14"/>
      <c r="DB282" s="14"/>
      <c r="DC282" s="14"/>
      <c r="DD282" s="14"/>
      <c r="DE282" s="17"/>
      <c r="DF282" s="23"/>
      <c r="DG282" s="14"/>
      <c r="DH282" s="14"/>
      <c r="DI282" s="14">
        <f>SUM(BM282, BS282, BY282, CE282, CK282, CQ282,CW282,DC282)</f>
        <v>0</v>
      </c>
      <c r="DJ282" s="14">
        <f>SUM(BN282, BT282, BZ282, CF282, CL282, CR282,CX282,DD282)</f>
        <v>0</v>
      </c>
      <c r="DK282" s="14">
        <f>SUM(DH282:DJ282)</f>
        <v>0</v>
      </c>
      <c r="DL282" s="47">
        <f>SUM(DK282/EA282)</f>
        <v>0</v>
      </c>
      <c r="DM282" s="14">
        <f>39+195+195+58.5+39</f>
        <v>526.5</v>
      </c>
      <c r="DN282" s="32">
        <f>COUNTIF(DT282, "*")+COUNTIF(AO282, "*")+COUNTIF(AJ282, "*")+COUNTIF(AB282, "*")+COUNTIF(EQ282, "*")+COUNTIF(EW282, "*")+COUNTIF(FC282, "*")+COUNTIF(FG282, "*")+COUNTIF(FN282, "*")+COUNTIF(FV282, "*")+COUNTIF(GC282, "*")+COUNTIF(GN282, "*")+COUNTIF(GY282, "*")+COUNTIF(HG282, "*")+COUNTIF(HO282, "*")+COUNTIF(HW282, "*")+COUNTIF(IE282, "*")</f>
        <v>2</v>
      </c>
      <c r="DO282" s="14">
        <f>DN282*0.5+DN282*6.36</f>
        <v>13.72</v>
      </c>
      <c r="DP282" s="14">
        <v>150</v>
      </c>
      <c r="DQ282" s="14">
        <f>SUM(DK282,DM282,DW282, DP282, DO282,FZ282)</f>
        <v>828.5</v>
      </c>
      <c r="DR282" s="14">
        <v>93.75</v>
      </c>
      <c r="DS282" s="14">
        <v>44.53</v>
      </c>
      <c r="DT282" s="14"/>
      <c r="DU282" s="23"/>
      <c r="DV282" s="25"/>
      <c r="DW282" s="14">
        <f>SUM(DR282:DV282)</f>
        <v>138.28</v>
      </c>
      <c r="DX282" s="24" t="s">
        <v>1997</v>
      </c>
      <c r="DY282" s="25">
        <v>100800</v>
      </c>
      <c r="DZ282" s="25">
        <v>0</v>
      </c>
      <c r="EA282" s="25">
        <f>SUM(DY282+DZ282)</f>
        <v>100800</v>
      </c>
      <c r="EB282" s="36">
        <v>70</v>
      </c>
      <c r="EC282" s="18" t="s">
        <v>2251</v>
      </c>
      <c r="ED282" t="s">
        <v>2252</v>
      </c>
      <c r="IL282" s="18"/>
      <c r="IM282" s="18"/>
      <c r="IN282" s="18"/>
      <c r="IO282" s="14"/>
      <c r="IP282" s="27">
        <v>44434</v>
      </c>
      <c r="IQ282" s="18"/>
      <c r="IR282" s="18"/>
      <c r="IS282" s="18"/>
      <c r="IT282" s="18"/>
    </row>
    <row r="283" spans="1:263" ht="15" customHeight="1">
      <c r="A283" s="19">
        <v>102021036</v>
      </c>
      <c r="B283" s="18" t="s">
        <v>2121</v>
      </c>
      <c r="C283" s="18"/>
      <c r="D283" s="13">
        <v>2022</v>
      </c>
      <c r="E283" s="24"/>
      <c r="F283" s="24"/>
      <c r="G283" s="18"/>
      <c r="H283" s="18"/>
      <c r="I283" s="18"/>
      <c r="J283" s="18" t="s">
        <v>311</v>
      </c>
      <c r="K283" s="18" t="s">
        <v>943</v>
      </c>
      <c r="L283" s="18" t="s">
        <v>577</v>
      </c>
      <c r="M283" s="18" t="s">
        <v>537</v>
      </c>
      <c r="N283" s="18" t="s">
        <v>470</v>
      </c>
      <c r="O283" s="18"/>
      <c r="P283" s="18"/>
      <c r="Q283" s="18"/>
      <c r="R283" s="18"/>
      <c r="S283" s="18"/>
      <c r="T283" s="18"/>
      <c r="U283" s="18"/>
      <c r="V283" s="18"/>
      <c r="W283" s="18"/>
      <c r="X283" s="18"/>
      <c r="Y283" s="18"/>
      <c r="Z283" s="18"/>
      <c r="AA283" s="18"/>
      <c r="AB283" s="18"/>
      <c r="AC283" s="18"/>
      <c r="AD283" s="18"/>
      <c r="AE283" s="18"/>
      <c r="AF283" s="18"/>
      <c r="AG283" s="26"/>
      <c r="AH283" s="18"/>
      <c r="AI283" s="18"/>
      <c r="AJ283" s="18" t="s">
        <v>328</v>
      </c>
      <c r="AK283" s="18"/>
      <c r="AL283" s="18" t="s">
        <v>386</v>
      </c>
      <c r="AM283" s="18"/>
      <c r="AN283" s="18" t="s">
        <v>3931</v>
      </c>
      <c r="AO283" s="24"/>
      <c r="AP283" s="24"/>
      <c r="AQ283" s="18"/>
      <c r="AR283" s="18"/>
      <c r="AS283" s="13"/>
      <c r="AT283" s="13"/>
      <c r="AU283" s="13"/>
      <c r="AV283" s="13"/>
      <c r="AW283" s="13"/>
      <c r="AX283" s="19"/>
      <c r="AY283" s="114">
        <v>44332</v>
      </c>
      <c r="AZ283" s="114">
        <v>44824</v>
      </c>
      <c r="BA283" s="19"/>
      <c r="BB283" s="19"/>
      <c r="BC283" s="19"/>
      <c r="BD283" s="19"/>
      <c r="BE283" s="19"/>
      <c r="BF283" s="19"/>
      <c r="BG283" s="20">
        <f ca="1">SUM(DE283)+214.5</f>
        <v>445.18219999999997</v>
      </c>
      <c r="BH283" s="22">
        <f ca="1">PMT(10%/12,12,BG283,0,0)</f>
        <v>-39.138588092007573</v>
      </c>
      <c r="BI283" s="22">
        <f ca="1">SUM(BH283*-1)</f>
        <v>39.138588092007573</v>
      </c>
      <c r="BJ283" s="14">
        <f>SUM(DO283*0.0052)/12</f>
        <v>2.6</v>
      </c>
      <c r="BK283" s="22">
        <f ca="1">SUM(BI283+BJ283)</f>
        <v>41.738588092007575</v>
      </c>
      <c r="BL283" s="14"/>
      <c r="BM283" s="14">
        <f>SUM(BL283*0.1)</f>
        <v>0</v>
      </c>
      <c r="BN283" s="14">
        <f ca="1">SUM(BO283*BP283)</f>
        <v>0</v>
      </c>
      <c r="BO283" s="17">
        <f>SUM((BL283+BM283)*0.00833333333333333)</f>
        <v>0</v>
      </c>
      <c r="BP283" s="23">
        <f ca="1">MONTH(TODAY())+49</f>
        <v>53</v>
      </c>
      <c r="BQ283" s="14">
        <f ca="1">SUM(BL283,BM283,BN283)</f>
        <v>0</v>
      </c>
      <c r="BR283" s="14">
        <v>21.84</v>
      </c>
      <c r="BS283" s="14">
        <f>SUM(BR283*0.1)</f>
        <v>2.1840000000000002</v>
      </c>
      <c r="BT283" s="14">
        <f ca="1">SUM(BU283*BV283)</f>
        <v>8.2081999999999979</v>
      </c>
      <c r="BU283" s="17">
        <f>SUM((BR283+BS283)*0.00833333333333333)</f>
        <v>0.20019999999999993</v>
      </c>
      <c r="BV283" s="23">
        <f ca="1">MONTH(TODAY())+37</f>
        <v>41</v>
      </c>
      <c r="BW283" s="14">
        <f ca="1">SUM(BR283,BS283,BT283)</f>
        <v>32.232199999999999</v>
      </c>
      <c r="BX283" s="14">
        <f>SUM(DO283*0.0052)</f>
        <v>31.2</v>
      </c>
      <c r="BY283" s="14">
        <f>SUM(BX283*0.1)</f>
        <v>3.12</v>
      </c>
      <c r="BZ283" s="14">
        <f ca="1">SUM(CA283*CB283)</f>
        <v>8.2939999999999969</v>
      </c>
      <c r="CA283" s="17">
        <f>SUM((BX283+BY283)*0.00833333333333333)</f>
        <v>0.28599999999999987</v>
      </c>
      <c r="CB283" s="23">
        <f ca="1">MONTH(TODAY())+25</f>
        <v>29</v>
      </c>
      <c r="CC283" s="14">
        <f ca="1">SUM(BX283,BY283,BZ283)</f>
        <v>42.613999999999997</v>
      </c>
      <c r="CD283" s="14">
        <f>SUM(DO283*0.0052)</f>
        <v>31.2</v>
      </c>
      <c r="CE283" s="14">
        <f>SUM(CD283*0.1)</f>
        <v>3.12</v>
      </c>
      <c r="CF283" s="14">
        <f ca="1">SUM(CG283*CH283)</f>
        <v>4.8619999999999974</v>
      </c>
      <c r="CG283" s="17">
        <f>SUM((CD283+CE283)*0.00833333333333333)</f>
        <v>0.28599999999999987</v>
      </c>
      <c r="CH283" s="23">
        <f ca="1">MONTH(TODAY())+13</f>
        <v>17</v>
      </c>
      <c r="CI283" s="14">
        <f ca="1">SUM(CD283,CE283,CF283)</f>
        <v>39.181999999999995</v>
      </c>
      <c r="CJ283" s="14">
        <f>SUM(DO283*0.0052)</f>
        <v>31.2</v>
      </c>
      <c r="CK283" s="14">
        <f>SUM(CJ283*0.1)</f>
        <v>3.12</v>
      </c>
      <c r="CL283" s="14">
        <f ca="1">SUM(CM283*CN283)</f>
        <v>1.4299999999999993</v>
      </c>
      <c r="CM283" s="17">
        <f>SUM((CJ283+CK283)*0.00833333333333333)</f>
        <v>0.28599999999999987</v>
      </c>
      <c r="CN283" s="23">
        <f ca="1">MONTH(TODAY())+1</f>
        <v>5</v>
      </c>
      <c r="CO283" s="14">
        <f ca="1">SUM(CJ283,CK283,CL283)</f>
        <v>35.75</v>
      </c>
      <c r="CP283" s="14">
        <f>SUM(DO283*0.0052)/2</f>
        <v>15.6</v>
      </c>
      <c r="CQ283" s="14">
        <f>SUM(CP283*0.1)</f>
        <v>1.56</v>
      </c>
      <c r="CR283" s="14">
        <f ca="1">SUM(CS283*CT283)</f>
        <v>-0.28599999999999987</v>
      </c>
      <c r="CS283" s="17">
        <f>SUM((CP283+CQ283)*0.00833333333333333)</f>
        <v>0.14299999999999993</v>
      </c>
      <c r="CT283" s="23">
        <f ca="1">MONTH(TODAY())-6</f>
        <v>-2</v>
      </c>
      <c r="CU283" s="23">
        <f ca="1">SUM(CP283,CQ283,CR283)</f>
        <v>16.873999999999999</v>
      </c>
      <c r="CV283" s="14">
        <f>SUM(BL283, BR283, BX283, CD283, CJ283, CP283)</f>
        <v>131.04</v>
      </c>
      <c r="CW283" s="14">
        <f>SUM(BM283, BS283,BY283,CE283,CK283, CQ283)</f>
        <v>13.104000000000001</v>
      </c>
      <c r="CX283" s="14">
        <f ca="1">SUM(BN283, BT283,BZ283,CF283,CL283, CR283)</f>
        <v>22.508199999999992</v>
      </c>
      <c r="CY283" s="14">
        <f ca="1">SUM(CV283:CX283)</f>
        <v>166.65219999999999</v>
      </c>
      <c r="CZ283" s="47">
        <f ca="1">SUM(CY283/DO283)</f>
        <v>2.7775366666666666E-2</v>
      </c>
      <c r="DA283" s="14">
        <v>39</v>
      </c>
      <c r="DB283" s="32">
        <f>COUNTIF(DH283, "*")+COUNTIF(AO283, "*")+COUNTIF(AJ283, "*")+COUNTIF(AA283, "*")+COUNTIF(EE283, "*")+COUNTIF(EK283, "*")+COUNTIF(EQ283, "*")+COUNTIF(EU283, "*")+COUNTIF(FB283, "*")+COUNTIF(FI283, "*")+COUNTIF(FP283, "*")+COUNTIF(GA283, "*")+COUNTIF(GL283, "*")+COUNTIF(GT283, "*")+COUNTIF(HB283, "*")+COUNTIF(HJ283, "*")+COUNTIF(HR283, "*")</f>
        <v>1</v>
      </c>
      <c r="DC283" s="14">
        <f>DB283*0.5</f>
        <v>0.5</v>
      </c>
      <c r="DD283" s="14"/>
      <c r="DE283" s="14">
        <f ca="1">SUM(CY283,DA283,DK283, DD283, DC283,FM283)</f>
        <v>230.68219999999999</v>
      </c>
      <c r="DF283" s="14">
        <v>24.53</v>
      </c>
      <c r="DG283" s="14"/>
      <c r="DH283" s="14"/>
      <c r="DI283" s="23"/>
      <c r="DJ283" s="25"/>
      <c r="DK283" s="14">
        <f>SUM(DF283:DJ283)</f>
        <v>24.53</v>
      </c>
      <c r="DL283" s="24" t="s">
        <v>2769</v>
      </c>
      <c r="DM283" s="25">
        <v>6000</v>
      </c>
      <c r="DN283" s="25">
        <v>0</v>
      </c>
      <c r="DO283" s="25">
        <f>SUM(DM283+DN283)</f>
        <v>6000</v>
      </c>
      <c r="DP283" s="36">
        <v>1.5</v>
      </c>
      <c r="DQ283" s="18" t="s">
        <v>3926</v>
      </c>
      <c r="DR283" s="18" t="s">
        <v>3927</v>
      </c>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27">
        <v>44863</v>
      </c>
      <c r="HY283" s="18"/>
      <c r="HZ283" s="18"/>
      <c r="IA283" s="18"/>
      <c r="IB283" s="18"/>
      <c r="IC283" s="18"/>
      <c r="ID283" s="18"/>
      <c r="IE283" s="18"/>
      <c r="IF283" s="18"/>
      <c r="IG283" s="18"/>
      <c r="IH283" s="18"/>
      <c r="II283" s="14"/>
      <c r="IJ283" s="18"/>
      <c r="IK283" s="18"/>
      <c r="IL283" s="18"/>
      <c r="IM283" s="18"/>
      <c r="IN283" s="18"/>
      <c r="IZ283" s="240"/>
      <c r="JA283" s="240"/>
      <c r="JB283" s="240"/>
      <c r="JC283" s="240"/>
    </row>
    <row r="284" spans="1:263" ht="15" customHeight="1">
      <c r="A284" s="2">
        <v>102018081</v>
      </c>
      <c r="B284" s="4" t="s">
        <v>1252</v>
      </c>
      <c r="C284" s="4"/>
      <c r="D284" s="3"/>
      <c r="E284" s="2"/>
      <c r="F284">
        <v>180001684</v>
      </c>
      <c r="J284" t="s">
        <v>311</v>
      </c>
      <c r="K284" t="s">
        <v>672</v>
      </c>
      <c r="L284" t="s">
        <v>673</v>
      </c>
      <c r="M284" t="s">
        <v>326</v>
      </c>
      <c r="O284" s="1"/>
      <c r="T284" s="1"/>
      <c r="AJ284" s="4"/>
      <c r="AK284" s="4"/>
      <c r="AO284" s="4"/>
      <c r="AP284" s="5"/>
      <c r="AS284" s="5"/>
      <c r="AT284" s="5"/>
      <c r="AU284" s="1"/>
      <c r="AV284" s="1"/>
      <c r="AW284" s="1"/>
      <c r="AX284" s="1"/>
      <c r="AY284" s="1"/>
      <c r="AZ284" s="1"/>
      <c r="BA284" s="1"/>
      <c r="BB284" s="1"/>
      <c r="BC284" s="1"/>
      <c r="BD284" s="1"/>
      <c r="BE284" s="1"/>
      <c r="BF284" s="1"/>
      <c r="BG284" s="5"/>
      <c r="BH284" s="16"/>
      <c r="BI284" s="16"/>
      <c r="BK284" s="4"/>
      <c r="BL284" s="4"/>
      <c r="BM284" s="6"/>
      <c r="BN284" s="7"/>
      <c r="BO284" s="4"/>
      <c r="BP284" s="4"/>
      <c r="BQ284" s="4"/>
      <c r="BR284" s="4"/>
      <c r="BS284" s="6"/>
      <c r="BT284" s="7"/>
      <c r="BU284" s="4"/>
      <c r="BV284" s="4"/>
      <c r="BW284" s="4"/>
      <c r="BX284" s="4"/>
      <c r="BY284" s="6"/>
      <c r="BZ284" s="7"/>
      <c r="CA284" s="4"/>
      <c r="CB284" s="4"/>
      <c r="CC284" s="4"/>
      <c r="CD284" s="4"/>
      <c r="CE284" s="6"/>
      <c r="CF284" s="7"/>
      <c r="CG284" s="4"/>
      <c r="CH284" s="4"/>
      <c r="CI284" s="4"/>
      <c r="CJ284" s="4"/>
      <c r="CK284" s="6"/>
      <c r="CL284" s="7"/>
      <c r="CM284" s="4"/>
      <c r="CN284" s="4"/>
      <c r="CO284" s="4"/>
      <c r="CP284" s="4"/>
      <c r="CQ284" s="6"/>
      <c r="CR284" s="7"/>
      <c r="CS284" s="4"/>
      <c r="CT284" s="4"/>
      <c r="CU284" s="4"/>
      <c r="CV284" s="4"/>
      <c r="CW284" s="6"/>
      <c r="CX284" s="7"/>
      <c r="CY284" s="4"/>
      <c r="CZ284" s="4"/>
      <c r="DA284" s="4"/>
      <c r="DB284" s="4"/>
      <c r="DC284" s="6"/>
      <c r="DD284" s="7"/>
      <c r="DE284" s="4"/>
      <c r="DF284" s="4"/>
      <c r="DG284" s="14"/>
      <c r="DH284" s="14"/>
      <c r="DI284" s="4"/>
      <c r="DJ284" s="3"/>
      <c r="DK284" s="4"/>
      <c r="DL284" s="234"/>
      <c r="DM284" s="4"/>
      <c r="DN284" s="4"/>
      <c r="DO284" s="4"/>
      <c r="DP284" s="4"/>
      <c r="DQ284" s="4"/>
      <c r="DR284" s="4"/>
      <c r="DS284" s="7"/>
      <c r="DT284" s="8"/>
      <c r="DU284" s="4"/>
      <c r="DV284" s="8"/>
      <c r="DW284" s="4"/>
      <c r="DX284" s="4"/>
      <c r="EG284" s="11"/>
      <c r="EM284" s="11"/>
      <c r="EN284" s="11"/>
      <c r="EO284" s="4"/>
      <c r="EP284" s="4"/>
      <c r="EQ284" s="4"/>
      <c r="ER284" s="4"/>
      <c r="ES284" s="4"/>
      <c r="ET284" s="4"/>
      <c r="EU284" s="4"/>
      <c r="EV284" s="4"/>
      <c r="EW284" s="4"/>
      <c r="EX284" s="4"/>
      <c r="EY284" s="4"/>
      <c r="EZ284" s="4"/>
      <c r="FA284" s="4"/>
      <c r="FB284" s="4"/>
      <c r="FC284" s="4"/>
      <c r="FG284" s="9"/>
      <c r="FP284" s="9"/>
      <c r="FZ284" s="10"/>
      <c r="GJ284" s="10"/>
      <c r="GY284" s="9"/>
      <c r="IK284" s="4"/>
    </row>
    <row r="285" spans="1:263" ht="15" customHeight="1">
      <c r="A285" s="19">
        <v>102020038</v>
      </c>
      <c r="B285" s="18" t="s">
        <v>1641</v>
      </c>
      <c r="C285" s="18"/>
      <c r="D285" s="13"/>
      <c r="E285" s="18" t="s">
        <v>1866</v>
      </c>
      <c r="F285" s="18">
        <v>200002914</v>
      </c>
      <c r="G285" s="18"/>
      <c r="H285" s="18"/>
      <c r="I285" s="18"/>
      <c r="J285" s="18" t="s">
        <v>311</v>
      </c>
      <c r="K285" s="18" t="s">
        <v>1642</v>
      </c>
      <c r="L285" s="18" t="s">
        <v>1643</v>
      </c>
      <c r="M285" s="18" t="s">
        <v>428</v>
      </c>
      <c r="N285" s="18"/>
      <c r="O285" s="18"/>
      <c r="P285" s="18"/>
      <c r="Q285" s="18"/>
      <c r="R285" s="18"/>
      <c r="S285" s="18"/>
      <c r="T285" s="18"/>
      <c r="U285" s="18"/>
      <c r="V285" s="18"/>
      <c r="W285" s="18"/>
      <c r="X285" s="18"/>
      <c r="Y285" s="18"/>
      <c r="Z285" s="18"/>
      <c r="AA285" s="18"/>
      <c r="AB285" s="18"/>
      <c r="AC285" s="18"/>
      <c r="AD285" s="18"/>
      <c r="AE285" s="18"/>
      <c r="AF285" s="18"/>
      <c r="AG285" s="231"/>
      <c r="AH285" s="18"/>
      <c r="AI285" s="18"/>
      <c r="AJ285" s="18"/>
      <c r="AK285" s="18"/>
      <c r="AL285" s="18"/>
      <c r="AM285" s="24"/>
      <c r="AN285" s="24"/>
      <c r="AO285" s="18"/>
      <c r="AP285" s="13"/>
      <c r="AQ285" s="24"/>
      <c r="AR285" s="24"/>
      <c r="AS285" s="18"/>
      <c r="AT285" s="18"/>
      <c r="AU285" s="18"/>
      <c r="AV285" s="18"/>
      <c r="AW285" s="18"/>
      <c r="AX285" s="48"/>
      <c r="AY285" s="48"/>
      <c r="AZ285" s="48"/>
      <c r="BA285" s="48"/>
      <c r="BB285" s="19"/>
      <c r="BC285" s="48"/>
      <c r="BD285" s="48"/>
      <c r="BE285" s="48"/>
      <c r="BF285" s="19"/>
      <c r="BG285" s="20"/>
      <c r="BH285" s="22"/>
      <c r="BI285" s="22"/>
      <c r="BJ285" s="14"/>
      <c r="BK285" s="14"/>
      <c r="BL285" s="14"/>
      <c r="BM285" s="17"/>
      <c r="BN285" s="23"/>
      <c r="BO285" s="14"/>
      <c r="BP285" s="14"/>
      <c r="BQ285" s="14"/>
      <c r="BR285" s="14"/>
      <c r="BS285" s="17"/>
      <c r="BT285" s="23"/>
      <c r="BU285" s="14"/>
      <c r="BV285" s="14"/>
      <c r="BW285" s="14"/>
      <c r="BX285" s="14"/>
      <c r="BY285" s="17"/>
      <c r="BZ285" s="23"/>
      <c r="CA285" s="14"/>
      <c r="CB285" s="14"/>
      <c r="CC285" s="14"/>
      <c r="CD285" s="14"/>
      <c r="CE285" s="17"/>
      <c r="CF285" s="23"/>
      <c r="CG285" s="14"/>
      <c r="CH285" s="14"/>
      <c r="CI285" s="14"/>
      <c r="CJ285" s="14"/>
      <c r="CK285" s="17"/>
      <c r="CL285" s="23"/>
      <c r="CM285" s="14"/>
      <c r="CN285" s="14"/>
      <c r="CO285" s="14"/>
      <c r="CP285" s="14"/>
      <c r="CQ285" s="17"/>
      <c r="CR285" s="23"/>
      <c r="CS285" s="14"/>
      <c r="CT285" s="14"/>
      <c r="CU285" s="14"/>
      <c r="CV285" s="14"/>
      <c r="CW285" s="17"/>
      <c r="CX285" s="23"/>
      <c r="CY285" s="14"/>
      <c r="CZ285" s="14"/>
      <c r="DA285" s="14"/>
      <c r="DB285" s="14"/>
      <c r="DC285" s="14"/>
      <c r="DD285" s="14"/>
      <c r="DE285" s="47"/>
      <c r="DF285" s="24"/>
      <c r="DG285" s="14"/>
      <c r="DH285" s="32"/>
      <c r="DI285" s="14"/>
      <c r="DJ285" s="14"/>
      <c r="DK285" s="14"/>
      <c r="DL285" s="14"/>
      <c r="DM285" s="14"/>
      <c r="DN285" s="14"/>
      <c r="DO285" s="23"/>
      <c r="DP285" s="25"/>
      <c r="DQ285" s="14"/>
      <c r="DR285" s="25"/>
      <c r="DS285" s="25"/>
      <c r="DT285" s="25"/>
      <c r="DU285" s="36"/>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27"/>
      <c r="IE285" s="18"/>
      <c r="IF285" s="18"/>
      <c r="IG285" s="18"/>
      <c r="IH285" s="18"/>
      <c r="II285" s="18"/>
      <c r="IJ285" s="18"/>
      <c r="IK285" s="18"/>
      <c r="IL285" s="18"/>
      <c r="IM285" s="18"/>
      <c r="IN285" s="18"/>
      <c r="IO285" s="18"/>
      <c r="IP285" s="27">
        <v>44068</v>
      </c>
      <c r="IQ285" s="18"/>
      <c r="IR285" s="18"/>
      <c r="IS285" s="18"/>
      <c r="IT285" s="18"/>
      <c r="IU285" s="243"/>
      <c r="IV285" s="243"/>
      <c r="IZ285" s="240"/>
      <c r="JA285" s="240"/>
      <c r="JB285" s="240"/>
      <c r="JC285" s="240"/>
    </row>
    <row r="286" spans="1:263" ht="15" customHeight="1">
      <c r="A286" s="2">
        <v>102019048</v>
      </c>
      <c r="B286" s="4" t="s">
        <v>1369</v>
      </c>
      <c r="C286" s="4"/>
      <c r="E286" s="3"/>
      <c r="F286" s="2"/>
      <c r="G286" s="2"/>
      <c r="H286" s="2"/>
      <c r="J286" t="s">
        <v>554</v>
      </c>
      <c r="K286" t="s">
        <v>306</v>
      </c>
      <c r="L286" t="s">
        <v>741</v>
      </c>
      <c r="M286" t="s">
        <v>396</v>
      </c>
      <c r="O286" s="1"/>
      <c r="P286" t="s">
        <v>306</v>
      </c>
      <c r="Q286" t="s">
        <v>1370</v>
      </c>
      <c r="R286" t="s">
        <v>650</v>
      </c>
      <c r="T286" s="1"/>
      <c r="AF286" s="3"/>
      <c r="AG286" s="1"/>
      <c r="AJ286" s="4"/>
      <c r="AK286" s="4"/>
      <c r="AO286" s="4"/>
      <c r="AP286" s="5"/>
      <c r="AS286" s="5"/>
      <c r="AT286" s="5"/>
      <c r="AU286" s="1"/>
      <c r="AV286" s="1"/>
      <c r="AW286" s="1"/>
      <c r="AX286" s="1"/>
      <c r="AY286" s="1"/>
      <c r="AZ286" s="1"/>
      <c r="BA286" s="1"/>
      <c r="BB286" s="1"/>
      <c r="BC286" s="1"/>
      <c r="BD286" s="1"/>
      <c r="BE286" s="1"/>
      <c r="BF286" s="1"/>
      <c r="BG286" s="5"/>
      <c r="BH286" s="16"/>
      <c r="BI286" s="16"/>
      <c r="BK286" s="4"/>
      <c r="BL286" s="4"/>
      <c r="BM286" s="6"/>
      <c r="BN286" s="7"/>
      <c r="BO286" s="4"/>
      <c r="BP286" s="4"/>
      <c r="BQ286" s="4"/>
      <c r="BR286" s="4"/>
      <c r="BS286" s="6"/>
      <c r="BT286" s="7"/>
      <c r="BU286" s="4"/>
      <c r="BV286" s="4"/>
      <c r="BW286" s="4"/>
      <c r="BX286" s="4"/>
      <c r="BY286" s="6"/>
      <c r="BZ286" s="7"/>
      <c r="CA286" s="4"/>
      <c r="CB286" s="4"/>
      <c r="CC286" s="4"/>
      <c r="CD286" s="4"/>
      <c r="CE286" s="6"/>
      <c r="CF286" s="7"/>
      <c r="CG286" s="4"/>
      <c r="CH286" s="4"/>
      <c r="CI286" s="4"/>
      <c r="CJ286" s="4"/>
      <c r="CK286" s="6"/>
      <c r="CL286" s="7"/>
      <c r="CM286" s="4"/>
      <c r="CN286" s="4"/>
      <c r="CO286" s="4"/>
      <c r="CP286" s="4"/>
      <c r="CQ286" s="6"/>
      <c r="CR286" s="7"/>
      <c r="CS286" s="4"/>
      <c r="CT286" s="4"/>
      <c r="CU286" s="4"/>
      <c r="CV286" s="4"/>
      <c r="CW286" s="6"/>
      <c r="CX286" s="7"/>
      <c r="CY286" s="4"/>
      <c r="CZ286" s="4"/>
      <c r="DA286" s="4"/>
      <c r="DB286" s="4"/>
      <c r="DC286" s="6"/>
      <c r="DD286" s="7"/>
      <c r="DE286" s="4"/>
      <c r="DF286" s="4"/>
      <c r="DG286" s="4"/>
      <c r="DH286" s="14"/>
      <c r="DI286" s="14"/>
      <c r="DJ286" s="4"/>
      <c r="DK286" s="3"/>
      <c r="DL286" s="4"/>
      <c r="DM286" s="234"/>
      <c r="DN286" s="4"/>
      <c r="DO286" s="4"/>
      <c r="DP286" s="4"/>
      <c r="DQ286" s="4"/>
      <c r="DR286" s="4"/>
      <c r="DS286" s="4"/>
      <c r="DT286" s="7"/>
      <c r="DU286" s="8"/>
      <c r="DV286" s="4"/>
      <c r="DW286" s="8"/>
      <c r="DX286" s="4"/>
      <c r="DY286" s="4"/>
      <c r="DZ286" s="7"/>
      <c r="EI286" s="11"/>
      <c r="EO286" s="11"/>
      <c r="EP286" s="11"/>
      <c r="EQ286" s="4"/>
      <c r="ER286" s="4"/>
      <c r="ES286" s="4"/>
      <c r="ET286" s="4"/>
      <c r="EU286" s="4"/>
      <c r="EV286" s="4"/>
      <c r="EW286" s="4"/>
      <c r="EX286" s="4"/>
      <c r="EY286" s="4"/>
      <c r="EZ286" s="4"/>
      <c r="FA286" s="4"/>
      <c r="FB286" s="4"/>
      <c r="FC286" s="4"/>
      <c r="FD286" s="4"/>
      <c r="FE286" s="4"/>
      <c r="FI286" s="9"/>
      <c r="FR286" s="9"/>
      <c r="FX286" s="4"/>
      <c r="GC286" s="10"/>
      <c r="GM286" s="10"/>
      <c r="HB286" s="9"/>
      <c r="IJ286" s="4"/>
      <c r="IK286" s="4"/>
      <c r="IN286" t="s">
        <v>772</v>
      </c>
      <c r="IO286" t="s">
        <v>773</v>
      </c>
      <c r="IP286" t="s">
        <v>386</v>
      </c>
      <c r="IQ286" t="s">
        <v>373</v>
      </c>
      <c r="IR286">
        <v>129.81</v>
      </c>
      <c r="IS286" s="66">
        <v>189</v>
      </c>
      <c r="IT286" s="66">
        <v>4639.66</v>
      </c>
      <c r="IU286" s="9">
        <v>43549</v>
      </c>
      <c r="IV286" s="9">
        <v>43565</v>
      </c>
      <c r="IW286" s="9">
        <v>43699</v>
      </c>
      <c r="IX286" s="9">
        <v>43711</v>
      </c>
    </row>
    <row r="287" spans="1:263" ht="15" customHeight="1">
      <c r="A287" s="19">
        <v>102020001</v>
      </c>
      <c r="B287" s="14" t="s">
        <v>1522</v>
      </c>
      <c r="C287" s="18"/>
      <c r="D287" s="13"/>
      <c r="E287" s="18"/>
      <c r="F287" s="18"/>
      <c r="G287" s="18">
        <v>200000641</v>
      </c>
      <c r="H287" s="18"/>
      <c r="I287" s="18"/>
      <c r="J287" s="18" t="s">
        <v>253</v>
      </c>
      <c r="K287" s="18" t="s">
        <v>1523</v>
      </c>
      <c r="L287" s="18" t="s">
        <v>1526</v>
      </c>
      <c r="M287" s="18" t="s">
        <v>256</v>
      </c>
      <c r="N287" s="18"/>
      <c r="O287" s="18"/>
      <c r="P287" s="18"/>
      <c r="Q287" s="18"/>
      <c r="R287" s="18"/>
      <c r="S287" s="18"/>
      <c r="T287" s="18"/>
      <c r="U287" s="18"/>
      <c r="V287" s="18"/>
      <c r="W287" s="18"/>
      <c r="X287" s="18"/>
      <c r="Y287" s="18"/>
      <c r="Z287" s="18"/>
      <c r="AA287" s="18"/>
      <c r="AB287" s="18"/>
      <c r="AC287" s="18"/>
      <c r="AD287" s="18"/>
      <c r="AE287" s="18"/>
      <c r="AF287" s="18"/>
      <c r="AG287" s="231" t="s">
        <v>1524</v>
      </c>
      <c r="AH287" s="18"/>
      <c r="AI287" s="18"/>
      <c r="AJ287" s="18"/>
      <c r="AK287" s="18"/>
      <c r="AL287" s="18"/>
      <c r="AM287" s="24"/>
      <c r="AN287" s="24"/>
      <c r="AO287" s="14" t="s">
        <v>1525</v>
      </c>
      <c r="AP287" s="13" t="s">
        <v>258</v>
      </c>
      <c r="AQ287" s="24" t="s">
        <v>386</v>
      </c>
      <c r="AR287" s="24" t="s">
        <v>260</v>
      </c>
      <c r="AS287" s="13"/>
      <c r="AT287" s="13"/>
      <c r="AU287" s="13"/>
      <c r="AV287" s="13"/>
      <c r="AW287" s="13"/>
      <c r="AX287" s="19"/>
      <c r="AY287" s="19"/>
      <c r="AZ287" s="48"/>
      <c r="BA287" s="19"/>
      <c r="BB287" s="19"/>
      <c r="BC287" s="19"/>
      <c r="BD287" s="19"/>
      <c r="BE287" s="19"/>
      <c r="BF287" s="19"/>
      <c r="BG287" s="20"/>
      <c r="BH287" s="22"/>
      <c r="BI287" s="22"/>
      <c r="BJ287" s="14"/>
      <c r="BK287" s="22"/>
      <c r="BL287" s="14"/>
      <c r="BM287" s="14"/>
      <c r="BN287" s="14"/>
      <c r="BO287" s="17"/>
      <c r="BP287" s="23"/>
      <c r="BQ287" s="14"/>
      <c r="BR287" s="14"/>
      <c r="BS287" s="14"/>
      <c r="BT287" s="14"/>
      <c r="BU287" s="17"/>
      <c r="BV287" s="23"/>
      <c r="BW287" s="14"/>
      <c r="BX287" s="14"/>
      <c r="BY287" s="14"/>
      <c r="BZ287" s="14"/>
      <c r="CA287" s="17"/>
      <c r="CB287" s="23"/>
      <c r="CC287" s="14"/>
      <c r="CD287" s="14"/>
      <c r="CE287" s="14"/>
      <c r="CF287" s="14"/>
      <c r="CG287" s="17"/>
      <c r="CH287" s="23"/>
      <c r="CI287" s="14"/>
      <c r="CJ287" s="14"/>
      <c r="CK287" s="14"/>
      <c r="CL287" s="14"/>
      <c r="CM287" s="17"/>
      <c r="CN287" s="23"/>
      <c r="CO287" s="14"/>
      <c r="CP287" s="14"/>
      <c r="CQ287" s="14"/>
      <c r="CR287" s="14"/>
      <c r="CS287" s="17"/>
      <c r="CT287" s="23"/>
      <c r="CU287" s="14"/>
      <c r="CV287" s="14"/>
      <c r="CW287" s="14"/>
      <c r="CX287" s="14"/>
      <c r="CY287" s="14"/>
      <c r="CZ287" s="14"/>
      <c r="DA287" s="47"/>
      <c r="DB287" s="32"/>
      <c r="DC287" s="32"/>
      <c r="DD287" s="14"/>
      <c r="DE287" s="14"/>
      <c r="DF287" s="14"/>
      <c r="DG287" s="14"/>
      <c r="DH287" s="14"/>
      <c r="DI287" s="14"/>
      <c r="DJ287" s="14"/>
      <c r="DK287" s="25"/>
      <c r="DL287" s="14">
        <f>SUM(DG287:DK287)</f>
        <v>0</v>
      </c>
      <c r="DM287" s="24" t="s">
        <v>1944</v>
      </c>
      <c r="DN287" s="25">
        <v>20000</v>
      </c>
      <c r="DO287" s="25">
        <v>45800</v>
      </c>
      <c r="DP287" s="25">
        <f>SUM(DN287+DO287)</f>
        <v>65800</v>
      </c>
      <c r="DQ287" s="36">
        <v>0.82</v>
      </c>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4"/>
      <c r="IK287" s="18"/>
      <c r="IL287" s="18"/>
      <c r="IM287" s="18"/>
      <c r="IN287" s="18"/>
      <c r="IO287" s="18"/>
      <c r="IP287" s="18"/>
      <c r="IQ287" s="18"/>
      <c r="IR287" s="18"/>
      <c r="IS287" s="18"/>
      <c r="IT287" s="18"/>
      <c r="IU287" s="18"/>
      <c r="IV287" s="18"/>
    </row>
    <row r="288" spans="1:263" ht="15" customHeight="1">
      <c r="A288" s="18">
        <v>102020001</v>
      </c>
      <c r="B288" s="18" t="s">
        <v>1522</v>
      </c>
      <c r="C288" s="10"/>
      <c r="D288" s="161"/>
      <c r="E288" s="147"/>
      <c r="F288" s="160"/>
      <c r="G288" s="147">
        <v>230000936</v>
      </c>
      <c r="H288" s="10"/>
      <c r="I288" s="10"/>
      <c r="J288" s="28" t="s">
        <v>253</v>
      </c>
      <c r="K288" s="28" t="s">
        <v>1523</v>
      </c>
      <c r="L288" s="28" t="s">
        <v>1526</v>
      </c>
      <c r="M288" s="28"/>
      <c r="N288" s="28"/>
      <c r="O288" s="150"/>
      <c r="P288" s="28"/>
      <c r="Q288" s="28"/>
      <c r="R288" s="28"/>
      <c r="S288" s="28"/>
      <c r="T288" s="10"/>
      <c r="U288" s="10"/>
      <c r="V288" s="10"/>
      <c r="W288" s="10"/>
      <c r="X288" s="10"/>
      <c r="Y288" s="10"/>
      <c r="Z288" s="10"/>
      <c r="AA288" s="10"/>
      <c r="AB288" s="10"/>
      <c r="AC288" s="10"/>
      <c r="AD288" s="10"/>
      <c r="AE288" s="10"/>
      <c r="AF288" s="10"/>
      <c r="AG288" s="141"/>
      <c r="AH288" s="10"/>
      <c r="AI288" s="10"/>
      <c r="AJ288" s="18"/>
      <c r="AK288" s="13"/>
      <c r="AL288" s="18"/>
      <c r="AM288" s="18"/>
      <c r="AN288" s="18"/>
      <c r="AO288" s="18" t="s">
        <v>1525</v>
      </c>
      <c r="AP288" s="13" t="s">
        <v>258</v>
      </c>
      <c r="AQ288" s="18" t="s">
        <v>386</v>
      </c>
      <c r="AR288" s="18" t="s">
        <v>260</v>
      </c>
      <c r="AX288" s="1"/>
      <c r="AY288" s="1"/>
      <c r="AZ288" s="1"/>
      <c r="BA288" s="1"/>
      <c r="BB288" s="1"/>
      <c r="BC288" s="70"/>
      <c r="BD288" s="115"/>
      <c r="BE288" s="144"/>
      <c r="BF288" s="70"/>
      <c r="BG288" s="2"/>
      <c r="BH288" s="70"/>
      <c r="BI288" s="70"/>
      <c r="BJ288" s="70"/>
      <c r="BK288" s="70"/>
      <c r="BL288" s="20">
        <f ca="1">SUM(EH288)+220</f>
        <v>1729.0107916666668</v>
      </c>
      <c r="BM288" s="22">
        <f ca="1">PMT(10%/12,12,BL288,0,0)</f>
        <v>-152.00751777963629</v>
      </c>
      <c r="BN288" s="22">
        <f ca="1">SUM(BM288*-1)</f>
        <v>152.00751777963629</v>
      </c>
      <c r="BO288" s="14">
        <f>SUM(EP288*0.0052)/12</f>
        <v>37.353333333333332</v>
      </c>
      <c r="BP288" s="22">
        <f ca="1">SUM(BN288+BO288)</f>
        <v>189.36085111296961</v>
      </c>
      <c r="BQ288" s="14"/>
      <c r="BR288" s="14">
        <f>SUM(BQ288*0.1)</f>
        <v>0</v>
      </c>
      <c r="BS288" s="14">
        <f ca="1">SUM(BT288*BU288)</f>
        <v>0</v>
      </c>
      <c r="BT288" s="17">
        <f>SUM((BQ288+BR288)*0.00833333333333333)</f>
        <v>0</v>
      </c>
      <c r="BU288" s="23">
        <f ca="1">MONTH(TODAY())+49</f>
        <v>53</v>
      </c>
      <c r="BV288" s="14">
        <f ca="1">SUM(BQ288,BR288,BS288)</f>
        <v>0</v>
      </c>
      <c r="BW288" s="14">
        <v>0</v>
      </c>
      <c r="BX288" s="14">
        <f>SUM(BW288*0.1)</f>
        <v>0</v>
      </c>
      <c r="BY288" s="14">
        <f ca="1">SUM(BZ288*CA288)</f>
        <v>0</v>
      </c>
      <c r="BZ288" s="17">
        <f>SUM((BW288+BX288)*0.00833333333333333)</f>
        <v>0</v>
      </c>
      <c r="CA288" s="23">
        <f ca="1">MONTH(TODAY())+37</f>
        <v>41</v>
      </c>
      <c r="CB288" s="14">
        <f ca="1">SUM(BW288,BX288,BY288)</f>
        <v>0</v>
      </c>
      <c r="CC288" s="14">
        <v>0</v>
      </c>
      <c r="CD288" s="14">
        <f>SUM(CC288*0.1)</f>
        <v>0</v>
      </c>
      <c r="CE288" s="14">
        <f ca="1">SUM(CF288*CG288)</f>
        <v>0</v>
      </c>
      <c r="CF288" s="17">
        <f>SUM((CC288+CD288)*0.00833333333333333)</f>
        <v>0</v>
      </c>
      <c r="CG288" s="23">
        <f ca="1">MONTH(TODAY())+25</f>
        <v>29</v>
      </c>
      <c r="CH288" s="14">
        <f ca="1">SUM(CC288,CD288,CE288)</f>
        <v>0</v>
      </c>
      <c r="CI288" s="14">
        <v>99.54</v>
      </c>
      <c r="CJ288" s="14">
        <f>SUM(CI288*0.1)</f>
        <v>9.9540000000000006</v>
      </c>
      <c r="CK288" s="14">
        <f ca="1">SUM(CL288*CM288)</f>
        <v>19.161449999999991</v>
      </c>
      <c r="CL288" s="17">
        <f>SUM((CI288+CJ288)*0.00833333333333333)</f>
        <v>0.91244999999999965</v>
      </c>
      <c r="CM288" s="23">
        <f ca="1">MONTH(TODAY())+17</f>
        <v>21</v>
      </c>
      <c r="CN288" s="23">
        <f ca="1">SUM(CI288,CJ288,CK288)</f>
        <v>128.65545</v>
      </c>
      <c r="CO288" s="14">
        <f>SUM(EM288*0.0052)/2</f>
        <v>171.07999999999998</v>
      </c>
      <c r="CP288" s="14">
        <f>SUM(CO288*0.1)</f>
        <v>17.108000000000001</v>
      </c>
      <c r="CQ288" s="14">
        <f ca="1">SUM(CR288*CS288)</f>
        <v>26.659966666666651</v>
      </c>
      <c r="CR288" s="17">
        <f>SUM((CO288+CP288)*0.00833333333333333)</f>
        <v>1.5682333333333325</v>
      </c>
      <c r="CS288" s="23">
        <f ca="1">MONTH(TODAY())+13</f>
        <v>17</v>
      </c>
      <c r="CT288" s="14">
        <f ca="1">SUM(CO288,CP288,CQ288)</f>
        <v>214.84796666666665</v>
      </c>
      <c r="CU288" s="14">
        <f>SUM(EP288*0.0045)/2</f>
        <v>193.95</v>
      </c>
      <c r="CV288" s="14">
        <f>SUM(CU288*0.1)</f>
        <v>19.395</v>
      </c>
      <c r="CW288" s="14">
        <f ca="1">SUM(CX288*CY288)</f>
        <v>19.55662499999999</v>
      </c>
      <c r="CX288" s="17">
        <f>SUM((CU288+CV288)*0.00833333333333333)</f>
        <v>1.7778749999999992</v>
      </c>
      <c r="CY288" s="23">
        <f ca="1">MONTH(TODAY())+7</f>
        <v>11</v>
      </c>
      <c r="CZ288" s="14">
        <f ca="1">SUM(CU288,CV288,CW288)</f>
        <v>232.901625</v>
      </c>
      <c r="DA288" s="14">
        <f>SUM(EP288*0.0045)/2</f>
        <v>193.95</v>
      </c>
      <c r="DB288" s="14">
        <f>SUM(DA288*0.1)</f>
        <v>19.395</v>
      </c>
      <c r="DC288" s="14">
        <f ca="1">SUM(DD288*DE288)</f>
        <v>8.8893749999999958</v>
      </c>
      <c r="DD288" s="17">
        <f>SUM((DA288+DB288)*0.00833333333333333)</f>
        <v>1.7778749999999992</v>
      </c>
      <c r="DE288" s="23">
        <f ca="1">MONTH(TODAY())+1</f>
        <v>5</v>
      </c>
      <c r="DF288" s="14">
        <f ca="1">SUM(DA288,DB288,DC288)</f>
        <v>222.234375</v>
      </c>
      <c r="DG288" s="14">
        <f>SUM(EP288*0.0045)/2</f>
        <v>193.95</v>
      </c>
      <c r="DH288" s="14">
        <f>SUM(DG288*0.1)</f>
        <v>19.395</v>
      </c>
      <c r="DI288" s="14">
        <f ca="1">SUM(DJ288*DK288)</f>
        <v>-5.3336249999999978</v>
      </c>
      <c r="DJ288" s="17">
        <f>SUM((DG288+DH288)*0.00833333333333333)</f>
        <v>1.7778749999999992</v>
      </c>
      <c r="DK288" s="23">
        <f ca="1">MONTH(TODAY())-7</f>
        <v>-3</v>
      </c>
      <c r="DL288" s="14">
        <f ca="1">SUM(DG288,DH288,DI288)</f>
        <v>208.01137499999999</v>
      </c>
      <c r="DM288" s="14">
        <f>SUM(EP288*0.0045)/2</f>
        <v>193.95</v>
      </c>
      <c r="DN288" s="14">
        <f>0</f>
        <v>0</v>
      </c>
      <c r="DO288" s="14">
        <f>SUM(DP288*DQ288)</f>
        <v>0</v>
      </c>
      <c r="DP288" s="17">
        <f>SUM((DM288+DN288)*0.00833333333333333)</f>
        <v>1.6162499999999993</v>
      </c>
      <c r="DQ288" s="23">
        <v>0</v>
      </c>
      <c r="DR288" s="14">
        <f>SUM(DM288,DN288,DO288)</f>
        <v>193.95</v>
      </c>
      <c r="DS288" s="14">
        <f>SUM(BQ288, BW288, CC288, CI288,CO288,CU288,DA288,DG288,DM288)</f>
        <v>1046.42</v>
      </c>
      <c r="DT288" s="14">
        <f>SUM(BR288,BX288,CD288, CJ288,CP288,CV288,DB288,DH288,DN288)</f>
        <v>85.247</v>
      </c>
      <c r="DU288" s="14">
        <f ca="1">SUM(BS288,BY288,CE288, CK288,CQ288,CW288,DC288,DI288,DO288)</f>
        <v>68.933791666666636</v>
      </c>
      <c r="DV288" s="25">
        <f ca="1">SUM(DS288:DU288)</f>
        <v>1200.6007916666667</v>
      </c>
      <c r="DW288" s="47">
        <f ca="1">SUM(DV288/EM288)</f>
        <v>1.8246212639311046E-2</v>
      </c>
      <c r="DX288" s="14">
        <f>20+60+160+60</f>
        <v>300</v>
      </c>
      <c r="DY288" s="32">
        <f>COUNTIF(AO288, "*")+COUNTIF(AJ288, "*")+COUNTIF(AA288, "*")+COUNTIF(FA288, "*")+COUNTIF(FG288, "*")+COUNTIF(FM288, "*")+COUNTIF(FQ288, "*")+COUNTIF(FX288, "*")+COUNTIF(AT288, "*")+COUNTIF(GG288, "*")+COUNTIF(GR288, "*")+COUNTIF(HC288, "*")+COUNTIF(HK288, "*")+COUNTIF(HS288, "*")+COUNTIF(IA288, "*")</f>
        <v>1</v>
      </c>
      <c r="DZ288" s="14">
        <f>DY288*0.6+7.81</f>
        <v>8.41</v>
      </c>
      <c r="EA288" s="4"/>
      <c r="EB288" s="4"/>
      <c r="EC288" s="4"/>
      <c r="ED288" s="4"/>
      <c r="EE288" s="4"/>
      <c r="EF288" s="4"/>
      <c r="EG288" s="14">
        <f>SUM(EA288:EF288)</f>
        <v>0</v>
      </c>
      <c r="EH288" s="14">
        <f ca="1">SUM(DV288,DX288,EG288,DZ288,GD288)</f>
        <v>1509.0107916666668</v>
      </c>
      <c r="EI288" s="24" t="s">
        <v>3879</v>
      </c>
      <c r="EJ288" s="23">
        <v>0.82</v>
      </c>
      <c r="EK288" s="14">
        <v>20000</v>
      </c>
      <c r="EL288" s="14">
        <v>45800</v>
      </c>
      <c r="EM288" s="14">
        <f>SUM(EK288+EL288)</f>
        <v>65800</v>
      </c>
      <c r="EN288" s="14">
        <v>27000</v>
      </c>
      <c r="EO288" s="14">
        <v>59200</v>
      </c>
      <c r="EP288" s="14">
        <f>SUM(EN288+EO288)</f>
        <v>86200</v>
      </c>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9"/>
      <c r="FV288" s="10"/>
      <c r="FW288" s="10"/>
      <c r="FX288" s="10"/>
      <c r="FY288" s="10"/>
      <c r="FZ288" s="10"/>
      <c r="GA288" s="10"/>
      <c r="GB288" s="9"/>
      <c r="GC288" s="10"/>
      <c r="GD288" s="10"/>
      <c r="GE288" s="10"/>
      <c r="GF288" s="10"/>
      <c r="GG288" s="10"/>
      <c r="GH288" s="10"/>
      <c r="GI288" s="10"/>
      <c r="GJ288" s="10"/>
      <c r="GK288" s="9"/>
      <c r="GL288" s="10"/>
      <c r="GM288" s="10"/>
      <c r="GN288" s="10"/>
      <c r="GO288" s="10"/>
      <c r="GP288" s="10"/>
      <c r="GQ288" s="10"/>
      <c r="GR288" s="10"/>
      <c r="GS288" s="10"/>
      <c r="GT288" s="10"/>
      <c r="GU288" s="10"/>
      <c r="GV288" s="9"/>
      <c r="GW288" s="10"/>
      <c r="GX288" s="10"/>
      <c r="GY288" s="10"/>
      <c r="GZ288" s="10"/>
      <c r="HA288" s="10"/>
      <c r="HB288" s="10"/>
      <c r="HC288" s="10"/>
      <c r="HD288" s="10"/>
      <c r="HE288" s="10"/>
      <c r="HF288" s="10"/>
      <c r="HG288" s="9"/>
      <c r="HH288" s="10"/>
      <c r="HI288" s="10"/>
      <c r="HJ288" s="10"/>
      <c r="HK288" s="10"/>
      <c r="HL288" s="10"/>
      <c r="HM288" s="10"/>
      <c r="HN288" s="10"/>
      <c r="HO288" s="9"/>
      <c r="HP288" s="10"/>
      <c r="HQ288" s="10"/>
      <c r="HR288" s="10"/>
      <c r="HS288" s="10"/>
      <c r="HT288" s="10"/>
      <c r="HU288" s="10"/>
      <c r="HV288" s="10"/>
      <c r="HW288" s="9"/>
      <c r="HX288" s="10"/>
      <c r="HY288" s="10"/>
      <c r="HZ288" s="10"/>
      <c r="IA288" s="10"/>
      <c r="IB288" s="10"/>
      <c r="IC288" s="10"/>
      <c r="ID288" s="10"/>
      <c r="IE288" s="9"/>
      <c r="IF288" s="4"/>
      <c r="IG288" s="4"/>
      <c r="IH288" s="10"/>
      <c r="II288" s="10"/>
      <c r="IJ288" s="10"/>
      <c r="IK288" s="10"/>
      <c r="IL288" s="4"/>
      <c r="IM288" s="4"/>
      <c r="IN288" s="4"/>
      <c r="IO288" s="4"/>
      <c r="IP288" s="4"/>
      <c r="IQ288" s="9"/>
      <c r="IR288" s="9"/>
      <c r="IS288" s="9"/>
      <c r="IT288" s="9"/>
      <c r="IU288" s="9"/>
      <c r="IV288" s="27" t="s">
        <v>5913</v>
      </c>
    </row>
    <row r="289" spans="1:263" ht="15" customHeight="1">
      <c r="A289" s="2">
        <v>102018046</v>
      </c>
      <c r="B289" s="4" t="s">
        <v>1178</v>
      </c>
      <c r="C289" s="4"/>
      <c r="D289" s="3"/>
      <c r="E289" s="3"/>
      <c r="F289" s="2"/>
      <c r="G289">
        <v>180001480</v>
      </c>
      <c r="J289" t="s">
        <v>311</v>
      </c>
      <c r="K289" t="s">
        <v>617</v>
      </c>
      <c r="L289" t="s">
        <v>1179</v>
      </c>
      <c r="M289" t="s">
        <v>763</v>
      </c>
      <c r="O289" s="1"/>
      <c r="T289" s="1"/>
      <c r="AF289" s="1"/>
      <c r="AH289" s="3"/>
      <c r="AJ289" s="4"/>
      <c r="AK289" s="4"/>
      <c r="AO289" s="4"/>
      <c r="AP289" s="5"/>
      <c r="AQ289" s="34"/>
      <c r="AS289" s="5"/>
      <c r="AT289" s="5"/>
      <c r="AU289" s="1"/>
      <c r="AV289" s="1"/>
      <c r="AW289" s="1"/>
      <c r="AX289" s="1"/>
      <c r="AY289" s="1"/>
      <c r="AZ289" s="1"/>
      <c r="BA289" s="1"/>
      <c r="BB289" s="1"/>
      <c r="BC289" s="1"/>
      <c r="BD289" s="1"/>
      <c r="BE289" s="1"/>
      <c r="BF289" s="1"/>
      <c r="BG289" s="5"/>
      <c r="BH289" s="16"/>
      <c r="BI289" s="16"/>
      <c r="BK289" s="4"/>
      <c r="BL289" s="4"/>
      <c r="BM289" s="6"/>
      <c r="BN289" s="7"/>
      <c r="BO289" s="4"/>
      <c r="BQ289" s="4"/>
      <c r="BR289" s="4"/>
      <c r="BS289" s="6"/>
      <c r="BT289" s="7"/>
      <c r="BU289" s="4"/>
      <c r="BW289" s="4"/>
      <c r="BX289" s="4"/>
      <c r="BY289" s="6"/>
      <c r="BZ289" s="7"/>
      <c r="CA289" s="4"/>
      <c r="CB289" s="4"/>
      <c r="CC289" s="4"/>
      <c r="CD289" s="4"/>
      <c r="CE289" s="6"/>
      <c r="CF289" s="7"/>
      <c r="CG289" s="4"/>
      <c r="CH289" s="6"/>
      <c r="CI289" s="4"/>
      <c r="CJ289" s="4"/>
      <c r="CK289" s="6"/>
      <c r="CL289" s="7"/>
      <c r="CM289" s="4"/>
      <c r="CN289" s="4"/>
      <c r="CO289" s="4"/>
      <c r="CP289" s="4"/>
      <c r="CQ289" s="6"/>
      <c r="CR289" s="7"/>
      <c r="CS289" s="4"/>
      <c r="CT289" s="4"/>
      <c r="CU289" s="4"/>
      <c r="CV289" s="4"/>
      <c r="CW289" s="6"/>
      <c r="CX289" s="7"/>
      <c r="CY289" s="4"/>
      <c r="CZ289" s="4"/>
      <c r="DA289" s="4"/>
      <c r="DB289" s="4"/>
      <c r="DC289" s="6"/>
      <c r="DD289" s="7"/>
      <c r="DE289" s="4"/>
      <c r="DF289" s="4"/>
      <c r="DG289" s="4"/>
      <c r="DH289" s="4"/>
      <c r="DI289" s="6"/>
      <c r="DJ289" s="7"/>
      <c r="DK289" s="4"/>
      <c r="DL289" s="4"/>
      <c r="DM289" s="4"/>
      <c r="DN289" s="4"/>
      <c r="DO289" s="4"/>
      <c r="DP289" s="4"/>
      <c r="DR289" s="4"/>
      <c r="DS289" s="4"/>
      <c r="DT289" s="4"/>
      <c r="DU289" s="4"/>
      <c r="DV289" s="4"/>
      <c r="DW289" s="4"/>
      <c r="DX289" s="4"/>
      <c r="DY289" s="7"/>
      <c r="DZ289" s="4"/>
      <c r="EA289" s="4"/>
      <c r="EB289" s="34"/>
      <c r="EC289" s="4"/>
      <c r="ED289" s="4"/>
      <c r="EM289" s="11"/>
      <c r="ES289" s="11"/>
      <c r="ET289" s="11"/>
      <c r="EU289" s="4"/>
      <c r="EV289" s="4"/>
      <c r="EW289" s="4"/>
      <c r="EX289" s="4"/>
      <c r="EY289" s="4"/>
      <c r="EZ289" s="4"/>
      <c r="FA289" s="4"/>
      <c r="FB289" s="4"/>
      <c r="FC289" s="4"/>
      <c r="FD289" s="4"/>
      <c r="FE289" s="4"/>
      <c r="FF289" s="4"/>
      <c r="FG289" s="4"/>
      <c r="FH289" s="4"/>
      <c r="FL289" s="9"/>
      <c r="FU289" s="9"/>
      <c r="GE289" s="10"/>
      <c r="GO289" s="10"/>
      <c r="HD289" s="9"/>
    </row>
    <row r="290" spans="1:263" ht="15" customHeight="1">
      <c r="A290" s="2">
        <v>102018046</v>
      </c>
      <c r="B290" s="4" t="s">
        <v>1178</v>
      </c>
      <c r="C290" s="4"/>
      <c r="D290" s="3"/>
      <c r="E290" s="2"/>
      <c r="J290" t="s">
        <v>311</v>
      </c>
      <c r="K290" t="s">
        <v>617</v>
      </c>
      <c r="L290" t="s">
        <v>1179</v>
      </c>
      <c r="M290" t="s">
        <v>763</v>
      </c>
      <c r="P290" s="1"/>
      <c r="AB290" s="1"/>
      <c r="AE290" s="4"/>
      <c r="AF290" s="4"/>
      <c r="AJ290" s="4"/>
      <c r="AK290" s="4"/>
      <c r="AN290" s="34"/>
      <c r="AO290" s="18"/>
      <c r="AP290" s="13"/>
      <c r="AQ290" s="24"/>
      <c r="AR290" s="24"/>
      <c r="AS290" s="18"/>
      <c r="AT290" s="18"/>
      <c r="AU290" s="18"/>
      <c r="AV290" s="18"/>
      <c r="AW290" s="18"/>
      <c r="AX290" s="19"/>
      <c r="AY290" s="19"/>
      <c r="AZ290" s="19"/>
      <c r="BA290" s="19"/>
      <c r="BB290" s="19"/>
      <c r="BC290" s="19"/>
      <c r="BD290" s="19"/>
      <c r="BE290" s="19"/>
      <c r="BF290" s="19"/>
      <c r="BG290" s="20"/>
      <c r="BH290" s="22"/>
      <c r="BI290" s="22"/>
      <c r="BJ290" s="14"/>
      <c r="BK290" s="14"/>
      <c r="BL290" s="14"/>
      <c r="BM290" s="17"/>
      <c r="BN290" s="23"/>
      <c r="BO290" s="14"/>
      <c r="BP290" s="14"/>
      <c r="BQ290" s="14"/>
      <c r="BR290" s="14"/>
      <c r="BS290" s="17"/>
      <c r="BT290" s="23"/>
      <c r="BU290" s="14"/>
      <c r="BV290" s="14"/>
      <c r="BW290" s="14"/>
      <c r="BX290" s="14"/>
      <c r="BY290" s="17"/>
      <c r="BZ290" s="23"/>
      <c r="CA290" s="14"/>
      <c r="CB290" s="14"/>
      <c r="CC290" s="14"/>
      <c r="CD290" s="14"/>
      <c r="CE290" s="17"/>
      <c r="CF290" s="23"/>
      <c r="CG290" s="14"/>
      <c r="CH290" s="14"/>
      <c r="CI290" s="14"/>
      <c r="CJ290" s="14"/>
      <c r="CK290" s="17"/>
      <c r="CL290" s="23"/>
      <c r="CM290" s="14"/>
      <c r="CN290" s="14"/>
      <c r="CO290" s="14"/>
      <c r="CP290" s="14"/>
      <c r="CQ290" s="17"/>
      <c r="CR290" s="23"/>
      <c r="CS290" s="14"/>
      <c r="CT290" s="14"/>
      <c r="CU290" s="14"/>
      <c r="CV290" s="14"/>
      <c r="CW290" s="17"/>
      <c r="CX290" s="23"/>
      <c r="CY290" s="14"/>
      <c r="CZ290" s="14"/>
      <c r="DA290" s="14"/>
      <c r="DB290" s="14"/>
      <c r="DC290" s="17"/>
      <c r="DD290" s="23"/>
      <c r="DE290" s="14"/>
      <c r="DF290" s="14"/>
      <c r="DG290" s="14"/>
      <c r="DH290" s="14"/>
      <c r="DI290" s="14"/>
      <c r="DJ290" s="47"/>
      <c r="DK290" s="14"/>
      <c r="DL290" s="32"/>
      <c r="DM290" s="14"/>
      <c r="DN290" s="14"/>
      <c r="DO290" s="14"/>
      <c r="DP290" s="14"/>
      <c r="DQ290" s="14"/>
      <c r="DR290" s="14"/>
      <c r="DS290" s="14"/>
      <c r="DT290" s="25"/>
      <c r="DU290" s="14"/>
      <c r="DV290" s="24"/>
      <c r="DW290" s="25"/>
      <c r="DX290" s="25"/>
      <c r="DY290" s="25"/>
      <c r="DZ290" s="36"/>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P290" s="4"/>
      <c r="IW290" s="18"/>
      <c r="IX290" s="18"/>
      <c r="IY290" s="18"/>
    </row>
    <row r="291" spans="1:263" ht="15" customHeight="1">
      <c r="A291" s="2">
        <v>102020065</v>
      </c>
      <c r="B291" t="s">
        <v>1713</v>
      </c>
      <c r="D291" s="1"/>
      <c r="J291" t="s">
        <v>554</v>
      </c>
      <c r="K291" t="s">
        <v>1711</v>
      </c>
      <c r="L291" t="s">
        <v>996</v>
      </c>
      <c r="M291" t="s">
        <v>396</v>
      </c>
      <c r="P291" t="s">
        <v>1711</v>
      </c>
      <c r="Q291" t="s">
        <v>1712</v>
      </c>
      <c r="R291" t="s">
        <v>1220</v>
      </c>
      <c r="T291" s="1"/>
      <c r="AJ291" s="4"/>
      <c r="AK291" s="4"/>
      <c r="AO291" s="4"/>
      <c r="AP291" s="5"/>
      <c r="AS291" s="5"/>
      <c r="AT291" s="5"/>
      <c r="AU291" s="1"/>
      <c r="AV291" s="1"/>
      <c r="AW291" s="1"/>
      <c r="AX291" s="1"/>
      <c r="AY291" s="1"/>
      <c r="AZ291" s="15"/>
      <c r="BA291" s="1"/>
      <c r="BB291" s="1"/>
      <c r="BC291" s="1"/>
      <c r="BD291" s="1"/>
      <c r="BE291" s="1"/>
      <c r="BF291" s="1"/>
      <c r="BG291" s="5"/>
      <c r="BH291" s="16"/>
      <c r="BI291" s="16"/>
      <c r="BK291" s="4"/>
      <c r="BL291" s="4"/>
      <c r="BM291" s="6"/>
      <c r="BN291" s="7"/>
      <c r="BO291" s="4"/>
      <c r="BP291" s="4"/>
      <c r="BQ291" s="4"/>
      <c r="BR291" s="4"/>
      <c r="BS291" s="6"/>
      <c r="BT291" s="7"/>
      <c r="BU291" s="4"/>
      <c r="BV291" s="4"/>
      <c r="BW291" s="4"/>
      <c r="BX291" s="4"/>
      <c r="BY291" s="6"/>
      <c r="BZ291" s="7"/>
      <c r="CA291" s="4"/>
      <c r="CB291" s="4"/>
      <c r="CC291" s="4"/>
      <c r="CD291" s="4"/>
      <c r="CE291" s="6"/>
      <c r="CF291" s="7"/>
      <c r="CG291" s="4"/>
      <c r="CH291" s="4"/>
      <c r="CI291" s="4"/>
      <c r="CJ291" s="4"/>
      <c r="CK291" s="6"/>
      <c r="CL291" s="7"/>
      <c r="CM291" s="4"/>
      <c r="CN291" s="4"/>
      <c r="CO291" s="4"/>
      <c r="CP291" s="4"/>
      <c r="CQ291" s="6"/>
      <c r="CR291" s="7"/>
      <c r="CS291" s="4"/>
      <c r="CT291" s="4"/>
      <c r="CU291" s="4"/>
      <c r="CV291" s="4"/>
      <c r="CW291" s="6"/>
      <c r="CX291" s="7"/>
      <c r="CY291" s="4"/>
      <c r="CZ291" s="4"/>
      <c r="DA291" s="4"/>
      <c r="DB291" s="4"/>
      <c r="DC291" s="4"/>
      <c r="DD291" s="7"/>
      <c r="DE291" s="4"/>
      <c r="DF291" s="234"/>
      <c r="DG291" s="14"/>
      <c r="DH291" s="14"/>
      <c r="DI291" s="4"/>
      <c r="DJ291" s="3"/>
      <c r="DK291" s="4"/>
      <c r="DL291" s="234"/>
      <c r="DM291" s="4"/>
      <c r="DN291" s="4"/>
      <c r="DO291" s="4"/>
      <c r="DP291" s="8"/>
      <c r="DQ291" s="4"/>
      <c r="DR291" s="4"/>
      <c r="DS291" s="7"/>
      <c r="EB291" s="11"/>
      <c r="EH291" s="11"/>
      <c r="EI291" s="11"/>
      <c r="EJ291" s="4"/>
      <c r="EK291" s="4"/>
      <c r="EL291" s="4"/>
      <c r="EM291" s="4"/>
      <c r="EN291" s="4"/>
      <c r="EO291" s="4"/>
      <c r="EP291" s="4"/>
      <c r="EQ291" s="4"/>
      <c r="ER291" s="4"/>
      <c r="ES291" s="4"/>
      <c r="ET291" s="4"/>
      <c r="EU291" s="4"/>
      <c r="EV291" s="4"/>
      <c r="EW291" s="4"/>
      <c r="EX291" s="4"/>
      <c r="FB291" s="9"/>
      <c r="FK291" s="9"/>
      <c r="FV291" s="10"/>
      <c r="FX291" s="9"/>
      <c r="GF291" s="10"/>
      <c r="GU291" s="9"/>
      <c r="IG291" s="4"/>
      <c r="IL291" s="18"/>
      <c r="IM291" s="18"/>
      <c r="IN291" s="18"/>
      <c r="IO291" s="18"/>
      <c r="IP291" s="18"/>
      <c r="IQ291" s="18"/>
      <c r="IR291" s="18"/>
      <c r="IS291" s="18"/>
      <c r="IT291" s="18"/>
      <c r="IU291" s="18"/>
      <c r="IV291" s="18"/>
      <c r="IW291" s="18"/>
    </row>
    <row r="292" spans="1:263" ht="15" customHeight="1">
      <c r="A292" s="2">
        <v>102018084</v>
      </c>
      <c r="B292" s="4" t="s">
        <v>1258</v>
      </c>
      <c r="C292" s="3"/>
      <c r="D292" s="3"/>
      <c r="E292" s="3"/>
      <c r="F292" s="3"/>
      <c r="G292" s="3"/>
      <c r="H292" s="3"/>
      <c r="J292" t="s">
        <v>311</v>
      </c>
      <c r="K292" t="s">
        <v>1259</v>
      </c>
      <c r="L292" t="s">
        <v>1260</v>
      </c>
      <c r="M292" t="s">
        <v>850</v>
      </c>
      <c r="O292" s="1"/>
      <c r="T292" s="1"/>
      <c r="AJ292" s="4"/>
      <c r="AK292" s="4"/>
      <c r="AO292" s="4"/>
      <c r="AP292" s="5"/>
      <c r="AS292" s="5"/>
      <c r="AT292" s="5"/>
      <c r="AU292" s="1"/>
      <c r="AV292" s="1"/>
      <c r="AW292" s="1"/>
      <c r="AX292" s="1"/>
      <c r="AY292" s="1"/>
      <c r="AZ292" s="1"/>
      <c r="BA292" s="1"/>
      <c r="BB292" s="1"/>
      <c r="BC292" s="1"/>
      <c r="BD292" s="1"/>
      <c r="BE292" s="1"/>
      <c r="BF292" s="1"/>
      <c r="BG292" s="5"/>
      <c r="BH292" s="16"/>
      <c r="BI292" s="16"/>
      <c r="BK292" s="4"/>
      <c r="BL292" s="4"/>
      <c r="BM292" s="6"/>
      <c r="BN292" s="7"/>
      <c r="BO292" s="4"/>
      <c r="BP292" s="4"/>
      <c r="BQ292" s="4"/>
      <c r="BR292" s="4"/>
      <c r="BS292" s="6"/>
      <c r="BT292" s="7"/>
      <c r="BU292" s="4"/>
      <c r="BV292" s="4"/>
      <c r="BW292" s="4"/>
      <c r="BX292" s="4"/>
      <c r="BY292" s="6"/>
      <c r="BZ292" s="7"/>
      <c r="CA292" s="4"/>
      <c r="CB292" s="4"/>
      <c r="CC292" s="4"/>
      <c r="CD292" s="4"/>
      <c r="CE292" s="6"/>
      <c r="CF292" s="7"/>
      <c r="CG292" s="4"/>
      <c r="CH292" s="4"/>
      <c r="CI292" s="4"/>
      <c r="CJ292" s="4"/>
      <c r="CK292" s="6"/>
      <c r="CL292" s="7"/>
      <c r="CM292" s="4"/>
      <c r="CN292" s="4"/>
      <c r="CO292" s="4"/>
      <c r="CP292" s="4"/>
      <c r="CQ292" s="6"/>
      <c r="CR292" s="7"/>
      <c r="CS292" s="4"/>
      <c r="CT292" s="4"/>
      <c r="CU292" s="4"/>
      <c r="CV292" s="4"/>
      <c r="CW292" s="6"/>
      <c r="CX292" s="7"/>
      <c r="CY292" s="4"/>
      <c r="CZ292" s="4"/>
      <c r="DA292" s="4"/>
      <c r="DB292" s="4"/>
      <c r="DC292" s="6"/>
      <c r="DD292" s="7"/>
      <c r="DE292" s="4"/>
      <c r="DF292" s="4"/>
      <c r="DG292" s="14"/>
      <c r="DH292" s="14"/>
      <c r="DI292" s="4"/>
      <c r="DJ292" s="3"/>
      <c r="DK292" s="4"/>
      <c r="DL292" s="234"/>
      <c r="DM292" s="4"/>
      <c r="DN292" s="4"/>
      <c r="DO292" s="4"/>
      <c r="DP292" s="4"/>
      <c r="DQ292" s="4"/>
      <c r="DR292" s="4"/>
      <c r="DS292" s="7"/>
      <c r="DT292" s="8"/>
      <c r="DU292" s="4"/>
      <c r="DV292" s="8"/>
      <c r="DW292" s="4"/>
      <c r="DX292" s="4"/>
      <c r="EG292" s="11"/>
      <c r="EM292" s="11"/>
      <c r="EN292" s="11"/>
      <c r="EO292" s="4"/>
      <c r="EP292" s="4"/>
      <c r="EQ292" s="4"/>
      <c r="ER292" s="4"/>
      <c r="ES292" s="4"/>
      <c r="ET292" s="4"/>
      <c r="EU292" s="4"/>
      <c r="EV292" s="4"/>
      <c r="EW292" s="4"/>
      <c r="EX292" s="4"/>
      <c r="EY292" s="4"/>
      <c r="EZ292" s="4"/>
      <c r="FA292" s="4"/>
      <c r="FB292" s="4"/>
      <c r="FC292" s="4"/>
      <c r="FG292" s="9"/>
      <c r="FP292" s="9"/>
      <c r="FZ292" s="10"/>
      <c r="GJ292" s="10"/>
      <c r="GY292" s="9"/>
      <c r="IK292" s="4"/>
      <c r="IL292" s="9"/>
      <c r="IS292" s="4"/>
      <c r="IT292" s="4"/>
      <c r="IY292" s="9">
        <v>42999</v>
      </c>
    </row>
    <row r="293" spans="1:263" s="18" customFormat="1" ht="15" customHeight="1">
      <c r="A293" s="19">
        <v>102023145</v>
      </c>
      <c r="B293" s="18" t="s">
        <v>4740</v>
      </c>
      <c r="C293"/>
      <c r="D293" s="1"/>
      <c r="E293" t="s">
        <v>4939</v>
      </c>
      <c r="F293">
        <v>230003231</v>
      </c>
      <c r="G293" s="3"/>
      <c r="H293"/>
      <c r="I293"/>
      <c r="J293" s="18" t="s">
        <v>311</v>
      </c>
      <c r="K293" s="18" t="s">
        <v>1259</v>
      </c>
      <c r="L293" s="18" t="s">
        <v>1260</v>
      </c>
      <c r="M293" s="18" t="s">
        <v>850</v>
      </c>
      <c r="O293" s="19"/>
      <c r="T293"/>
      <c r="U293"/>
      <c r="V293"/>
      <c r="W293"/>
      <c r="X293"/>
      <c r="Y293"/>
      <c r="Z293"/>
      <c r="AA293"/>
      <c r="AB293"/>
      <c r="AC293"/>
      <c r="AD293"/>
      <c r="AE293"/>
      <c r="AF293"/>
      <c r="AG293" s="43"/>
      <c r="AH293"/>
      <c r="AI293"/>
      <c r="AJ293" s="18" t="s">
        <v>4741</v>
      </c>
      <c r="AK293" t="s">
        <v>258</v>
      </c>
      <c r="AL293" t="s">
        <v>386</v>
      </c>
      <c r="AM293" t="s">
        <v>260</v>
      </c>
      <c r="AN293"/>
      <c r="AO293" s="18" t="s">
        <v>4444</v>
      </c>
      <c r="AP293" s="3" t="s">
        <v>258</v>
      </c>
      <c r="AQ293" s="18" t="s">
        <v>386</v>
      </c>
      <c r="AR293" t="s">
        <v>260</v>
      </c>
      <c r="AS293"/>
      <c r="AT293"/>
      <c r="AU293"/>
      <c r="AV293"/>
      <c r="AW293"/>
      <c r="AX293" s="1" t="s">
        <v>258</v>
      </c>
      <c r="AY293" s="1" t="s">
        <v>258</v>
      </c>
      <c r="AZ293" s="1"/>
      <c r="BA293" s="1"/>
      <c r="BB293" s="1"/>
      <c r="BC293" s="70">
        <v>45098</v>
      </c>
      <c r="BD293" s="115">
        <v>45060</v>
      </c>
      <c r="BE293" s="115">
        <v>45051</v>
      </c>
      <c r="BF293" s="2"/>
      <c r="BG293" s="2"/>
      <c r="BH293" s="2"/>
      <c r="BI293" s="2"/>
      <c r="BJ293" s="2"/>
      <c r="BK293" s="2"/>
      <c r="BL293" s="20">
        <f ca="1">SUM(EB293)+220</f>
        <v>2184.0514624999996</v>
      </c>
      <c r="BM293" s="22">
        <f ca="1">PMT(10%/12,12,BL293,0,0)</f>
        <v>-192.01282208168749</v>
      </c>
      <c r="BN293" s="22">
        <f ca="1">SUM(BM293*-1)</f>
        <v>192.01282208168749</v>
      </c>
      <c r="BO293" s="14">
        <f>SUM(EJ293*0.0052)/12</f>
        <v>37.049999999999997</v>
      </c>
      <c r="BP293" s="22">
        <f ca="1">SUM(BN293+BO293)</f>
        <v>229.0628220816875</v>
      </c>
      <c r="BQ293" s="14"/>
      <c r="BR293" s="14">
        <f>SUM(BQ293*0.1)</f>
        <v>0</v>
      </c>
      <c r="BS293" s="14">
        <f ca="1">SUM(BT293*BU293)</f>
        <v>0</v>
      </c>
      <c r="BT293" s="17">
        <f>SUM((BQ293+BR293)*0.00833333333333333)</f>
        <v>0</v>
      </c>
      <c r="BU293" s="23">
        <f ca="1">MONTH(TODAY())+49</f>
        <v>53</v>
      </c>
      <c r="BV293" s="14">
        <f ca="1">SUM(BQ293,BR293,BS293)</f>
        <v>0</v>
      </c>
      <c r="BW293" s="14"/>
      <c r="BX293" s="14">
        <f>SUM(BW293*0.1)</f>
        <v>0</v>
      </c>
      <c r="BY293" s="14">
        <f ca="1">SUM(BZ293*CA293)</f>
        <v>0</v>
      </c>
      <c r="BZ293" s="17">
        <f>SUM((BW293+BX293)*0.00833333333333333)</f>
        <v>0</v>
      </c>
      <c r="CA293" s="23">
        <f ca="1">MONTH(TODAY())+37</f>
        <v>41</v>
      </c>
      <c r="CB293" s="14">
        <f ca="1">SUM(BW293,BX293,BY293)</f>
        <v>0</v>
      </c>
      <c r="CC293" s="14">
        <v>0</v>
      </c>
      <c r="CD293" s="14">
        <f>SUM(CC293*0.1)</f>
        <v>0</v>
      </c>
      <c r="CE293" s="14">
        <f ca="1">SUM(CF293*CG293)</f>
        <v>0</v>
      </c>
      <c r="CF293" s="17">
        <f>SUM((CC293+CD293)*0.00833333333333333)</f>
        <v>0</v>
      </c>
      <c r="CG293" s="23">
        <f ca="1">MONTH(TODAY())+25</f>
        <v>29</v>
      </c>
      <c r="CH293" s="14">
        <f ca="1">SUM(CC293,CD293,CE293)</f>
        <v>0</v>
      </c>
      <c r="CI293" s="14">
        <f>SUM(EG293*0.0052)</f>
        <v>395.71999999999997</v>
      </c>
      <c r="CJ293" s="14">
        <f>SUM(CI293*0.1)</f>
        <v>39.572000000000003</v>
      </c>
      <c r="CK293" s="14">
        <f ca="1">SUM(CL293*CM293)</f>
        <v>61.666366666666633</v>
      </c>
      <c r="CL293" s="17">
        <f>SUM((CI293+CJ293)*0.00833333333333333)</f>
        <v>3.6274333333333315</v>
      </c>
      <c r="CM293" s="23">
        <f ca="1">MONTH(TODAY())+13</f>
        <v>17</v>
      </c>
      <c r="CN293" s="14">
        <f ca="1">SUM(CI293,CJ293,CK293)</f>
        <v>496.95836666666662</v>
      </c>
      <c r="CO293" s="14">
        <f>SUM(EG293*0.0052)/2</f>
        <v>197.85999999999999</v>
      </c>
      <c r="CP293" s="14">
        <f>SUM(CO293*0.1)</f>
        <v>19.786000000000001</v>
      </c>
      <c r="CQ293" s="14">
        <f ca="1">SUM(CR293*CS293)</f>
        <v>16.32344999999999</v>
      </c>
      <c r="CR293" s="17">
        <f>SUM((CO293+CP293)*0.00833333333333333)</f>
        <v>1.8137166666666658</v>
      </c>
      <c r="CS293" s="23">
        <f ca="1">MONTH(TODAY())+5</f>
        <v>9</v>
      </c>
      <c r="CT293" s="23">
        <f ca="1">SUM(CO293,CP293,CQ293)</f>
        <v>233.96944999999997</v>
      </c>
      <c r="CU293" s="14">
        <f>SUM(EG293*0.0052)/2</f>
        <v>197.85999999999999</v>
      </c>
      <c r="CV293" s="14">
        <f>SUM(CU293*0.1)</f>
        <v>19.786000000000001</v>
      </c>
      <c r="CW293" s="14">
        <f ca="1">SUM(CX293*CY293)</f>
        <v>9.0685833333333292</v>
      </c>
      <c r="CX293" s="17">
        <f>SUM((CU293+CV293)*0.00833333333333333)</f>
        <v>1.8137166666666658</v>
      </c>
      <c r="CY293" s="23">
        <f ca="1">MONTH(TODAY())+1</f>
        <v>5</v>
      </c>
      <c r="CZ293" s="23">
        <f ca="1">SUM(CU293,CV293,CW293)</f>
        <v>226.71458333333331</v>
      </c>
      <c r="DA293" s="14">
        <f>SUM(EJ293*0.0045)/2</f>
        <v>192.37499999999997</v>
      </c>
      <c r="DB293" s="14">
        <f>SUM(DA293*0.1)</f>
        <v>19.237499999999997</v>
      </c>
      <c r="DC293" s="14">
        <f ca="1">SUM(DD293*DE293)</f>
        <v>-1.7634374999999989</v>
      </c>
      <c r="DD293" s="17">
        <f>SUM((DA293+DB293)*0.00833333333333333)</f>
        <v>1.7634374999999989</v>
      </c>
      <c r="DE293" s="23">
        <f ca="1">MONTH(TODAY())-5</f>
        <v>-1</v>
      </c>
      <c r="DF293" s="23">
        <f ca="1">SUM(DA293,DB293,DC293)</f>
        <v>209.84906249999995</v>
      </c>
      <c r="DG293" s="14">
        <v>0</v>
      </c>
      <c r="DH293" s="14">
        <v>0</v>
      </c>
      <c r="DI293" s="14">
        <v>0</v>
      </c>
      <c r="DJ293" s="17">
        <f>SUM((DG293+DH293)*0.00833333333333333)</f>
        <v>0</v>
      </c>
      <c r="DK293" s="23">
        <f ca="1">MONTH(TODAY())+1</f>
        <v>5</v>
      </c>
      <c r="DL293" s="23">
        <f>SUM(DG293,DH293,DI293)</f>
        <v>0</v>
      </c>
      <c r="DM293" s="14">
        <f>SUM( BQ293, BW293, CC293, CI293, CO293,CU293,DA293,DG293)</f>
        <v>983.81499999999994</v>
      </c>
      <c r="DN293" s="14">
        <f>SUM(BR293,BX293,CD293,CJ293, CP293,CV293,DB293,DH293)</f>
        <v>98.381500000000003</v>
      </c>
      <c r="DO293" s="14">
        <f ca="1">SUM(BS293,BY293,CE293,CK293, CQ293,CW293,DC293,DI293)</f>
        <v>85.294962499999954</v>
      </c>
      <c r="DP293" s="25">
        <f ca="1">SUM(DM293:DO293)</f>
        <v>1167.4914624999999</v>
      </c>
      <c r="DQ293" s="47">
        <f ca="1">SUM(DP293/EG293)</f>
        <v>1.5341543528252299E-2</v>
      </c>
      <c r="DR293" s="14">
        <f>20+200+20+200+40</f>
        <v>480</v>
      </c>
      <c r="DS293" s="32">
        <f>COUNTIF(DX293, "*")+COUNTIF(AO293, "*")+COUNTIF(AJ293, "*")+COUNTIF(AA293, "*")+COUNTIF(EY293, "*")+COUNTIF(FE293, "*")+COUNTIF(FK293, "*")+COUNTIF(FO293, "*")+COUNTIF(FV293, "*")+COUNTIF(AT293, "*")+COUNTIF(GE293, "*")+COUNTIF(GP293, "*")+COUNTIF(HA293, "*")+COUNTIF(HI293, "*")+COUNTIF(HQ293, "*")+COUNTIF(HY293, "*")+COUNTIF(IG293, "*")</f>
        <v>4</v>
      </c>
      <c r="DT293" s="14">
        <f>DS293*7.45</f>
        <v>29.8</v>
      </c>
      <c r="DU293" s="4">
        <v>250</v>
      </c>
      <c r="DV293" s="4">
        <v>36.76</v>
      </c>
      <c r="DW293" s="4"/>
      <c r="DX293" s="4"/>
      <c r="DY293"/>
      <c r="DZ293" s="4"/>
      <c r="EA293" s="14">
        <f>SUM(DV293:DZ293)</f>
        <v>36.76</v>
      </c>
      <c r="EB293" s="14">
        <f ca="1">SUM(DP293,DR293,EA293, DU293, DT293,GB293)</f>
        <v>1964.0514624999998</v>
      </c>
      <c r="EC293" s="24" t="s">
        <v>3879</v>
      </c>
      <c r="ED293" s="130">
        <f>0.16+0.14+0.15+0.15+0.15+0.18</f>
        <v>0.93000000000000016</v>
      </c>
      <c r="EE293" s="14">
        <f>1000*5+15000</f>
        <v>20000</v>
      </c>
      <c r="EF293" s="14">
        <v>56100</v>
      </c>
      <c r="EG293" s="14">
        <f>SUM(EE293,EF293)</f>
        <v>76100</v>
      </c>
      <c r="EH293" s="14">
        <f>1200*5+21000</f>
        <v>27000</v>
      </c>
      <c r="EI293" s="14">
        <v>58500</v>
      </c>
      <c r="EJ293" s="14">
        <f>SUM(EH293,EI293)</f>
        <v>85500</v>
      </c>
      <c r="EK293" t="s">
        <v>4742</v>
      </c>
      <c r="EL293" t="s">
        <v>4743</v>
      </c>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s="18" t="s">
        <v>3595</v>
      </c>
      <c r="GD293" s="18" t="s">
        <v>1813</v>
      </c>
      <c r="GE293" s="18" t="s">
        <v>1812</v>
      </c>
      <c r="GF293" s="18" t="s">
        <v>799</v>
      </c>
      <c r="GG293" s="18" t="s">
        <v>800</v>
      </c>
      <c r="GH293" s="18" t="s">
        <v>285</v>
      </c>
      <c r="GI293" s="27">
        <v>43811</v>
      </c>
      <c r="GJ293" s="18" t="s">
        <v>4747</v>
      </c>
      <c r="GK293" s="18" t="s">
        <v>2316</v>
      </c>
      <c r="GL293" t="s">
        <v>4748</v>
      </c>
      <c r="GM293" t="s">
        <v>2318</v>
      </c>
      <c r="GN293" t="s">
        <v>859</v>
      </c>
      <c r="GO293" t="s">
        <v>4749</v>
      </c>
      <c r="GP293" t="s">
        <v>1764</v>
      </c>
      <c r="GQ293"/>
      <c r="GR293" t="s">
        <v>1826</v>
      </c>
      <c r="GS293" t="s">
        <v>544</v>
      </c>
      <c r="GT293" s="9">
        <v>40414</v>
      </c>
      <c r="GU293" t="s">
        <v>4750</v>
      </c>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s="9"/>
      <c r="IN293"/>
      <c r="IO293"/>
      <c r="IP293"/>
      <c r="IQ293"/>
      <c r="IR293"/>
      <c r="IS293"/>
      <c r="IT293"/>
      <c r="IU293"/>
      <c r="IV293"/>
      <c r="IW293"/>
      <c r="IX293" s="14">
        <f ca="1">SUM(IN293-EB293-GB293-IV293)</f>
        <v>-1964.0514624999998</v>
      </c>
      <c r="IY293" s="9"/>
      <c r="IZ293" s="9"/>
      <c r="JA293" s="9"/>
      <c r="JB293" s="9"/>
      <c r="JC293" s="9"/>
    </row>
    <row r="294" spans="1:263" ht="15" customHeight="1">
      <c r="A294" s="2">
        <v>102017052</v>
      </c>
      <c r="B294" t="s">
        <v>923</v>
      </c>
      <c r="E294" t="s">
        <v>924</v>
      </c>
      <c r="F294">
        <v>180001393</v>
      </c>
      <c r="J294" t="s">
        <v>305</v>
      </c>
      <c r="K294" t="s">
        <v>925</v>
      </c>
      <c r="L294" t="s">
        <v>926</v>
      </c>
      <c r="M294" t="s">
        <v>396</v>
      </c>
      <c r="O294" s="1"/>
      <c r="P294" t="s">
        <v>925</v>
      </c>
      <c r="Q294" t="s">
        <v>927</v>
      </c>
      <c r="R294" t="s">
        <v>426</v>
      </c>
      <c r="T294" s="1"/>
      <c r="AH294" s="4"/>
      <c r="AI294" s="4"/>
      <c r="AK294" s="4"/>
      <c r="AL294" s="4"/>
      <c r="AO294" s="4"/>
      <c r="AP294" s="13"/>
      <c r="AQ294" s="34"/>
      <c r="AR294" s="34"/>
      <c r="AS294" s="5"/>
      <c r="AT294" s="13"/>
      <c r="AU294" s="1"/>
      <c r="AV294" s="1"/>
      <c r="AW294" s="1"/>
      <c r="AX294" s="1"/>
      <c r="AY294" s="1"/>
      <c r="AZ294" s="1"/>
      <c r="BA294" s="1"/>
      <c r="BB294" s="1"/>
      <c r="BC294" s="1"/>
      <c r="BD294" s="1"/>
      <c r="BE294" s="1"/>
      <c r="BF294" s="1"/>
      <c r="BG294" s="5"/>
      <c r="BH294" s="16"/>
      <c r="BI294" s="16"/>
      <c r="BJ294" s="4"/>
      <c r="BK294" s="4"/>
      <c r="BL294" s="4"/>
      <c r="BM294" s="6"/>
      <c r="BN294" s="7"/>
      <c r="BO294" s="4"/>
      <c r="BQ294" s="4"/>
      <c r="BR294" s="4"/>
      <c r="BS294" s="6"/>
      <c r="BT294" s="7"/>
      <c r="BU294" s="4"/>
      <c r="BV294" s="4"/>
      <c r="BW294" s="4"/>
      <c r="BX294" s="4"/>
      <c r="BY294" s="17"/>
      <c r="BZ294" s="7"/>
      <c r="CA294" s="4"/>
      <c r="CB294" s="4"/>
      <c r="CC294" s="4"/>
      <c r="CD294" s="4"/>
      <c r="CE294" s="17"/>
      <c r="CF294" s="7"/>
      <c r="CG294" s="4"/>
      <c r="CH294" s="4"/>
      <c r="CI294" s="4"/>
      <c r="CJ294" s="4"/>
      <c r="CK294" s="6"/>
      <c r="CL294" s="7"/>
      <c r="CM294" s="4"/>
      <c r="CN294" s="4"/>
      <c r="CO294" s="4"/>
      <c r="CP294" s="4"/>
      <c r="CQ294" s="6"/>
      <c r="CR294" s="7"/>
      <c r="CS294" s="4"/>
      <c r="CT294" s="4"/>
      <c r="CU294" s="4"/>
      <c r="CV294" s="4"/>
      <c r="CW294" s="6"/>
      <c r="CX294" s="7"/>
      <c r="CY294" s="4"/>
      <c r="CZ294" s="4"/>
      <c r="DA294" s="4"/>
      <c r="DB294" s="4"/>
      <c r="DC294" s="6"/>
      <c r="DD294" s="7"/>
      <c r="DE294" s="4"/>
      <c r="DF294" s="4"/>
      <c r="DG294" s="14"/>
      <c r="DH294" s="14"/>
      <c r="DI294" s="4"/>
      <c r="DJ294" s="3"/>
      <c r="DK294" s="4"/>
      <c r="DL294" s="234"/>
      <c r="DM294" s="4"/>
      <c r="DN294" s="4"/>
      <c r="DO294" s="4"/>
      <c r="DP294" s="4"/>
      <c r="DQ294" s="4"/>
      <c r="DR294" s="4"/>
      <c r="DS294" s="4"/>
      <c r="DT294" s="8"/>
      <c r="DU294" s="4"/>
      <c r="DV294" s="8"/>
      <c r="DW294" s="4"/>
      <c r="DX294" s="4"/>
      <c r="DY294" s="7"/>
      <c r="FH294" s="9"/>
      <c r="FI294" s="10"/>
      <c r="FP294" s="10"/>
      <c r="FQ294" s="9"/>
      <c r="GC294" s="9"/>
      <c r="GN294" s="9"/>
      <c r="GY294" s="9"/>
      <c r="HG294" s="9"/>
      <c r="IL294" s="4"/>
    </row>
    <row r="295" spans="1:263" ht="15" customHeight="1">
      <c r="A295" s="19">
        <v>102023036</v>
      </c>
      <c r="B295" s="18" t="s">
        <v>4274</v>
      </c>
      <c r="D295" s="1"/>
      <c r="E295" s="3"/>
      <c r="F295" s="3"/>
      <c r="J295" s="18" t="s">
        <v>311</v>
      </c>
      <c r="K295" s="18" t="s">
        <v>4273</v>
      </c>
      <c r="L295" s="130" t="s">
        <v>427</v>
      </c>
      <c r="M295" s="130" t="s">
        <v>426</v>
      </c>
      <c r="N295" s="18"/>
      <c r="O295" s="252"/>
      <c r="P295" s="130"/>
      <c r="Q295" s="130"/>
      <c r="R295" s="130"/>
      <c r="S295" s="130"/>
      <c r="AG295" s="43"/>
      <c r="AJ295" s="18" t="s">
        <v>4272</v>
      </c>
      <c r="AK295" s="18" t="s">
        <v>258</v>
      </c>
      <c r="AL295" s="18" t="s">
        <v>386</v>
      </c>
      <c r="AM295" s="18" t="s">
        <v>260</v>
      </c>
      <c r="AN295" s="18"/>
      <c r="AO295" s="18" t="s">
        <v>4271</v>
      </c>
      <c r="AP295" s="18" t="s">
        <v>258</v>
      </c>
      <c r="AQ295" s="18" t="s">
        <v>386</v>
      </c>
      <c r="AR295" s="18" t="s">
        <v>260</v>
      </c>
      <c r="AX295" s="1"/>
      <c r="AY295" s="1"/>
      <c r="AZ295" s="1"/>
      <c r="BA295" s="1"/>
      <c r="BB295" s="1"/>
      <c r="BC295" s="2"/>
      <c r="BD295" s="116"/>
      <c r="BE295" s="115">
        <v>45040</v>
      </c>
      <c r="BF295" s="2"/>
      <c r="BG295" s="2"/>
      <c r="BH295" s="2"/>
      <c r="BI295" s="2"/>
      <c r="BJ295" s="2"/>
      <c r="BK295" s="2"/>
      <c r="BL295" s="20">
        <f ca="1">SUM(DP295)+220</f>
        <v>1202.2804000000001</v>
      </c>
      <c r="BM295" s="22">
        <f ca="1">PMT(10%/12,12,BL295,0,0)</f>
        <v>-105.69954806525084</v>
      </c>
      <c r="BN295" s="22">
        <f ca="1">SUM(BM295*-1)</f>
        <v>105.69954806525084</v>
      </c>
      <c r="BO295" s="25">
        <f>SUM(DX295*0.0052)/12</f>
        <v>20.02</v>
      </c>
      <c r="BP295" s="22">
        <f ca="1">SUM(BN295+BO295)</f>
        <v>125.71954806525083</v>
      </c>
      <c r="BQ295" s="25"/>
      <c r="BR295" s="25">
        <f>SUM(BQ295*0.1)</f>
        <v>0</v>
      </c>
      <c r="BS295" s="25">
        <f ca="1">SUM(BT295*BU295)</f>
        <v>0</v>
      </c>
      <c r="BT295" s="128">
        <f>SUM((BQ295+BR295)*0.00833333333333333)</f>
        <v>0</v>
      </c>
      <c r="BU295" s="36">
        <f ca="1">MONTH(TODAY())+49</f>
        <v>53</v>
      </c>
      <c r="BV295" s="25">
        <f ca="1">SUM(BQ295,BR295,BS295)</f>
        <v>0</v>
      </c>
      <c r="BW295" s="25"/>
      <c r="BX295" s="25">
        <f>SUM(BW295*0.1)</f>
        <v>0</v>
      </c>
      <c r="BY295" s="25">
        <f ca="1">SUM(BZ295*CA295)</f>
        <v>0</v>
      </c>
      <c r="BZ295" s="128">
        <f>SUM((BW295+BX295)*0.00833333333333333)</f>
        <v>0</v>
      </c>
      <c r="CA295" s="36">
        <f ca="1">MONTH(TODAY())+37</f>
        <v>41</v>
      </c>
      <c r="CB295" s="25">
        <f ca="1">SUM(BW295,BX295,BY295)</f>
        <v>0</v>
      </c>
      <c r="CC295" s="25">
        <v>0</v>
      </c>
      <c r="CD295" s="25">
        <f>SUM(CC295*0.1)</f>
        <v>0</v>
      </c>
      <c r="CE295" s="25">
        <f ca="1">SUM(CF295*CG295)</f>
        <v>0</v>
      </c>
      <c r="CF295" s="128">
        <f>SUM((CC295+CD295)*0.00833333333333333)</f>
        <v>0</v>
      </c>
      <c r="CG295" s="36">
        <f ca="1">MONTH(TODAY())+25</f>
        <v>29</v>
      </c>
      <c r="CH295" s="25">
        <f ca="1">SUM(CC295,CD295,CE295)</f>
        <v>0</v>
      </c>
      <c r="CI295" s="25">
        <f>SUM(DU295*0.0052)</f>
        <v>237.11999999999998</v>
      </c>
      <c r="CJ295" s="25">
        <f>SUM(CI295*0.1)</f>
        <v>23.712</v>
      </c>
      <c r="CK295" s="25">
        <f ca="1">SUM(CL295*CM295)</f>
        <v>36.951199999999986</v>
      </c>
      <c r="CL295" s="128">
        <f>SUM((CI295+CJ295)*0.00833333333333333)</f>
        <v>2.1735999999999991</v>
      </c>
      <c r="CM295" s="36">
        <f ca="1">MONTH(TODAY())+13</f>
        <v>17</v>
      </c>
      <c r="CN295" s="25">
        <f ca="1">SUM(CI295,CJ295,CK295)</f>
        <v>297.78319999999997</v>
      </c>
      <c r="CO295" s="25">
        <f>SUM(DU295*0.0052)/2</f>
        <v>118.55999999999999</v>
      </c>
      <c r="CP295" s="25">
        <f>SUM(CO295*0.1)</f>
        <v>11.856</v>
      </c>
      <c r="CQ295" s="25">
        <f ca="1">SUM(CR295*CS295)</f>
        <v>9.7811999999999966</v>
      </c>
      <c r="CR295" s="128">
        <f>SUM((CO295+CP295)*0.00833333333333333)</f>
        <v>1.0867999999999995</v>
      </c>
      <c r="CS295" s="36">
        <f ca="1">MONTH(TODAY())+5</f>
        <v>9</v>
      </c>
      <c r="CT295" s="36">
        <f ca="1">SUM(CO295,CP295,CQ295)</f>
        <v>140.19719999999998</v>
      </c>
      <c r="CU295" s="25">
        <f>SUM(DU295*0.0052)/2</f>
        <v>118.55999999999999</v>
      </c>
      <c r="CV295" s="25">
        <f>SUM(CU295*0.1)</f>
        <v>11.856</v>
      </c>
      <c r="CW295" s="25">
        <f ca="1">SUM(CX295*CY295)</f>
        <v>5.4339999999999975</v>
      </c>
      <c r="CX295" s="128">
        <f>SUM((CU295+CV295)*0.00833333333333333)</f>
        <v>1.0867999999999995</v>
      </c>
      <c r="CY295" s="36">
        <f ca="1">MONTH(TODAY())+1</f>
        <v>5</v>
      </c>
      <c r="CZ295" s="36">
        <f ca="1">SUM(CU295,CV295,CW295)</f>
        <v>135.85</v>
      </c>
      <c r="DA295" s="25">
        <f>SUM( BQ295, BW295, CC295, CI295, CO295,CU295)</f>
        <v>474.23999999999995</v>
      </c>
      <c r="DB295" s="25">
        <f>SUM(BR295,BX295,CD295,CJ295, CP295,CV295)</f>
        <v>47.423999999999999</v>
      </c>
      <c r="DC295" s="25">
        <f ca="1">SUM(BS295,BY295,CE295,CK295, CQ295,CW295)</f>
        <v>52.166399999999982</v>
      </c>
      <c r="DD295" s="25">
        <f ca="1">SUM(DA295:DC295)</f>
        <v>573.83039999999994</v>
      </c>
      <c r="DE295" s="129">
        <f ca="1">SUM(DD295/DU295)</f>
        <v>1.2583999999999998E-2</v>
      </c>
      <c r="DF295" s="14">
        <f>20+200</f>
        <v>220</v>
      </c>
      <c r="DG295" s="32">
        <f>COUNTIF(DL295, "*")+COUNTIF(AO295, "*")+COUNTIF(AJ295, "*")+COUNTIF(AA295, "*")+COUNTIF(EM295, "*")+COUNTIF(ES295, "*")+COUNTIF(EY295, "*")+COUNTIF(FC295, "*")+COUNTIF(FJ295, "*")+COUNTIF(AT295, "*")+COUNTIF(FS295, "*")+COUNTIF(GD295, "*")+COUNTIF(GO295, "*")+COUNTIF(GW295, "*")+COUNTIF(HE295, "*")+COUNTIF(HM295, "*")+COUNTIF(HU295, "*")</f>
        <v>5</v>
      </c>
      <c r="DH295" s="14">
        <f>1.2+DG295*7.45</f>
        <v>38.450000000000003</v>
      </c>
      <c r="DI295" s="8">
        <v>150</v>
      </c>
      <c r="DJ295" s="8"/>
      <c r="DK295" s="8"/>
      <c r="DL295" s="8"/>
      <c r="DM295" s="2"/>
      <c r="DN295" s="8"/>
      <c r="DO295" s="25">
        <f>SUM(DJ295:DN295)</f>
        <v>0</v>
      </c>
      <c r="DP295" s="25">
        <f ca="1">SUM(DD295,DF295,DO295, DI295, DH295,FP295)</f>
        <v>982.28039999999999</v>
      </c>
      <c r="DQ295" s="18" t="s">
        <v>3879</v>
      </c>
      <c r="DR295" s="130">
        <v>3.01</v>
      </c>
      <c r="DS295" s="14">
        <v>30600</v>
      </c>
      <c r="DT295" s="14">
        <v>15000</v>
      </c>
      <c r="DU295" s="14">
        <v>45600</v>
      </c>
      <c r="DV295" s="14">
        <v>30600</v>
      </c>
      <c r="DW295" s="14">
        <v>15600</v>
      </c>
      <c r="DX295" s="14">
        <f>SUM(DV295+DW295)</f>
        <v>46200</v>
      </c>
      <c r="DY295" t="s">
        <v>4671</v>
      </c>
      <c r="DZ295" t="s">
        <v>4672</v>
      </c>
      <c r="FB295" t="s">
        <v>4673</v>
      </c>
      <c r="FC295" t="s">
        <v>858</v>
      </c>
      <c r="FE295" t="s">
        <v>386</v>
      </c>
      <c r="FF295" t="s">
        <v>260</v>
      </c>
      <c r="FG295" s="287">
        <v>43209</v>
      </c>
      <c r="FH295" t="s">
        <v>4674</v>
      </c>
      <c r="FQ295" t="s">
        <v>421</v>
      </c>
      <c r="FR295" t="s">
        <v>4664</v>
      </c>
      <c r="FS295" s="18" t="s">
        <v>422</v>
      </c>
      <c r="FT295" s="28"/>
      <c r="FU295" s="18" t="s">
        <v>274</v>
      </c>
      <c r="FV295" s="18" t="s">
        <v>275</v>
      </c>
      <c r="FW295" s="9">
        <v>39486</v>
      </c>
      <c r="FX295" t="s">
        <v>4665</v>
      </c>
      <c r="GB295" t="s">
        <v>4666</v>
      </c>
      <c r="GC295" t="s">
        <v>4667</v>
      </c>
      <c r="GD295" t="s">
        <v>4668</v>
      </c>
      <c r="GF295" t="s">
        <v>267</v>
      </c>
      <c r="GG295" t="s">
        <v>268</v>
      </c>
      <c r="GH295" s="9">
        <v>40581</v>
      </c>
      <c r="GI295" t="s">
        <v>4669</v>
      </c>
      <c r="IA295" s="9"/>
      <c r="IL295" s="14">
        <f ca="1">SUM(IB295-DP295-FP295-IJ295)</f>
        <v>-982.28039999999999</v>
      </c>
      <c r="IM295" s="9"/>
      <c r="IN295" s="9"/>
      <c r="IO295" s="9"/>
      <c r="IP295" s="9"/>
      <c r="IQ295" s="9"/>
      <c r="IT295" s="18"/>
      <c r="IU295" s="18"/>
      <c r="IV295" s="18"/>
      <c r="IW295" s="18"/>
      <c r="IX295" s="18"/>
      <c r="IY295" s="18"/>
      <c r="IZ295" s="18"/>
      <c r="JA295" s="18"/>
      <c r="JB295" s="18"/>
      <c r="JC295" s="18"/>
    </row>
    <row r="296" spans="1:263" ht="15" customHeight="1">
      <c r="A296" s="19">
        <v>102019064</v>
      </c>
      <c r="B296" s="14" t="s">
        <v>663</v>
      </c>
      <c r="C296" s="13"/>
      <c r="D296" s="13"/>
      <c r="E296" s="24"/>
      <c r="F296" s="19"/>
      <c r="G296" s="18">
        <v>190005101</v>
      </c>
      <c r="H296" s="18"/>
      <c r="I296" s="18"/>
      <c r="J296" s="18" t="s">
        <v>554</v>
      </c>
      <c r="K296" s="18" t="s">
        <v>664</v>
      </c>
      <c r="L296" s="18" t="s">
        <v>665</v>
      </c>
      <c r="M296" s="18" t="s">
        <v>403</v>
      </c>
      <c r="N296" s="18"/>
      <c r="O296" s="13"/>
      <c r="P296" s="18" t="s">
        <v>664</v>
      </c>
      <c r="Q296" s="18" t="s">
        <v>666</v>
      </c>
      <c r="R296" s="18" t="s">
        <v>396</v>
      </c>
      <c r="S296" s="18"/>
      <c r="T296" s="13"/>
      <c r="U296" s="18"/>
      <c r="V296" s="18"/>
      <c r="W296" s="18"/>
      <c r="X296" s="18"/>
      <c r="Y296" s="18"/>
      <c r="Z296" s="18"/>
      <c r="AA296" s="18"/>
      <c r="AB296" s="18"/>
      <c r="AC296" s="18"/>
      <c r="AD296" s="18" t="s">
        <v>667</v>
      </c>
      <c r="AE296" s="18" t="s">
        <v>253</v>
      </c>
      <c r="AF296" s="18" t="s">
        <v>664</v>
      </c>
      <c r="AG296" s="231" t="s">
        <v>668</v>
      </c>
      <c r="AH296" s="18" t="s">
        <v>669</v>
      </c>
      <c r="AI296" s="18" t="s">
        <v>386</v>
      </c>
      <c r="AJ296" s="14"/>
      <c r="AK296" s="14"/>
      <c r="AL296" s="18"/>
      <c r="AM296" s="24"/>
      <c r="AN296" s="24"/>
      <c r="AO296" s="14" t="s">
        <v>670</v>
      </c>
      <c r="AP296" s="20" t="s">
        <v>258</v>
      </c>
      <c r="AQ296" s="24" t="s">
        <v>386</v>
      </c>
      <c r="AR296" s="24" t="s">
        <v>260</v>
      </c>
      <c r="AS296" s="20"/>
      <c r="AT296" s="20"/>
      <c r="AU296" s="13"/>
      <c r="AV296" s="13"/>
      <c r="AW296" s="13"/>
      <c r="AX296" s="19"/>
      <c r="AY296" s="48"/>
      <c r="AZ296" s="48"/>
      <c r="BA296" s="19"/>
      <c r="BB296" s="19"/>
      <c r="BC296" s="19"/>
      <c r="BD296" s="19"/>
      <c r="BE296" s="19"/>
      <c r="BF296" s="19"/>
      <c r="BG296" s="20"/>
      <c r="BH296" s="22"/>
      <c r="BI296" s="22"/>
      <c r="BJ296" s="14"/>
      <c r="BK296" s="22"/>
      <c r="BL296" s="14"/>
      <c r="BM296" s="14"/>
      <c r="BN296" s="14"/>
      <c r="BO296" s="17"/>
      <c r="BP296" s="23"/>
      <c r="BQ296" s="14"/>
      <c r="BR296" s="14"/>
      <c r="BS296" s="14"/>
      <c r="BT296" s="14"/>
      <c r="BU296" s="17"/>
      <c r="BV296" s="23"/>
      <c r="BW296" s="14"/>
      <c r="BX296" s="14"/>
      <c r="BY296" s="14"/>
      <c r="BZ296" s="14"/>
      <c r="CA296" s="17"/>
      <c r="CB296" s="23"/>
      <c r="CC296" s="14"/>
      <c r="CD296" s="14"/>
      <c r="CE296" s="14"/>
      <c r="CF296" s="14"/>
      <c r="CG296" s="17"/>
      <c r="CH296" s="23"/>
      <c r="CI296" s="14"/>
      <c r="CJ296" s="14"/>
      <c r="CK296" s="14"/>
      <c r="CL296" s="14"/>
      <c r="CM296" s="17"/>
      <c r="CN296" s="23"/>
      <c r="CO296" s="14"/>
      <c r="CP296" s="14"/>
      <c r="CQ296" s="14"/>
      <c r="CR296" s="14"/>
      <c r="CS296" s="17"/>
      <c r="CT296" s="23"/>
      <c r="CU296" s="14"/>
      <c r="CV296" s="14"/>
      <c r="CW296" s="14"/>
      <c r="CX296" s="14"/>
      <c r="CY296" s="14"/>
      <c r="CZ296" s="14"/>
      <c r="DA296" s="47"/>
      <c r="DB296" s="14"/>
      <c r="DC296" s="32"/>
      <c r="DD296" s="14"/>
      <c r="DE296" s="14"/>
      <c r="DF296" s="14"/>
      <c r="DG296" s="14"/>
      <c r="DH296" s="14"/>
      <c r="DI296" s="14"/>
      <c r="DJ296" s="14"/>
      <c r="DK296" s="25"/>
      <c r="DL296" s="14">
        <f>SUM(DG296:DK296)</f>
        <v>0</v>
      </c>
      <c r="DM296" s="24" t="s">
        <v>320</v>
      </c>
      <c r="DN296" s="25">
        <v>31800</v>
      </c>
      <c r="DO296" s="25">
        <v>7200</v>
      </c>
      <c r="DP296" s="25">
        <f>SUM(DN296+DO296)</f>
        <v>39000</v>
      </c>
      <c r="DQ296" s="36"/>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27"/>
      <c r="FA296" s="18"/>
      <c r="FB296" s="18"/>
      <c r="FC296" s="18"/>
      <c r="FD296" s="18"/>
      <c r="FE296" s="18"/>
      <c r="FF296" s="18"/>
      <c r="FG296" s="18"/>
      <c r="FH296" s="18"/>
      <c r="FI296" s="18"/>
      <c r="FJ296" s="18"/>
      <c r="FK296" s="18"/>
      <c r="FL296" s="18"/>
      <c r="FM296" s="18"/>
      <c r="FN296" s="14"/>
      <c r="FO296" s="18"/>
      <c r="FP296" s="18"/>
      <c r="FQ296" s="18"/>
      <c r="FR296" s="18"/>
      <c r="FS296" s="28"/>
      <c r="FT296" s="18"/>
      <c r="FU296" s="18"/>
      <c r="FV296" s="18"/>
      <c r="FW296" s="18"/>
      <c r="FX296" s="18"/>
      <c r="FY296" s="18"/>
      <c r="FZ296" s="18"/>
      <c r="GA296" s="18"/>
      <c r="GB296" s="18"/>
      <c r="GC296" s="28"/>
      <c r="GD296" s="18"/>
      <c r="GE296" s="18"/>
      <c r="GF296" s="18"/>
      <c r="GG296" s="18"/>
      <c r="GH296" s="18"/>
      <c r="GI296" s="18"/>
      <c r="GJ296" s="18"/>
      <c r="GK296" s="18"/>
      <c r="GL296" s="18"/>
      <c r="GM296" s="18"/>
      <c r="GN296" s="18"/>
      <c r="GO296" s="18"/>
      <c r="GP296" s="18"/>
      <c r="GQ296" s="18"/>
      <c r="GR296" s="27"/>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4"/>
      <c r="IA296" s="14"/>
      <c r="IB296" s="27"/>
      <c r="IC296" s="18"/>
      <c r="ID296" s="18"/>
      <c r="IE296" s="18"/>
      <c r="IF296" s="18"/>
      <c r="IG296" s="18"/>
      <c r="IH296" s="18"/>
      <c r="II296" s="14"/>
      <c r="IJ296" s="14"/>
      <c r="IK296" s="18"/>
      <c r="IN296" t="s">
        <v>1032</v>
      </c>
      <c r="IO296" t="s">
        <v>259</v>
      </c>
      <c r="IR296" s="66">
        <v>181.67</v>
      </c>
      <c r="IS296" s="66">
        <v>4084.75</v>
      </c>
      <c r="IT296" s="9">
        <v>43643</v>
      </c>
      <c r="IU296" s="9">
        <v>43452</v>
      </c>
      <c r="IV296" s="9">
        <v>43699</v>
      </c>
      <c r="IW296" s="9">
        <v>43711</v>
      </c>
    </row>
    <row r="297" spans="1:263" ht="15" customHeight="1">
      <c r="A297" s="19">
        <v>102019064</v>
      </c>
      <c r="B297" t="s">
        <v>663</v>
      </c>
      <c r="D297" s="13"/>
      <c r="E297" s="3" t="s">
        <v>4805</v>
      </c>
      <c r="F297">
        <v>230000752</v>
      </c>
      <c r="G297" s="3"/>
      <c r="H297" t="s">
        <v>4804</v>
      </c>
      <c r="J297" t="s">
        <v>554</v>
      </c>
      <c r="K297" t="s">
        <v>664</v>
      </c>
      <c r="L297" t="s">
        <v>665</v>
      </c>
      <c r="M297" t="s">
        <v>403</v>
      </c>
      <c r="O297" s="3" t="s">
        <v>258</v>
      </c>
      <c r="P297" t="s">
        <v>664</v>
      </c>
      <c r="Q297" t="s">
        <v>666</v>
      </c>
      <c r="T297" t="s">
        <v>258</v>
      </c>
      <c r="AD297" t="s">
        <v>3809</v>
      </c>
      <c r="AE297" t="s">
        <v>311</v>
      </c>
      <c r="AF297" t="s">
        <v>664</v>
      </c>
      <c r="AG297" s="43"/>
      <c r="AH297" s="3" t="s">
        <v>670</v>
      </c>
      <c r="AI297" t="s">
        <v>386</v>
      </c>
      <c r="AJ297" s="18"/>
      <c r="AL297" s="18"/>
      <c r="AM297"/>
      <c r="AN297"/>
      <c r="AO297" t="s">
        <v>670</v>
      </c>
      <c r="AP297" s="3" t="s">
        <v>258</v>
      </c>
      <c r="AQ297" t="s">
        <v>386</v>
      </c>
      <c r="AR297" t="s">
        <v>260</v>
      </c>
      <c r="AX297" s="1"/>
      <c r="AY297" s="1" t="s">
        <v>258</v>
      </c>
      <c r="AZ297" s="1"/>
      <c r="BA297" s="1" t="s">
        <v>258</v>
      </c>
      <c r="BB297" s="1" t="s">
        <v>258</v>
      </c>
      <c r="BC297" s="70">
        <v>44972</v>
      </c>
      <c r="BD297" s="115">
        <v>44661</v>
      </c>
      <c r="BE297" s="115">
        <v>44649</v>
      </c>
      <c r="BF297" s="70">
        <v>45044</v>
      </c>
      <c r="BG297" s="2" t="s">
        <v>319</v>
      </c>
      <c r="BH297" s="70">
        <v>45030</v>
      </c>
      <c r="BI297" s="70">
        <v>45037</v>
      </c>
      <c r="BJ297" s="21">
        <v>45163</v>
      </c>
      <c r="BK297" s="19" t="s">
        <v>319</v>
      </c>
      <c r="BL297" s="20">
        <f ca="1">SUM(EB297)+220</f>
        <v>3411.2339291666667</v>
      </c>
      <c r="BM297" s="22">
        <f ca="1">PMT(10%/12,12,BL297,0,0)</f>
        <v>-299.90165743179921</v>
      </c>
      <c r="BN297" s="22">
        <f ca="1">SUM(BM297*-1)</f>
        <v>299.90165743179921</v>
      </c>
      <c r="BO297" s="14">
        <f>SUM(EJ297*0.0052)/12</f>
        <v>15.903333333333334</v>
      </c>
      <c r="BP297" s="22">
        <f ca="1">SUM(BN297+BO297)</f>
        <v>315.80499076513252</v>
      </c>
      <c r="BQ297" s="14"/>
      <c r="BR297" s="14">
        <f>SUM(BQ297*0.1)</f>
        <v>0</v>
      </c>
      <c r="BS297" s="14">
        <f ca="1">SUM(BT297*BU297)</f>
        <v>0</v>
      </c>
      <c r="BT297" s="17">
        <f>SUM((BQ297+BR297)*0.00833333333333333)</f>
        <v>0</v>
      </c>
      <c r="BU297" s="23">
        <f ca="1">MONTH(TODAY())+49</f>
        <v>53</v>
      </c>
      <c r="BV297" s="14">
        <f ca="1">SUM(BQ297,BR297,BS297)</f>
        <v>0</v>
      </c>
      <c r="BW297" s="14"/>
      <c r="BX297" s="14">
        <f>SUM(BW297*0.1)</f>
        <v>0</v>
      </c>
      <c r="BY297" s="14">
        <f ca="1">SUM(BZ297*CA297)</f>
        <v>0</v>
      </c>
      <c r="BZ297" s="17">
        <f>SUM((BW297+BX297)*0.00833333333333333)</f>
        <v>0</v>
      </c>
      <c r="CA297" s="23">
        <f ca="1">MONTH(TODAY())+37</f>
        <v>41</v>
      </c>
      <c r="CB297" s="14">
        <f ca="1">SUM(BW297,BX297,BY297)</f>
        <v>0</v>
      </c>
      <c r="CC297" s="14">
        <v>0</v>
      </c>
      <c r="CD297" s="14">
        <f>SUM(CC297*0.1)</f>
        <v>0</v>
      </c>
      <c r="CE297" s="14">
        <f ca="1">SUM(CF297*CG297)</f>
        <v>0</v>
      </c>
      <c r="CF297" s="17">
        <f>SUM((CC297+CD297)*0.00833333333333333)</f>
        <v>0</v>
      </c>
      <c r="CG297" s="23">
        <f ca="1">MONTH(TODAY())+25</f>
        <v>29</v>
      </c>
      <c r="CH297" s="14">
        <f ca="1">SUM(CC297,CD297,CE297)</f>
        <v>0</v>
      </c>
      <c r="CI297" s="14">
        <v>2.72</v>
      </c>
      <c r="CJ297" s="14">
        <f>SUM(CI297*0.1)</f>
        <v>0.27200000000000002</v>
      </c>
      <c r="CK297" s="14">
        <f ca="1">SUM(CL297*CM297)</f>
        <v>0.42386666666666645</v>
      </c>
      <c r="CL297" s="17">
        <f>SUM((CI297+CJ297)*0.00833333333333333)</f>
        <v>2.4933333333333321E-2</v>
      </c>
      <c r="CM297" s="23">
        <f ca="1">MONTH(TODAY())+13</f>
        <v>17</v>
      </c>
      <c r="CN297" s="14">
        <f ca="1">SUM(CI297,CJ297,CK297)</f>
        <v>3.4158666666666666</v>
      </c>
      <c r="CO297" s="14">
        <f>SUM(EG297*0.0052)/2</f>
        <v>101.39999999999999</v>
      </c>
      <c r="CP297" s="14">
        <v>0</v>
      </c>
      <c r="CQ297" s="14">
        <v>0</v>
      </c>
      <c r="CR297" s="17">
        <f>SUM((CO297+CP297)*0.00833333333333333)</f>
        <v>0.84499999999999953</v>
      </c>
      <c r="CS297" s="23">
        <f ca="1">MONTH(TODAY())+5</f>
        <v>9</v>
      </c>
      <c r="CT297" s="23">
        <f>SUM(CO297,CP297,CQ297)</f>
        <v>101.39999999999999</v>
      </c>
      <c r="CU297" s="14">
        <f>SUM(EG297*0.0052)/2</f>
        <v>101.39999999999999</v>
      </c>
      <c r="CV297" s="14">
        <f>SUM(CU297*0.1)</f>
        <v>10.14</v>
      </c>
      <c r="CW297" s="14">
        <f ca="1">SUM(CX297*CY297)</f>
        <v>4.6474999999999973</v>
      </c>
      <c r="CX297" s="17">
        <f>SUM((CU297+CV297)*0.00833333333333333)</f>
        <v>0.92949999999999955</v>
      </c>
      <c r="CY297" s="23">
        <f ca="1">MONTH(TODAY())+1</f>
        <v>5</v>
      </c>
      <c r="CZ297" s="23">
        <f ca="1">SUM(CU297,CV297,CW297)</f>
        <v>116.18749999999999</v>
      </c>
      <c r="DA297" s="14">
        <f>SUM(EJ297*0.0045)/2</f>
        <v>82.574999999999989</v>
      </c>
      <c r="DB297" s="14">
        <f>SUM(DA297*0.1)</f>
        <v>8.2574999999999985</v>
      </c>
      <c r="DC297" s="14">
        <f ca="1">SUM(DD297*DE297)</f>
        <v>-0.75693749999999949</v>
      </c>
      <c r="DD297" s="17">
        <f>SUM((DA297+DB297)*0.00833333333333333)</f>
        <v>0.75693749999999949</v>
      </c>
      <c r="DE297" s="23">
        <f ca="1">MONTH(TODAY())-5</f>
        <v>-1</v>
      </c>
      <c r="DF297" s="23">
        <f ca="1">SUM(DA297,DB297,DC297)</f>
        <v>90.075562499999975</v>
      </c>
      <c r="DG297" s="14">
        <f>SUM(EJ297*0.0045)/2</f>
        <v>82.574999999999989</v>
      </c>
      <c r="DH297" s="14">
        <v>0</v>
      </c>
      <c r="DI297" s="14">
        <v>0</v>
      </c>
      <c r="DJ297" s="17">
        <f>SUM((DG297+DH297)*0.00833333333333333)</f>
        <v>0.68812499999999965</v>
      </c>
      <c r="DK297" s="23">
        <f ca="1">MONTH(TODAY())+1</f>
        <v>5</v>
      </c>
      <c r="DL297" s="14">
        <f>SUM(DG297,DH297,DI297)</f>
        <v>82.574999999999989</v>
      </c>
      <c r="DM297" s="14">
        <f>SUM( BQ297, BW297, CC297, CI297, CO297,CU297,DA297,DG297)</f>
        <v>370.66999999999996</v>
      </c>
      <c r="DN297" s="14">
        <f>SUM(BR297,BX297,CD297,CJ297, CP297,CV297,DB297,DH297)</f>
        <v>18.669499999999999</v>
      </c>
      <c r="DO297" s="14">
        <f ca="1">SUM(BS297,BY297,CE297,CK297, CQ297,CW297,DC297,DI297)</f>
        <v>4.3144291666666641</v>
      </c>
      <c r="DP297" s="25">
        <f ca="1">SUM(DM297:DO297)</f>
        <v>393.65392916666661</v>
      </c>
      <c r="DQ297" s="47">
        <f ca="1">SUM(DP297/EG297)</f>
        <v>1.009369049145299E-2</v>
      </c>
      <c r="DR297" s="14">
        <f>19.5+19.5+195+156+195+60+200+60+40+60+60+100+40+40+40+20</f>
        <v>1305</v>
      </c>
      <c r="DS297" s="32">
        <f>COUNTIF(DX297, "*")+COUNTIF(AO297, "*")+COUNTIF(AJ297, "*")+COUNTIF(AA297, "*")+COUNTIF(EY297, "*")+COUNTIF(FE297, "*")+COUNTIF(FK297, "*")+COUNTIF(FO297, "*")+COUNTIF(FV297, "*")+COUNTIF(AT297, "*")+COUNTIF(GE297, "*")+COUNTIF(GP297, "*")+COUNTIF(HA297, "*")+COUNTIF(HI297, "*")+COUNTIF(HQ297, "*")+COUNTIF(HY297, "*")+COUNTIF(IG297, "*")</f>
        <v>1</v>
      </c>
      <c r="DT297" s="14">
        <f>0.53+13.32+7.45</f>
        <v>21.3</v>
      </c>
      <c r="DU297" s="4">
        <v>250</v>
      </c>
      <c r="DV297" s="14">
        <f>30.08+466.2</f>
        <v>496.28</v>
      </c>
      <c r="DW297" s="4">
        <f>93.75+175</f>
        <v>268.75</v>
      </c>
      <c r="DX297" s="4">
        <v>46.25</v>
      </c>
      <c r="DZ297" s="4">
        <v>410</v>
      </c>
      <c r="EA297" s="14">
        <f>SUM(DV297:DZ297)</f>
        <v>1221.28</v>
      </c>
      <c r="EB297" s="14">
        <f ca="1">SUM(DP297,DR297,EA297, DU297, DT297,GB297)</f>
        <v>3191.2339291666667</v>
      </c>
      <c r="EC297" s="24" t="s">
        <v>4944</v>
      </c>
      <c r="ED297" s="7">
        <v>2.5499999999999998</v>
      </c>
      <c r="EE297" s="4">
        <v>31800</v>
      </c>
      <c r="EF297" s="4">
        <v>7200</v>
      </c>
      <c r="EG297" s="14">
        <f>SUM(EE297+EF297)</f>
        <v>39000</v>
      </c>
      <c r="EH297" s="14">
        <v>28600</v>
      </c>
      <c r="EI297" s="14">
        <v>8100</v>
      </c>
      <c r="EJ297" s="14">
        <f>SUM(EH297+EI297)</f>
        <v>36700</v>
      </c>
      <c r="EK297" t="s">
        <v>3658</v>
      </c>
      <c r="EL297" t="s">
        <v>3659</v>
      </c>
      <c r="IM297" s="9">
        <v>45227</v>
      </c>
      <c r="IX297" s="14">
        <f ca="1">SUM(IN297-EB297-GB297-IV297)</f>
        <v>-3191.2339291666667</v>
      </c>
      <c r="IY297" s="9"/>
      <c r="IZ297" s="9"/>
      <c r="JA297" s="9"/>
      <c r="JB297" s="9"/>
      <c r="JC297" s="9"/>
    </row>
    <row r="298" spans="1:263" ht="15" customHeight="1">
      <c r="A298" s="19">
        <v>102021074</v>
      </c>
      <c r="B298" t="s">
        <v>2097</v>
      </c>
      <c r="G298" s="3"/>
      <c r="J298" t="s">
        <v>311</v>
      </c>
      <c r="K298" t="s">
        <v>2098</v>
      </c>
      <c r="L298" t="s">
        <v>944</v>
      </c>
      <c r="M298" t="s">
        <v>326</v>
      </c>
      <c r="AH298" s="272"/>
      <c r="AK298" s="1"/>
      <c r="AN298"/>
      <c r="AO298" s="3" t="s">
        <v>2204</v>
      </c>
      <c r="AP298" s="1" t="s">
        <v>258</v>
      </c>
      <c r="AQ298" s="3" t="s">
        <v>267</v>
      </c>
      <c r="AR298" t="s">
        <v>260</v>
      </c>
      <c r="AS298" s="10"/>
      <c r="AT298" s="10"/>
      <c r="AU298" s="10"/>
      <c r="AV298" s="10"/>
      <c r="AW298" s="10"/>
      <c r="AX298" s="1"/>
      <c r="AY298" s="1"/>
      <c r="AZ298" s="1"/>
      <c r="BA298" s="1"/>
      <c r="BB298" s="1"/>
      <c r="BC298" s="2"/>
      <c r="BD298" s="115">
        <v>45382</v>
      </c>
      <c r="BF298" s="2"/>
      <c r="BG298" s="20"/>
      <c r="BH298" s="22"/>
      <c r="BI298" s="22"/>
      <c r="BJ298" s="14"/>
      <c r="BK298" s="14"/>
      <c r="BL298" s="20">
        <f ca="1">SUM(EN298)+220</f>
        <v>3694.7229999999995</v>
      </c>
      <c r="BM298" s="22">
        <f ca="1">PMT(10%/12,12,BL298,0,0)</f>
        <v>-324.82485061412268</v>
      </c>
      <c r="BN298" s="22">
        <f ca="1">SUM(BM298*-1)</f>
        <v>324.82485061412268</v>
      </c>
      <c r="BO298" s="14">
        <f>SUM(EV298*0.0052)/12</f>
        <v>75.356666666666669</v>
      </c>
      <c r="BP298" s="22">
        <f ca="1">SUM(BN298+BO298)</f>
        <v>400.18151728078936</v>
      </c>
      <c r="BQ298" s="14"/>
      <c r="BR298" s="14">
        <f>SUM(BQ298*0.1)</f>
        <v>0</v>
      </c>
      <c r="BS298" s="14">
        <f ca="1">SUM(BT298*BU298)</f>
        <v>0</v>
      </c>
      <c r="BT298" s="17">
        <f>SUM((BQ298+BR298)*0.00833333333333333)</f>
        <v>0</v>
      </c>
      <c r="BU298" s="23">
        <f ca="1">MONTH(TODAY())+61</f>
        <v>65</v>
      </c>
      <c r="BV298" s="14">
        <f ca="1">SUM(BQ298,BR298,BS298)</f>
        <v>0</v>
      </c>
      <c r="BW298" s="14"/>
      <c r="BX298" s="14">
        <f>SUM(BW298*0.1)</f>
        <v>0</v>
      </c>
      <c r="BY298" s="14">
        <f ca="1">SUM(BZ298*CA298)</f>
        <v>0</v>
      </c>
      <c r="BZ298" s="17">
        <f>SUM((BW298+BX298)*0.00833333333333333)</f>
        <v>0</v>
      </c>
      <c r="CA298" s="23">
        <f ca="1">MONTH(TODAY())+49</f>
        <v>53</v>
      </c>
      <c r="CB298" s="14">
        <f ca="1">SUM(BW298,BX298,BY298)</f>
        <v>0</v>
      </c>
      <c r="CC298" s="14">
        <v>0</v>
      </c>
      <c r="CD298" s="14">
        <f>SUM(CC298*0.1)</f>
        <v>0</v>
      </c>
      <c r="CE298" s="14">
        <f ca="1">SUM(CF298*CG298)</f>
        <v>0</v>
      </c>
      <c r="CF298" s="17">
        <f>SUM((CC298+CD298)*0.00833333333333333)</f>
        <v>0</v>
      </c>
      <c r="CG298" s="23">
        <f ca="1">MONTH(TODAY())+37</f>
        <v>41</v>
      </c>
      <c r="CH298" s="14">
        <f ca="1">SUM(CC298,CD298,CE298)</f>
        <v>0</v>
      </c>
      <c r="CI298" s="14">
        <f>SUM(ES298*0.0052)</f>
        <v>790.4</v>
      </c>
      <c r="CJ298" s="14">
        <f>SUM(CI298*0.1)</f>
        <v>79.040000000000006</v>
      </c>
      <c r="CK298" s="14">
        <f ca="1">SUM(CL298*CM298)</f>
        <v>210.11466666666655</v>
      </c>
      <c r="CL298" s="17">
        <f>SUM((CI298+CJ298)*0.00833333333333333)</f>
        <v>7.2453333333333294</v>
      </c>
      <c r="CM298" s="23">
        <f ca="1">MONTH(TODAY())+25</f>
        <v>29</v>
      </c>
      <c r="CN298" s="14">
        <f ca="1">SUM(CI298,CJ298,CK298)</f>
        <v>1079.5546666666664</v>
      </c>
      <c r="CO298" s="14">
        <f>SUM(ES298*0.0052)/2</f>
        <v>395.2</v>
      </c>
      <c r="CP298" s="14">
        <f>SUM(CO298*0.1)</f>
        <v>39.520000000000003</v>
      </c>
      <c r="CQ298" s="14">
        <f ca="1">SUM(CR298*CS298)</f>
        <v>76.075999999999965</v>
      </c>
      <c r="CR298" s="17">
        <f>SUM((CO298+CP298)*0.00833333333333333)</f>
        <v>3.6226666666666647</v>
      </c>
      <c r="CS298" s="23">
        <f ca="1">MONTH(TODAY())+17</f>
        <v>21</v>
      </c>
      <c r="CT298" s="23">
        <f ca="1">SUM(CO298,CP298,CQ298)</f>
        <v>510.79599999999994</v>
      </c>
      <c r="CU298" s="14">
        <f>SUM(ES298*0.0052)/2</f>
        <v>395.2</v>
      </c>
      <c r="CV298" s="14">
        <f>SUM(CU298*0.1)</f>
        <v>39.520000000000003</v>
      </c>
      <c r="CW298" s="14">
        <f ca="1">SUM(CX298*CY298)</f>
        <v>61.585333333333303</v>
      </c>
      <c r="CX298" s="17">
        <f>SUM((CU298+CV298)*0.00833333333333333)</f>
        <v>3.6226666666666647</v>
      </c>
      <c r="CY298" s="23">
        <f ca="1">MONTH(TODAY())+13</f>
        <v>17</v>
      </c>
      <c r="CZ298" s="23">
        <f ca="1">SUM(CU298,CV298,CW298)</f>
        <v>496.30533333333329</v>
      </c>
      <c r="DA298" s="14">
        <f>SUM(EV298*0.0045)/2</f>
        <v>391.27499999999998</v>
      </c>
      <c r="DB298" s="14">
        <f>SUM(DA298*0.1)</f>
        <v>39.127499999999998</v>
      </c>
      <c r="DC298" s="14">
        <f ca="1">SUM(DD298*DE298)</f>
        <v>39.453562499999983</v>
      </c>
      <c r="DD298" s="17">
        <f>SUM((DA298+DB298)*0.00833333333333333)</f>
        <v>3.5866874999999983</v>
      </c>
      <c r="DE298" s="23">
        <f ca="1">MONTH(TODAY())+7</f>
        <v>11</v>
      </c>
      <c r="DF298" s="23">
        <f ca="1">SUM(DA298,DB298,DC298)</f>
        <v>469.85606249999995</v>
      </c>
      <c r="DG298" s="14">
        <f>SUM(EV298*0.0045)/2</f>
        <v>391.27499999999998</v>
      </c>
      <c r="DH298" s="14">
        <f>SUM(DG298*0.1)</f>
        <v>39.127499999999998</v>
      </c>
      <c r="DI298" s="14">
        <f ca="1">SUM(DJ298*DK298)</f>
        <v>17.933437499999989</v>
      </c>
      <c r="DJ298" s="17">
        <f>SUM((DG298+DH298)*0.00833333333333333)</f>
        <v>3.5866874999999983</v>
      </c>
      <c r="DK298" s="23">
        <f ca="1">MONTH(TODAY())+1</f>
        <v>5</v>
      </c>
      <c r="DL298" s="14">
        <f ca="1">SUM(DG298,DH298,DI298)</f>
        <v>448.33593749999994</v>
      </c>
      <c r="DM298" s="14">
        <f>SUM(EV298*0.0045)/2</f>
        <v>391.27499999999998</v>
      </c>
      <c r="DN298" s="14">
        <f>0</f>
        <v>0</v>
      </c>
      <c r="DO298" s="14">
        <f>0</f>
        <v>0</v>
      </c>
      <c r="DP298" s="17">
        <f>SUM((DM298+DN298)*0.00833333333333333)</f>
        <v>3.2606249999999983</v>
      </c>
      <c r="DQ298" s="23">
        <f ca="1">MONTH(TODAY())+7</f>
        <v>11</v>
      </c>
      <c r="DR298" s="23">
        <f>SUM(DM298,DN298,DO298)</f>
        <v>391.27499999999998</v>
      </c>
      <c r="DS298" s="14">
        <f>0</f>
        <v>0</v>
      </c>
      <c r="DT298" s="14">
        <f>0</f>
        <v>0</v>
      </c>
      <c r="DU298" s="14">
        <f ca="1">SUM(DV298*DW298)</f>
        <v>0</v>
      </c>
      <c r="DV298" s="17">
        <f>SUM((DS298+DT298)*0.00833333333333333)</f>
        <v>0</v>
      </c>
      <c r="DW298" s="23">
        <f ca="1">MONTH(TODAY())+1</f>
        <v>5</v>
      </c>
      <c r="DX298" s="14">
        <f ca="1">SUM(DS298,DT298,DU298)</f>
        <v>0</v>
      </c>
      <c r="DY298" s="14">
        <f>SUM( BQ298, BW298, CC298, CI298, CO298,CU298,DA298,DG298,DM298,DS298)</f>
        <v>2754.625</v>
      </c>
      <c r="DZ298" s="14">
        <f>SUM(BR298,BX298,CD298,CJ298, CP298,CV298,DB298,DH298,DN298,DT298)</f>
        <v>236.33500000000001</v>
      </c>
      <c r="EA298" s="14">
        <f ca="1">SUM(BS298,BY298,CE298,CK298, CQ298,CW298,DC298,DI298,DO298,DU298)</f>
        <v>405.16299999999978</v>
      </c>
      <c r="EB298" s="25">
        <f ca="1">SUM(DY298:EA298)</f>
        <v>3396.1229999999996</v>
      </c>
      <c r="EC298" s="47">
        <f ca="1">SUM(EB298/ES298)</f>
        <v>2.2342914473684208E-2</v>
      </c>
      <c r="ED298" s="14">
        <f>40+10</f>
        <v>50</v>
      </c>
      <c r="EE298" s="32">
        <f>COUNTIF(AO298, "*")+COUNTIF(AJ298, "*")+COUNTIF(AA298, "*")+COUNTIF(FG298, "*")+COUNTIF(FM298, "*")+COUNTIF(FS298, "*")+COUNTIF(FW298, "*")+COUNTIF(GD298, "*")+COUNTIF(AT298, "*")+COUNTIF(GM298, "*")+COUNTIF(GX298, "*")+COUNTIF(HI298, "*")+COUNTIF(HQ298, "*")+COUNTIF(HY298, "*")+COUNTIF(IG298, "*")</f>
        <v>1</v>
      </c>
      <c r="EF298" s="14">
        <f>EE298*0.64</f>
        <v>0.64</v>
      </c>
      <c r="EG298" s="4"/>
      <c r="EH298" s="4">
        <v>27.96</v>
      </c>
      <c r="EI298" s="4"/>
      <c r="EJ298" s="4"/>
      <c r="EL298" s="4"/>
      <c r="EM298" s="14">
        <f>SUM(EH298:EL298)</f>
        <v>27.96</v>
      </c>
      <c r="EN298" s="14">
        <f ca="1">SUM(EB298,ED298,EM298, EG298, EF298,GJ298)</f>
        <v>3474.7229999999995</v>
      </c>
      <c r="EO298" s="24" t="s">
        <v>4944</v>
      </c>
      <c r="EP298" s="130">
        <v>1.82</v>
      </c>
      <c r="EQ298" s="14">
        <v>28100</v>
      </c>
      <c r="ER298" s="14">
        <v>123900</v>
      </c>
      <c r="ES298" s="14">
        <f>SUM(EQ298+ER298)</f>
        <v>152000</v>
      </c>
      <c r="ET298" s="14">
        <v>28100</v>
      </c>
      <c r="EU298" s="14">
        <v>145800</v>
      </c>
      <c r="EV298" s="14">
        <f>SUM(ET298+EU298)</f>
        <v>173900</v>
      </c>
      <c r="EW298" s="10"/>
      <c r="EX298" s="10"/>
      <c r="EY298" s="10"/>
      <c r="EZ298" s="10"/>
      <c r="FA298" s="10"/>
      <c r="FB298" s="10"/>
      <c r="FC298" s="10"/>
      <c r="FD298" s="10"/>
    </row>
    <row r="299" spans="1:263" ht="15" customHeight="1">
      <c r="A299" s="2">
        <v>102018043</v>
      </c>
      <c r="B299" s="4" t="s">
        <v>1164</v>
      </c>
      <c r="C299" s="3"/>
      <c r="D299" s="3"/>
      <c r="J299" t="s">
        <v>305</v>
      </c>
      <c r="K299" t="s">
        <v>1165</v>
      </c>
      <c r="L299" t="s">
        <v>1166</v>
      </c>
      <c r="O299" s="1"/>
      <c r="P299" t="s">
        <v>1165</v>
      </c>
      <c r="Q299" t="s">
        <v>1167</v>
      </c>
      <c r="R299" t="s">
        <v>326</v>
      </c>
      <c r="T299" s="1"/>
      <c r="AJ299" s="4"/>
      <c r="AK299" s="4"/>
      <c r="AO299" s="4"/>
      <c r="AP299" s="5"/>
      <c r="AQ299" s="34"/>
      <c r="AS299" s="5"/>
      <c r="AT299" s="5"/>
      <c r="AU299" s="1"/>
      <c r="AV299" s="1"/>
      <c r="AW299" s="1"/>
      <c r="AX299" s="1"/>
      <c r="AY299" s="1"/>
      <c r="AZ299" s="1"/>
      <c r="BA299" s="1"/>
      <c r="BB299" s="1"/>
      <c r="BC299" s="1"/>
      <c r="BD299" s="1"/>
      <c r="BE299" s="5"/>
      <c r="BF299" s="16"/>
      <c r="BG299" s="16"/>
      <c r="BI299" s="4"/>
      <c r="BJ299" s="4"/>
      <c r="BK299" s="6"/>
      <c r="BL299" s="7"/>
      <c r="BM299" s="4"/>
      <c r="BO299" s="4"/>
      <c r="BP299" s="4"/>
      <c r="BQ299" s="6"/>
      <c r="BR299" s="7"/>
      <c r="BS299" s="4"/>
      <c r="BU299" s="4"/>
      <c r="BV299" s="4"/>
      <c r="BW299" s="6"/>
      <c r="BX299" s="7"/>
      <c r="BY299" s="4"/>
      <c r="BZ299" s="4"/>
      <c r="CA299" s="4"/>
      <c r="CB299" s="4"/>
      <c r="CC299" s="6"/>
      <c r="CD299" s="7"/>
      <c r="CE299" s="4"/>
      <c r="CF299" s="6"/>
      <c r="CG299" s="4"/>
      <c r="CH299" s="4"/>
      <c r="CI299" s="6"/>
      <c r="CJ299" s="7"/>
      <c r="CK299" s="4"/>
      <c r="CL299" s="4"/>
      <c r="CM299" s="4"/>
      <c r="CN299" s="4"/>
      <c r="CO299" s="6"/>
      <c r="CP299" s="7"/>
      <c r="CQ299" s="4"/>
      <c r="CR299" s="4"/>
      <c r="CS299" s="4"/>
      <c r="CT299" s="4"/>
      <c r="CU299" s="6"/>
      <c r="CV299" s="7"/>
      <c r="CW299" s="4"/>
      <c r="CX299" s="4"/>
      <c r="CY299" s="4"/>
      <c r="CZ299" s="4"/>
      <c r="DA299" s="6"/>
      <c r="DB299" s="7"/>
      <c r="DC299" s="4"/>
      <c r="DD299" s="4"/>
      <c r="DE299" s="4"/>
      <c r="DF299" s="4"/>
      <c r="DG299" s="6"/>
      <c r="DH299" s="7"/>
      <c r="DI299" s="4"/>
      <c r="DJ299" s="4"/>
      <c r="DK299" s="4"/>
      <c r="DL299" s="4"/>
      <c r="DM299" s="4"/>
      <c r="DO299" s="4"/>
      <c r="DQ299" s="4"/>
      <c r="DR299" s="4"/>
      <c r="DS299" s="4"/>
      <c r="DT299" s="4"/>
      <c r="DU299" s="4"/>
      <c r="DV299" s="4"/>
      <c r="DW299" s="4"/>
      <c r="DX299" s="4"/>
      <c r="DY299" s="4"/>
      <c r="DZ299" s="4"/>
      <c r="EA299" s="7"/>
      <c r="EB299" s="4"/>
      <c r="EC299" s="4"/>
      <c r="ED299" s="3"/>
      <c r="EE299" s="11"/>
      <c r="EF299" s="11"/>
      <c r="EO299" s="11"/>
      <c r="EU299" s="11"/>
      <c r="EV299" s="4"/>
      <c r="EW299" s="4"/>
      <c r="EX299" s="4"/>
      <c r="EY299" s="4"/>
      <c r="EZ299" s="4"/>
      <c r="FA299" s="4"/>
      <c r="FB299" s="4"/>
      <c r="FC299" s="4"/>
      <c r="FD299" s="4"/>
      <c r="FE299" s="4"/>
      <c r="FF299" s="4"/>
      <c r="FG299" s="4"/>
      <c r="FH299" s="4"/>
      <c r="FI299" s="4"/>
      <c r="FM299" s="9"/>
      <c r="GE299" s="10"/>
      <c r="GO299" s="10"/>
      <c r="HD299" s="9"/>
      <c r="IP299" s="4"/>
      <c r="IZ299" s="18"/>
      <c r="JA299" s="18"/>
    </row>
    <row r="300" spans="1:263" ht="15" customHeight="1">
      <c r="A300" s="2">
        <v>102017068</v>
      </c>
      <c r="B300" t="s">
        <v>977</v>
      </c>
      <c r="J300" t="s">
        <v>253</v>
      </c>
      <c r="K300" t="s">
        <v>978</v>
      </c>
      <c r="L300" t="s">
        <v>979</v>
      </c>
      <c r="M300" t="s">
        <v>401</v>
      </c>
      <c r="O300" s="1"/>
      <c r="T300" s="1"/>
      <c r="AJ300" s="4"/>
      <c r="AK300" s="4"/>
      <c r="AP300" s="5"/>
      <c r="AS300" s="5"/>
      <c r="AT300" s="5"/>
      <c r="AU300" s="1"/>
      <c r="AV300" s="1"/>
      <c r="AW300" s="1"/>
      <c r="AX300" s="1"/>
      <c r="AY300" s="1"/>
      <c r="AZ300" s="1"/>
      <c r="BA300" s="1"/>
      <c r="BB300" s="1"/>
      <c r="BC300" s="1"/>
      <c r="BD300" s="1"/>
      <c r="BE300" s="1"/>
      <c r="BF300" s="1"/>
      <c r="BG300" s="5"/>
      <c r="BH300" s="16"/>
      <c r="BI300" s="16"/>
      <c r="BK300" s="4"/>
      <c r="BL300" s="4"/>
      <c r="BM300" s="6"/>
      <c r="BN300" s="7"/>
      <c r="BO300" s="4"/>
      <c r="BQ300" s="4"/>
      <c r="BR300" s="4"/>
      <c r="BS300" s="6"/>
      <c r="BT300" s="7"/>
      <c r="BU300" s="4"/>
      <c r="BV300" s="4"/>
      <c r="BW300" s="4"/>
      <c r="BX300" s="4"/>
      <c r="BY300" s="6"/>
      <c r="BZ300" s="7"/>
      <c r="CA300" s="4"/>
      <c r="CB300" s="4"/>
      <c r="CC300" s="4"/>
      <c r="CD300" s="4"/>
      <c r="CE300" s="6"/>
      <c r="CF300" s="7"/>
      <c r="CG300" s="4"/>
      <c r="CH300" s="6"/>
      <c r="CI300" s="4"/>
      <c r="CJ300" s="4"/>
      <c r="CK300" s="6"/>
      <c r="CL300" s="7"/>
      <c r="CM300" s="4"/>
      <c r="CN300" s="4"/>
      <c r="CO300" s="4"/>
      <c r="CP300" s="4"/>
      <c r="CQ300" s="6"/>
      <c r="CR300" s="7"/>
      <c r="CS300" s="4"/>
      <c r="CT300" s="4"/>
      <c r="CU300" s="4"/>
      <c r="CV300" s="4"/>
      <c r="CW300" s="6"/>
      <c r="CX300" s="7"/>
      <c r="CY300" s="4"/>
      <c r="CZ300" s="4"/>
      <c r="DA300" s="4"/>
      <c r="DB300" s="4"/>
      <c r="DC300" s="6"/>
      <c r="DD300" s="7"/>
      <c r="DE300" s="4"/>
      <c r="DF300" s="4"/>
      <c r="DG300" s="4"/>
      <c r="DH300" s="4"/>
      <c r="DI300" s="6"/>
      <c r="DJ300" s="7"/>
      <c r="DK300" s="4"/>
      <c r="DL300" s="4"/>
      <c r="DM300" s="4"/>
      <c r="DN300" s="4"/>
      <c r="DO300" s="4"/>
      <c r="DP300" s="4"/>
      <c r="DQ300" s="3"/>
      <c r="DR300" s="4"/>
      <c r="DS300" s="4"/>
      <c r="DT300" s="4"/>
      <c r="DU300" s="4"/>
      <c r="DV300" s="4"/>
      <c r="DW300" s="4"/>
      <c r="DX300" s="4"/>
      <c r="DY300" s="7"/>
      <c r="DZ300" s="4"/>
      <c r="EA300" s="4"/>
      <c r="EB300" s="34"/>
      <c r="EC300" s="4"/>
      <c r="ED300" s="4"/>
      <c r="EM300" s="11"/>
      <c r="ES300" s="11"/>
      <c r="ET300" s="11"/>
      <c r="EU300" s="4"/>
      <c r="EV300" s="4"/>
      <c r="EW300" s="4"/>
      <c r="EX300" s="4"/>
      <c r="EY300" s="4"/>
      <c r="EZ300" s="4"/>
      <c r="FA300" s="4"/>
      <c r="FB300" s="4"/>
      <c r="FC300" s="4"/>
      <c r="FD300" s="4"/>
      <c r="FE300" s="4"/>
      <c r="FF300" s="4"/>
      <c r="FG300" s="4"/>
      <c r="FH300" s="4"/>
      <c r="FL300" s="9"/>
      <c r="FU300" s="9"/>
      <c r="GE300" s="10"/>
      <c r="GO300" s="10"/>
      <c r="HD300" s="9"/>
      <c r="IL300" s="27"/>
      <c r="IM300" s="18"/>
      <c r="IN300" s="18"/>
      <c r="IO300" s="18"/>
      <c r="IP300" s="18"/>
      <c r="IQ300" s="18"/>
      <c r="IR300" s="18"/>
      <c r="IS300" s="14"/>
      <c r="IT300" s="14"/>
      <c r="IU300" s="18"/>
      <c r="IV300" s="18"/>
    </row>
    <row r="301" spans="1:263" ht="15" customHeight="1">
      <c r="A301" s="19">
        <v>102021089</v>
      </c>
      <c r="B301" t="s">
        <v>2615</v>
      </c>
      <c r="D301" s="1"/>
      <c r="E301" s="3" t="s">
        <v>3719</v>
      </c>
      <c r="F301" s="3">
        <v>220002135</v>
      </c>
      <c r="J301" s="18" t="s">
        <v>311</v>
      </c>
      <c r="K301" s="18" t="s">
        <v>609</v>
      </c>
      <c r="L301" s="18" t="s">
        <v>2616</v>
      </c>
      <c r="M301" s="18" t="s">
        <v>396</v>
      </c>
      <c r="Z301" t="s">
        <v>3433</v>
      </c>
      <c r="AA301" t="s">
        <v>2617</v>
      </c>
      <c r="AB301" t="s">
        <v>2618</v>
      </c>
      <c r="AC301" t="s">
        <v>496</v>
      </c>
      <c r="AD301" t="s">
        <v>3806</v>
      </c>
      <c r="AE301" t="s">
        <v>311</v>
      </c>
      <c r="AF301" t="s">
        <v>3807</v>
      </c>
      <c r="AG301" s="43" t="s">
        <v>3808</v>
      </c>
      <c r="AH301" t="s">
        <v>2617</v>
      </c>
      <c r="AI301" t="s">
        <v>2618</v>
      </c>
      <c r="AM301"/>
      <c r="AN301"/>
      <c r="AO301" s="3" t="s">
        <v>2619</v>
      </c>
      <c r="AP301" s="3" t="s">
        <v>258</v>
      </c>
      <c r="AQ301" t="s">
        <v>386</v>
      </c>
      <c r="AR301" s="18" t="s">
        <v>260</v>
      </c>
      <c r="AS301" s="1"/>
      <c r="AT301" s="1"/>
      <c r="AU301" s="1" t="s">
        <v>258</v>
      </c>
      <c r="AV301" s="1" t="s">
        <v>258</v>
      </c>
      <c r="AW301" s="1" t="s">
        <v>258</v>
      </c>
      <c r="AX301" s="70">
        <v>44648</v>
      </c>
      <c r="AY301" s="115">
        <v>44598</v>
      </c>
      <c r="AZ301" s="114">
        <v>44615</v>
      </c>
      <c r="BA301" s="48">
        <v>44673</v>
      </c>
      <c r="BB301" s="19" t="s">
        <v>318</v>
      </c>
      <c r="BC301" s="9">
        <v>44659</v>
      </c>
      <c r="BD301" s="48">
        <v>44666</v>
      </c>
      <c r="BE301" s="48">
        <v>44785</v>
      </c>
      <c r="BF301" s="19" t="s">
        <v>319</v>
      </c>
      <c r="BG301" s="20">
        <f ca="1">SUM(DK301)+214.5</f>
        <v>5068.9416666666666</v>
      </c>
      <c r="BH301" s="22">
        <f ca="1">PMT(10%/12,12,BG301,0,0)</f>
        <v>-445.64050394216355</v>
      </c>
      <c r="BI301" s="22">
        <f ca="1">SUM(BH301*-1)</f>
        <v>445.64050394216355</v>
      </c>
      <c r="BJ301" s="14">
        <f>SUM(DU301*0.0052)/12</f>
        <v>15.816666666666665</v>
      </c>
      <c r="BK301" s="22">
        <f ca="1">SUM(BI301+BJ301)</f>
        <v>461.45717060883021</v>
      </c>
      <c r="BL301" s="14"/>
      <c r="BM301" s="14">
        <f>SUM(BL301*0.1)</f>
        <v>0</v>
      </c>
      <c r="BN301" s="14">
        <f ca="1">SUM(BO301*BP301)</f>
        <v>0</v>
      </c>
      <c r="BO301" s="17">
        <f>SUM((BL301+BM301)*0.00833333333333333)</f>
        <v>0</v>
      </c>
      <c r="BP301" s="23">
        <f ca="1">MONTH(TODAY())+49</f>
        <v>53</v>
      </c>
      <c r="BQ301" s="14">
        <f ca="1">SUM(BL301,BM301,BN301)</f>
        <v>0</v>
      </c>
      <c r="BR301" s="14"/>
      <c r="BS301" s="14">
        <f>SUM(BR301*0.1)</f>
        <v>0</v>
      </c>
      <c r="BT301" s="14">
        <f ca="1">SUM(BU301*BV301)</f>
        <v>0</v>
      </c>
      <c r="BU301" s="17">
        <f>SUM((BR301+BS301)*0.00833333333333333)</f>
        <v>0</v>
      </c>
      <c r="BV301" s="23">
        <f ca="1">MONTH(TODAY())+37</f>
        <v>41</v>
      </c>
      <c r="BW301" s="14">
        <f ca="1">SUM(BR301,BS301,BT301)</f>
        <v>0</v>
      </c>
      <c r="BX301" s="14">
        <f>SUM(DU301*0.0052)</f>
        <v>189.79999999999998</v>
      </c>
      <c r="BY301" s="14">
        <f>SUM(BX301*0.1)</f>
        <v>18.98</v>
      </c>
      <c r="BZ301" s="14">
        <f ca="1">SUM(CA301*CB301)</f>
        <v>50.455166666666642</v>
      </c>
      <c r="CA301" s="17">
        <f>SUM((BX301+BY301)*0.00833333333333333)</f>
        <v>1.7398333333333325</v>
      </c>
      <c r="CB301" s="23">
        <f ca="1">MONTH(TODAY())+25</f>
        <v>29</v>
      </c>
      <c r="CC301" s="14">
        <f ca="1">SUM(BX301,BY301,BZ301)</f>
        <v>259.2351666666666</v>
      </c>
      <c r="CD301" s="14">
        <f>SUM(DU301*0.0052)</f>
        <v>189.79999999999998</v>
      </c>
      <c r="CE301" s="14">
        <f>SUM(CD301*0.1)</f>
        <v>18.98</v>
      </c>
      <c r="CF301" s="14">
        <f ca="1">SUM(CG301*CH301)</f>
        <v>29.577166666666653</v>
      </c>
      <c r="CG301" s="17">
        <f>SUM((CD301+CE301)*0.00833333333333333)</f>
        <v>1.7398333333333325</v>
      </c>
      <c r="CH301" s="23">
        <f ca="1">MONTH(TODAY())+13</f>
        <v>17</v>
      </c>
      <c r="CI301" s="14">
        <f ca="1">SUM(CD301,CE301,CF301)</f>
        <v>238.35716666666661</v>
      </c>
      <c r="CJ301" s="14">
        <f>SUM(DU301*0.0052)</f>
        <v>189.79999999999998</v>
      </c>
      <c r="CK301" s="14">
        <f>SUM(CJ301*0.1)</f>
        <v>18.98</v>
      </c>
      <c r="CL301" s="14">
        <f ca="1">SUM(CM301*CN301)</f>
        <v>8.6991666666666632</v>
      </c>
      <c r="CM301" s="17">
        <f>SUM((CJ301+CK301)*0.00833333333333333)</f>
        <v>1.7398333333333325</v>
      </c>
      <c r="CN301" s="23">
        <f ca="1">MONTH(TODAY())+1</f>
        <v>5</v>
      </c>
      <c r="CO301" s="14">
        <f ca="1">SUM(CJ301,CK301,CL301)</f>
        <v>217.47916666666663</v>
      </c>
      <c r="CP301" s="14">
        <f>SUM(DU301*0.0052)/2</f>
        <v>94.899999999999991</v>
      </c>
      <c r="CQ301" s="14">
        <f>SUM(CP301*0.1)</f>
        <v>9.49</v>
      </c>
      <c r="CR301" s="14">
        <f ca="1">SUM(CS301*CT301)</f>
        <v>-1.7398333333333325</v>
      </c>
      <c r="CS301" s="17">
        <f>SUM((CP301+CQ301)*0.00833333333333333)</f>
        <v>0.86991666666666623</v>
      </c>
      <c r="CT301" s="23">
        <f ca="1">MONTH(TODAY())-6</f>
        <v>-2</v>
      </c>
      <c r="CU301" s="23">
        <f ca="1">SUM(CP301,CQ301,CR301)</f>
        <v>102.65016666666665</v>
      </c>
      <c r="CV301" s="14">
        <f>SUM(DU301*0.0052)/2</f>
        <v>94.899999999999991</v>
      </c>
      <c r="CW301" s="14">
        <v>0</v>
      </c>
      <c r="CX301" s="14">
        <v>0</v>
      </c>
      <c r="CY301" s="17">
        <f>SUM((CV301+CW301)*0.00833333333333333)</f>
        <v>0.79083333333333294</v>
      </c>
      <c r="CZ301" s="23">
        <f ca="1">MONTH(TODAY())-6</f>
        <v>-2</v>
      </c>
      <c r="DA301" s="23">
        <f>SUM(CV301,CW301,CX301)</f>
        <v>94.899999999999991</v>
      </c>
      <c r="DB301" s="14">
        <f>SUM(BL301, BR301, BX301, CD301, CJ301, CP301,CV301)</f>
        <v>759.19999999999993</v>
      </c>
      <c r="DC301" s="14">
        <f>SUM(BM301, BS301,BY301,CE301,CK301, CQ301,CW301)</f>
        <v>66.429999999999993</v>
      </c>
      <c r="DD301" s="14">
        <f ca="1">SUM(BN301, BT301,BZ301,CF301,CL301, CR301,CX301)</f>
        <v>86.991666666666617</v>
      </c>
      <c r="DE301" s="14">
        <f ca="1">SUM(DB301:DD301)</f>
        <v>912.62166666666644</v>
      </c>
      <c r="DF301" s="47">
        <f ca="1">SUM(DE301/DU301)</f>
        <v>2.5003333333333329E-2</v>
      </c>
      <c r="DG301" s="14">
        <f>19.5+19.5+195+39+195+39+58.5+58.5+19.5+39+39+58.5+39+97.5+97.5+39+97.5</f>
        <v>1150.5</v>
      </c>
      <c r="DH301" s="32">
        <f>COUNTIF(DN301, "*")+COUNTIF(AO301, "*")+COUNTIF(AJ301, "*")+COUNTIF(AA301, "*")+COUNTIF(EK301, "*")+COUNTIF(EQ301, "*")+COUNTIF(EW301, "*")+COUNTIF(FA301, "*")+COUNTIF(FH301, "*")+COUNTIF(FO301, "*")+COUNTIF(FV301, "*")+COUNTIF(GG301, "*")+COUNTIF(GR301, "*")+COUNTIF(GZ301, "*")+COUNTIF(HH301, "*")+COUNTIF(HP301, "*")+COUNTIF(HX301, "*")</f>
        <v>3</v>
      </c>
      <c r="DI301" s="14">
        <f>1.06+19.98</f>
        <v>21.04</v>
      </c>
      <c r="DJ301" s="4">
        <f>150+150</f>
        <v>300</v>
      </c>
      <c r="DK301" s="14">
        <f ca="1">SUM(DE301,DG301,DQ301, DJ301, DI301,FS301)</f>
        <v>4854.4416666666666</v>
      </c>
      <c r="DL301" s="14">
        <f>50.23+725.8</f>
        <v>776.03</v>
      </c>
      <c r="DM301" s="4">
        <f>93.75+487.5</f>
        <v>581.25</v>
      </c>
      <c r="DN301" s="4">
        <f>74.75+97.25</f>
        <v>172</v>
      </c>
      <c r="DO301" s="14">
        <f>SUM(DU301*0.004)</f>
        <v>146</v>
      </c>
      <c r="DP301" s="4">
        <v>795</v>
      </c>
      <c r="DQ301" s="14">
        <f>SUM(DL301:DP301)</f>
        <v>2470.2799999999997</v>
      </c>
      <c r="DR301" s="24" t="s">
        <v>3908</v>
      </c>
      <c r="DS301" s="4">
        <v>25600</v>
      </c>
      <c r="DT301" s="4">
        <v>10900</v>
      </c>
      <c r="DU301" s="25">
        <f>SUM(DS301+DT301)</f>
        <v>36500</v>
      </c>
      <c r="DV301" s="35">
        <v>1.31</v>
      </c>
      <c r="DW301" s="18" t="s">
        <v>3434</v>
      </c>
      <c r="DX301" t="s">
        <v>3435</v>
      </c>
      <c r="DY301" t="s">
        <v>3436</v>
      </c>
      <c r="DZ301" t="s">
        <v>3437</v>
      </c>
      <c r="FT301" s="18" t="s">
        <v>782</v>
      </c>
      <c r="FU301" s="18" t="s">
        <v>783</v>
      </c>
      <c r="FV301" s="18" t="s">
        <v>2444</v>
      </c>
      <c r="FW301" s="18"/>
      <c r="FX301" s="18" t="s">
        <v>259</v>
      </c>
      <c r="FY301" s="18" t="s">
        <v>260</v>
      </c>
      <c r="FZ301" s="9">
        <v>43003</v>
      </c>
      <c r="GA301" t="s">
        <v>3438</v>
      </c>
      <c r="ID301" s="9">
        <v>44863</v>
      </c>
      <c r="IO301" s="4"/>
      <c r="IP301" s="9">
        <v>44823</v>
      </c>
      <c r="JA301" s="18"/>
      <c r="JB301" s="18"/>
      <c r="JC301" s="18"/>
    </row>
    <row r="302" spans="1:263" ht="15" customHeight="1">
      <c r="A302" s="2">
        <v>102020027</v>
      </c>
      <c r="B302" t="s">
        <v>1614</v>
      </c>
      <c r="D302" s="1"/>
      <c r="E302" t="s">
        <v>1864</v>
      </c>
      <c r="F302">
        <v>200002911</v>
      </c>
      <c r="J302" t="s">
        <v>554</v>
      </c>
      <c r="K302" t="s">
        <v>609</v>
      </c>
      <c r="L302" t="s">
        <v>1615</v>
      </c>
      <c r="M302" t="s">
        <v>396</v>
      </c>
      <c r="P302" t="s">
        <v>609</v>
      </c>
      <c r="Q302" t="s">
        <v>766</v>
      </c>
      <c r="AG302" s="248"/>
      <c r="AY302" s="9"/>
      <c r="AZ302" s="9"/>
      <c r="BG302" s="5"/>
      <c r="BH302" s="16"/>
      <c r="BI302" s="16"/>
      <c r="BJ302" s="4"/>
      <c r="BK302" s="4"/>
      <c r="BL302" s="4"/>
      <c r="BM302" s="6"/>
      <c r="BN302" s="7"/>
      <c r="BO302" s="4"/>
      <c r="BP302" s="4"/>
      <c r="BQ302" s="4"/>
      <c r="BR302" s="4"/>
      <c r="BS302" s="6"/>
      <c r="BT302" s="7"/>
      <c r="BU302" s="4"/>
      <c r="BV302" s="4"/>
      <c r="BW302" s="4"/>
      <c r="BX302" s="4"/>
      <c r="BY302" s="6"/>
      <c r="BZ302" s="7"/>
      <c r="CA302" s="4"/>
      <c r="CB302" s="4"/>
      <c r="CC302" s="4"/>
      <c r="CD302" s="4"/>
      <c r="CE302" s="6"/>
      <c r="CF302" s="7"/>
      <c r="CG302" s="4"/>
      <c r="CH302" s="4"/>
      <c r="CI302" s="4"/>
      <c r="CJ302" s="4"/>
      <c r="CK302" s="6"/>
      <c r="CL302" s="7"/>
      <c r="CM302" s="4"/>
      <c r="CN302" s="4"/>
      <c r="CO302" s="4"/>
      <c r="CP302" s="4"/>
      <c r="CQ302" s="6"/>
      <c r="CR302" s="7"/>
      <c r="CS302" s="4"/>
      <c r="CT302" s="4"/>
      <c r="CU302" s="4"/>
      <c r="CV302" s="4"/>
      <c r="CW302" s="6"/>
      <c r="CX302" s="7"/>
      <c r="CY302" s="4"/>
      <c r="CZ302" s="4"/>
      <c r="DA302" s="4"/>
      <c r="DB302" s="4"/>
      <c r="DC302" s="4"/>
      <c r="DD302" s="3"/>
      <c r="DE302" s="4"/>
      <c r="DF302" s="234"/>
      <c r="DG302" s="4"/>
      <c r="DH302" s="4"/>
      <c r="DI302" s="4"/>
      <c r="DJ302" s="4"/>
      <c r="DK302" s="4"/>
      <c r="DL302" s="4"/>
      <c r="DM302" s="7"/>
      <c r="DN302" s="8"/>
      <c r="DO302" s="4"/>
      <c r="DP302" s="8"/>
      <c r="DQ302" s="8"/>
      <c r="DR302" s="8"/>
      <c r="DS302" s="35"/>
      <c r="FB302" s="9"/>
      <c r="IL302" s="4"/>
      <c r="IM302" s="4"/>
      <c r="IW302" s="18"/>
      <c r="IX302" s="18"/>
      <c r="IY302" s="18"/>
    </row>
    <row r="303" spans="1:263" ht="15" customHeight="1">
      <c r="A303" s="19">
        <v>102023078</v>
      </c>
      <c r="B303" s="18" t="s">
        <v>4147</v>
      </c>
      <c r="D303" s="1"/>
      <c r="E303" s="3"/>
      <c r="F303" s="3"/>
      <c r="J303" s="18" t="s">
        <v>554</v>
      </c>
      <c r="K303" s="18" t="s">
        <v>4146</v>
      </c>
      <c r="L303" s="18" t="s">
        <v>2030</v>
      </c>
      <c r="M303" s="18" t="s">
        <v>850</v>
      </c>
      <c r="N303" s="18"/>
      <c r="O303" s="24"/>
      <c r="P303" s="18" t="s">
        <v>4146</v>
      </c>
      <c r="Q303" s="18" t="s">
        <v>4145</v>
      </c>
      <c r="R303" s="18" t="s">
        <v>403</v>
      </c>
      <c r="S303" s="18"/>
      <c r="AG303" s="43"/>
      <c r="AJ303" s="18" t="s">
        <v>328</v>
      </c>
      <c r="AK303" s="18"/>
      <c r="AL303" s="18" t="s">
        <v>279</v>
      </c>
      <c r="AM303" s="18"/>
      <c r="AN303" s="18"/>
      <c r="AO303" s="18" t="s">
        <v>4144</v>
      </c>
      <c r="AP303" s="18" t="s">
        <v>258</v>
      </c>
      <c r="AQ303" s="18" t="s">
        <v>279</v>
      </c>
      <c r="AR303" s="18" t="s">
        <v>260</v>
      </c>
      <c r="AX303" s="1"/>
      <c r="AY303" s="1"/>
      <c r="AZ303" s="1"/>
      <c r="BA303" s="1"/>
      <c r="BB303" s="1"/>
      <c r="BC303" s="2"/>
      <c r="BD303" s="115"/>
      <c r="BE303" s="115"/>
      <c r="BF303" s="2"/>
      <c r="BG303" s="2"/>
      <c r="BH303" s="2"/>
      <c r="BI303" s="2"/>
      <c r="BJ303" s="2"/>
      <c r="BK303" s="2"/>
      <c r="BL303" s="20">
        <f ca="1">SUM(EB303)+220</f>
        <v>505.87839999999994</v>
      </c>
      <c r="BM303" s="22">
        <f ca="1">PMT(10%/12,12,BL303,0,0)</f>
        <v>-44.474748366497685</v>
      </c>
      <c r="BN303" s="22">
        <f ca="1">SUM(BM303*-1)</f>
        <v>44.474748366497685</v>
      </c>
      <c r="BO303" s="14">
        <f>SUM(EJ303*0.0052)/12</f>
        <v>8.3199999999999985</v>
      </c>
      <c r="BP303" s="22">
        <f ca="1">SUM(BN303+BO303)</f>
        <v>52.794748366497686</v>
      </c>
      <c r="BQ303" s="14"/>
      <c r="BR303" s="14">
        <f>SUM(BQ303*0.1)</f>
        <v>0</v>
      </c>
      <c r="BS303" s="14">
        <f ca="1">SUM(BT303*BU303)</f>
        <v>0</v>
      </c>
      <c r="BT303" s="17">
        <f>SUM((BQ303+BR303)*0.00833333333333333)</f>
        <v>0</v>
      </c>
      <c r="BU303" s="23">
        <f ca="1">MONTH(TODAY())+49</f>
        <v>53</v>
      </c>
      <c r="BV303" s="14">
        <f ca="1">SUM(BQ303,BR303,BS303)</f>
        <v>0</v>
      </c>
      <c r="BW303" s="14"/>
      <c r="BX303" s="14">
        <f>SUM(BW303*0.1)</f>
        <v>0</v>
      </c>
      <c r="BY303" s="14">
        <f ca="1">SUM(BZ303*CA303)</f>
        <v>0</v>
      </c>
      <c r="BZ303" s="17">
        <f>SUM((BW303+BX303)*0.00833333333333333)</f>
        <v>0</v>
      </c>
      <c r="CA303" s="23">
        <f ca="1">MONTH(TODAY())+37</f>
        <v>41</v>
      </c>
      <c r="CB303" s="14">
        <f ca="1">SUM(BW303,BX303,BY303)</f>
        <v>0</v>
      </c>
      <c r="CC303" s="14">
        <v>0</v>
      </c>
      <c r="CD303" s="14">
        <f>SUM(CC303*0.1)</f>
        <v>0</v>
      </c>
      <c r="CE303" s="14">
        <f ca="1">SUM(CF303*CG303)</f>
        <v>0</v>
      </c>
      <c r="CF303" s="17">
        <f>SUM((CC303+CD303)*0.00833333333333333)</f>
        <v>0</v>
      </c>
      <c r="CG303" s="23">
        <f ca="1">MONTH(TODAY())+25</f>
        <v>29</v>
      </c>
      <c r="CH303" s="14">
        <f ca="1">SUM(CC303,CD303,CE303)</f>
        <v>0</v>
      </c>
      <c r="CI303" s="14">
        <f>SUM(EG303*0.0052)</f>
        <v>91.52</v>
      </c>
      <c r="CJ303" s="14">
        <f>SUM(CI303*0.1)</f>
        <v>9.1519999999999992</v>
      </c>
      <c r="CK303" s="14">
        <f ca="1">SUM(CL303*CM303)</f>
        <v>14.261866666666661</v>
      </c>
      <c r="CL303" s="17">
        <f>SUM((CI303+CJ303)*0.00833333333333333)</f>
        <v>0.83893333333333298</v>
      </c>
      <c r="CM303" s="23">
        <f ca="1">MONTH(TODAY())+13</f>
        <v>17</v>
      </c>
      <c r="CN303" s="14">
        <f ca="1">SUM(CI303,CJ303,CK303)</f>
        <v>114.93386666666666</v>
      </c>
      <c r="CO303" s="14">
        <f>SUM(EG303*0.0052)/2</f>
        <v>45.76</v>
      </c>
      <c r="CP303" s="14">
        <f>SUM(CO303*0.1)</f>
        <v>4.5759999999999996</v>
      </c>
      <c r="CQ303" s="14">
        <f ca="1">SUM(CR303*CS303)</f>
        <v>3.7751999999999986</v>
      </c>
      <c r="CR303" s="17">
        <f>SUM((CO303+CP303)*0.00833333333333333)</f>
        <v>0.41946666666666649</v>
      </c>
      <c r="CS303" s="23">
        <f ca="1">MONTH(TODAY())+5</f>
        <v>9</v>
      </c>
      <c r="CT303" s="23">
        <f ca="1">SUM(CO303,CP303,CQ303)</f>
        <v>54.111199999999997</v>
      </c>
      <c r="CU303" s="14">
        <f>SUM(EG303*0.0052)/2</f>
        <v>45.76</v>
      </c>
      <c r="CV303" s="14">
        <f>SUM(CU303*0.1)</f>
        <v>4.5759999999999996</v>
      </c>
      <c r="CW303" s="14">
        <f ca="1">SUM(CX303*CY303)</f>
        <v>2.0973333333333324</v>
      </c>
      <c r="CX303" s="17">
        <f>SUM((CU303+CV303)*0.00833333333333333)</f>
        <v>0.41946666666666649</v>
      </c>
      <c r="CY303" s="23">
        <f ca="1">MONTH(TODAY())+1</f>
        <v>5</v>
      </c>
      <c r="CZ303" s="23">
        <f ca="1">SUM(CU303,CV303,CW303)</f>
        <v>52.43333333333333</v>
      </c>
      <c r="DA303" s="14">
        <f>SUM(EJ303*0.0045)/2</f>
        <v>43.199999999999996</v>
      </c>
      <c r="DB303" s="14">
        <v>0</v>
      </c>
      <c r="DC303" s="14">
        <v>0</v>
      </c>
      <c r="DD303" s="17">
        <f>SUM((DA303+DB303)*0.00833333333333333)</f>
        <v>0.35999999999999982</v>
      </c>
      <c r="DE303" s="23">
        <f ca="1">MONTH(TODAY())-5</f>
        <v>-1</v>
      </c>
      <c r="DF303" s="23">
        <f>SUM(DA303,DB303,DC303)</f>
        <v>43.199999999999996</v>
      </c>
      <c r="DG303" s="14">
        <v>0</v>
      </c>
      <c r="DH303" s="14">
        <v>0</v>
      </c>
      <c r="DI303" s="14">
        <v>0</v>
      </c>
      <c r="DJ303" s="17">
        <f>SUM((DG303+DH303)*0.00833333333333333)</f>
        <v>0</v>
      </c>
      <c r="DK303" s="23">
        <f ca="1">MONTH(TODAY())+1</f>
        <v>5</v>
      </c>
      <c r="DL303" s="23">
        <f>SUM(DG303,DH303,DI303)</f>
        <v>0</v>
      </c>
      <c r="DM303" s="14">
        <f>SUM( BQ303, BW303, CC303, CI303, CO303,CU303,DA303,DG303)</f>
        <v>226.23999999999998</v>
      </c>
      <c r="DN303" s="14">
        <f>SUM(BR303,BX303,CD303,CJ303, CP303,CV303,DB303,DH303)</f>
        <v>18.303999999999998</v>
      </c>
      <c r="DO303" s="14">
        <f ca="1">SUM(BS303,BY303,CE303,CK303, CQ303,CW303,DC303,DI303)</f>
        <v>20.134399999999992</v>
      </c>
      <c r="DP303" s="25">
        <f ca="1">SUM(DM303:DO303)</f>
        <v>264.67839999999995</v>
      </c>
      <c r="DQ303" s="47">
        <f ca="1">SUM(DP303/EG303)</f>
        <v>1.5038545454545452E-2</v>
      </c>
      <c r="DR303" s="14">
        <v>20</v>
      </c>
      <c r="DS303" s="32">
        <f>COUNTIF(DX303, "*")+COUNTIF(AO303, "*")+COUNTIF(AJ303, "*")+COUNTIF(AA303, "*")+COUNTIF(EY303, "*")+COUNTIF(FE303, "*")+COUNTIF(FK303, "*")+COUNTIF(FO303, "*")+COUNTIF(FV303, "*")+COUNTIF(AT303, "*")+COUNTIF(GE303, "*")+COUNTIF(GP303, "*")+COUNTIF(HA303, "*")+COUNTIF(HI303, "*")+COUNTIF(HQ303, "*")+COUNTIF(HY303, "*")+COUNTIF(IG303, "*")</f>
        <v>2</v>
      </c>
      <c r="DT303" s="14">
        <f>DS303*0.6</f>
        <v>1.2</v>
      </c>
      <c r="DU303" s="4"/>
      <c r="DV303" s="4"/>
      <c r="DW303" s="4"/>
      <c r="DX303" s="4"/>
      <c r="DZ303" s="4"/>
      <c r="EA303" s="14">
        <f>SUM(DV303:DZ303)</f>
        <v>0</v>
      </c>
      <c r="EB303" s="14">
        <f ca="1">SUM(DP303,DR303,EA303, DU303, DT303,GB303)</f>
        <v>285.87839999999994</v>
      </c>
      <c r="EC303" s="24" t="s">
        <v>3879</v>
      </c>
      <c r="ED303" s="130">
        <v>1.39</v>
      </c>
      <c r="EE303" s="14">
        <v>17600</v>
      </c>
      <c r="EF303" s="14">
        <v>0</v>
      </c>
      <c r="EG303" s="14">
        <v>17600</v>
      </c>
      <c r="EH303" s="14">
        <v>19200</v>
      </c>
      <c r="EI303" s="14">
        <v>0</v>
      </c>
      <c r="EJ303" s="14">
        <f>SUM(EH303+EI303)</f>
        <v>19200</v>
      </c>
      <c r="FS303" s="9"/>
      <c r="FZ303" s="9"/>
      <c r="IM303" s="9"/>
      <c r="IX303" s="14">
        <f ca="1">SUM(IN303-EB303-GB303-IV303)</f>
        <v>-285.87839999999994</v>
      </c>
      <c r="IY303" s="9"/>
      <c r="IZ303" s="9"/>
      <c r="JA303" s="9"/>
      <c r="JB303" s="9"/>
      <c r="JC303" s="9"/>
    </row>
    <row r="304" spans="1:263" ht="15" customHeight="1">
      <c r="A304" s="19">
        <v>102022136</v>
      </c>
      <c r="B304" t="s">
        <v>2871</v>
      </c>
      <c r="D304" s="1"/>
      <c r="E304" s="3"/>
      <c r="F304" s="3"/>
      <c r="J304" t="s">
        <v>554</v>
      </c>
      <c r="K304" t="s">
        <v>2956</v>
      </c>
      <c r="L304" t="s">
        <v>1489</v>
      </c>
      <c r="P304" t="s">
        <v>2956</v>
      </c>
      <c r="Q304" t="s">
        <v>551</v>
      </c>
      <c r="AG304" s="43"/>
      <c r="AJ304" s="18" t="s">
        <v>328</v>
      </c>
      <c r="AL304" t="s">
        <v>279</v>
      </c>
      <c r="AM304"/>
      <c r="AN304"/>
      <c r="AO304" s="3" t="s">
        <v>3151</v>
      </c>
      <c r="AP304" s="3" t="s">
        <v>258</v>
      </c>
      <c r="AQ304" t="s">
        <v>3152</v>
      </c>
      <c r="AR304" t="s">
        <v>3153</v>
      </c>
      <c r="AS304" s="1"/>
      <c r="AT304" s="1"/>
      <c r="AU304" s="1"/>
      <c r="AV304" s="1"/>
      <c r="AW304" s="1"/>
      <c r="AX304" s="2"/>
      <c r="AY304" s="115">
        <v>44654</v>
      </c>
      <c r="AZ304" s="115">
        <v>44643</v>
      </c>
      <c r="BA304" s="2"/>
      <c r="BB304" s="2"/>
      <c r="BC304" s="2"/>
      <c r="BD304" s="2"/>
      <c r="BE304" s="2"/>
      <c r="BF304" s="2"/>
      <c r="BG304" s="20">
        <f ca="1">SUM(CY304)+214.5</f>
        <v>1108.9892476190475</v>
      </c>
      <c r="BH304" s="22">
        <f ca="1">PMT(10%/12,12,BG304,0,0)</f>
        <v>-97.49777363296937</v>
      </c>
      <c r="BI304" s="22">
        <f ca="1">SUM(BH304*-1)</f>
        <v>97.49777363296937</v>
      </c>
      <c r="BJ304" s="14">
        <f>SUM(DI304*0.0052)/12</f>
        <v>16.943333333333332</v>
      </c>
      <c r="BK304" s="22">
        <f ca="1">SUM(BI304+BJ304)</f>
        <v>114.4411069663027</v>
      </c>
      <c r="BL304" s="14"/>
      <c r="BM304" s="14">
        <f>SUM(BL304*0.1)</f>
        <v>0</v>
      </c>
      <c r="BN304" s="14">
        <f ca="1">SUM(BO304*BP304)</f>
        <v>0</v>
      </c>
      <c r="BO304" s="17">
        <f>SUM((BL304+BM304)*0.00833333333333333)</f>
        <v>0</v>
      </c>
      <c r="BP304" s="23">
        <f ca="1">MONTH(TODAY())+49</f>
        <v>53</v>
      </c>
      <c r="BQ304" s="14">
        <f ca="1">SUM(BL304,BM304,BN304)</f>
        <v>0</v>
      </c>
      <c r="BR304" s="14"/>
      <c r="BS304" s="14">
        <f>SUM(BR304*0.1)</f>
        <v>0</v>
      </c>
      <c r="BT304" s="14">
        <f ca="1">SUM(BU304*BV304)</f>
        <v>0</v>
      </c>
      <c r="BU304" s="17">
        <f>SUM((BR304+BS304)*0.00833333333333333)</f>
        <v>0</v>
      </c>
      <c r="BV304" s="23">
        <f ca="1">MONTH(TODAY())+37</f>
        <v>41</v>
      </c>
      <c r="BW304" s="14">
        <f ca="1">SUM(BR304,BS304,BT304)</f>
        <v>0</v>
      </c>
      <c r="BX304" s="14"/>
      <c r="BY304" s="14">
        <f>SUM(BX304*0.1)</f>
        <v>0</v>
      </c>
      <c r="BZ304" s="14">
        <f ca="1">SUM(CA304*CB304)</f>
        <v>0</v>
      </c>
      <c r="CA304" s="17">
        <f>SUM((BX304+BY304)*0.00833333333333333)</f>
        <v>0</v>
      </c>
      <c r="CB304" s="23">
        <f ca="1">MONTH(TODAY())+25</f>
        <v>29</v>
      </c>
      <c r="CC304" s="14">
        <f ca="1">SUM(BX304,BY304,BZ304)</f>
        <v>0</v>
      </c>
      <c r="CD304" s="14">
        <f>SUM(DI304*0.0052)</f>
        <v>203.32</v>
      </c>
      <c r="CE304" s="14">
        <f>SUM(CD304*0.1)</f>
        <v>20.332000000000001</v>
      </c>
      <c r="CF304" s="14">
        <f ca="1">SUM(CG304*CH304)</f>
        <v>31.684033333333318</v>
      </c>
      <c r="CG304" s="17">
        <f>SUM((CD304+CE304)*0.00833333333333333)</f>
        <v>1.8637666666666657</v>
      </c>
      <c r="CH304" s="23">
        <f ca="1">MONTH(TODAY())+13</f>
        <v>17</v>
      </c>
      <c r="CI304" s="14">
        <f ca="1">SUM(CD304,CE304,CF304)</f>
        <v>255.33603333333332</v>
      </c>
      <c r="CJ304" s="14">
        <f>SUM(DI304*0.0052)</f>
        <v>203.32</v>
      </c>
      <c r="CK304" s="14">
        <f>SUM(CJ304*0.1)</f>
        <v>20.332000000000001</v>
      </c>
      <c r="CL304" s="14">
        <f ca="1">SUM(CM304*CN304)</f>
        <v>9.3188333333333286</v>
      </c>
      <c r="CM304" s="17">
        <f>SUM((CJ304+CK304)*0.00833333333333333)</f>
        <v>1.8637666666666657</v>
      </c>
      <c r="CN304" s="23">
        <f ca="1">MONTH(TODAY())+1</f>
        <v>5</v>
      </c>
      <c r="CO304" s="14">
        <f ca="1">SUM(CJ304,CK304,CL304)</f>
        <v>232.9708333333333</v>
      </c>
      <c r="CP304" s="14">
        <f>SUM(BL304, BR304,BX304,CD304,CJ304)</f>
        <v>406.64</v>
      </c>
      <c r="CQ304" s="14">
        <f>SUM(BM304, BS304,BY304,CE304,CK304)</f>
        <v>40.664000000000001</v>
      </c>
      <c r="CR304" s="14">
        <f ca="1">SUM(BN304, BT304,BZ304,CF304,CL304)</f>
        <v>41.002866666666648</v>
      </c>
      <c r="CS304" s="14">
        <f ca="1">SUM(CP304:CR304)</f>
        <v>488.30686666666662</v>
      </c>
      <c r="CT304" s="47">
        <f ca="1">SUM(CS304/DI304)</f>
        <v>1.2488666666666665E-2</v>
      </c>
      <c r="CU304" s="14">
        <f>19.5+195</f>
        <v>214.5</v>
      </c>
      <c r="CV304" s="32">
        <f>COUNTIF(DB304, "*")+COUNTIF(AO304, "*")+COUNTIF(AJ304, "*")+COUNTIF(AA304, "*")+COUNTIF(DY304, "*")+COUNTIF(EE304, "*")+COUNTIF(EK304, "*")+COUNTIF(EO304, "*")+COUNTIF(EV304, "*")+COUNTIF(FC304, "*")+COUNTIF(FJ304, "*")+COUNTIF(FU304, "*")+COUNTIF(GF304, "*")+COUNTIF(GN304, "*")+COUNTIF(GV304, "*")+COUNTIF(HD304, "*")+COUNTIF(HL304, "*")</f>
        <v>2</v>
      </c>
      <c r="CW304" s="14">
        <f>CV304*0.5+CV304*6.66</f>
        <v>14.32</v>
      </c>
      <c r="CX304" s="4">
        <v>150</v>
      </c>
      <c r="CY304" s="14">
        <f ca="1">SUM(CS304,CU304,DE304, CX304, CW304,FG304)</f>
        <v>894.48924761904755</v>
      </c>
      <c r="CZ304" s="14">
        <v>27.362380952380899</v>
      </c>
      <c r="DE304" s="14">
        <f>SUM(CZ304:DD304)</f>
        <v>27.362380952380899</v>
      </c>
      <c r="DF304" s="24" t="s">
        <v>2773</v>
      </c>
      <c r="DG304" s="4">
        <v>39100</v>
      </c>
      <c r="DH304" s="4">
        <v>0</v>
      </c>
      <c r="DI304" s="25">
        <f>SUM(DG304+DH304)</f>
        <v>39100</v>
      </c>
      <c r="DJ304" s="35">
        <v>5.69</v>
      </c>
      <c r="DK304" t="s">
        <v>3612</v>
      </c>
      <c r="DL304" t="s">
        <v>3613</v>
      </c>
      <c r="IC304" s="4"/>
      <c r="IZ304" s="243"/>
      <c r="JA304" s="243"/>
      <c r="JB304" s="243"/>
      <c r="JC304" s="243"/>
    </row>
    <row r="305" spans="1:263" s="18" customFormat="1" ht="15" customHeight="1">
      <c r="A305" s="19">
        <v>102022203</v>
      </c>
      <c r="B305" t="s">
        <v>2918</v>
      </c>
      <c r="C305"/>
      <c r="D305" s="1"/>
      <c r="E305"/>
      <c r="F305"/>
      <c r="G305"/>
      <c r="H305"/>
      <c r="I305"/>
      <c r="J305" t="s">
        <v>434</v>
      </c>
      <c r="K305" t="s">
        <v>3268</v>
      </c>
      <c r="L305" t="s">
        <v>3269</v>
      </c>
      <c r="M305" t="s">
        <v>763</v>
      </c>
      <c r="N305"/>
      <c r="O305"/>
      <c r="P305" t="s">
        <v>2067</v>
      </c>
      <c r="Q305" t="s">
        <v>3270</v>
      </c>
      <c r="R305" t="s">
        <v>256</v>
      </c>
      <c r="S305"/>
      <c r="T305"/>
      <c r="U305"/>
      <c r="V305"/>
      <c r="W305"/>
      <c r="X305"/>
      <c r="Y305"/>
      <c r="Z305"/>
      <c r="AA305"/>
      <c r="AB305"/>
      <c r="AC305"/>
      <c r="AD305"/>
      <c r="AE305"/>
      <c r="AF305"/>
      <c r="AG305" s="3"/>
      <c r="AH305"/>
      <c r="AI305"/>
      <c r="AJ305" t="s">
        <v>328</v>
      </c>
      <c r="AK305"/>
      <c r="AL305" s="3" t="s">
        <v>279</v>
      </c>
      <c r="AM305"/>
      <c r="AN305"/>
      <c r="AO305" s="3" t="s">
        <v>3271</v>
      </c>
      <c r="AP305" s="3" t="s">
        <v>258</v>
      </c>
      <c r="AQ305" s="3" t="s">
        <v>279</v>
      </c>
      <c r="AR305" t="s">
        <v>260</v>
      </c>
      <c r="AS305" s="1"/>
      <c r="AT305" s="1"/>
      <c r="AU305" s="1"/>
      <c r="AV305" s="1"/>
      <c r="AW305" s="1"/>
      <c r="AX305" s="2"/>
      <c r="AY305" s="2"/>
      <c r="AZ305" s="70"/>
      <c r="BA305" s="2"/>
      <c r="BB305" s="2"/>
      <c r="BC305" s="2"/>
      <c r="BD305" s="2"/>
      <c r="BE305" s="2"/>
      <c r="BF305" s="2"/>
      <c r="BG305" s="20"/>
      <c r="BH305" s="22"/>
      <c r="BI305" s="22"/>
      <c r="BJ305" s="14"/>
      <c r="BK305" s="22"/>
      <c r="BL305" s="14"/>
      <c r="BM305" s="14"/>
      <c r="BN305" s="14"/>
      <c r="BO305" s="17"/>
      <c r="BP305" s="23"/>
      <c r="BQ305" s="14"/>
      <c r="BR305" s="14"/>
      <c r="BS305" s="14"/>
      <c r="BT305" s="14"/>
      <c r="BU305" s="17"/>
      <c r="BV305" s="23"/>
      <c r="BW305" s="14"/>
      <c r="BX305" s="14"/>
      <c r="BY305" s="14"/>
      <c r="BZ305" s="14"/>
      <c r="CA305" s="17"/>
      <c r="CB305" s="23"/>
      <c r="CC305" s="14"/>
      <c r="CD305" s="14"/>
      <c r="CE305" s="14"/>
      <c r="CF305" s="14"/>
      <c r="CG305" s="17"/>
      <c r="CH305" s="23"/>
      <c r="CI305" s="14"/>
      <c r="CJ305" s="14"/>
      <c r="CK305" s="14"/>
      <c r="CL305" s="14"/>
      <c r="CM305" s="17"/>
      <c r="CN305" s="23"/>
      <c r="CO305" s="14"/>
      <c r="CP305" s="14"/>
      <c r="CQ305" s="14"/>
      <c r="CR305" s="14"/>
      <c r="CS305" s="14"/>
      <c r="CT305" s="47"/>
      <c r="CU305" s="14"/>
      <c r="CV305" s="32"/>
      <c r="CW305" s="14"/>
      <c r="CX305"/>
      <c r="CY305" s="14"/>
      <c r="CZ305"/>
      <c r="DA305"/>
      <c r="DB305"/>
      <c r="DC305"/>
      <c r="DD305"/>
      <c r="DE305" s="14"/>
      <c r="DF305" s="24"/>
      <c r="DG305" s="4"/>
      <c r="DH305" s="4"/>
      <c r="DI305" s="25"/>
      <c r="DJ305" s="35">
        <v>5.13</v>
      </c>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s="4"/>
      <c r="ID305"/>
      <c r="IE305"/>
      <c r="IF305"/>
      <c r="IG305"/>
      <c r="IH305"/>
      <c r="II305"/>
      <c r="IJ305"/>
      <c r="IK305"/>
      <c r="IL305"/>
      <c r="IM305"/>
      <c r="IN305"/>
      <c r="IO305"/>
      <c r="IP305"/>
      <c r="IQ305"/>
      <c r="IR305"/>
      <c r="IS305"/>
      <c r="IT305"/>
      <c r="IU305"/>
      <c r="IV305"/>
      <c r="IW305"/>
      <c r="IX305"/>
      <c r="IY305"/>
      <c r="IZ305"/>
      <c r="JA305"/>
      <c r="JB305"/>
      <c r="JC305"/>
    </row>
    <row r="306" spans="1:263" ht="15" customHeight="1">
      <c r="A306" s="2">
        <v>102024031</v>
      </c>
      <c r="B306" t="s">
        <v>5077</v>
      </c>
      <c r="D306" s="1"/>
      <c r="E306" s="3"/>
      <c r="G306" s="3"/>
      <c r="J306" t="s">
        <v>253</v>
      </c>
      <c r="K306" t="s">
        <v>5167</v>
      </c>
      <c r="L306" t="s">
        <v>1029</v>
      </c>
      <c r="M306" t="s">
        <v>426</v>
      </c>
      <c r="O306" s="3"/>
      <c r="AG306" s="43"/>
      <c r="AJ306" t="s">
        <v>5168</v>
      </c>
      <c r="AK306" s="1" t="s">
        <v>258</v>
      </c>
      <c r="AL306" t="s">
        <v>267</v>
      </c>
      <c r="AM306" t="s">
        <v>260</v>
      </c>
      <c r="AN306"/>
      <c r="AO306" t="s">
        <v>5169</v>
      </c>
      <c r="AP306" s="1" t="s">
        <v>258</v>
      </c>
      <c r="AQ306" t="s">
        <v>279</v>
      </c>
      <c r="AR306" t="s">
        <v>260</v>
      </c>
      <c r="AS306" s="10"/>
      <c r="AT306" s="10"/>
      <c r="AU306" s="10"/>
      <c r="AV306" s="10"/>
      <c r="AW306" s="10"/>
      <c r="AX306" s="1"/>
      <c r="AY306" s="1"/>
      <c r="AZ306" s="1"/>
      <c r="BA306" s="1"/>
      <c r="BB306" s="1"/>
      <c r="BC306" s="2"/>
      <c r="BD306" s="115">
        <v>45382</v>
      </c>
      <c r="BE306" s="115"/>
      <c r="BF306" s="2"/>
      <c r="BG306" s="2"/>
      <c r="BH306" s="2"/>
      <c r="BI306" s="2"/>
      <c r="BJ306" s="2"/>
      <c r="BK306" s="2"/>
      <c r="BL306" s="20">
        <f ca="1">SUM(EB306)+220</f>
        <v>1510.472</v>
      </c>
      <c r="BM306" s="22">
        <f ca="1">PMT(10%/12,12,BL306,0,0)</f>
        <v>-132.79448601608706</v>
      </c>
      <c r="BN306" s="22">
        <f ca="1">SUM(BM306*-1)</f>
        <v>132.79448601608706</v>
      </c>
      <c r="BO306" s="14">
        <f>SUM(EJ306*0.0052)/12</f>
        <v>31.806666666666668</v>
      </c>
      <c r="BP306" s="22">
        <f ca="1">SUM(BN306+BO306)</f>
        <v>164.60115268275374</v>
      </c>
      <c r="BQ306" s="14"/>
      <c r="BR306" s="14">
        <f>SUM(BQ306*0.1)</f>
        <v>0</v>
      </c>
      <c r="BS306" s="14">
        <f ca="1">SUM(BT306*BU306)</f>
        <v>0</v>
      </c>
      <c r="BT306" s="17">
        <f>SUM((BQ306+BR306)*0.00833333333333333)</f>
        <v>0</v>
      </c>
      <c r="BU306" s="23">
        <f ca="1">MONTH(TODAY())+61</f>
        <v>65</v>
      </c>
      <c r="BV306" s="14">
        <f ca="1">SUM(BQ306,BR306,BS306)</f>
        <v>0</v>
      </c>
      <c r="BW306" s="14"/>
      <c r="BX306" s="14">
        <f>SUM(BW306*0.1)</f>
        <v>0</v>
      </c>
      <c r="BY306" s="14">
        <f ca="1">SUM(BZ306*CA306)</f>
        <v>0</v>
      </c>
      <c r="BZ306" s="17">
        <f>SUM((BW306+BX306)*0.00833333333333333)</f>
        <v>0</v>
      </c>
      <c r="CA306" s="23">
        <f ca="1">MONTH(TODAY())+49</f>
        <v>53</v>
      </c>
      <c r="CB306" s="14">
        <f ca="1">SUM(BW306,BX306,BY306)</f>
        <v>0</v>
      </c>
      <c r="CC306" s="14">
        <v>0</v>
      </c>
      <c r="CD306" s="14">
        <f>SUM(CC306*0.1)</f>
        <v>0</v>
      </c>
      <c r="CE306" s="14">
        <f ca="1">SUM(CF306*CG306)</f>
        <v>0</v>
      </c>
      <c r="CF306" s="17">
        <f>SUM((CC306+CD306)*0.00833333333333333)</f>
        <v>0</v>
      </c>
      <c r="CG306" s="23">
        <f ca="1">MONTH(TODAY())+37</f>
        <v>41</v>
      </c>
      <c r="CH306" s="14">
        <f ca="1">SUM(CC306,CD306,CE306)</f>
        <v>0</v>
      </c>
      <c r="CI306" s="14">
        <f>SUM(EG306*0.0052)</f>
        <v>312</v>
      </c>
      <c r="CJ306" s="14">
        <f>SUM(CI306*0.1)</f>
        <v>31.200000000000003</v>
      </c>
      <c r="CK306" s="14">
        <f ca="1">SUM(CL306*CM306)</f>
        <v>82.939999999999955</v>
      </c>
      <c r="CL306" s="17">
        <f>SUM((CI306+CJ306)*0.00833333333333333)</f>
        <v>2.8599999999999985</v>
      </c>
      <c r="CM306" s="23">
        <f ca="1">MONTH(TODAY())+25</f>
        <v>29</v>
      </c>
      <c r="CN306" s="14">
        <f ca="1">SUM(CI306,CJ306,CK306)</f>
        <v>426.13999999999993</v>
      </c>
      <c r="CO306" s="14">
        <f>SUM(EG306*0.0052)/2</f>
        <v>156</v>
      </c>
      <c r="CP306" s="14">
        <f>SUM(CO306*0.1)</f>
        <v>15.600000000000001</v>
      </c>
      <c r="CQ306" s="14">
        <f ca="1">SUM(CR306*CS306)</f>
        <v>30.029999999999983</v>
      </c>
      <c r="CR306" s="17">
        <f>SUM((CO306+CP306)*0.00833333333333333)</f>
        <v>1.4299999999999993</v>
      </c>
      <c r="CS306" s="23">
        <f ca="1">MONTH(TODAY())+17</f>
        <v>21</v>
      </c>
      <c r="CT306" s="23">
        <f ca="1">SUM(CO306,CP306,CQ306)</f>
        <v>201.62999999999997</v>
      </c>
      <c r="CU306" s="14">
        <f>SUM(EG306*0.0052)/2</f>
        <v>156</v>
      </c>
      <c r="CV306" s="14">
        <f>SUM(CU306*0.1)</f>
        <v>15.600000000000001</v>
      </c>
      <c r="CW306" s="14">
        <f ca="1">SUM(CX306*CY306)</f>
        <v>24.309999999999988</v>
      </c>
      <c r="CX306" s="17">
        <f>SUM((CU306+CV306)*0.00833333333333333)</f>
        <v>1.4299999999999993</v>
      </c>
      <c r="CY306" s="23">
        <f ca="1">MONTH(TODAY())+13</f>
        <v>17</v>
      </c>
      <c r="CZ306" s="23">
        <f ca="1">SUM(CU306,CV306,CW306)</f>
        <v>195.90999999999997</v>
      </c>
      <c r="DA306" s="14">
        <f>SUM(EJ306*0.0045)/2</f>
        <v>165.14999999999998</v>
      </c>
      <c r="DB306" s="14">
        <f>SUM(DA306*0.1)</f>
        <v>16.514999999999997</v>
      </c>
      <c r="DC306" s="14">
        <f ca="1">SUM(DD306*DE306)</f>
        <v>16.65262499999999</v>
      </c>
      <c r="DD306" s="17">
        <f>SUM((DA306+DB306)*0.00833333333333333)</f>
        <v>1.513874999999999</v>
      </c>
      <c r="DE306" s="23">
        <f ca="1">MONTH(TODAY())+7</f>
        <v>11</v>
      </c>
      <c r="DF306" s="23">
        <f ca="1">SUM(DA306,DB306,DC306)</f>
        <v>198.31762499999996</v>
      </c>
      <c r="DG306" s="14">
        <f>SUM(EJ306*0.0045)/2</f>
        <v>165.14999999999998</v>
      </c>
      <c r="DH306" s="14">
        <f>SUM(DG306*0.1)</f>
        <v>16.514999999999997</v>
      </c>
      <c r="DI306" s="14">
        <f ca="1">SUM(DJ306*DK306)</f>
        <v>7.5693749999999946</v>
      </c>
      <c r="DJ306" s="17">
        <f>SUM((DG306+DH306)*0.00833333333333333)</f>
        <v>1.513874999999999</v>
      </c>
      <c r="DK306" s="23">
        <f ca="1">MONTH(TODAY())+1</f>
        <v>5</v>
      </c>
      <c r="DL306" s="14">
        <f ca="1">SUM(DG306,DH306,DI306)</f>
        <v>189.23437499999997</v>
      </c>
      <c r="DM306" s="14">
        <f>SUM( BQ306, BW306, CC306, CI306, CO306,CU306,DA306,DG306)</f>
        <v>954.3</v>
      </c>
      <c r="DN306" s="14">
        <f>SUM(BR306,BX306,CD306,CJ306, CP306,CV306,DB306,DH306)</f>
        <v>95.43</v>
      </c>
      <c r="DO306" s="14">
        <f ca="1">SUM(BS306,BY306,CE306,CK306, CQ306,CW306,DC306,DI306)</f>
        <v>161.50199999999992</v>
      </c>
      <c r="DP306" s="25">
        <f ca="1">SUM(DM306:DO306)</f>
        <v>1211.232</v>
      </c>
      <c r="DQ306" s="47">
        <f ca="1">SUM(DP306/EG306)</f>
        <v>2.0187199999999999E-2</v>
      </c>
      <c r="DR306" s="14">
        <f>40+10</f>
        <v>50</v>
      </c>
      <c r="DS306" s="32">
        <f>COUNTIF(AO306, "*")+COUNTIF(AJ306, "*")+COUNTIF(AA306, "*")+COUNTIF(EU306, "*")+COUNTIF(FA306, "*")+COUNTIF(FG306, "*")+COUNTIF(FK306, "*")+COUNTIF(FR306, "*")+COUNTIF(AT306, "*")+COUNTIF(GA306, "*")+COUNTIF(GL306, "*")+COUNTIF(GW306, "*")+COUNTIF(HE306, "*")+COUNTIF(HM306, "*")+COUNTIF(HU306, "*")</f>
        <v>2</v>
      </c>
      <c r="DT306" s="14">
        <f>DS306*0.64</f>
        <v>1.28</v>
      </c>
      <c r="DU306" s="4"/>
      <c r="DV306" s="4">
        <v>27.96</v>
      </c>
      <c r="DW306" s="4"/>
      <c r="DX306" s="4"/>
      <c r="DZ306" s="4"/>
      <c r="EA306" s="14">
        <f>SUM(DV306:DZ306)</f>
        <v>27.96</v>
      </c>
      <c r="EB306" s="14">
        <f ca="1">SUM(DP306,DR306,EA306, DU306, DT306,FX306)</f>
        <v>1290.472</v>
      </c>
      <c r="EC306" s="24" t="s">
        <v>4944</v>
      </c>
      <c r="ED306" s="130">
        <v>1</v>
      </c>
      <c r="EE306" s="14">
        <v>20000</v>
      </c>
      <c r="EF306" s="14">
        <v>40000</v>
      </c>
      <c r="EG306" s="14">
        <f>SUM(EE306+EF306)</f>
        <v>60000</v>
      </c>
      <c r="EH306" s="14">
        <v>22000</v>
      </c>
      <c r="EI306" s="14">
        <v>51400</v>
      </c>
      <c r="EJ306" s="14">
        <f>SUM(EH306+EI306)</f>
        <v>73400</v>
      </c>
      <c r="EK306" s="10"/>
      <c r="EL306" s="10"/>
      <c r="EM306" s="10"/>
      <c r="EN306" s="10"/>
      <c r="EO306" s="10"/>
      <c r="EP306" s="10"/>
      <c r="EQ306" s="10"/>
      <c r="ER306" s="10"/>
      <c r="FX306" s="4"/>
      <c r="HY306" s="9"/>
      <c r="IJ306" s="4"/>
      <c r="IK306" s="4"/>
      <c r="IL306" s="4"/>
      <c r="IM306" s="9"/>
      <c r="IN306" s="9"/>
      <c r="IO306" s="9"/>
      <c r="IP306" s="9"/>
      <c r="IQ306" s="9"/>
    </row>
    <row r="307" spans="1:263" ht="15" customHeight="1">
      <c r="A307" s="19">
        <v>102020039</v>
      </c>
      <c r="B307" s="18" t="s">
        <v>1906</v>
      </c>
      <c r="C307" s="18"/>
      <c r="D307" s="13"/>
      <c r="E307" s="18" t="s">
        <v>1907</v>
      </c>
      <c r="F307" s="18">
        <v>200004635</v>
      </c>
      <c r="G307" s="18"/>
      <c r="H307" s="18"/>
      <c r="I307" s="18"/>
      <c r="J307" s="18"/>
      <c r="K307" s="18" t="s">
        <v>1646</v>
      </c>
      <c r="L307" s="18"/>
      <c r="M307" s="18"/>
      <c r="N307" s="18"/>
      <c r="O307" s="18"/>
      <c r="P307" s="18"/>
      <c r="Q307" s="18"/>
      <c r="R307" s="18"/>
      <c r="S307" s="18"/>
      <c r="T307" s="18"/>
      <c r="U307" s="18"/>
      <c r="V307" s="18"/>
      <c r="W307" s="18"/>
      <c r="X307" s="18"/>
      <c r="Y307" s="18"/>
      <c r="Z307" s="18"/>
      <c r="AA307" s="18"/>
      <c r="AB307" s="18"/>
      <c r="AC307" s="18"/>
      <c r="AD307" s="18"/>
      <c r="AE307" s="18"/>
      <c r="AF307" s="18"/>
      <c r="AG307" s="231"/>
      <c r="AH307" s="18"/>
      <c r="AI307" s="18"/>
      <c r="AJ307" s="18"/>
      <c r="AK307" s="18"/>
      <c r="AL307" s="18"/>
      <c r="AM307" s="24"/>
      <c r="AN307" s="24"/>
      <c r="AO307" s="18"/>
      <c r="AP307" s="13"/>
      <c r="AQ307" s="24"/>
      <c r="AR307" s="24"/>
      <c r="AS307" s="18"/>
      <c r="AT307" s="18"/>
      <c r="AU307" s="18"/>
      <c r="AV307" s="18"/>
      <c r="AW307" s="18"/>
      <c r="AX307" s="48"/>
      <c r="AY307" s="48"/>
      <c r="AZ307" s="48"/>
      <c r="BA307" s="19"/>
      <c r="BB307" s="19"/>
      <c r="BC307" s="19"/>
      <c r="BD307" s="19"/>
      <c r="BE307" s="19"/>
      <c r="BF307" s="19"/>
      <c r="BG307" s="20"/>
      <c r="BH307" s="22"/>
      <c r="BI307" s="22"/>
      <c r="BJ307" s="14"/>
      <c r="BK307" s="14"/>
      <c r="BL307" s="14"/>
      <c r="BM307" s="17"/>
      <c r="BN307" s="23"/>
      <c r="BO307" s="14"/>
      <c r="BP307" s="14"/>
      <c r="BQ307" s="14"/>
      <c r="BR307" s="14"/>
      <c r="BS307" s="17"/>
      <c r="BT307" s="23"/>
      <c r="BU307" s="14"/>
      <c r="BV307" s="14"/>
      <c r="BW307" s="14"/>
      <c r="BX307" s="14"/>
      <c r="BY307" s="17"/>
      <c r="BZ307" s="23"/>
      <c r="CA307" s="14"/>
      <c r="CB307" s="14"/>
      <c r="CC307" s="14"/>
      <c r="CD307" s="14"/>
      <c r="CE307" s="17"/>
      <c r="CF307" s="23"/>
      <c r="CG307" s="14"/>
      <c r="CH307" s="14"/>
      <c r="CI307" s="14"/>
      <c r="CJ307" s="14"/>
      <c r="CK307" s="17"/>
      <c r="CL307" s="23"/>
      <c r="CM307" s="14"/>
      <c r="CN307" s="14"/>
      <c r="CO307" s="14"/>
      <c r="CP307" s="14"/>
      <c r="CQ307" s="17"/>
      <c r="CR307" s="23"/>
      <c r="CS307" s="14"/>
      <c r="CT307" s="14"/>
      <c r="CU307" s="14"/>
      <c r="CV307" s="14"/>
      <c r="CW307" s="17"/>
      <c r="CX307" s="23"/>
      <c r="CY307" s="14"/>
      <c r="CZ307" s="14"/>
      <c r="DA307" s="14"/>
      <c r="DB307" s="14"/>
      <c r="DC307" s="14"/>
      <c r="DD307" s="14"/>
      <c r="DE307" s="47"/>
      <c r="DF307" s="24"/>
      <c r="DG307" s="14"/>
      <c r="DH307" s="32"/>
      <c r="DI307" s="14"/>
      <c r="DJ307" s="14"/>
      <c r="DK307" s="14"/>
      <c r="DL307" s="14"/>
      <c r="DM307" s="14"/>
      <c r="DN307" s="14"/>
      <c r="DO307" s="14"/>
      <c r="DP307" s="25"/>
      <c r="DQ307" s="14"/>
      <c r="DR307" s="25"/>
      <c r="DS307" s="25"/>
      <c r="DT307" s="25"/>
      <c r="DU307" s="36"/>
      <c r="DV307" s="277"/>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4"/>
      <c r="IM307" s="4"/>
      <c r="IW307" s="18"/>
      <c r="IX307" s="18"/>
      <c r="IY307" s="18"/>
      <c r="IZ307" s="243"/>
      <c r="JA307" s="243"/>
      <c r="JB307" s="243"/>
      <c r="JC307" s="243"/>
    </row>
    <row r="308" spans="1:263" ht="15" customHeight="1">
      <c r="A308" s="19">
        <v>102022023</v>
      </c>
      <c r="B308" t="s">
        <v>2873</v>
      </c>
      <c r="D308" s="1"/>
      <c r="J308" t="s">
        <v>434</v>
      </c>
      <c r="K308" t="s">
        <v>1212</v>
      </c>
      <c r="L308" t="s">
        <v>2961</v>
      </c>
      <c r="P308" t="s">
        <v>1212</v>
      </c>
      <c r="Q308" t="s">
        <v>3530</v>
      </c>
      <c r="R308" t="s">
        <v>401</v>
      </c>
      <c r="T308" t="s">
        <v>258</v>
      </c>
      <c r="AG308" s="43"/>
      <c r="AJ308" t="s">
        <v>2962</v>
      </c>
      <c r="AK308" t="s">
        <v>258</v>
      </c>
      <c r="AL308" t="s">
        <v>279</v>
      </c>
      <c r="AM308" t="s">
        <v>260</v>
      </c>
      <c r="AN308"/>
      <c r="AO308" s="3" t="s">
        <v>2681</v>
      </c>
      <c r="AP308" s="3" t="s">
        <v>258</v>
      </c>
      <c r="AQ308" t="s">
        <v>329</v>
      </c>
      <c r="AR308" t="s">
        <v>260</v>
      </c>
      <c r="AS308" s="1"/>
      <c r="AT308" s="1"/>
      <c r="AU308" s="1"/>
      <c r="AV308" s="1"/>
      <c r="AW308" s="1"/>
      <c r="AX308" s="2"/>
      <c r="AY308" s="115">
        <v>44647</v>
      </c>
      <c r="AZ308" s="115">
        <v>44637</v>
      </c>
      <c r="BA308" s="2"/>
      <c r="BB308" s="2"/>
      <c r="BC308" s="2"/>
      <c r="BD308" s="2"/>
      <c r="BE308" s="2"/>
      <c r="BF308" s="2"/>
      <c r="BG308" s="20" t="e">
        <f>SUM(CY308)+214.5</f>
        <v>#REF!</v>
      </c>
      <c r="BH308" s="22" t="e">
        <f>PMT(10%/12,12,BG308,0,0)</f>
        <v>#REF!</v>
      </c>
      <c r="BI308" s="22" t="e">
        <f>SUM(BH308*-1)</f>
        <v>#REF!</v>
      </c>
      <c r="BJ308" s="14">
        <f>SUM(DI308*0.0052)/12</f>
        <v>18.676666666666666</v>
      </c>
      <c r="BK308" s="22" t="e">
        <f>SUM(BI308+BJ308)</f>
        <v>#REF!</v>
      </c>
      <c r="BL308" s="14"/>
      <c r="BM308" s="14">
        <f>SUM(BL308*0.1)</f>
        <v>0</v>
      </c>
      <c r="BN308" s="14">
        <f ca="1">SUM(BO308*BP308)</f>
        <v>0</v>
      </c>
      <c r="BO308" s="17">
        <f>SUM((BL308+BM308)*0.00833333333333333)</f>
        <v>0</v>
      </c>
      <c r="BP308" s="23">
        <f ca="1">MONTH(TODAY())+49</f>
        <v>53</v>
      </c>
      <c r="BQ308" s="14">
        <f ca="1">SUM(BL308,BM308,BN308)</f>
        <v>0</v>
      </c>
      <c r="BR308" s="14"/>
      <c r="BS308" s="14">
        <f>SUM(BR308*0.1)</f>
        <v>0</v>
      </c>
      <c r="BT308" s="14">
        <f ca="1">SUM(BU308*BV308)</f>
        <v>0</v>
      </c>
      <c r="BU308" s="17">
        <f>SUM((BR308+BS308)*0.00833333333333333)</f>
        <v>0</v>
      </c>
      <c r="BV308" s="23">
        <f ca="1">MONTH(TODAY())+37</f>
        <v>41</v>
      </c>
      <c r="BW308" s="14">
        <f ca="1">SUM(BR308,BS308,BT308)</f>
        <v>0</v>
      </c>
      <c r="BX308" s="14">
        <v>205.05</v>
      </c>
      <c r="BY308" s="14">
        <f>SUM(BX308*0.1)</f>
        <v>20.505000000000003</v>
      </c>
      <c r="BZ308" s="14">
        <f ca="1">SUM(CA308*CB308)</f>
        <v>54.509124999999976</v>
      </c>
      <c r="CA308" s="17">
        <f>SUM((BX308+BY308)*0.00833333333333333)</f>
        <v>1.8796249999999992</v>
      </c>
      <c r="CB308" s="23">
        <f ca="1">MONTH(TODAY())+25</f>
        <v>29</v>
      </c>
      <c r="CC308" s="14">
        <f ca="1">SUM(BX308,BY308,BZ308)</f>
        <v>280.06412499999999</v>
      </c>
      <c r="CD308" s="14">
        <f>SUM(DI308*0.0052)</f>
        <v>224.11999999999998</v>
      </c>
      <c r="CE308" s="14">
        <f>SUM(CD308*0.1)</f>
        <v>22.411999999999999</v>
      </c>
      <c r="CF308" s="14">
        <f ca="1">SUM(CG308*CH308)</f>
        <v>34.925366666666655</v>
      </c>
      <c r="CG308" s="17">
        <f>SUM((CD308+CE308)*0.00833333333333333)</f>
        <v>2.0544333333333324</v>
      </c>
      <c r="CH308" s="23">
        <f ca="1">MONTH(TODAY())+13</f>
        <v>17</v>
      </c>
      <c r="CI308" s="14">
        <f ca="1">SUM(CD308,CE308,CF308)</f>
        <v>281.45736666666664</v>
      </c>
      <c r="CJ308" s="14">
        <f>SUM(DI308*0.0052)</f>
        <v>224.11999999999998</v>
      </c>
      <c r="CK308" s="14">
        <f>SUM(CJ308*0.1)</f>
        <v>22.411999999999999</v>
      </c>
      <c r="CL308" s="14">
        <f ca="1">SUM(CM308*CN308)</f>
        <v>10.272166666666662</v>
      </c>
      <c r="CM308" s="17">
        <f>SUM((CJ308+CK308)*0.00833333333333333)</f>
        <v>2.0544333333333324</v>
      </c>
      <c r="CN308" s="23">
        <f ca="1">MONTH(TODAY())+1</f>
        <v>5</v>
      </c>
      <c r="CO308" s="14">
        <f ca="1">SUM(CJ308,CK308,CL308)</f>
        <v>256.80416666666662</v>
      </c>
      <c r="CP308" s="14">
        <f>SUM(BL308, BR308,BX308,CD308,CJ308)</f>
        <v>653.29</v>
      </c>
      <c r="CQ308" s="14">
        <f>SUM(BM308, BS308,BY308,CE308,CK308)</f>
        <v>65.329000000000008</v>
      </c>
      <c r="CR308" s="14">
        <f ca="1">SUM(BN308, BT308,BZ308,CF308,CL308)</f>
        <v>99.706658333333294</v>
      </c>
      <c r="CS308" s="14">
        <f ca="1">SUM(CP308:CR308)</f>
        <v>818.32565833333319</v>
      </c>
      <c r="CT308" s="47">
        <f ca="1">SUM(CS308/DI308)</f>
        <v>1.8986674207269912E-2</v>
      </c>
      <c r="CU308" s="14">
        <f>19.5+19.5+195</f>
        <v>234</v>
      </c>
      <c r="CV308" s="32">
        <f>COUNTIF(DB308, "*")+COUNTIF(AO308, "*")+COUNTIF(AJ308, "*")+COUNTIF(AA308, "*")+COUNTIF(DY308, "*")+COUNTIF(EE308, "*")+COUNTIF(EK308, "*")+COUNTIF(EO308, "*")+COUNTIF(EV308, "*")+COUNTIF(FC308, "*")+COUNTIF(FJ308, "*")+COUNTIF(FU308, "*")+COUNTIF(GF308, "*")+COUNTIF(GN308, "*")+COUNTIF(GV308, "*")+COUNTIF(HD308, "*")+COUNTIF(HL308, "*")</f>
        <v>2</v>
      </c>
      <c r="CW308" s="14">
        <f>CV308*0.5+CV308*6.66</f>
        <v>14.32</v>
      </c>
      <c r="CX308" s="4">
        <v>150</v>
      </c>
      <c r="CY308" s="14" t="e">
        <f>SUM(CS308,CU308,DE308, Base!#REF!, CW308,FG308)</f>
        <v>#REF!</v>
      </c>
      <c r="CZ308" s="4">
        <v>30.8</v>
      </c>
      <c r="DE308" s="14">
        <f>SUM(CZ308:DD308)</f>
        <v>30.8</v>
      </c>
      <c r="DF308" s="24" t="s">
        <v>2770</v>
      </c>
      <c r="DG308" s="4">
        <v>22400</v>
      </c>
      <c r="DH308" s="4">
        <v>20700</v>
      </c>
      <c r="DI308" s="25">
        <f>SUM(DG308+DH308)</f>
        <v>43100</v>
      </c>
      <c r="DJ308" s="35">
        <v>1.47</v>
      </c>
      <c r="DK308" t="s">
        <v>3527</v>
      </c>
      <c r="DL308" t="s">
        <v>3529</v>
      </c>
      <c r="DM308" t="s">
        <v>3528</v>
      </c>
      <c r="IC308" s="4"/>
    </row>
    <row r="309" spans="1:263" ht="15" customHeight="1">
      <c r="A309" s="18">
        <v>102023080</v>
      </c>
      <c r="B309" s="18" t="s">
        <v>4140</v>
      </c>
      <c r="C309" s="10"/>
      <c r="D309" s="161"/>
      <c r="E309" s="10" t="s">
        <v>4924</v>
      </c>
      <c r="F309" s="160">
        <v>230002971</v>
      </c>
      <c r="G309" s="147"/>
      <c r="H309" s="10"/>
      <c r="I309" s="10"/>
      <c r="J309" s="28" t="s">
        <v>253</v>
      </c>
      <c r="K309" s="28" t="s">
        <v>1206</v>
      </c>
      <c r="L309" s="28" t="s">
        <v>1029</v>
      </c>
      <c r="M309" s="28" t="s">
        <v>392</v>
      </c>
      <c r="N309" s="28"/>
      <c r="O309" s="150"/>
      <c r="P309" s="28"/>
      <c r="Q309" s="28"/>
      <c r="R309" s="28"/>
      <c r="S309" s="28"/>
      <c r="T309" s="10"/>
      <c r="U309" s="10"/>
      <c r="V309" s="10"/>
      <c r="W309" s="10"/>
      <c r="X309" s="10"/>
      <c r="Y309" s="10"/>
      <c r="Z309" s="10"/>
      <c r="AA309" s="10"/>
      <c r="AB309" s="10"/>
      <c r="AC309" s="10"/>
      <c r="AD309" s="10"/>
      <c r="AE309" s="10"/>
      <c r="AF309" s="10"/>
      <c r="AG309" s="141"/>
      <c r="AH309" s="147"/>
      <c r="AI309" s="147"/>
      <c r="AJ309" s="18"/>
      <c r="AK309" s="13"/>
      <c r="AL309" s="18"/>
      <c r="AM309" s="18"/>
      <c r="AN309" s="18"/>
      <c r="AO309" s="18" t="s">
        <v>4139</v>
      </c>
      <c r="AP309" s="13" t="s">
        <v>258</v>
      </c>
      <c r="AQ309" s="18" t="s">
        <v>279</v>
      </c>
      <c r="AR309" s="18" t="s">
        <v>260</v>
      </c>
      <c r="AX309" s="1"/>
      <c r="AY309" s="1" t="s">
        <v>258</v>
      </c>
      <c r="AZ309" s="1"/>
      <c r="BA309" s="1" t="s">
        <v>258</v>
      </c>
      <c r="BB309" s="1" t="s">
        <v>258</v>
      </c>
      <c r="BC309" s="9">
        <v>45093</v>
      </c>
      <c r="BD309" s="115">
        <v>45060</v>
      </c>
      <c r="BE309" s="144">
        <v>45050</v>
      </c>
      <c r="BF309" s="70"/>
      <c r="BG309" s="2"/>
      <c r="BH309" s="70"/>
      <c r="BI309" s="70"/>
      <c r="BJ309" s="70">
        <v>45268</v>
      </c>
      <c r="BK309" s="70" t="s">
        <v>319</v>
      </c>
      <c r="BL309" s="20">
        <f ca="1">SUM(EH309)+220</f>
        <v>4115.0951500000001</v>
      </c>
      <c r="BM309" s="22">
        <f ca="1">PMT(10%/12,12,BL309,0,0)</f>
        <v>-361.78224114815941</v>
      </c>
      <c r="BN309" s="22">
        <f ca="1">SUM(BM309*-1)</f>
        <v>361.78224114815941</v>
      </c>
      <c r="BO309" s="14">
        <f>SUM(EP309*0.0052)/12</f>
        <v>22.056666666666668</v>
      </c>
      <c r="BP309" s="22">
        <f ca="1">SUM(BN309+BO309)</f>
        <v>383.83890781482609</v>
      </c>
      <c r="BQ309" s="14"/>
      <c r="BR309" s="14">
        <f>SUM(BQ309*0.1)</f>
        <v>0</v>
      </c>
      <c r="BS309" s="14">
        <f ca="1">SUM(BT309*BU309)</f>
        <v>0</v>
      </c>
      <c r="BT309" s="17">
        <f>SUM((BQ309+BR309)*0.00833333333333333)</f>
        <v>0</v>
      </c>
      <c r="BU309" s="23">
        <f ca="1">MONTH(TODAY())+49</f>
        <v>53</v>
      </c>
      <c r="BV309" s="14">
        <f ca="1">SUM(BQ309,BR309,BS309)</f>
        <v>0</v>
      </c>
      <c r="BW309" s="14">
        <v>0</v>
      </c>
      <c r="BX309" s="14">
        <f>SUM(BW309*0.1)</f>
        <v>0</v>
      </c>
      <c r="BY309" s="14">
        <f ca="1">SUM(BZ309*CA309)</f>
        <v>0</v>
      </c>
      <c r="BZ309" s="17">
        <f>SUM((BW309+BX309)*0.00833333333333333)</f>
        <v>0</v>
      </c>
      <c r="CA309" s="23">
        <f ca="1">MONTH(TODAY())+37</f>
        <v>41</v>
      </c>
      <c r="CB309" s="14">
        <f ca="1">SUM(BW309,BX309,BY309)</f>
        <v>0</v>
      </c>
      <c r="CC309" s="14">
        <f>SUM(EM309*0.0052)</f>
        <v>225.16</v>
      </c>
      <c r="CD309" s="14">
        <f>SUM(CC309*0.1)</f>
        <v>22.516000000000002</v>
      </c>
      <c r="CE309" s="14">
        <f>SUM(CF309*CG309)</f>
        <v>74.302799999999962</v>
      </c>
      <c r="CF309" s="17">
        <f>SUM((CC309+CD309)*0.00833333333333333)</f>
        <v>2.0639666666666656</v>
      </c>
      <c r="CG309" s="23">
        <v>36</v>
      </c>
      <c r="CH309" s="14">
        <f>SUM(CC309,CD309,CE309)</f>
        <v>321.97879999999998</v>
      </c>
      <c r="CI309" s="14">
        <f>SUM(EM309*0.0052)/2</f>
        <v>112.58</v>
      </c>
      <c r="CJ309" s="14">
        <f>SUM(CI309*0.1)</f>
        <v>11.258000000000001</v>
      </c>
      <c r="CK309" s="14">
        <f>SUM(CL309*CM309)</f>
        <v>30.959499999999984</v>
      </c>
      <c r="CL309" s="17">
        <f>SUM((CI309+CJ309)*0.00833333333333333)</f>
        <v>1.0319833333333328</v>
      </c>
      <c r="CM309" s="23">
        <v>30</v>
      </c>
      <c r="CN309" s="23">
        <f>SUM(CI309,CJ309,CK309)</f>
        <v>154.79749999999999</v>
      </c>
      <c r="CO309" s="14">
        <f>SUM(EM309*0.0052)/2</f>
        <v>112.58</v>
      </c>
      <c r="CP309" s="14">
        <f>SUM(CO309*0.1)</f>
        <v>11.258000000000001</v>
      </c>
      <c r="CQ309" s="14">
        <f>SUM(CR309*CS309)</f>
        <v>24.767599999999987</v>
      </c>
      <c r="CR309" s="17">
        <f>SUM((CO309+CP309)*0.00833333333333333)</f>
        <v>1.0319833333333328</v>
      </c>
      <c r="CS309" s="23">
        <v>24</v>
      </c>
      <c r="CT309" s="14">
        <f>SUM(CO309,CP309,CQ309)</f>
        <v>148.60559999999998</v>
      </c>
      <c r="CU309" s="14">
        <f>SUM(EP309*0.0045)/2</f>
        <v>114.52499999999999</v>
      </c>
      <c r="CV309" s="14">
        <f>SUM(CU309*0.1)</f>
        <v>11.452500000000001</v>
      </c>
      <c r="CW309" s="14">
        <f>SUM(CX309*CY309)</f>
        <v>18.89662499999999</v>
      </c>
      <c r="CX309" s="17">
        <f>SUM((CU309+CV309)*0.00833333333333333)</f>
        <v>1.0498124999999994</v>
      </c>
      <c r="CY309" s="23">
        <v>18</v>
      </c>
      <c r="CZ309" s="14">
        <f>SUM(CU309,CV309,CW309)</f>
        <v>144.87412499999999</v>
      </c>
      <c r="DA309" s="14">
        <f>SUM(EP309*0.0045)/2</f>
        <v>114.52499999999999</v>
      </c>
      <c r="DB309" s="14">
        <f>SUM(DA309*0.1)</f>
        <v>11.452500000000001</v>
      </c>
      <c r="DC309" s="14">
        <f>SUM(DD309*DE309)</f>
        <v>12.597749999999992</v>
      </c>
      <c r="DD309" s="17">
        <f>SUM((DA309+DB309)*0.00833333333333333)</f>
        <v>1.0498124999999994</v>
      </c>
      <c r="DE309" s="23">
        <v>12</v>
      </c>
      <c r="DF309" s="14">
        <f>SUM(DA309,DB309,DC309)</f>
        <v>138.57524999999998</v>
      </c>
      <c r="DG309" s="14">
        <f>SUM(EP309*0.0045)/2</f>
        <v>114.52499999999999</v>
      </c>
      <c r="DH309" s="14">
        <f>SUM(DG309*0.1)</f>
        <v>11.452500000000001</v>
      </c>
      <c r="DI309" s="14">
        <f>SUM(DJ309*DK309)</f>
        <v>6.2988749999999962</v>
      </c>
      <c r="DJ309" s="17">
        <f>SUM((DG309+DH309)*0.00833333333333333)</f>
        <v>1.0498124999999994</v>
      </c>
      <c r="DK309" s="23">
        <v>6</v>
      </c>
      <c r="DL309" s="14">
        <f>SUM(DG309,DH309,DI309)</f>
        <v>132.276375</v>
      </c>
      <c r="DM309" s="14">
        <f>SUM(EP309*0.0045)/2</f>
        <v>114.52499999999999</v>
      </c>
      <c r="DN309" s="14">
        <f>SUM(DM309*0.1)</f>
        <v>11.452500000000001</v>
      </c>
      <c r="DO309" s="14">
        <f>SUM(DP309*DQ309)</f>
        <v>0</v>
      </c>
      <c r="DP309" s="17">
        <f>SUM((DM309+DN309)*0.00833333333333333)</f>
        <v>1.0498124999999994</v>
      </c>
      <c r="DQ309" s="23">
        <v>0</v>
      </c>
      <c r="DR309" s="14">
        <f>SUM(DM309,DN309,DO309)</f>
        <v>125.97749999999999</v>
      </c>
      <c r="DS309" s="14">
        <f>SUM(BQ309, BW309, CC309, CI309,CO309,CU309,DA309,DG309,DM309)</f>
        <v>908.42</v>
      </c>
      <c r="DT309" s="14">
        <f>SUM(BR309,BX309,CD309, CJ309,CP309,CV309,DB309,DH309,DN309)</f>
        <v>90.842000000000013</v>
      </c>
      <c r="DU309" s="14">
        <f ca="1">SUM(BS309,BY309,CE309, CK309,CQ309,CW309,DC309,DI309,DO309)</f>
        <v>167.82314999999994</v>
      </c>
      <c r="DV309" s="25">
        <f ca="1">SUM(DS309:DU309)</f>
        <v>1167.0851499999999</v>
      </c>
      <c r="DW309" s="47">
        <f ca="1">SUM(DV309/EM309)</f>
        <v>2.6953467667436486E-2</v>
      </c>
      <c r="DX309" s="14">
        <f>20+200+10+200+40+40+60+80+60+40+40+100+100</f>
        <v>990</v>
      </c>
      <c r="DY309" s="32">
        <f>COUNTIF(AO309, "*")+COUNTIF(AJ309, "*")+COUNTIF(AA309, "*")+COUNTIF(FA309, "*")+COUNTIF(FG309, "*")+COUNTIF(FM309, "*")+COUNTIF(FQ309, "*")+COUNTIF(FX309, "*")+COUNTIF(AT309, "*")+COUNTIF(GG309, "*")+COUNTIF(GR309, "*")+COUNTIF(HC309, "*")+COUNTIF(HK309, "*")+COUNTIF(HS309, "*")+COUNTIF(IA309, "*")</f>
        <v>2</v>
      </c>
      <c r="DZ309" s="14">
        <f>0.6+DY309*7.45</f>
        <v>15.5</v>
      </c>
      <c r="EA309" s="4">
        <f>36.76+724.6</f>
        <v>761.36</v>
      </c>
      <c r="EB309" s="4">
        <v>250</v>
      </c>
      <c r="EC309" s="4">
        <f>93.75+85</f>
        <v>178.75</v>
      </c>
      <c r="ED309" s="4"/>
      <c r="EE309" s="14">
        <f>IF(SUM(EK309*0.004)&lt;100, 100, SUM(EK309*0.004))</f>
        <v>122.4</v>
      </c>
      <c r="EF309" s="4">
        <v>410</v>
      </c>
      <c r="EG309" s="14">
        <f>SUM(EA309:EF309)</f>
        <v>1722.5100000000002</v>
      </c>
      <c r="EH309" s="14">
        <f ca="1">SUM(DV309,DX309,EG309,DZ309,GD309)</f>
        <v>3895.0951500000001</v>
      </c>
      <c r="EI309" s="24" t="s">
        <v>5892</v>
      </c>
      <c r="EJ309" s="23">
        <v>5</v>
      </c>
      <c r="EK309" s="14">
        <v>30600</v>
      </c>
      <c r="EL309" s="14">
        <v>12700</v>
      </c>
      <c r="EM309" s="14">
        <v>43300</v>
      </c>
      <c r="EN309" s="14">
        <v>36000</v>
      </c>
      <c r="EO309" s="14">
        <v>14900</v>
      </c>
      <c r="EP309" s="14">
        <f>SUM(EN309+EO309)</f>
        <v>50900</v>
      </c>
      <c r="EQ309" s="10" t="s">
        <v>4715</v>
      </c>
      <c r="ER309" s="10" t="s">
        <v>4713</v>
      </c>
      <c r="ES309" s="10" t="s">
        <v>4714</v>
      </c>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9"/>
      <c r="FV309" s="10"/>
      <c r="FW309" s="10"/>
      <c r="FX309" s="10"/>
      <c r="FY309" s="10"/>
      <c r="FZ309" s="10"/>
      <c r="GA309" s="10"/>
      <c r="GB309" s="9"/>
      <c r="GC309" s="10"/>
      <c r="GD309" s="10"/>
      <c r="GE309" s="10" t="s">
        <v>4717</v>
      </c>
      <c r="GF309" s="10" t="s">
        <v>4716</v>
      </c>
      <c r="GG309" s="10" t="s">
        <v>4718</v>
      </c>
      <c r="GH309" s="10"/>
      <c r="GI309" s="10" t="s">
        <v>4719</v>
      </c>
      <c r="GJ309" s="10" t="s">
        <v>285</v>
      </c>
      <c r="GK309" s="9">
        <v>44970</v>
      </c>
      <c r="GL309" s="10" t="s">
        <v>4720</v>
      </c>
      <c r="GM309" s="10"/>
      <c r="GN309" s="10"/>
      <c r="GO309" s="10"/>
      <c r="GP309" s="10"/>
      <c r="GQ309" s="10"/>
      <c r="GR309" s="10"/>
      <c r="GS309" s="10"/>
      <c r="GT309" s="10"/>
      <c r="GU309" s="10"/>
      <c r="GV309" s="9"/>
      <c r="GW309" s="10"/>
      <c r="GX309" s="10"/>
      <c r="GY309" s="10"/>
      <c r="GZ309" s="10"/>
      <c r="HA309" s="10"/>
      <c r="HB309" s="10"/>
      <c r="HC309" s="10"/>
      <c r="HD309" s="10"/>
      <c r="HE309" s="10"/>
      <c r="HF309" s="10"/>
      <c r="HG309" s="9"/>
      <c r="HH309" s="10"/>
      <c r="HI309" s="10"/>
      <c r="HJ309" s="10"/>
      <c r="HK309" s="10"/>
      <c r="HL309" s="10"/>
      <c r="HM309" s="10"/>
      <c r="HN309" s="10"/>
      <c r="HO309" s="9"/>
      <c r="HP309" s="10"/>
      <c r="HQ309" s="10"/>
      <c r="HR309" s="10"/>
      <c r="HS309" s="10"/>
      <c r="HT309" s="10"/>
      <c r="HU309" s="10"/>
      <c r="HV309" s="10"/>
      <c r="HW309" s="9"/>
      <c r="HX309" s="10"/>
      <c r="HY309" s="10"/>
      <c r="HZ309" s="10"/>
      <c r="IA309" s="10"/>
      <c r="IB309" s="10"/>
      <c r="IC309" s="10"/>
      <c r="ID309" s="10"/>
      <c r="IE309" s="9"/>
      <c r="IF309" s="4"/>
      <c r="IG309" s="4"/>
      <c r="IH309" s="10"/>
      <c r="II309" s="10"/>
      <c r="IJ309" s="10"/>
      <c r="IK309" s="10"/>
      <c r="IL309" s="4"/>
      <c r="IM309" s="4"/>
      <c r="IN309" s="14">
        <f ca="1">SUM(IF309-EH309-GD309-IL309)</f>
        <v>-3895.0951500000001</v>
      </c>
      <c r="IO309" s="14"/>
      <c r="IP309" s="14"/>
      <c r="IQ309" s="9">
        <v>45278</v>
      </c>
      <c r="IR309" s="9"/>
      <c r="IS309" s="9"/>
      <c r="IT309" s="9"/>
      <c r="IU309" s="9"/>
      <c r="IV309" t="s">
        <v>5913</v>
      </c>
    </row>
    <row r="310" spans="1:263" s="240" customFormat="1" ht="15" customHeight="1">
      <c r="A310" s="19">
        <v>102022111</v>
      </c>
      <c r="B310" t="s">
        <v>2851</v>
      </c>
      <c r="C310"/>
      <c r="D310" s="1"/>
      <c r="E310"/>
      <c r="F310"/>
      <c r="G310"/>
      <c r="H310"/>
      <c r="I310"/>
      <c r="J310" t="s">
        <v>311</v>
      </c>
      <c r="K310" t="s">
        <v>1186</v>
      </c>
      <c r="L310" t="s">
        <v>3083</v>
      </c>
      <c r="M310"/>
      <c r="N310"/>
      <c r="O310"/>
      <c r="P310"/>
      <c r="Q310"/>
      <c r="R310"/>
      <c r="S310"/>
      <c r="T310"/>
      <c r="U310"/>
      <c r="V310"/>
      <c r="W310"/>
      <c r="X310"/>
      <c r="Y310"/>
      <c r="Z310"/>
      <c r="AA310"/>
      <c r="AB310"/>
      <c r="AC310"/>
      <c r="AD310"/>
      <c r="AE310"/>
      <c r="AF310"/>
      <c r="AG310" s="3"/>
      <c r="AH310"/>
      <c r="AI310"/>
      <c r="AJ310" t="s">
        <v>3109</v>
      </c>
      <c r="AK310" t="s">
        <v>258</v>
      </c>
      <c r="AL310" t="s">
        <v>279</v>
      </c>
      <c r="AM310" t="s">
        <v>260</v>
      </c>
      <c r="AN310"/>
      <c r="AO310" s="3" t="s">
        <v>773</v>
      </c>
      <c r="AP310" s="3" t="s">
        <v>258</v>
      </c>
      <c r="AQ310" s="3" t="s">
        <v>386</v>
      </c>
      <c r="AR310" t="s">
        <v>260</v>
      </c>
      <c r="AS310"/>
      <c r="AT310" s="1"/>
      <c r="AU310" s="1"/>
      <c r="AV310" s="1"/>
      <c r="AW310" s="1"/>
      <c r="AX310" s="2"/>
      <c r="AY310" s="116"/>
      <c r="AZ310" s="115"/>
      <c r="BA310" s="2"/>
      <c r="BB310" s="2"/>
      <c r="BC310" s="2"/>
      <c r="BD310" s="2"/>
      <c r="BE310" s="2"/>
      <c r="BF310" s="285"/>
      <c r="BG310" s="20"/>
      <c r="BH310" s="22"/>
      <c r="BI310" s="22"/>
      <c r="BJ310" s="14"/>
      <c r="BK310" s="22"/>
      <c r="BL310" s="14"/>
      <c r="BM310" s="14"/>
      <c r="BN310" s="14"/>
      <c r="BO310" s="17"/>
      <c r="BP310" s="23"/>
      <c r="BQ310" s="14"/>
      <c r="BR310" s="14"/>
      <c r="BS310" s="14"/>
      <c r="BT310" s="14"/>
      <c r="BU310" s="17"/>
      <c r="BV310" s="23"/>
      <c r="BW310" s="14"/>
      <c r="BX310" s="14"/>
      <c r="BY310" s="14"/>
      <c r="BZ310" s="14"/>
      <c r="CA310" s="17"/>
      <c r="CB310" s="23"/>
      <c r="CC310" s="14"/>
      <c r="CD310" s="14"/>
      <c r="CE310" s="14"/>
      <c r="CF310" s="14"/>
      <c r="CG310" s="17"/>
      <c r="CH310" s="23"/>
      <c r="CI310" s="14"/>
      <c r="CJ310" s="14"/>
      <c r="CK310" s="14"/>
      <c r="CL310" s="14"/>
      <c r="CM310" s="17"/>
      <c r="CN310" s="23"/>
      <c r="CO310" s="14"/>
      <c r="CP310" s="14"/>
      <c r="CQ310" s="14"/>
      <c r="CR310" s="14"/>
      <c r="CS310" s="14"/>
      <c r="CT310" s="47"/>
      <c r="CU310" s="14"/>
      <c r="CV310" s="32"/>
      <c r="CW310" s="14"/>
      <c r="CX310" s="4"/>
      <c r="CY310" s="14"/>
      <c r="CZ310" s="4"/>
      <c r="DA310"/>
      <c r="DB310"/>
      <c r="DC310"/>
      <c r="DD310"/>
      <c r="DE310" s="14"/>
      <c r="DF310" s="24"/>
      <c r="DG310" s="4"/>
      <c r="DH310" s="4"/>
      <c r="DI310" s="25"/>
      <c r="DJ310" s="35">
        <v>1.07</v>
      </c>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s="4"/>
      <c r="ID310"/>
      <c r="IE310"/>
      <c r="IF310"/>
      <c r="IG310"/>
      <c r="IH310"/>
      <c r="II310"/>
      <c r="IJ310"/>
      <c r="IK310"/>
      <c r="IL310"/>
      <c r="IM310"/>
      <c r="IN310"/>
      <c r="IO310"/>
      <c r="IP310"/>
      <c r="IQ310"/>
      <c r="IR310"/>
      <c r="IS310"/>
      <c r="IT310"/>
      <c r="IU310"/>
      <c r="IV310"/>
      <c r="IW310"/>
      <c r="IX310"/>
      <c r="IY310"/>
      <c r="IZ310" s="18"/>
      <c r="JA310" s="18"/>
      <c r="JB310" s="18"/>
      <c r="JC310" s="18"/>
    </row>
    <row r="311" spans="1:263" s="243" customFormat="1" ht="15" customHeight="1">
      <c r="A311" s="2">
        <v>102017109</v>
      </c>
      <c r="B311" t="s">
        <v>1088</v>
      </c>
      <c r="C311"/>
      <c r="D311"/>
      <c r="E311" t="s">
        <v>1089</v>
      </c>
      <c r="F311">
        <v>180002374</v>
      </c>
      <c r="G311"/>
      <c r="H311"/>
      <c r="I311"/>
      <c r="J311" t="s">
        <v>311</v>
      </c>
      <c r="K311" t="s">
        <v>1090</v>
      </c>
      <c r="L311" t="s">
        <v>478</v>
      </c>
      <c r="M311" t="s">
        <v>598</v>
      </c>
      <c r="N311"/>
      <c r="O311" s="1"/>
      <c r="P311"/>
      <c r="Q311"/>
      <c r="R311"/>
      <c r="S311"/>
      <c r="T311" s="1"/>
      <c r="U311"/>
      <c r="V311"/>
      <c r="W311"/>
      <c r="X311"/>
      <c r="Y311"/>
      <c r="Z311"/>
      <c r="AA311"/>
      <c r="AB311"/>
      <c r="AC311"/>
      <c r="AD311"/>
      <c r="AE311"/>
      <c r="AF311"/>
      <c r="AG311" s="3"/>
      <c r="AH311"/>
      <c r="AI311"/>
      <c r="AJ311" s="4"/>
      <c r="AK311" s="4"/>
      <c r="AL311" s="4"/>
      <c r="AM311" s="34"/>
      <c r="AN311" s="3"/>
      <c r="AO311" s="4"/>
      <c r="AP311" s="5"/>
      <c r="AQ311" s="34"/>
      <c r="AR311" s="34"/>
      <c r="AS311" s="1"/>
      <c r="AT311" s="1"/>
      <c r="AU311" s="29"/>
      <c r="AV311" s="1"/>
      <c r="AW311" s="1"/>
      <c r="AX311" s="1"/>
      <c r="AY311" s="1"/>
      <c r="AZ311" s="1"/>
      <c r="BA311" s="1"/>
      <c r="BB311" s="1"/>
      <c r="BC311" s="1"/>
      <c r="BD311" s="1"/>
      <c r="BE311" s="5"/>
      <c r="BF311" s="16"/>
      <c r="BG311" s="16"/>
      <c r="BH311"/>
      <c r="BI311" s="4"/>
      <c r="BJ311" s="4"/>
      <c r="BK311" s="6"/>
      <c r="BL311" s="7"/>
      <c r="BM311" s="4"/>
      <c r="BN311"/>
      <c r="BO311" s="4"/>
      <c r="BP311" s="4"/>
      <c r="BQ311" s="6"/>
      <c r="BR311" s="7"/>
      <c r="BS311" s="4"/>
      <c r="BT311"/>
      <c r="BU311" s="4"/>
      <c r="BV311" s="4"/>
      <c r="BW311" s="6"/>
      <c r="BX311" s="7"/>
      <c r="BY311" s="4"/>
      <c r="BZ311" s="6"/>
      <c r="CA311" s="4"/>
      <c r="CB311" s="4"/>
      <c r="CC311" s="6"/>
      <c r="CD311" s="7"/>
      <c r="CE311" s="4"/>
      <c r="CF311" s="6"/>
      <c r="CG311" s="4"/>
      <c r="CH311" s="4"/>
      <c r="CI311" s="6"/>
      <c r="CJ311" s="7"/>
      <c r="CK311" s="4"/>
      <c r="CL311" s="4"/>
      <c r="CM311" s="4"/>
      <c r="CN311" s="4"/>
      <c r="CO311" s="6"/>
      <c r="CP311" s="7"/>
      <c r="CQ311" s="4"/>
      <c r="CR311" s="4"/>
      <c r="CS311" s="4"/>
      <c r="CT311" s="4"/>
      <c r="CU311" s="6"/>
      <c r="CV311" s="7"/>
      <c r="CW311" s="4"/>
      <c r="CX311" s="4"/>
      <c r="CY311" s="4"/>
      <c r="CZ311" s="4"/>
      <c r="DA311" s="6"/>
      <c r="DB311" s="7"/>
      <c r="DC311" s="4"/>
      <c r="DD311" s="4"/>
      <c r="DE311" s="4"/>
      <c r="DF311" s="4"/>
      <c r="DG311" s="6"/>
      <c r="DH311" s="7"/>
      <c r="DI311" s="4"/>
      <c r="DJ311" s="4"/>
      <c r="DK311" s="4"/>
      <c r="DL311" s="4"/>
      <c r="DM311" s="4"/>
      <c r="DN311"/>
      <c r="DO311" s="4"/>
      <c r="DP311" s="4"/>
      <c r="DQ311" s="4"/>
      <c r="DR311" s="7"/>
      <c r="DS311" s="4"/>
      <c r="DT311" s="4"/>
      <c r="DU311" s="4"/>
      <c r="DV311" s="4"/>
      <c r="DW311" s="4"/>
      <c r="DX311" s="4"/>
      <c r="DY311" s="7"/>
      <c r="DZ311" s="7"/>
      <c r="EA311" s="4"/>
      <c r="EB311" s="4"/>
      <c r="EC311" s="4"/>
      <c r="ED311" s="4"/>
      <c r="EE311" s="11"/>
      <c r="EF311"/>
      <c r="EG311"/>
      <c r="EH311"/>
      <c r="EI311"/>
      <c r="EJ311"/>
      <c r="EK311"/>
      <c r="EL311"/>
      <c r="EM311"/>
      <c r="EN311" s="11"/>
      <c r="EO311"/>
      <c r="EP311"/>
      <c r="EQ311"/>
      <c r="ER311"/>
      <c r="ES311"/>
      <c r="ET311" s="11"/>
      <c r="EU311" s="4"/>
      <c r="EV311" s="4"/>
      <c r="EW311" s="4"/>
      <c r="EX311" s="4"/>
      <c r="EY311" s="4"/>
      <c r="EZ311" s="4"/>
      <c r="FA311" s="4"/>
      <c r="FB311" s="4"/>
      <c r="FC311" s="4"/>
      <c r="FD311" s="4"/>
      <c r="FE311" s="4"/>
      <c r="FF311" s="4"/>
      <c r="FG311" s="4"/>
      <c r="FH311" s="4"/>
      <c r="FI311"/>
      <c r="FJ311"/>
      <c r="FK311"/>
      <c r="FL311"/>
      <c r="FM311"/>
      <c r="FN311" s="9"/>
      <c r="FO311"/>
      <c r="FP311"/>
      <c r="FQ311"/>
      <c r="FR311"/>
      <c r="FS311"/>
      <c r="FT311"/>
      <c r="FU311"/>
      <c r="FV311"/>
      <c r="FW311"/>
      <c r="FX311"/>
      <c r="FY311"/>
      <c r="FZ311"/>
      <c r="GA311"/>
      <c r="GB311"/>
      <c r="GC311"/>
      <c r="GD311" s="10"/>
      <c r="GE311"/>
      <c r="GF311"/>
      <c r="GG311"/>
      <c r="GH311"/>
      <c r="GI311"/>
      <c r="GJ311"/>
      <c r="GK311"/>
      <c r="GL311"/>
      <c r="GM311"/>
      <c r="GN311" s="10"/>
      <c r="GO311"/>
      <c r="GP311"/>
      <c r="GQ311"/>
      <c r="GR311"/>
      <c r="GS311"/>
      <c r="GT311"/>
      <c r="GU311"/>
      <c r="GV311"/>
      <c r="GW311"/>
      <c r="GX311"/>
      <c r="GY311"/>
      <c r="GZ311"/>
      <c r="HA311"/>
      <c r="HB311"/>
      <c r="HC311" s="9"/>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row>
    <row r="312" spans="1:263" ht="15" customHeight="1">
      <c r="A312" s="19">
        <v>102017036</v>
      </c>
      <c r="B312" s="18" t="s">
        <v>872</v>
      </c>
      <c r="C312" s="18"/>
      <c r="D312" s="18"/>
      <c r="E312" s="18" t="s">
        <v>873</v>
      </c>
      <c r="F312" s="19">
        <v>190001364</v>
      </c>
      <c r="G312" s="19"/>
      <c r="H312" s="19"/>
      <c r="I312" s="18"/>
      <c r="J312" s="18" t="s">
        <v>510</v>
      </c>
      <c r="K312" s="18" t="s">
        <v>874</v>
      </c>
      <c r="L312" s="18" t="s">
        <v>875</v>
      </c>
      <c r="M312" s="18"/>
      <c r="N312" s="18"/>
      <c r="O312" s="13"/>
      <c r="P312" s="18"/>
      <c r="Q312" s="18"/>
      <c r="R312" s="18"/>
      <c r="S312" s="18"/>
      <c r="T312" s="13"/>
      <c r="U312" s="18"/>
      <c r="V312" s="18"/>
      <c r="W312" s="18"/>
      <c r="AD312" s="1"/>
      <c r="AF312" s="3"/>
      <c r="AR312" s="34"/>
      <c r="AS312" s="16"/>
      <c r="AT312" s="16"/>
      <c r="AV312" s="4"/>
      <c r="AW312" s="4"/>
      <c r="AX312" s="6"/>
      <c r="AY312" s="7"/>
      <c r="AZ312" s="4"/>
      <c r="BB312" s="4"/>
      <c r="BC312" s="4"/>
      <c r="BD312" s="6"/>
      <c r="BE312" s="7"/>
      <c r="BF312" s="4"/>
      <c r="BG312" s="4"/>
      <c r="BH312" s="4"/>
      <c r="BI312" s="4"/>
      <c r="BJ312" s="6"/>
      <c r="BK312" s="7"/>
      <c r="BL312" s="4"/>
      <c r="BN312" s="4"/>
      <c r="BO312" s="4"/>
      <c r="BP312" s="6"/>
      <c r="BQ312" s="7"/>
      <c r="BR312" s="4"/>
      <c r="BS312" s="4"/>
      <c r="BT312" s="4"/>
      <c r="BU312" s="4"/>
      <c r="BV312" s="6"/>
      <c r="BW312" s="7"/>
      <c r="BX312" s="4"/>
      <c r="BY312" s="4"/>
      <c r="BZ312" s="4"/>
      <c r="CA312" s="4"/>
      <c r="CB312" s="6"/>
      <c r="CC312" s="7"/>
      <c r="CD312" s="4"/>
      <c r="CE312" s="4"/>
      <c r="CF312" s="4"/>
      <c r="CG312" s="4"/>
      <c r="CH312" s="6"/>
      <c r="CI312" s="7"/>
      <c r="CJ312" s="4"/>
      <c r="CK312" s="4"/>
      <c r="CL312" s="4"/>
      <c r="CM312" s="4"/>
      <c r="CN312" s="6"/>
      <c r="CO312" s="7"/>
      <c r="CP312" s="4"/>
      <c r="CQ312" s="4"/>
      <c r="CR312" s="4"/>
      <c r="CS312" s="4"/>
      <c r="CT312" s="6"/>
      <c r="CU312" s="7"/>
      <c r="CV312" s="4"/>
      <c r="CW312" s="4"/>
      <c r="CX312" s="4"/>
      <c r="CY312" s="4"/>
      <c r="CZ312" s="4"/>
      <c r="DA312" s="3"/>
      <c r="DB312" s="11"/>
      <c r="DC312" s="4"/>
      <c r="DD312" s="4"/>
      <c r="DE312" s="4"/>
      <c r="DF312" s="4"/>
      <c r="DG312" s="4"/>
      <c r="DH312" s="4"/>
      <c r="DI312" s="4"/>
      <c r="DJ312" s="4"/>
      <c r="DK312" s="4"/>
      <c r="DL312" s="4"/>
      <c r="DM312" s="4"/>
      <c r="DN312" s="4"/>
      <c r="DO312" s="4"/>
      <c r="DP312" s="4"/>
      <c r="DQ312" s="4"/>
      <c r="DR312" s="4"/>
      <c r="DS312" s="4"/>
      <c r="DT312" s="4"/>
      <c r="DV312" s="4"/>
      <c r="DY312" s="18"/>
      <c r="EC312" s="4"/>
      <c r="ED312" s="4"/>
      <c r="EE312" s="18"/>
      <c r="EG312" s="4"/>
      <c r="EH312" s="4"/>
      <c r="EI312" s="4"/>
      <c r="FR312" s="10"/>
      <c r="FY312" s="10"/>
      <c r="GK312" s="9"/>
    </row>
    <row r="313" spans="1:263" ht="15" customHeight="1">
      <c r="A313" s="2">
        <v>102017036</v>
      </c>
      <c r="B313" t="s">
        <v>872</v>
      </c>
      <c r="E313" t="s">
        <v>873</v>
      </c>
      <c r="F313">
        <v>190001364</v>
      </c>
      <c r="J313" t="s">
        <v>510</v>
      </c>
      <c r="K313" t="s">
        <v>874</v>
      </c>
      <c r="L313" t="s">
        <v>875</v>
      </c>
      <c r="AE313" s="1"/>
      <c r="AL313" s="4"/>
      <c r="AP313" s="13"/>
      <c r="AQ313" s="34"/>
      <c r="AR313" s="34"/>
      <c r="AS313" s="1"/>
      <c r="AT313" s="13"/>
      <c r="AU313" s="1"/>
      <c r="AV313" s="1"/>
      <c r="AW313" s="1"/>
      <c r="AX313" s="1"/>
      <c r="AY313" s="1"/>
      <c r="AZ313" s="15"/>
      <c r="BA313" s="1"/>
      <c r="BB313" s="1"/>
      <c r="BC313" s="1"/>
      <c r="BD313" s="1"/>
      <c r="BE313" s="1"/>
      <c r="BF313" s="1"/>
      <c r="BG313" s="5"/>
      <c r="BH313" s="16"/>
      <c r="BI313" s="16"/>
      <c r="BK313" s="4"/>
      <c r="BL313" s="4"/>
      <c r="BM313" s="6"/>
      <c r="BN313" s="7"/>
      <c r="BO313" s="4"/>
      <c r="BQ313" s="4"/>
      <c r="BR313" s="4"/>
      <c r="BS313" s="6"/>
      <c r="BT313" s="7"/>
      <c r="BU313" s="4"/>
      <c r="BV313" s="4"/>
      <c r="BW313" s="4"/>
      <c r="BX313" s="4"/>
      <c r="BY313" s="6"/>
      <c r="BZ313" s="7"/>
      <c r="CA313" s="4"/>
      <c r="CC313" s="4"/>
      <c r="CD313" s="4"/>
      <c r="CE313" s="6"/>
      <c r="CF313" s="7"/>
      <c r="CG313" s="4"/>
      <c r="CH313" s="4"/>
      <c r="CI313" s="4"/>
      <c r="CJ313" s="4"/>
      <c r="CK313" s="6"/>
      <c r="CL313" s="7"/>
      <c r="CM313" s="4"/>
      <c r="CN313" s="4"/>
      <c r="CO313" s="4"/>
      <c r="CP313" s="4"/>
      <c r="CQ313" s="6"/>
      <c r="CR313" s="7"/>
      <c r="CS313" s="4"/>
      <c r="CT313" s="4"/>
      <c r="CU313" s="4"/>
      <c r="CV313" s="4"/>
      <c r="CW313" s="6"/>
      <c r="CX313" s="7"/>
      <c r="CY313" s="4"/>
      <c r="CZ313" s="4"/>
      <c r="DA313" s="4"/>
      <c r="DB313" s="4"/>
      <c r="DC313" s="6"/>
      <c r="DD313" s="7"/>
      <c r="DE313" s="4"/>
      <c r="DF313" s="4"/>
      <c r="DG313" s="4"/>
      <c r="DH313" s="4"/>
      <c r="DI313" s="6"/>
      <c r="DJ313" s="7"/>
      <c r="DK313" s="4"/>
      <c r="DL313" s="4"/>
      <c r="DM313" s="4"/>
      <c r="DN313" s="4"/>
      <c r="DO313" s="4"/>
      <c r="DP313" s="4"/>
      <c r="DQ313" s="3"/>
      <c r="DR313" s="4"/>
      <c r="DS313" s="4"/>
      <c r="DT313" s="4"/>
      <c r="DU313" s="4"/>
      <c r="DV313" s="4"/>
      <c r="DW313" s="4"/>
      <c r="DX313" s="4"/>
      <c r="DY313" s="4"/>
      <c r="DZ313" s="4"/>
      <c r="EA313" s="4"/>
      <c r="EB313" s="4"/>
      <c r="EC313" s="4"/>
      <c r="ED313" s="4"/>
      <c r="FL313" s="9"/>
      <c r="FM313" s="10"/>
      <c r="FT313" s="10"/>
      <c r="FU313" s="9"/>
      <c r="GG313" s="9"/>
    </row>
    <row r="314" spans="1:263" s="240" customFormat="1" ht="15" customHeight="1">
      <c r="A314" s="2">
        <v>102017036</v>
      </c>
      <c r="B314" t="s">
        <v>872</v>
      </c>
      <c r="C314"/>
      <c r="D314"/>
      <c r="E314" t="s">
        <v>873</v>
      </c>
      <c r="F314"/>
      <c r="G314"/>
      <c r="H314"/>
      <c r="I314"/>
      <c r="J314"/>
      <c r="K314" t="s">
        <v>874</v>
      </c>
      <c r="L314" t="s">
        <v>875</v>
      </c>
      <c r="M314"/>
      <c r="N314"/>
      <c r="O314" s="18"/>
      <c r="P314" s="18"/>
      <c r="Q314" s="18"/>
      <c r="R314" s="18"/>
      <c r="S314" s="18"/>
      <c r="T314" s="18"/>
      <c r="U314" s="18"/>
      <c r="V314" s="18"/>
      <c r="W314" s="18"/>
      <c r="X314" s="18"/>
      <c r="Y314" s="18"/>
      <c r="Z314" s="18"/>
      <c r="AA314" s="18"/>
      <c r="AB314" s="18"/>
      <c r="AC314" s="18"/>
      <c r="AD314" s="18"/>
      <c r="AE314" s="18"/>
      <c r="AF314" s="18"/>
      <c r="AG314" s="24"/>
      <c r="AH314" s="18"/>
      <c r="AI314" s="18"/>
      <c r="AJ314" s="18"/>
      <c r="AK314" s="37"/>
      <c r="AL314" s="18"/>
      <c r="AM314" s="24"/>
      <c r="AN314" s="24"/>
      <c r="AO314" s="18"/>
      <c r="AP314" s="13"/>
      <c r="AQ314" s="24"/>
      <c r="AR314" s="24"/>
      <c r="AS314" s="24"/>
      <c r="AT314" s="24"/>
      <c r="AU314" s="24"/>
      <c r="AV314" s="18"/>
      <c r="AW314" s="13"/>
      <c r="AX314" s="13"/>
      <c r="AY314" s="13"/>
      <c r="AZ314" s="13"/>
      <c r="BA314" s="13"/>
      <c r="BB314" s="19"/>
      <c r="BC314" s="19"/>
      <c r="BD314" s="48"/>
      <c r="BE314" s="19"/>
      <c r="BF314" s="19"/>
      <c r="BG314" s="19"/>
      <c r="BH314" s="19"/>
      <c r="BI314" s="19"/>
      <c r="BJ314" s="19"/>
      <c r="BK314" s="18"/>
      <c r="BL314" s="18"/>
      <c r="BM314" s="18"/>
      <c r="BN314" s="14"/>
      <c r="BO314" s="18"/>
      <c r="BP314" s="18"/>
      <c r="BQ314" s="18"/>
      <c r="BR314" s="18"/>
      <c r="BS314" s="18"/>
      <c r="BT314" s="23"/>
      <c r="BU314" s="18"/>
      <c r="BV314" s="18"/>
      <c r="BW314" s="18"/>
      <c r="BX314" s="18"/>
      <c r="BY314" s="18"/>
      <c r="BZ314" s="18"/>
      <c r="CA314" s="18"/>
      <c r="CB314" s="18"/>
      <c r="CC314" s="18"/>
      <c r="CD314" s="18"/>
      <c r="CE314" s="18"/>
      <c r="CF314" s="23"/>
      <c r="CG314" s="18"/>
      <c r="CH314" s="18"/>
      <c r="CI314" s="18"/>
      <c r="CJ314" s="18"/>
      <c r="CK314" s="18"/>
      <c r="CL314" s="23"/>
      <c r="CM314" s="18"/>
      <c r="CN314" s="18"/>
      <c r="CO314" s="18"/>
      <c r="CP314" s="18"/>
      <c r="CQ314" s="18"/>
      <c r="CR314" s="23"/>
      <c r="CS314" s="18"/>
      <c r="CT314" s="18"/>
      <c r="CU314" s="18"/>
      <c r="CV314" s="18"/>
      <c r="CW314" s="18"/>
      <c r="CX314" s="18"/>
      <c r="CY314" s="18"/>
      <c r="CZ314" s="14"/>
      <c r="DA314" s="14"/>
      <c r="DB314" s="14"/>
      <c r="DC314" s="14"/>
      <c r="DD314" s="18"/>
      <c r="DE314" s="18"/>
      <c r="DF314" s="18"/>
      <c r="DG314" s="14"/>
      <c r="DH314" s="18"/>
      <c r="DI314" s="18"/>
      <c r="DJ314" s="18"/>
      <c r="DK314" s="18"/>
      <c r="DL314" s="18"/>
      <c r="DM314" s="18"/>
      <c r="DN314" s="18"/>
      <c r="DO314" s="14">
        <f>SUM(DJ314:DN314)</f>
        <v>0</v>
      </c>
      <c r="DP314" s="18"/>
      <c r="DQ314" s="14"/>
      <c r="DR314" s="14"/>
      <c r="DS314" s="18"/>
      <c r="DT314" s="36"/>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27">
        <v>43694</v>
      </c>
      <c r="HZ314" s="18"/>
      <c r="IA314" s="18"/>
      <c r="IB314" s="18"/>
      <c r="IC314" s="18"/>
      <c r="ID314" s="18"/>
      <c r="IE314" s="18"/>
      <c r="IF314" s="18"/>
      <c r="IG314" s="18"/>
      <c r="IH314" s="18"/>
      <c r="II314" s="18"/>
      <c r="IJ314" s="14">
        <v>22049.040000000001</v>
      </c>
      <c r="IK314" s="18"/>
      <c r="IL314"/>
      <c r="IM314"/>
      <c r="IN314"/>
      <c r="IO314"/>
      <c r="IP314"/>
      <c r="IQ314"/>
      <c r="IR314"/>
      <c r="IS314"/>
      <c r="IT314"/>
      <c r="IU314"/>
      <c r="IV314"/>
      <c r="IW314"/>
      <c r="IX314"/>
      <c r="IY314"/>
      <c r="IZ314"/>
      <c r="JA314"/>
      <c r="JB314"/>
      <c r="JC314"/>
    </row>
    <row r="315" spans="1:263" ht="15" customHeight="1">
      <c r="A315" s="2">
        <v>102019028</v>
      </c>
      <c r="B315" s="4" t="s">
        <v>597</v>
      </c>
      <c r="C315" s="5"/>
      <c r="D315" s="5"/>
      <c r="E315" s="34" t="s">
        <v>3722</v>
      </c>
      <c r="F315" s="3">
        <v>220002133</v>
      </c>
      <c r="G315" s="3">
        <v>220003112</v>
      </c>
      <c r="J315" t="s">
        <v>554</v>
      </c>
      <c r="K315" t="s">
        <v>254</v>
      </c>
      <c r="L315" t="s">
        <v>512</v>
      </c>
      <c r="M315" t="s">
        <v>326</v>
      </c>
      <c r="O315" s="3"/>
      <c r="P315" t="s">
        <v>254</v>
      </c>
      <c r="Q315" t="s">
        <v>502</v>
      </c>
      <c r="R315" t="s">
        <v>598</v>
      </c>
      <c r="T315" s="18"/>
      <c r="U315" s="18"/>
      <c r="V315" s="18"/>
      <c r="W315" s="18"/>
      <c r="X315" s="18"/>
      <c r="Y315" s="18"/>
      <c r="Z315" s="18"/>
      <c r="AA315" s="13"/>
      <c r="AB315" s="18"/>
      <c r="AC315" s="18"/>
      <c r="AD315" s="18"/>
      <c r="AE315" s="18"/>
      <c r="AF315" s="18"/>
      <c r="AG315" s="26"/>
      <c r="AH315" s="14"/>
      <c r="AI315" s="18"/>
      <c r="AJ315" s="14"/>
      <c r="AK315" s="14"/>
      <c r="AL315" s="18"/>
      <c r="AM315" s="14"/>
      <c r="AN315" s="14"/>
      <c r="AO315" s="14" t="s">
        <v>599</v>
      </c>
      <c r="AP315" s="14" t="s">
        <v>258</v>
      </c>
      <c r="AQ315" s="18" t="s">
        <v>600</v>
      </c>
      <c r="AR315" s="18" t="s">
        <v>260</v>
      </c>
      <c r="AX315" s="13"/>
      <c r="AY315" s="20" t="s">
        <v>258</v>
      </c>
      <c r="AZ315" s="13"/>
      <c r="BA315" s="13"/>
      <c r="BB315" s="13"/>
      <c r="BC315" s="70">
        <v>44648</v>
      </c>
      <c r="BD315" s="114">
        <v>44605</v>
      </c>
      <c r="BE315" s="114">
        <v>44615</v>
      </c>
      <c r="BF315" s="21"/>
      <c r="BG315" s="13"/>
      <c r="BH315" s="21"/>
      <c r="BI315" s="21"/>
      <c r="BJ315" s="21">
        <v>45163</v>
      </c>
      <c r="BK315" s="21" t="s">
        <v>319</v>
      </c>
      <c r="BL315" s="20">
        <f ca="1">SUM(EB315)+220</f>
        <v>2187.6145666666671</v>
      </c>
      <c r="BM315" s="22">
        <f ca="1">PMT(10%/12,12,BL315,0,0)</f>
        <v>-192.32607554579303</v>
      </c>
      <c r="BN315" s="22">
        <f ca="1">SUM(BM315*-1)</f>
        <v>192.32607554579303</v>
      </c>
      <c r="BO315" s="14">
        <f>SUM(EJ315*0.0052)/12</f>
        <v>51.566666666666663</v>
      </c>
      <c r="BP315" s="22">
        <f ca="1">SUM(BN315+BO315)</f>
        <v>243.89274221245969</v>
      </c>
      <c r="BQ315" s="14"/>
      <c r="BR315" s="14">
        <f>SUM(BQ315*0.1)</f>
        <v>0</v>
      </c>
      <c r="BS315" s="14">
        <f ca="1">SUM(BT315*BU315)</f>
        <v>0</v>
      </c>
      <c r="BT315" s="17">
        <f>SUM((BQ315+BR315)*0.00833333333333333)</f>
        <v>0</v>
      </c>
      <c r="BU315" s="23">
        <f ca="1">MONTH(TODAY())+49</f>
        <v>53</v>
      </c>
      <c r="BV315" s="14">
        <f ca="1">SUM(BQ315,BR315,BS315)</f>
        <v>0</v>
      </c>
      <c r="BW315" s="14">
        <v>0</v>
      </c>
      <c r="BX315" s="14">
        <f>SUM(BW315*0.1)</f>
        <v>0</v>
      </c>
      <c r="BY315" s="14">
        <f ca="1">SUM(BZ315*CA315)</f>
        <v>0</v>
      </c>
      <c r="BZ315" s="17">
        <f>SUM((BW315+BX315)*0.00833333333333333)</f>
        <v>0</v>
      </c>
      <c r="CA315" s="23">
        <f ca="1">MONTH(TODAY())+37</f>
        <v>41</v>
      </c>
      <c r="CB315" s="14">
        <f ca="1">SUM(BW315,BX315,BY315)</f>
        <v>0</v>
      </c>
      <c r="CC315" s="14">
        <v>0</v>
      </c>
      <c r="CD315" s="14">
        <f>SUM(CC315*0.1)</f>
        <v>0</v>
      </c>
      <c r="CE315" s="14">
        <f ca="1">SUM(CF315*CG315)</f>
        <v>0</v>
      </c>
      <c r="CF315" s="17">
        <f>SUM((CC315+CD315)*0.00833333333333333)</f>
        <v>0</v>
      </c>
      <c r="CG315" s="23">
        <f ca="1">MONTH(TODAY())+25</f>
        <v>29</v>
      </c>
      <c r="CH315" s="14">
        <f ca="1">SUM(CC315,CD315,CE315)</f>
        <v>0</v>
      </c>
      <c r="CI315" s="14">
        <v>104.76</v>
      </c>
      <c r="CJ315" s="14">
        <f>SUM(CI315*0.1)</f>
        <v>10.476000000000001</v>
      </c>
      <c r="CK315" s="14">
        <f ca="1">SUM(CL315*CM315)</f>
        <v>16.325099999999992</v>
      </c>
      <c r="CL315" s="17">
        <f>SUM((CI315+CJ315)*0.00833333333333333)</f>
        <v>0.9602999999999996</v>
      </c>
      <c r="CM315" s="23">
        <f ca="1">MONTH(TODAY())+13</f>
        <v>17</v>
      </c>
      <c r="CN315" s="14">
        <f ca="1">SUM(CI315,CJ315,CK315)</f>
        <v>131.56110000000001</v>
      </c>
      <c r="CO315" s="14">
        <v>45.43</v>
      </c>
      <c r="CP315" s="14">
        <f>SUM(CO315*0.1)</f>
        <v>4.5430000000000001</v>
      </c>
      <c r="CQ315" s="14">
        <f ca="1">SUM(CR315*CS315)</f>
        <v>3.7479749999999985</v>
      </c>
      <c r="CR315" s="17">
        <f>SUM((CO315+CP315)*0.00833333333333333)</f>
        <v>0.41644166666666649</v>
      </c>
      <c r="CS315" s="23">
        <f ca="1">MONTH(TODAY())+5</f>
        <v>9</v>
      </c>
      <c r="CT315" s="23">
        <f ca="1">SUM(CO315,CP315,CQ315)</f>
        <v>53.720974999999996</v>
      </c>
      <c r="CU315" s="14">
        <f>SUM(EG315*0.0052)/2</f>
        <v>244.92</v>
      </c>
      <c r="CV315" s="14">
        <f>SUM(CU315*0.1)</f>
        <v>24.492000000000001</v>
      </c>
      <c r="CW315" s="14">
        <f ca="1">SUM(CX315*CY315)</f>
        <v>11.225499999999995</v>
      </c>
      <c r="CX315" s="17">
        <f>SUM((CU315+CV315)*0.00833333333333333)</f>
        <v>2.245099999999999</v>
      </c>
      <c r="CY315" s="23">
        <f ca="1">MONTH(TODAY())+1</f>
        <v>5</v>
      </c>
      <c r="CZ315" s="23">
        <f ca="1">SUM(CU315,CV315,CW315)</f>
        <v>280.63749999999999</v>
      </c>
      <c r="DA315" s="14">
        <f>SUM(EJ315*0.0045)/2-81.64</f>
        <v>186.11</v>
      </c>
      <c r="DB315" s="14">
        <f>SUM(DA315*0.1)</f>
        <v>18.611000000000001</v>
      </c>
      <c r="DC315" s="14">
        <f ca="1">SUM(DD315*DE315)</f>
        <v>-1.7060083333333327</v>
      </c>
      <c r="DD315" s="17">
        <f>SUM((DA315+DB315)*0.00833333333333333)</f>
        <v>1.7060083333333327</v>
      </c>
      <c r="DE315" s="23">
        <f ca="1">MONTH(TODAY())-5</f>
        <v>-1</v>
      </c>
      <c r="DF315" s="23">
        <f ca="1">SUM(DA315,DB315,DC315)</f>
        <v>203.01499166666667</v>
      </c>
      <c r="DG315" s="14">
        <v>0</v>
      </c>
      <c r="DH315" s="14">
        <v>0</v>
      </c>
      <c r="DI315" s="14">
        <v>0</v>
      </c>
      <c r="DJ315" s="17">
        <f>SUM((DG315+DH315)*0.00833333333333333)</f>
        <v>0</v>
      </c>
      <c r="DK315" s="23">
        <f ca="1">MONTH(TODAY())+1</f>
        <v>5</v>
      </c>
      <c r="DL315" s="23">
        <f>SUM(DG315,DH315,DI315)</f>
        <v>0</v>
      </c>
      <c r="DM315" s="14">
        <f>SUM( BQ315, BW315, CC315, CI315, CO315,CU315,DA315,DG315)</f>
        <v>581.22</v>
      </c>
      <c r="DN315" s="14">
        <f>SUM(BR315,BX315,CD315,CJ315, CP315,CV315,DB315,DH315)</f>
        <v>58.122</v>
      </c>
      <c r="DO315" s="14">
        <f ca="1">SUM(BS315,BY315,CE315,CK315, CQ315,CW315,DC315,DI315)</f>
        <v>29.592566666666652</v>
      </c>
      <c r="DP315" s="25">
        <f ca="1">SUM(DM315:DO315)</f>
        <v>668.93456666666668</v>
      </c>
      <c r="DQ315" s="47">
        <f ca="1">SUM(DP315/EG315)</f>
        <v>7.1012162066525124E-3</v>
      </c>
      <c r="DR315" s="14">
        <f>19.5+19.5+19.5+195+195+39+58.5+60+60+60+40+40</f>
        <v>806</v>
      </c>
      <c r="DS315" s="32">
        <f>COUNTIF(DX315, "*")+COUNTIF(AO315, "*")+COUNTIF(AJ315, "*")+COUNTIF(AA315, "*")+COUNTIF(EY315, "*")+COUNTIF(FE315, "*")+COUNTIF(FK315, "*")+COUNTIF(FO315, "*")+COUNTIF(FV315, "*")+COUNTIF(AT315, "*")+COUNTIF(GE315, "*")+COUNTIF(GP315, "*")+COUNTIF(HA315, "*")+COUNTIF(HI315, "*")+COUNTIF(HQ315, "*")+COUNTIF(HY315, "*")+COUNTIF(IG315, "*")</f>
        <v>5</v>
      </c>
      <c r="DT315" s="14">
        <f>DS315*0.5+DS315*6.66+7.45</f>
        <v>43.25</v>
      </c>
      <c r="DU315" s="14">
        <v>235</v>
      </c>
      <c r="DV315" s="4">
        <v>54.43</v>
      </c>
      <c r="DW315" s="269"/>
      <c r="DX315" s="14"/>
      <c r="DY315" s="14"/>
      <c r="DZ315" s="14">
        <v>160</v>
      </c>
      <c r="EA315" s="14">
        <f>SUM(DV315:DZ315)</f>
        <v>214.43</v>
      </c>
      <c r="EB315" s="14">
        <f ca="1">SUM(DP315,DR315,EA315, DU315, DT315,GB315)</f>
        <v>1967.6145666666669</v>
      </c>
      <c r="EC315" s="24" t="s">
        <v>1944</v>
      </c>
      <c r="ED315" s="23">
        <v>0.56999999999999995</v>
      </c>
      <c r="EE315" s="14">
        <v>19800</v>
      </c>
      <c r="EF315" s="14">
        <v>74400</v>
      </c>
      <c r="EG315" s="14">
        <f>SUM(EE315+EF315)</f>
        <v>94200</v>
      </c>
      <c r="EH315" s="14">
        <v>21800</v>
      </c>
      <c r="EI315" s="14">
        <v>97200</v>
      </c>
      <c r="EJ315" s="14">
        <f>SUM(EH315+EI315)</f>
        <v>119000</v>
      </c>
      <c r="EK315" s="18" t="s">
        <v>3440</v>
      </c>
      <c r="EL315" s="18" t="s">
        <v>3441</v>
      </c>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27"/>
      <c r="FT315" s="28"/>
      <c r="FU315" s="18"/>
      <c r="FV315" s="270"/>
      <c r="FW315" s="18"/>
      <c r="FX315" s="270"/>
      <c r="FY315" s="18"/>
      <c r="FZ315" s="27"/>
      <c r="GA315" s="28"/>
      <c r="GB315" s="18"/>
      <c r="GC315" s="27" t="s">
        <v>3442</v>
      </c>
      <c r="GD315" s="18" t="s">
        <v>1281</v>
      </c>
      <c r="GE315" s="18" t="s">
        <v>2244</v>
      </c>
      <c r="GG315" s="18" t="s">
        <v>386</v>
      </c>
      <c r="GH315" s="18" t="s">
        <v>260</v>
      </c>
      <c r="GI315" s="27">
        <v>37746</v>
      </c>
      <c r="GJ315" s="27" t="s">
        <v>3443</v>
      </c>
      <c r="GK315" s="18"/>
      <c r="GL315" s="18"/>
      <c r="GM315" s="18"/>
      <c r="GN315" s="18" t="s">
        <v>3444</v>
      </c>
      <c r="GO315" s="18" t="s">
        <v>3445</v>
      </c>
      <c r="GP315" s="18" t="s">
        <v>3446</v>
      </c>
      <c r="GR315" s="18" t="s">
        <v>274</v>
      </c>
      <c r="GS315" s="18" t="s">
        <v>275</v>
      </c>
      <c r="GT315" s="27">
        <v>39365</v>
      </c>
      <c r="GU315" s="18" t="s">
        <v>3447</v>
      </c>
      <c r="GV315" s="18"/>
      <c r="GW315" s="18"/>
      <c r="GX315" s="18"/>
      <c r="GY315" s="18" t="s">
        <v>3449</v>
      </c>
      <c r="GZ315" s="18" t="s">
        <v>3448</v>
      </c>
      <c r="HA315" s="18" t="s">
        <v>3450</v>
      </c>
      <c r="HB315" s="18"/>
      <c r="HC315" s="18" t="s">
        <v>3451</v>
      </c>
      <c r="HD315" s="18" t="s">
        <v>1668</v>
      </c>
      <c r="HE315" s="27">
        <v>41953</v>
      </c>
      <c r="HF315" s="18" t="s">
        <v>3452</v>
      </c>
      <c r="HG315" s="18" t="s">
        <v>747</v>
      </c>
      <c r="HH315" s="18" t="s">
        <v>3453</v>
      </c>
      <c r="HI315" s="18" t="s">
        <v>748</v>
      </c>
      <c r="HJ315" s="18"/>
      <c r="HK315" s="18" t="s">
        <v>749</v>
      </c>
      <c r="HL315" s="18" t="s">
        <v>750</v>
      </c>
      <c r="HM315" s="27">
        <v>42796</v>
      </c>
      <c r="HN315" s="18" t="s">
        <v>3454</v>
      </c>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27"/>
      <c r="IN315" s="27"/>
      <c r="IO315" s="4"/>
      <c r="IP315" s="4"/>
      <c r="IQ315" s="9"/>
      <c r="IS315" s="18"/>
      <c r="IT315" s="18"/>
      <c r="IU315" s="18"/>
      <c r="IV315" s="18"/>
      <c r="IW315" s="18"/>
      <c r="IX315" s="14">
        <f ca="1">SUM(IN315-EB315-GB315-IV315)</f>
        <v>-1967.6145666666669</v>
      </c>
      <c r="IY315" s="27"/>
      <c r="IZ315" s="27"/>
      <c r="JA315" s="27"/>
      <c r="JB315" s="27"/>
      <c r="JC315" s="27"/>
    </row>
    <row r="316" spans="1:263" s="243" customFormat="1" ht="15" customHeight="1">
      <c r="A316" s="19">
        <v>102022077</v>
      </c>
      <c r="B316" t="s">
        <v>2822</v>
      </c>
      <c r="C316"/>
      <c r="D316" s="1"/>
      <c r="E316"/>
      <c r="F316"/>
      <c r="G316"/>
      <c r="H316"/>
      <c r="I316"/>
      <c r="J316" t="s">
        <v>554</v>
      </c>
      <c r="K316" t="s">
        <v>617</v>
      </c>
      <c r="L316" t="s">
        <v>3079</v>
      </c>
      <c r="M316" t="s">
        <v>357</v>
      </c>
      <c r="N316"/>
      <c r="O316"/>
      <c r="P316" t="s">
        <v>617</v>
      </c>
      <c r="Q316" t="s">
        <v>3080</v>
      </c>
      <c r="R316" t="s">
        <v>392</v>
      </c>
      <c r="S316"/>
      <c r="T316"/>
      <c r="U316"/>
      <c r="V316"/>
      <c r="W316"/>
      <c r="X316"/>
      <c r="Y316"/>
      <c r="Z316"/>
      <c r="AA316"/>
      <c r="AB316"/>
      <c r="AC316"/>
      <c r="AD316"/>
      <c r="AE316"/>
      <c r="AF316"/>
      <c r="AG316" s="3"/>
      <c r="AH316"/>
      <c r="AI316"/>
      <c r="AJ316"/>
      <c r="AK316"/>
      <c r="AL316"/>
      <c r="AM316" s="3"/>
      <c r="AN316" s="3"/>
      <c r="AO316" s="3" t="s">
        <v>3078</v>
      </c>
      <c r="AP316" s="1" t="s">
        <v>258</v>
      </c>
      <c r="AQ316" s="3" t="s">
        <v>600</v>
      </c>
      <c r="AR316" t="s">
        <v>260</v>
      </c>
      <c r="AS316" s="1"/>
      <c r="AT316" s="1"/>
      <c r="AU316" s="1"/>
      <c r="AV316" s="1"/>
      <c r="AW316" s="1"/>
      <c r="AX316" s="2"/>
      <c r="AY316" s="2"/>
      <c r="AZ316" s="70"/>
      <c r="BA316" s="2"/>
      <c r="BB316" s="2"/>
      <c r="BC316" s="2"/>
      <c r="BD316" s="2"/>
      <c r="BE316" s="2"/>
      <c r="BF316" s="2"/>
      <c r="BG316" s="20"/>
      <c r="BH316" s="22"/>
      <c r="BI316" s="22"/>
      <c r="BJ316" s="14"/>
      <c r="BK316" s="22"/>
      <c r="BL316" s="14"/>
      <c r="BM316" s="14"/>
      <c r="BN316" s="14"/>
      <c r="BO316" s="17"/>
      <c r="BP316" s="23"/>
      <c r="BQ316" s="14"/>
      <c r="BR316" s="14"/>
      <c r="BS316" s="14"/>
      <c r="BT316" s="14"/>
      <c r="BU316" s="17"/>
      <c r="BV316" s="23"/>
      <c r="BW316" s="14"/>
      <c r="BX316" s="14"/>
      <c r="BY316" s="14"/>
      <c r="BZ316" s="14"/>
      <c r="CA316" s="17"/>
      <c r="CB316" s="23"/>
      <c r="CC316" s="14"/>
      <c r="CD316" s="14"/>
      <c r="CE316" s="14"/>
      <c r="CF316" s="14"/>
      <c r="CG316" s="17"/>
      <c r="CH316" s="23"/>
      <c r="CI316" s="14"/>
      <c r="CJ316" s="14"/>
      <c r="CK316" s="14"/>
      <c r="CL316" s="14"/>
      <c r="CM316" s="17"/>
      <c r="CN316" s="23"/>
      <c r="CO316" s="14"/>
      <c r="CP316" s="14"/>
      <c r="CQ316" s="14"/>
      <c r="CR316" s="14"/>
      <c r="CS316" s="14"/>
      <c r="CT316" s="47"/>
      <c r="CU316" s="14"/>
      <c r="CV316" s="32"/>
      <c r="CW316" s="14"/>
      <c r="CX316"/>
      <c r="CY316" s="14"/>
      <c r="CZ316"/>
      <c r="DA316"/>
      <c r="DB316"/>
      <c r="DC316"/>
      <c r="DD316"/>
      <c r="DE316" s="14"/>
      <c r="DF316" s="24"/>
      <c r="DG316" s="4"/>
      <c r="DH316" s="4"/>
      <c r="DI316" s="25"/>
      <c r="DJ316" s="35">
        <v>0.5</v>
      </c>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s="4"/>
      <c r="ID316"/>
      <c r="IE316"/>
      <c r="IF316"/>
      <c r="IG316"/>
      <c r="IH316"/>
      <c r="II316"/>
      <c r="IJ316"/>
      <c r="IK316"/>
      <c r="IL316"/>
      <c r="IM316"/>
      <c r="IN316"/>
      <c r="IO316"/>
      <c r="IP316"/>
      <c r="IQ316"/>
      <c r="IR316"/>
      <c r="IS316"/>
      <c r="IT316"/>
      <c r="IU316"/>
      <c r="IV316"/>
      <c r="IW316"/>
      <c r="IX316"/>
      <c r="IY316"/>
      <c r="IZ316"/>
      <c r="JA316"/>
      <c r="JB316"/>
      <c r="JC316"/>
    </row>
    <row r="317" spans="1:263" s="18" customFormat="1" ht="15" customHeight="1">
      <c r="A317" s="19">
        <v>102022166</v>
      </c>
      <c r="B317" t="s">
        <v>2895</v>
      </c>
      <c r="C317"/>
      <c r="D317" s="1"/>
      <c r="E317"/>
      <c r="F317"/>
      <c r="G317"/>
      <c r="H317"/>
      <c r="I317"/>
      <c r="J317" t="s">
        <v>434</v>
      </c>
      <c r="K317" t="s">
        <v>3203</v>
      </c>
      <c r="L317" t="s">
        <v>3204</v>
      </c>
      <c r="M317"/>
      <c r="N317"/>
      <c r="O317"/>
      <c r="P317" t="s">
        <v>1039</v>
      </c>
      <c r="Q317" t="s">
        <v>551</v>
      </c>
      <c r="R317"/>
      <c r="S317"/>
      <c r="T317"/>
      <c r="U317"/>
      <c r="V317"/>
      <c r="W317"/>
      <c r="X317"/>
      <c r="Y317"/>
      <c r="Z317"/>
      <c r="AA317"/>
      <c r="AB317"/>
      <c r="AC317"/>
      <c r="AD317"/>
      <c r="AE317"/>
      <c r="AF317"/>
      <c r="AG317" s="3"/>
      <c r="AH317"/>
      <c r="AI317"/>
      <c r="AJ317" s="18" t="s">
        <v>328</v>
      </c>
      <c r="AK317"/>
      <c r="AL317" s="3" t="s">
        <v>600</v>
      </c>
      <c r="AM317"/>
      <c r="AN317"/>
      <c r="AO317" s="3" t="s">
        <v>3205</v>
      </c>
      <c r="AP317" s="3"/>
      <c r="AQ317" s="3" t="s">
        <v>600</v>
      </c>
      <c r="AR317"/>
      <c r="AS317"/>
      <c r="AT317" s="1"/>
      <c r="AU317" s="1"/>
      <c r="AV317" s="1"/>
      <c r="AW317" s="1"/>
      <c r="AX317" s="2"/>
      <c r="AY317" s="116"/>
      <c r="AZ317" s="115"/>
      <c r="BA317" s="2"/>
      <c r="BB317" s="2"/>
      <c r="BC317" s="2"/>
      <c r="BD317" s="2"/>
      <c r="BE317" s="2"/>
      <c r="BF317" s="2"/>
      <c r="BG317" s="20"/>
      <c r="BH317" s="22"/>
      <c r="BI317" s="22"/>
      <c r="BJ317" s="14"/>
      <c r="BK317" s="22"/>
      <c r="BL317" s="14"/>
      <c r="BM317" s="14"/>
      <c r="BN317" s="14"/>
      <c r="BO317" s="17"/>
      <c r="BP317" s="23"/>
      <c r="BQ317" s="14"/>
      <c r="BR317" s="14"/>
      <c r="BS317" s="14"/>
      <c r="BT317" s="14"/>
      <c r="BU317" s="17"/>
      <c r="BV317" s="23"/>
      <c r="BW317" s="14"/>
      <c r="BX317" s="14"/>
      <c r="BY317" s="14"/>
      <c r="BZ317" s="14"/>
      <c r="CA317" s="17"/>
      <c r="CB317" s="23"/>
      <c r="CC317" s="14"/>
      <c r="CD317" s="14"/>
      <c r="CE317" s="14"/>
      <c r="CF317" s="14"/>
      <c r="CG317" s="17"/>
      <c r="CH317" s="23"/>
      <c r="CI317" s="14"/>
      <c r="CJ317" s="14"/>
      <c r="CK317" s="14"/>
      <c r="CL317" s="14"/>
      <c r="CM317" s="17"/>
      <c r="CN317" s="23"/>
      <c r="CO317" s="14"/>
      <c r="CP317" s="14"/>
      <c r="CQ317" s="14"/>
      <c r="CR317" s="14"/>
      <c r="CS317" s="14"/>
      <c r="CT317" s="47"/>
      <c r="CU317" s="14"/>
      <c r="CV317" s="32"/>
      <c r="CW317" s="14"/>
      <c r="CX317" s="4"/>
      <c r="CY317" s="14"/>
      <c r="CZ317" s="4"/>
      <c r="DA317"/>
      <c r="DB317"/>
      <c r="DC317"/>
      <c r="DD317"/>
      <c r="DE317" s="14"/>
      <c r="DF317" s="24"/>
      <c r="DG317" s="4"/>
      <c r="DH317" s="4"/>
      <c r="DI317" s="25"/>
      <c r="DJ317" s="35">
        <f>0.64+0.74+0.8</f>
        <v>2.1799999999999997</v>
      </c>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s="4"/>
      <c r="ID317"/>
      <c r="IE317"/>
      <c r="IF317"/>
      <c r="IG317"/>
      <c r="IH317"/>
      <c r="II317"/>
      <c r="IJ317"/>
      <c r="IK317"/>
      <c r="IL317"/>
      <c r="IM317"/>
      <c r="IN317"/>
      <c r="IO317"/>
      <c r="IP317"/>
      <c r="IQ317"/>
      <c r="IR317"/>
      <c r="IS317"/>
      <c r="IT317"/>
      <c r="IU317"/>
      <c r="IV317"/>
      <c r="IW317"/>
      <c r="IX317"/>
      <c r="IY317"/>
      <c r="IZ317"/>
      <c r="JA317"/>
      <c r="JB317"/>
      <c r="JC317"/>
    </row>
    <row r="318" spans="1:263" s="240" customFormat="1" ht="15" customHeight="1">
      <c r="A318" s="2">
        <v>102024157</v>
      </c>
      <c r="B318" t="s">
        <v>2895</v>
      </c>
      <c r="C318"/>
      <c r="D318" s="1"/>
      <c r="E318" s="3"/>
      <c r="F318"/>
      <c r="G318" s="3"/>
      <c r="H318"/>
      <c r="I318"/>
      <c r="J318" t="s">
        <v>554</v>
      </c>
      <c r="K318" t="s">
        <v>5536</v>
      </c>
      <c r="L318" t="s">
        <v>3204</v>
      </c>
      <c r="M318"/>
      <c r="N318"/>
      <c r="O318" s="3"/>
      <c r="P318" t="s">
        <v>3203</v>
      </c>
      <c r="Q318" t="s">
        <v>551</v>
      </c>
      <c r="R318" t="s">
        <v>428</v>
      </c>
      <c r="S318"/>
      <c r="T318"/>
      <c r="U318"/>
      <c r="V318"/>
      <c r="W318"/>
      <c r="X318"/>
      <c r="Y318"/>
      <c r="Z318"/>
      <c r="AA318"/>
      <c r="AB318"/>
      <c r="AC318"/>
      <c r="AD318"/>
      <c r="AE318"/>
      <c r="AF318"/>
      <c r="AG318" s="43"/>
      <c r="AH318"/>
      <c r="AI318"/>
      <c r="AJ318" s="18" t="s">
        <v>328</v>
      </c>
      <c r="AK318" s="1"/>
      <c r="AL318" s="18" t="s">
        <v>600</v>
      </c>
      <c r="AM318"/>
      <c r="AN318"/>
      <c r="AO318" t="s">
        <v>5537</v>
      </c>
      <c r="AP318" s="1"/>
      <c r="AQ318" s="18" t="s">
        <v>600</v>
      </c>
      <c r="AR318"/>
      <c r="AS318" s="10"/>
      <c r="AT318" s="10"/>
      <c r="AU318" s="10"/>
      <c r="AV318" s="10"/>
      <c r="AW318" s="10"/>
      <c r="AX318" s="1"/>
      <c r="AY318" s="1"/>
      <c r="AZ318" s="1"/>
      <c r="BA318" s="1"/>
      <c r="BB318" s="1"/>
      <c r="BC318" s="2"/>
      <c r="BD318" s="115">
        <v>45415</v>
      </c>
      <c r="BE318" s="144">
        <v>45432</v>
      </c>
      <c r="BF318" s="2"/>
      <c r="BG318" s="2"/>
      <c r="BH318" s="2"/>
      <c r="BI318" s="2"/>
      <c r="BJ318" s="2"/>
      <c r="BK318" s="2"/>
      <c r="BL318" s="20">
        <f ca="1">SUM(EH318)+220</f>
        <v>1153.5540000000001</v>
      </c>
      <c r="BM318" s="22">
        <f ca="1">PMT(10%/12,12,BL318,0,0)</f>
        <v>-101.41572337772649</v>
      </c>
      <c r="BN318" s="22">
        <f ca="1">SUM(BM318*-1)</f>
        <v>101.41572337772649</v>
      </c>
      <c r="BO318" s="14">
        <f>SUM(EP318*0.0052)/12</f>
        <v>15.6</v>
      </c>
      <c r="BP318" s="22">
        <f ca="1">SUM(BN318+BO318)</f>
        <v>117.01572337772649</v>
      </c>
      <c r="BQ318" s="14"/>
      <c r="BR318" s="14">
        <f>SUM(BQ318*0.1)</f>
        <v>0</v>
      </c>
      <c r="BS318" s="14">
        <f ca="1">SUM(BT318*BU318)</f>
        <v>0</v>
      </c>
      <c r="BT318" s="17">
        <f>SUM((BQ318+BR318)*0.00833333333333333)</f>
        <v>0</v>
      </c>
      <c r="BU318" s="23">
        <f ca="1">MONTH(TODAY())+49</f>
        <v>53</v>
      </c>
      <c r="BV318" s="14">
        <f ca="1">SUM(BQ318,BR318,BS318)</f>
        <v>0</v>
      </c>
      <c r="BW318" s="14">
        <v>0</v>
      </c>
      <c r="BX318" s="14">
        <f>SUM(BW318*0.1)</f>
        <v>0</v>
      </c>
      <c r="BY318" s="14">
        <f ca="1">SUM(BZ318*CA318)</f>
        <v>0</v>
      </c>
      <c r="BZ318" s="17">
        <f>SUM((BW318+BX318)*0.00833333333333333)</f>
        <v>0</v>
      </c>
      <c r="CA318" s="23">
        <f ca="1">MONTH(TODAY())+37</f>
        <v>41</v>
      </c>
      <c r="CB318" s="14">
        <f ca="1">SUM(BW318,BX318,BY318)</f>
        <v>0</v>
      </c>
      <c r="CC318" s="14">
        <v>0</v>
      </c>
      <c r="CD318" s="14">
        <f>SUM(CC318*0.1)</f>
        <v>0</v>
      </c>
      <c r="CE318" s="14">
        <f ca="1">SUM(CF318*CG318)</f>
        <v>0</v>
      </c>
      <c r="CF318" s="17">
        <f>SUM((CC318+CD318)*0.00833333333333333)</f>
        <v>0</v>
      </c>
      <c r="CG318" s="23">
        <f ca="1">MONTH(TODAY())+25</f>
        <v>29</v>
      </c>
      <c r="CH318" s="14">
        <f ca="1">SUM(CC318,CD318,CE318)</f>
        <v>0</v>
      </c>
      <c r="CI318" s="14">
        <f>SUM(EM318*0.0052)/2</f>
        <v>93.6</v>
      </c>
      <c r="CJ318" s="14">
        <f>SUM(CI318*0.1)</f>
        <v>9.36</v>
      </c>
      <c r="CK318" s="14">
        <f ca="1">SUM(CL318*CM318)</f>
        <v>18.01799999999999</v>
      </c>
      <c r="CL318" s="17">
        <f>SUM((CI318+CJ318)*0.00833333333333333)</f>
        <v>0.85799999999999954</v>
      </c>
      <c r="CM318" s="23">
        <f ca="1">MONTH(TODAY())+17</f>
        <v>21</v>
      </c>
      <c r="CN318" s="23">
        <f ca="1">SUM(CI318,CJ318,CK318)</f>
        <v>120.97799999999998</v>
      </c>
      <c r="CO318" s="14">
        <f>SUM(EM318*0.0052)/2</f>
        <v>93.6</v>
      </c>
      <c r="CP318" s="14">
        <f>SUM(CO318*0.1)</f>
        <v>9.36</v>
      </c>
      <c r="CQ318" s="14">
        <f ca="1">SUM(CR318*CS318)</f>
        <v>14.585999999999991</v>
      </c>
      <c r="CR318" s="17">
        <f>SUM((CO318+CP318)*0.00833333333333333)</f>
        <v>0.85799999999999954</v>
      </c>
      <c r="CS318" s="23">
        <f ca="1">MONTH(TODAY())+13</f>
        <v>17</v>
      </c>
      <c r="CT318" s="23">
        <f ca="1">SUM(CO318,CP318,CQ318)</f>
        <v>117.54599999999999</v>
      </c>
      <c r="CU318" s="14">
        <f>SUM(EP318*0.0045)/2</f>
        <v>81</v>
      </c>
      <c r="CV318" s="14">
        <f>SUM(CU318*0.1)</f>
        <v>8.1</v>
      </c>
      <c r="CW318" s="14">
        <f ca="1">SUM(CX318*CY318)</f>
        <v>8.1674999999999951</v>
      </c>
      <c r="CX318" s="17">
        <f>SUM((CU318+CV318)*0.00833333333333333)</f>
        <v>0.7424999999999996</v>
      </c>
      <c r="CY318" s="23">
        <f ca="1">MONTH(TODAY())+7</f>
        <v>11</v>
      </c>
      <c r="CZ318" s="23">
        <f ca="1">SUM(CU318,CV318,CW318)</f>
        <v>97.267499999999984</v>
      </c>
      <c r="DA318" s="14">
        <f>SUM(EP318*0.0045)/2</f>
        <v>81</v>
      </c>
      <c r="DB318" s="14">
        <f>SUM(DA318*0.1)</f>
        <v>8.1</v>
      </c>
      <c r="DC318" s="14">
        <f ca="1">SUM(DD318*DE318)</f>
        <v>3.7124999999999981</v>
      </c>
      <c r="DD318" s="17">
        <f>SUM((DA318+DB318)*0.00833333333333333)</f>
        <v>0.7424999999999996</v>
      </c>
      <c r="DE318" s="23">
        <f ca="1">MONTH(TODAY())+1</f>
        <v>5</v>
      </c>
      <c r="DF318" s="14">
        <f ca="1">SUM(DA318,DB318,DC318)</f>
        <v>92.812499999999986</v>
      </c>
      <c r="DG318" s="14">
        <f>SUM(EP318*0.0045)/2</f>
        <v>81</v>
      </c>
      <c r="DH318" s="14">
        <f>0</f>
        <v>0</v>
      </c>
      <c r="DI318" s="14">
        <f>0</f>
        <v>0</v>
      </c>
      <c r="DJ318" s="17">
        <f>SUM((DG318+DH318)*0.00833333333333333)</f>
        <v>0.67499999999999971</v>
      </c>
      <c r="DK318" s="23">
        <f ca="1">MONTH(TODAY())+7</f>
        <v>11</v>
      </c>
      <c r="DL318" s="23">
        <f>SUM(DG318,DH318,DI318)</f>
        <v>81</v>
      </c>
      <c r="DM318" s="14">
        <f>0</f>
        <v>0</v>
      </c>
      <c r="DN318" s="14">
        <f>0</f>
        <v>0</v>
      </c>
      <c r="DO318" s="14">
        <f ca="1">SUM(DP318*DQ318)</f>
        <v>0</v>
      </c>
      <c r="DP318" s="17">
        <f>SUM((DM318+DN318)*0.00833333333333333)</f>
        <v>0</v>
      </c>
      <c r="DQ318" s="23">
        <f ca="1">MONTH(TODAY())+1</f>
        <v>5</v>
      </c>
      <c r="DR318" s="14">
        <f ca="1">SUM(DM318,DN318,DO318)</f>
        <v>0</v>
      </c>
      <c r="DS318" s="14">
        <f>SUM(BQ318, BW318, CC318, CI318,CO318,CU318,DA318,DG318,DM318)</f>
        <v>430.2</v>
      </c>
      <c r="DT318" s="14">
        <f>SUM(BR318,BX318,CD318, CJ318,CP318,CV318,DB318,DH318,DN318)</f>
        <v>34.92</v>
      </c>
      <c r="DU318" s="14">
        <f ca="1">SUM(BS318,BY318,CE318, CK318,CQ318,CW318,DC318,DI318,DO318)</f>
        <v>44.48399999999998</v>
      </c>
      <c r="DV318" s="25">
        <f ca="1">SUM(DS318:DU318)</f>
        <v>509.60399999999998</v>
      </c>
      <c r="DW318" s="47">
        <f ca="1">SUM(DV318/EM318)</f>
        <v>1.4155666666666667E-2</v>
      </c>
      <c r="DX318" s="14">
        <f>20+10+200</f>
        <v>230</v>
      </c>
      <c r="DY318" s="32">
        <f>COUNTIF(AO318, "*")+COUNTIF(AJ318, "*")+COUNTIF(AA318, "*")+COUNTIF(FA318, "*")+COUNTIF(FG318, "*")+COUNTIF(FM318, "*")+COUNTIF(FQ318, "*")+COUNTIF(FX318, "*")+COUNTIF(AT318, "*")+COUNTIF(GG318, "*")+COUNTIF(GR318, "*")+COUNTIF(HC318, "*")+COUNTIF(HK318, "*")+COUNTIF(HS318, "*")+COUNTIF(IA318, "*")</f>
        <v>2</v>
      </c>
      <c r="DZ318" s="14">
        <f>1.28+DY318*8</f>
        <v>17.28</v>
      </c>
      <c r="EA318" s="4">
        <v>150</v>
      </c>
      <c r="EB318" s="4">
        <v>26.67</v>
      </c>
      <c r="EC318" s="4"/>
      <c r="ED318" s="4"/>
      <c r="EE318"/>
      <c r="EF318" s="4"/>
      <c r="EG318" s="14">
        <f>SUM(EB318:EF318)</f>
        <v>26.67</v>
      </c>
      <c r="EH318" s="14">
        <f ca="1">SUM(DV318,DX318,EG318, EA318, DZ318,GD318)</f>
        <v>933.55399999999997</v>
      </c>
      <c r="EI318" s="24" t="s">
        <v>4935</v>
      </c>
      <c r="EJ318" s="23">
        <f>0.64+0.74+0.8</f>
        <v>2.1799999999999997</v>
      </c>
      <c r="EK318" s="14">
        <f>12000+12000+12000</f>
        <v>36000</v>
      </c>
      <c r="EL318" s="14">
        <v>0</v>
      </c>
      <c r="EM318" s="14">
        <f>SUM(EK318+EL318)</f>
        <v>36000</v>
      </c>
      <c r="EN318" s="14">
        <f>12000+12000+12000</f>
        <v>36000</v>
      </c>
      <c r="EO318" s="14">
        <v>0</v>
      </c>
      <c r="EP318" s="14">
        <f>SUM(EN318+EO318)</f>
        <v>36000</v>
      </c>
      <c r="EQ318" s="10" t="s">
        <v>5714</v>
      </c>
      <c r="ER318" s="10" t="s">
        <v>5715</v>
      </c>
      <c r="ES318" s="10"/>
      <c r="ET318" s="10"/>
      <c r="EU318" s="10"/>
      <c r="EV318" s="10"/>
      <c r="EW318" s="10"/>
      <c r="EX318" s="10"/>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s="4"/>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s="9"/>
      <c r="IF318"/>
      <c r="IG318"/>
      <c r="IH318"/>
      <c r="II318"/>
      <c r="IJ318"/>
      <c r="IK318"/>
      <c r="IL318"/>
      <c r="IM318"/>
      <c r="IN318" s="4"/>
      <c r="IO318" s="4"/>
      <c r="IP318" s="4"/>
      <c r="IQ318" s="9"/>
      <c r="IR318" s="9"/>
      <c r="IS318" s="9"/>
      <c r="IT318" s="9"/>
      <c r="IU318" s="9"/>
      <c r="IV318"/>
      <c r="IW318"/>
      <c r="IX318"/>
      <c r="IY318"/>
      <c r="IZ318"/>
      <c r="JA318"/>
      <c r="JB318"/>
      <c r="JC318"/>
    </row>
    <row r="319" spans="1:263" ht="15" customHeight="1">
      <c r="A319" s="19">
        <v>102023114</v>
      </c>
      <c r="B319" s="18" t="s">
        <v>4368</v>
      </c>
      <c r="D319" s="1">
        <v>2025</v>
      </c>
      <c r="E319" s="3"/>
      <c r="F319" s="3"/>
      <c r="G319" s="18" t="s">
        <v>4546</v>
      </c>
      <c r="J319" s="18" t="s">
        <v>253</v>
      </c>
      <c r="K319" s="18" t="s">
        <v>4438</v>
      </c>
      <c r="L319" s="130" t="s">
        <v>4439</v>
      </c>
      <c r="M319" s="130" t="s">
        <v>392</v>
      </c>
      <c r="N319" s="130"/>
      <c r="O319" s="288"/>
      <c r="P319" s="130"/>
      <c r="Q319" s="130"/>
      <c r="R319" s="130"/>
      <c r="S319" s="130"/>
      <c r="AG319" s="43"/>
      <c r="AJ319" s="18" t="s">
        <v>328</v>
      </c>
      <c r="AL319" s="18" t="s">
        <v>600</v>
      </c>
      <c r="AM319"/>
      <c r="AN319"/>
      <c r="AO319" s="18" t="s">
        <v>4440</v>
      </c>
      <c r="AP319" s="3" t="s">
        <v>258</v>
      </c>
      <c r="AQ319" s="18" t="s">
        <v>279</v>
      </c>
      <c r="AR319" t="s">
        <v>268</v>
      </c>
      <c r="AX319" s="1"/>
      <c r="AY319" s="1"/>
      <c r="AZ319" s="1"/>
      <c r="BA319" s="1"/>
      <c r="BB319" s="1"/>
      <c r="BC319" s="2"/>
      <c r="BD319" s="116"/>
      <c r="BE319" s="115"/>
      <c r="BF319" s="2"/>
      <c r="BG319" s="2"/>
      <c r="BH319" s="2"/>
      <c r="BI319" s="2"/>
      <c r="BJ319" s="2"/>
      <c r="BK319" s="2"/>
      <c r="BL319" s="20">
        <f ca="1">SUM(DP319)+220</f>
        <v>423.82447500000001</v>
      </c>
      <c r="BM319" s="22">
        <f ca="1">PMT(10%/12,12,BL319,0,0)</f>
        <v>-37.260904749418025</v>
      </c>
      <c r="BN319" s="22">
        <f ca="1">SUM(BM319*-1)</f>
        <v>37.260904749418025</v>
      </c>
      <c r="BO319" s="14">
        <f>SUM(DX319*0.0052)/12</f>
        <v>10.4</v>
      </c>
      <c r="BP319" s="22">
        <f ca="1">SUM(BN319+BO319)</f>
        <v>47.660904749418023</v>
      </c>
      <c r="BQ319" s="14"/>
      <c r="BR319" s="14">
        <f>SUM(BQ319*0.1)</f>
        <v>0</v>
      </c>
      <c r="BS319" s="14">
        <f ca="1">SUM(BT319*BU319)</f>
        <v>0</v>
      </c>
      <c r="BT319" s="17">
        <f>SUM((BQ319+BR319)*0.00833333333333333)</f>
        <v>0</v>
      </c>
      <c r="BU319" s="23">
        <f ca="1">MONTH(TODAY())+49</f>
        <v>53</v>
      </c>
      <c r="BV319" s="14">
        <f ca="1">SUM(BQ319,BR319,BS319)</f>
        <v>0</v>
      </c>
      <c r="BW319" s="14"/>
      <c r="BX319" s="14">
        <f>SUM(BW319*0.1)</f>
        <v>0</v>
      </c>
      <c r="BY319" s="14">
        <f ca="1">SUM(BZ319*CA319)</f>
        <v>0</v>
      </c>
      <c r="BZ319" s="17">
        <f>SUM((BW319+BX319)*0.00833333333333333)</f>
        <v>0</v>
      </c>
      <c r="CA319" s="23">
        <f ca="1">MONTH(TODAY())+37</f>
        <v>41</v>
      </c>
      <c r="CB319" s="14">
        <f ca="1">SUM(BW319,BX319,BY319)</f>
        <v>0</v>
      </c>
      <c r="CC319" s="14">
        <v>0</v>
      </c>
      <c r="CD319" s="14">
        <f>SUM(CC319*0.1)</f>
        <v>0</v>
      </c>
      <c r="CE319" s="14">
        <f ca="1">SUM(CF319*CG319)</f>
        <v>0</v>
      </c>
      <c r="CF319" s="17">
        <f>SUM((CC319+CD319)*0.00833333333333333)</f>
        <v>0</v>
      </c>
      <c r="CG319" s="23">
        <f ca="1">MONTH(TODAY())+25</f>
        <v>29</v>
      </c>
      <c r="CH319" s="14">
        <f ca="1">SUM(CC319,CD319,CE319)</f>
        <v>0</v>
      </c>
      <c r="CI319" s="14">
        <f>SUM(DU319*0.0052)-105.09</f>
        <v>24.909999999999997</v>
      </c>
      <c r="CJ319" s="14">
        <f>SUM(CI319*0.1)</f>
        <v>2.4909999999999997</v>
      </c>
      <c r="CK319" s="14">
        <f ca="1">SUM(CL319*CM319)</f>
        <v>3.8818083333333311</v>
      </c>
      <c r="CL319" s="17">
        <f>SUM((CI319+CJ319)*0.00833333333333333)</f>
        <v>0.22834166666666653</v>
      </c>
      <c r="CM319" s="23">
        <f ca="1">MONTH(TODAY())+13</f>
        <v>17</v>
      </c>
      <c r="CN319" s="14">
        <f ca="1">SUM(CI319,CJ319,CK319)</f>
        <v>31.282808333333328</v>
      </c>
      <c r="CO319" s="14">
        <f>SUM(DU319*0.0052)/2</f>
        <v>65</v>
      </c>
      <c r="CP319" s="14">
        <f>SUM(CO319*0.1)</f>
        <v>6.5</v>
      </c>
      <c r="CQ319" s="14">
        <f ca="1">SUM(CR319*CS319)</f>
        <v>5.362499999999998</v>
      </c>
      <c r="CR319" s="17">
        <f>SUM((CO319+CP319)*0.00833333333333333)</f>
        <v>0.5958333333333331</v>
      </c>
      <c r="CS319" s="23">
        <f ca="1">MONTH(TODAY())+5</f>
        <v>9</v>
      </c>
      <c r="CT319" s="23">
        <f ca="1">SUM(CO319,CP319,CQ319)</f>
        <v>76.862499999999997</v>
      </c>
      <c r="CU319" s="14">
        <f>SUM(DU319*0.0052)/2</f>
        <v>65</v>
      </c>
      <c r="CV319" s="14">
        <f>SUM(CU319*0.1)</f>
        <v>6.5</v>
      </c>
      <c r="CW319" s="14">
        <f ca="1">SUM(CX319*CY319)</f>
        <v>2.9791666666666656</v>
      </c>
      <c r="CX319" s="17">
        <f>SUM((CU319+CV319)*0.00833333333333333)</f>
        <v>0.5958333333333331</v>
      </c>
      <c r="CY319" s="23">
        <f ca="1">MONTH(TODAY())+1</f>
        <v>5</v>
      </c>
      <c r="CZ319" s="23">
        <f ca="1">SUM(CU319,CV319,CW319)</f>
        <v>74.479166666666671</v>
      </c>
      <c r="DA319" s="14">
        <f>SUM( BQ319, BW319, CC319, CI319, CO319,CU319)</f>
        <v>154.91</v>
      </c>
      <c r="DB319" s="14">
        <f>SUM(BR319,BX319,CD319,CJ319, CP319,CV319)</f>
        <v>15.491</v>
      </c>
      <c r="DC319" s="14">
        <f ca="1">SUM(BS319,BY319,CE319,CK319, CQ319,CW319)</f>
        <v>12.223474999999995</v>
      </c>
      <c r="DD319" s="25">
        <f ca="1">SUM(DA319:DC319)</f>
        <v>182.62447500000002</v>
      </c>
      <c r="DE319" s="47">
        <f ca="1">SUM(DD319/DU319)</f>
        <v>7.3049790000000005E-3</v>
      </c>
      <c r="DF319" s="14">
        <v>20</v>
      </c>
      <c r="DG319" s="32">
        <f>COUNTIF(DL319, "*")+COUNTIF(AO319, "*")+COUNTIF(AJ319, "*")+COUNTIF(AA319, "*")+COUNTIF(EM319, "*")+COUNTIF(ES319, "*")+COUNTIF(EY319, "*")+COUNTIF(FC319, "*")+COUNTIF(FJ319, "*")+COUNTIF(AT319, "*")+COUNTIF(FS319, "*")+COUNTIF(GD319, "*")+COUNTIF(GO319, "*")+COUNTIF(GW319, "*")+COUNTIF(HE319, "*")+COUNTIF(HM319, "*")+COUNTIF(HU319, "*")</f>
        <v>2</v>
      </c>
      <c r="DH319" s="14">
        <f>DG319*0.6</f>
        <v>1.2</v>
      </c>
      <c r="DI319" s="4"/>
      <c r="DJ319" s="4"/>
      <c r="DK319" s="4"/>
      <c r="DL319" s="4"/>
      <c r="DN319" s="4"/>
      <c r="DO319" s="14">
        <f>SUM(DJ319:DN319)</f>
        <v>0</v>
      </c>
      <c r="DP319" s="14">
        <f ca="1">SUM(DD319,DF319,DO319, DI319, DH319,FP319)</f>
        <v>203.82447500000001</v>
      </c>
      <c r="DQ319" s="24" t="s">
        <v>3879</v>
      </c>
      <c r="DR319" s="130">
        <v>0.46</v>
      </c>
      <c r="DS319" s="14">
        <v>25000</v>
      </c>
      <c r="DT319" s="14">
        <v>0</v>
      </c>
      <c r="DU319" s="14">
        <v>25000</v>
      </c>
      <c r="DV319" s="14">
        <v>24000</v>
      </c>
      <c r="DW319" s="14">
        <v>0</v>
      </c>
      <c r="DX319" s="14">
        <f>SUM(DV319+DW319)</f>
        <v>24000</v>
      </c>
      <c r="IA319" s="9"/>
      <c r="IL319" s="14">
        <f ca="1">SUM(IB319-DP319-FP319-IJ319)</f>
        <v>-203.82447500000001</v>
      </c>
      <c r="IM319" s="9"/>
      <c r="IN319" s="9"/>
      <c r="IO319" s="9"/>
      <c r="IP319" s="9"/>
      <c r="IQ319" s="9"/>
    </row>
    <row r="320" spans="1:263" s="243" customFormat="1" ht="15" customHeight="1">
      <c r="A320" s="2">
        <v>102017011</v>
      </c>
      <c r="B320" t="s">
        <v>785</v>
      </c>
      <c r="C320"/>
      <c r="D320"/>
      <c r="E320" t="s">
        <v>786</v>
      </c>
      <c r="F320">
        <v>180002378</v>
      </c>
      <c r="G320"/>
      <c r="H320"/>
      <c r="I320"/>
      <c r="J320" t="s">
        <v>305</v>
      </c>
      <c r="K320" t="s">
        <v>787</v>
      </c>
      <c r="L320" t="s">
        <v>673</v>
      </c>
      <c r="M320" t="s">
        <v>537</v>
      </c>
      <c r="N320" t="s">
        <v>341</v>
      </c>
      <c r="O320" s="1" t="s">
        <v>258</v>
      </c>
      <c r="P320" t="s">
        <v>787</v>
      </c>
      <c r="Q320" t="s">
        <v>788</v>
      </c>
      <c r="R320" t="s">
        <v>354</v>
      </c>
      <c r="S320"/>
      <c r="T320" s="1"/>
      <c r="U320"/>
      <c r="V320"/>
      <c r="W320"/>
      <c r="X320"/>
      <c r="Y320"/>
      <c r="Z320"/>
      <c r="AA320"/>
      <c r="AB320"/>
      <c r="AC320"/>
      <c r="AD320"/>
      <c r="AE320" s="1"/>
      <c r="AF320"/>
      <c r="AG320" s="3"/>
      <c r="AH320"/>
      <c r="AI320"/>
      <c r="AJ320" s="4"/>
      <c r="AK320" s="4"/>
      <c r="AL320" s="4"/>
      <c r="AM320" s="34"/>
      <c r="AN320" s="3"/>
      <c r="AO320"/>
      <c r="AP320" s="1"/>
      <c r="AQ320" s="34"/>
      <c r="AR320" s="34"/>
      <c r="AS320" s="5"/>
      <c r="AT320" s="1"/>
      <c r="AU320" s="1"/>
      <c r="AV320" s="1"/>
      <c r="AW320" s="1"/>
      <c r="AX320" s="15"/>
      <c r="AY320" s="15"/>
      <c r="AZ320" s="15"/>
      <c r="BA320" s="15"/>
      <c r="BB320" s="1"/>
      <c r="BC320" s="15"/>
      <c r="BD320" s="15"/>
      <c r="BE320" s="15"/>
      <c r="BF320" s="15"/>
      <c r="BG320" s="5"/>
      <c r="BH320" s="16"/>
      <c r="BI320" s="16"/>
      <c r="BJ320"/>
      <c r="BK320" s="4"/>
      <c r="BL320" s="4"/>
      <c r="BM320" s="6"/>
      <c r="BN320" s="7"/>
      <c r="BO320" s="4"/>
      <c r="BP320"/>
      <c r="BQ320" s="4"/>
      <c r="BR320" s="4"/>
      <c r="BS320" s="6"/>
      <c r="BT320" s="7"/>
      <c r="BU320" s="4"/>
      <c r="BV320" s="4"/>
      <c r="BW320" s="4"/>
      <c r="BX320" s="4"/>
      <c r="BY320" s="6"/>
      <c r="BZ320" s="7"/>
      <c r="CA320" s="4"/>
      <c r="CB320"/>
      <c r="CC320" s="4"/>
      <c r="CD320" s="4"/>
      <c r="CE320" s="6"/>
      <c r="CF320" s="7"/>
      <c r="CG320" s="4"/>
      <c r="CH320" s="4"/>
      <c r="CI320" s="4"/>
      <c r="CJ320" s="4"/>
      <c r="CK320" s="6"/>
      <c r="CL320" s="7"/>
      <c r="CM320" s="4"/>
      <c r="CN320" s="4"/>
      <c r="CO320" s="4"/>
      <c r="CP320" s="4"/>
      <c r="CQ320" s="6"/>
      <c r="CR320" s="7"/>
      <c r="CS320" s="4"/>
      <c r="CT320" s="4"/>
      <c r="CU320" s="4"/>
      <c r="CV320" s="4"/>
      <c r="CW320" s="6"/>
      <c r="CX320" s="7"/>
      <c r="CY320" s="4"/>
      <c r="CZ320" s="4"/>
      <c r="DA320" s="4"/>
      <c r="DB320" s="4"/>
      <c r="DC320" s="6"/>
      <c r="DD320" s="7"/>
      <c r="DE320" s="4"/>
      <c r="DF320" s="4"/>
      <c r="DG320" s="4"/>
      <c r="DH320" s="4"/>
      <c r="DI320" s="6"/>
      <c r="DJ320" s="7"/>
      <c r="DK320" s="4"/>
      <c r="DL320" s="4"/>
      <c r="DM320" s="4"/>
      <c r="DN320" s="4"/>
      <c r="DO320" s="4"/>
      <c r="DP320" s="4"/>
      <c r="DQ320" s="3"/>
      <c r="DR320" s="4"/>
      <c r="DS320" s="4"/>
      <c r="DT320" s="4"/>
      <c r="DU320" s="4"/>
      <c r="DV320" s="4"/>
      <c r="DW320" s="4"/>
      <c r="DX320" s="4"/>
      <c r="DY320" s="4"/>
      <c r="DZ320" s="4"/>
      <c r="EA320" s="4"/>
      <c r="EB320" s="4"/>
      <c r="EC320" s="4"/>
      <c r="ED320" s="4"/>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s="9"/>
      <c r="FM320" s="10"/>
      <c r="FN320"/>
      <c r="FO320"/>
      <c r="FP320"/>
      <c r="FQ320"/>
      <c r="FR320"/>
      <c r="FS320"/>
      <c r="FT320" s="10"/>
      <c r="FU320" s="9"/>
      <c r="FV320"/>
      <c r="FW320"/>
      <c r="FX320"/>
      <c r="FY320"/>
      <c r="FZ320"/>
      <c r="GA320"/>
      <c r="GB320"/>
      <c r="GC320"/>
      <c r="GD320"/>
      <c r="GE320"/>
      <c r="GF320"/>
      <c r="GG320" s="9"/>
      <c r="GH320"/>
      <c r="GI320"/>
      <c r="GJ320"/>
      <c r="GK320"/>
      <c r="GL320"/>
      <c r="GM320"/>
      <c r="GN320"/>
      <c r="GO320"/>
      <c r="GP320"/>
      <c r="GQ320"/>
      <c r="GR320" s="9"/>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s="9"/>
      <c r="IL320"/>
      <c r="IM320"/>
      <c r="IN320"/>
      <c r="IO320"/>
      <c r="IP320"/>
      <c r="IQ320"/>
      <c r="IR320"/>
      <c r="IS320"/>
      <c r="IT320"/>
      <c r="IU320"/>
      <c r="IV320"/>
      <c r="IW320"/>
      <c r="IX320"/>
      <c r="IY320"/>
      <c r="IZ320"/>
      <c r="JA320"/>
      <c r="JB320"/>
      <c r="JC320"/>
    </row>
    <row r="321" spans="1:263" s="240" customFormat="1" ht="15" customHeight="1">
      <c r="A321" s="19">
        <v>102022110</v>
      </c>
      <c r="B321" t="s">
        <v>2850</v>
      </c>
      <c r="C321"/>
      <c r="D321" s="1"/>
      <c r="E321" s="3"/>
      <c r="F321" s="3"/>
      <c r="G321"/>
      <c r="H321"/>
      <c r="I321"/>
      <c r="J321" t="s">
        <v>311</v>
      </c>
      <c r="K321" t="s">
        <v>1186</v>
      </c>
      <c r="L321" t="s">
        <v>3083</v>
      </c>
      <c r="M321"/>
      <c r="N321"/>
      <c r="O321"/>
      <c r="P321"/>
      <c r="Q321"/>
      <c r="R321"/>
      <c r="S321"/>
      <c r="T321"/>
      <c r="U321"/>
      <c r="V321"/>
      <c r="W321"/>
      <c r="X321"/>
      <c r="Y321"/>
      <c r="Z321"/>
      <c r="AA321"/>
      <c r="AB321"/>
      <c r="AC321"/>
      <c r="AD321"/>
      <c r="AE321"/>
      <c r="AF321"/>
      <c r="AG321" s="43"/>
      <c r="AH321"/>
      <c r="AI321"/>
      <c r="AJ321" t="s">
        <v>3108</v>
      </c>
      <c r="AK321" t="s">
        <v>258</v>
      </c>
      <c r="AL321" t="s">
        <v>600</v>
      </c>
      <c r="AM321" t="s">
        <v>260</v>
      </c>
      <c r="AN321"/>
      <c r="AO321" s="3" t="s">
        <v>773</v>
      </c>
      <c r="AP321" s="3" t="s">
        <v>258</v>
      </c>
      <c r="AQ321" t="s">
        <v>386</v>
      </c>
      <c r="AR321" t="s">
        <v>260</v>
      </c>
      <c r="AS321" s="1"/>
      <c r="AT321" s="1"/>
      <c r="AU321" s="1"/>
      <c r="AV321" s="1"/>
      <c r="AW321" s="1"/>
      <c r="AX321" s="2"/>
      <c r="AY321" s="116"/>
      <c r="AZ321" s="115"/>
      <c r="BA321" s="2"/>
      <c r="BB321" s="2"/>
      <c r="BC321" s="2"/>
      <c r="BD321" s="2"/>
      <c r="BE321" s="2"/>
      <c r="BF321" s="2"/>
      <c r="BG321" s="20">
        <f ca="1">SUM(CY321)+58.5+58.5</f>
        <v>1015.4532666666667</v>
      </c>
      <c r="BH321" s="22">
        <f ca="1">PMT(10%/12,12,BG321,0,0)</f>
        <v>-89.274474879611532</v>
      </c>
      <c r="BI321" s="22">
        <f ca="1">SUM(BH321*-1)</f>
        <v>89.274474879611532</v>
      </c>
      <c r="BJ321" s="14">
        <f>SUM(DI321*0.0052)/12</f>
        <v>30.463333333333335</v>
      </c>
      <c r="BK321" s="22">
        <f ca="1">SUM(BI321+BJ321)</f>
        <v>119.73780821294487</v>
      </c>
      <c r="BL321" s="14"/>
      <c r="BM321" s="14">
        <f>SUM(BL321*0.1)</f>
        <v>0</v>
      </c>
      <c r="BN321" s="14">
        <f ca="1">SUM(BO321*BP321)</f>
        <v>0</v>
      </c>
      <c r="BO321" s="17">
        <f>SUM((BL321+BM321)*0.00833333333333333)</f>
        <v>0</v>
      </c>
      <c r="BP321" s="23">
        <f ca="1">MONTH(TODAY())+49</f>
        <v>53</v>
      </c>
      <c r="BQ321" s="14">
        <f ca="1">SUM(BL321,BM321,BN321)</f>
        <v>0</v>
      </c>
      <c r="BR321" s="14"/>
      <c r="BS321" s="14">
        <f>SUM(BR321*0.1)</f>
        <v>0</v>
      </c>
      <c r="BT321" s="14">
        <f ca="1">SUM(BU321*BV321)</f>
        <v>0</v>
      </c>
      <c r="BU321" s="17">
        <f>SUM((BR321+BS321)*0.00833333333333333)</f>
        <v>0</v>
      </c>
      <c r="BV321" s="23">
        <f ca="1">MONTH(TODAY())+37</f>
        <v>41</v>
      </c>
      <c r="BW321" s="14">
        <f ca="1">SUM(BR321,BS321,BT321)</f>
        <v>0</v>
      </c>
      <c r="BX321" s="14"/>
      <c r="BY321" s="14">
        <f>SUM(BX321*0.1)</f>
        <v>0</v>
      </c>
      <c r="BZ321" s="14">
        <f ca="1">SUM(CA321*CB321)</f>
        <v>0</v>
      </c>
      <c r="CA321" s="17">
        <f>SUM((BX321+BY321)*0.00833333333333333)</f>
        <v>0</v>
      </c>
      <c r="CB321" s="23">
        <f ca="1">MONTH(TODAY())+25</f>
        <v>29</v>
      </c>
      <c r="CC321" s="14">
        <f ca="1">SUM(BX321,BY321,BZ321)</f>
        <v>0</v>
      </c>
      <c r="CD321" s="14">
        <f>SUM(DI321*0.0052)</f>
        <v>365.56</v>
      </c>
      <c r="CE321" s="14">
        <f>SUM(CD321*0.1)</f>
        <v>36.556000000000004</v>
      </c>
      <c r="CF321" s="14">
        <f ca="1">SUM(CG321*CH321)</f>
        <v>56.966433333333306</v>
      </c>
      <c r="CG321" s="17">
        <f>SUM((CD321+CE321)*0.00833333333333333)</f>
        <v>3.3509666666666651</v>
      </c>
      <c r="CH321" s="23">
        <f ca="1">MONTH(TODAY())+13</f>
        <v>17</v>
      </c>
      <c r="CI321" s="14">
        <f ca="1">SUM(CD321,CE321,CF321)</f>
        <v>459.08243333333331</v>
      </c>
      <c r="CJ321" s="14">
        <f>SUM(DI321*0.0052)</f>
        <v>365.56</v>
      </c>
      <c r="CK321" s="14">
        <f>SUM(CJ321*0.1)</f>
        <v>36.556000000000004</v>
      </c>
      <c r="CL321" s="14">
        <f ca="1">SUM(CM321*CN321)</f>
        <v>16.754833333333327</v>
      </c>
      <c r="CM321" s="17">
        <f>SUM((CJ321+CK321)*0.00833333333333333)</f>
        <v>3.3509666666666651</v>
      </c>
      <c r="CN321" s="23">
        <f ca="1">MONTH(TODAY())+1</f>
        <v>5</v>
      </c>
      <c r="CO321" s="14">
        <f ca="1">SUM(CJ321,CK321,CL321)</f>
        <v>418.87083333333334</v>
      </c>
      <c r="CP321" s="14">
        <f>SUM(BL321, BR321,BX321,CD321,CJ321)</f>
        <v>731.12</v>
      </c>
      <c r="CQ321" s="14">
        <f>SUM(BM321, BS321,BY321,CE321,CK321)</f>
        <v>73.112000000000009</v>
      </c>
      <c r="CR321" s="14">
        <f ca="1">SUM(BN321, BT321,BZ321,CF321,CL321)</f>
        <v>73.721266666666637</v>
      </c>
      <c r="CS321" s="14">
        <f ca="1">SUM(CP321:CR321)</f>
        <v>877.95326666666665</v>
      </c>
      <c r="CT321" s="47">
        <f ca="1">SUM(CS321/DI321)</f>
        <v>1.2488666666666667E-2</v>
      </c>
      <c r="CU321" s="14">
        <v>19.5</v>
      </c>
      <c r="CV321" s="32">
        <f>COUNTIF(DB321, "*")+COUNTIF(AO321, "*")+COUNTIF(AJ321, "*")+COUNTIF(AA321, "*")+COUNTIF(DY321, "*")+COUNTIF(EE321, "*")+COUNTIF(EK321, "*")+COUNTIF(EO321, "*")+COUNTIF(EV321, "*")+COUNTIF(FC321, "*")+COUNTIF(FJ321, "*")+COUNTIF(FU321, "*")+COUNTIF(GF321, "*")+COUNTIF(GN321, "*")+COUNTIF(GV321, "*")+COUNTIF(HD321, "*")+COUNTIF(HL321, "*")</f>
        <v>2</v>
      </c>
      <c r="CW321" s="14">
        <f>CV321*0.5</f>
        <v>1</v>
      </c>
      <c r="CX321" s="4"/>
      <c r="CY321" s="14">
        <f ca="1">SUM(CS321,CU321,DE321, CX321, CW321,FG321)</f>
        <v>898.45326666666665</v>
      </c>
      <c r="CZ321" s="4"/>
      <c r="DA321"/>
      <c r="DB321"/>
      <c r="DC321"/>
      <c r="DD321"/>
      <c r="DE321" s="14">
        <f>SUM(CZ321:DD321)</f>
        <v>0</v>
      </c>
      <c r="DF321" s="24" t="s">
        <v>2773</v>
      </c>
      <c r="DG321" s="4">
        <v>25000</v>
      </c>
      <c r="DH321" s="4">
        <v>45300</v>
      </c>
      <c r="DI321" s="25">
        <f>SUM(DG321+DH321)</f>
        <v>70300</v>
      </c>
      <c r="DJ321" s="35">
        <v>0.43</v>
      </c>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s="4"/>
      <c r="ID321"/>
      <c r="IE321"/>
      <c r="IF321"/>
      <c r="IG321"/>
      <c r="IH321"/>
      <c r="II321"/>
      <c r="IJ321"/>
      <c r="IK321"/>
      <c r="IL321"/>
      <c r="IM321"/>
      <c r="IN321"/>
      <c r="IO321"/>
      <c r="IP321"/>
      <c r="IQ321"/>
      <c r="IR321"/>
      <c r="IS321"/>
      <c r="IT321"/>
      <c r="IU321"/>
      <c r="IV321"/>
      <c r="IW321"/>
      <c r="IX321"/>
      <c r="IY321"/>
      <c r="IZ321"/>
      <c r="JA321"/>
      <c r="JB321"/>
      <c r="JC321"/>
    </row>
    <row r="322" spans="1:263" ht="15" customHeight="1">
      <c r="A322" s="19">
        <v>102021080</v>
      </c>
      <c r="B322" s="18" t="s">
        <v>2572</v>
      </c>
      <c r="C322" s="18"/>
      <c r="D322" s="13"/>
      <c r="E322" s="18"/>
      <c r="F322" s="18"/>
      <c r="G322" s="18"/>
      <c r="H322" s="18"/>
      <c r="I322" s="18"/>
      <c r="J322" s="18" t="s">
        <v>311</v>
      </c>
      <c r="K322" s="18" t="s">
        <v>2571</v>
      </c>
      <c r="L322" s="18" t="s">
        <v>953</v>
      </c>
      <c r="M322" s="18" t="s">
        <v>426</v>
      </c>
      <c r="N322" s="18"/>
      <c r="O322" s="18"/>
      <c r="P322" s="18"/>
      <c r="Q322" s="18"/>
      <c r="R322" s="18"/>
      <c r="S322" s="18"/>
      <c r="T322" s="18"/>
      <c r="U322" s="18"/>
      <c r="V322" s="18"/>
      <c r="W322" s="18"/>
      <c r="X322" s="18"/>
      <c r="Y322" s="18"/>
      <c r="Z322" s="18"/>
      <c r="AA322" s="18"/>
      <c r="AB322" s="18"/>
      <c r="AC322" s="18"/>
      <c r="AD322" s="18"/>
      <c r="AE322" s="18"/>
      <c r="AF322" s="18"/>
      <c r="AG322" s="231"/>
      <c r="AH322" s="18"/>
      <c r="AI322" s="18"/>
      <c r="AJ322" s="18" t="s">
        <v>328</v>
      </c>
      <c r="AK322" s="18"/>
      <c r="AL322" s="18" t="s">
        <v>600</v>
      </c>
      <c r="AM322" s="24"/>
      <c r="AN322" s="24"/>
      <c r="AO322" s="18" t="s">
        <v>2573</v>
      </c>
      <c r="AP322" s="13" t="s">
        <v>258</v>
      </c>
      <c r="AQ322" s="24" t="s">
        <v>267</v>
      </c>
      <c r="AR322" s="24" t="s">
        <v>260</v>
      </c>
      <c r="AS322" s="13"/>
      <c r="AT322" s="13"/>
      <c r="AU322" s="13"/>
      <c r="AV322" s="13"/>
      <c r="AW322" s="13"/>
      <c r="AX322" s="19"/>
      <c r="AY322" s="19"/>
      <c r="AZ322" s="48"/>
      <c r="BA322" s="19"/>
      <c r="BB322" s="19"/>
      <c r="BC322" s="19"/>
      <c r="BD322" s="19"/>
      <c r="BE322" s="19"/>
      <c r="BF322" s="19"/>
      <c r="BG322" s="20"/>
      <c r="BH322" s="22"/>
      <c r="BI322" s="22"/>
      <c r="BJ322" s="14"/>
      <c r="BK322" s="22"/>
      <c r="BL322" s="14"/>
      <c r="BM322" s="14"/>
      <c r="BN322" s="14"/>
      <c r="BO322" s="17"/>
      <c r="BP322" s="23"/>
      <c r="BQ322" s="14"/>
      <c r="BR322" s="14"/>
      <c r="BS322" s="14"/>
      <c r="BT322" s="14"/>
      <c r="BU322" s="17"/>
      <c r="BV322" s="23"/>
      <c r="BW322" s="14"/>
      <c r="BX322" s="14"/>
      <c r="BY322" s="14"/>
      <c r="BZ322" s="14"/>
      <c r="CA322" s="17"/>
      <c r="CB322" s="23"/>
      <c r="CC322" s="14"/>
      <c r="CD322" s="14"/>
      <c r="CE322" s="14"/>
      <c r="CF322" s="14"/>
      <c r="CG322" s="17"/>
      <c r="CH322" s="23"/>
      <c r="CI322" s="14"/>
      <c r="CJ322" s="14"/>
      <c r="CK322" s="14"/>
      <c r="CL322" s="14"/>
      <c r="CM322" s="17"/>
      <c r="CN322" s="23"/>
      <c r="CO322" s="14"/>
      <c r="CP322" s="14"/>
      <c r="CQ322" s="14"/>
      <c r="CR322" s="14"/>
      <c r="CS322" s="17"/>
      <c r="CT322" s="23"/>
      <c r="CU322" s="14"/>
      <c r="CV322" s="14"/>
      <c r="CW322" s="14"/>
      <c r="CX322" s="14"/>
      <c r="CY322" s="14"/>
      <c r="CZ322" s="14"/>
      <c r="DA322" s="14"/>
      <c r="DB322" s="14"/>
      <c r="DC322" s="14"/>
      <c r="DD322" s="14"/>
      <c r="DE322" s="14"/>
      <c r="DF322" s="47"/>
      <c r="DG322" s="14"/>
      <c r="DH322" s="32"/>
      <c r="DI322" s="14"/>
      <c r="DJ322" s="18"/>
      <c r="DK322" s="14">
        <f>SUM(DE322,DG322,DQ322, DJ322, DI322,FS322)</f>
        <v>0</v>
      </c>
      <c r="DL322" s="18"/>
      <c r="DM322" s="18"/>
      <c r="DN322" s="18"/>
      <c r="DO322" s="18"/>
      <c r="DP322" s="18"/>
      <c r="DQ322" s="14">
        <f>SUM(DL322:DP322)</f>
        <v>0</v>
      </c>
      <c r="DR322" s="24" t="s">
        <v>1944</v>
      </c>
      <c r="DS322" s="14">
        <v>5000</v>
      </c>
      <c r="DT322" s="14">
        <v>0</v>
      </c>
      <c r="DU322" s="25">
        <f>SUM(DS322+DT322)</f>
        <v>5000</v>
      </c>
      <c r="DV322" s="36">
        <v>0.66900000000000004</v>
      </c>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row>
    <row r="323" spans="1:263" s="240" customFormat="1" ht="15" customHeight="1">
      <c r="A323" s="19">
        <v>102022189</v>
      </c>
      <c r="B323" t="s">
        <v>2912</v>
      </c>
      <c r="C323" s="10"/>
      <c r="D323" s="161"/>
      <c r="E323" s="147"/>
      <c r="F323" s="160"/>
      <c r="G323" s="147">
        <v>220000987</v>
      </c>
      <c r="H323" s="10"/>
      <c r="I323" s="10"/>
      <c r="J323" s="10" t="s">
        <v>253</v>
      </c>
      <c r="K323" s="10" t="s">
        <v>3251</v>
      </c>
      <c r="L323" s="10" t="s">
        <v>3252</v>
      </c>
      <c r="M323" s="10" t="s">
        <v>256</v>
      </c>
      <c r="N323" s="10"/>
      <c r="O323" s="147"/>
      <c r="P323" s="10"/>
      <c r="Q323" s="10"/>
      <c r="R323" s="10"/>
      <c r="S323" s="10"/>
      <c r="T323" s="10"/>
      <c r="U323" s="10"/>
      <c r="V323" s="10"/>
      <c r="W323" s="10"/>
      <c r="X323" s="10"/>
      <c r="Y323" s="10"/>
      <c r="Z323" s="10"/>
      <c r="AA323" s="10"/>
      <c r="AB323" s="10"/>
      <c r="AC323" s="10"/>
      <c r="AD323" s="10"/>
      <c r="AE323" s="10"/>
      <c r="AF323" s="10"/>
      <c r="AG323" s="141" t="s">
        <v>3342</v>
      </c>
      <c r="AH323" s="10"/>
      <c r="AI323" s="10"/>
      <c r="AJ323"/>
      <c r="AK323" s="1"/>
      <c r="AL323"/>
      <c r="AM323"/>
      <c r="AN323"/>
      <c r="AO323" t="s">
        <v>3250</v>
      </c>
      <c r="AP323" s="1" t="s">
        <v>258</v>
      </c>
      <c r="AQ323" t="s">
        <v>600</v>
      </c>
      <c r="AR323" t="s">
        <v>260</v>
      </c>
      <c r="AS323"/>
      <c r="AT323"/>
      <c r="AU323"/>
      <c r="AV323"/>
      <c r="AW323"/>
      <c r="AX323" s="1"/>
      <c r="AY323" s="1"/>
      <c r="AZ323" s="1"/>
      <c r="BA323" s="1"/>
      <c r="BB323" s="1"/>
      <c r="BC323" s="70"/>
      <c r="BD323" s="115"/>
      <c r="BE323" s="144"/>
      <c r="BF323" s="70"/>
      <c r="BG323" s="2"/>
      <c r="BH323" s="70"/>
      <c r="BI323" s="70"/>
      <c r="BJ323" s="70"/>
      <c r="BK323" s="70"/>
      <c r="BL323" s="20">
        <f ca="1">SUM(EH323)+220</f>
        <v>2317.1109333333334</v>
      </c>
      <c r="BM323" s="22">
        <f ca="1">PMT(10%/12,12,BL323,0,0)</f>
        <v>-203.71086351435559</v>
      </c>
      <c r="BN323" s="22">
        <f ca="1">SUM(BM323*-1)</f>
        <v>203.71086351435559</v>
      </c>
      <c r="BO323" s="14">
        <f>SUM(EP323*0.0052)/12</f>
        <v>42.77</v>
      </c>
      <c r="BP323" s="22">
        <f ca="1">SUM(BN323+BO323)</f>
        <v>246.4808635143556</v>
      </c>
      <c r="BQ323" s="14"/>
      <c r="BR323" s="14">
        <f>SUM(BQ323*0.1)</f>
        <v>0</v>
      </c>
      <c r="BS323" s="14">
        <f ca="1">SUM(BT323*BU323)</f>
        <v>0</v>
      </c>
      <c r="BT323" s="17">
        <f>SUM((BQ323+BR323)*0.00833333333333333)</f>
        <v>0</v>
      </c>
      <c r="BU323" s="23">
        <f ca="1">MONTH(TODAY())+49</f>
        <v>53</v>
      </c>
      <c r="BV323" s="14">
        <f ca="1">SUM(BQ323,BR323,BS323)</f>
        <v>0</v>
      </c>
      <c r="BW323" s="14">
        <v>124.99</v>
      </c>
      <c r="BX323" s="14">
        <f>SUM(BW323*0.1)</f>
        <v>12.499000000000001</v>
      </c>
      <c r="BY323" s="14">
        <f ca="1">SUM(BZ323*CA323)</f>
        <v>46.975408333333313</v>
      </c>
      <c r="BZ323" s="17">
        <f>SUM((BW323+BX323)*0.00833333333333333)</f>
        <v>1.1457416666666662</v>
      </c>
      <c r="CA323" s="23">
        <f ca="1">MONTH(TODAY())+37</f>
        <v>41</v>
      </c>
      <c r="CB323" s="14">
        <f ca="1">SUM(BW323,BX323,BY323)</f>
        <v>184.46440833333332</v>
      </c>
      <c r="CC323" s="14">
        <f>SUM(EM323*0.0052)</f>
        <v>342.15999999999997</v>
      </c>
      <c r="CD323" s="14">
        <f>SUM(CC323*0.1)</f>
        <v>34.216000000000001</v>
      </c>
      <c r="CE323" s="14">
        <f ca="1">SUM(CF323*CG323)</f>
        <v>90.957533333333288</v>
      </c>
      <c r="CF323" s="17">
        <f>SUM((CC323+CD323)*0.00833333333333333)</f>
        <v>3.136466666666665</v>
      </c>
      <c r="CG323" s="23">
        <f ca="1">MONTH(TODAY())+25</f>
        <v>29</v>
      </c>
      <c r="CH323" s="14">
        <f ca="1">SUM(CC323,CD323,CE323)</f>
        <v>467.33353333333326</v>
      </c>
      <c r="CI323" s="14">
        <f>SUM(EM323*0.0052)/2</f>
        <v>171.07999999999998</v>
      </c>
      <c r="CJ323" s="14">
        <f>SUM(CI323*0.1)</f>
        <v>17.108000000000001</v>
      </c>
      <c r="CK323" s="14">
        <f ca="1">SUM(CL323*CM323)</f>
        <v>32.932899999999982</v>
      </c>
      <c r="CL323" s="17">
        <f>SUM((CI323+CJ323)*0.00833333333333333)</f>
        <v>1.5682333333333325</v>
      </c>
      <c r="CM323" s="23">
        <f ca="1">MONTH(TODAY())+17</f>
        <v>21</v>
      </c>
      <c r="CN323" s="23">
        <f ca="1">SUM(CI323,CJ323,CK323)</f>
        <v>221.12089999999998</v>
      </c>
      <c r="CO323" s="14">
        <f>SUM(EM323*0.0052)/2</f>
        <v>171.07999999999998</v>
      </c>
      <c r="CP323" s="14">
        <f>SUM(CO323*0.1)</f>
        <v>17.108000000000001</v>
      </c>
      <c r="CQ323" s="14">
        <f ca="1">SUM(CR323*CS323)</f>
        <v>26.659966666666651</v>
      </c>
      <c r="CR323" s="17">
        <f>SUM((CO323+CP323)*0.00833333333333333)</f>
        <v>1.5682333333333325</v>
      </c>
      <c r="CS323" s="23">
        <f ca="1">MONTH(TODAY())+13</f>
        <v>17</v>
      </c>
      <c r="CT323" s="14">
        <f ca="1">SUM(CO323,CP323,CQ323)</f>
        <v>214.84796666666665</v>
      </c>
      <c r="CU323" s="14">
        <f>SUM(EP323*0.0045)/2</f>
        <v>222.07499999999999</v>
      </c>
      <c r="CV323" s="14">
        <f>SUM(CU323*0.1)</f>
        <v>22.2075</v>
      </c>
      <c r="CW323" s="14">
        <f ca="1">SUM(CX323*CY323)</f>
        <v>22.39256249999999</v>
      </c>
      <c r="CX323" s="17">
        <f>SUM((CU323+CV323)*0.00833333333333333)</f>
        <v>2.035687499999999</v>
      </c>
      <c r="CY323" s="23">
        <f ca="1">MONTH(TODAY())+7</f>
        <v>11</v>
      </c>
      <c r="CZ323" s="14">
        <f ca="1">SUM(CU323,CV323,CW323)</f>
        <v>266.67506249999997</v>
      </c>
      <c r="DA323" s="14">
        <f>SUM(EP323*0.0045)/2</f>
        <v>222.07499999999999</v>
      </c>
      <c r="DB323" s="14">
        <f>SUM(DA323*0.1)</f>
        <v>22.2075</v>
      </c>
      <c r="DC323" s="14">
        <f ca="1">SUM(DD323*DE323)</f>
        <v>10.178437499999994</v>
      </c>
      <c r="DD323" s="17">
        <f>SUM((DA323+DB323)*0.00833333333333333)</f>
        <v>2.035687499999999</v>
      </c>
      <c r="DE323" s="23">
        <f ca="1">MONTH(TODAY())+1</f>
        <v>5</v>
      </c>
      <c r="DF323" s="14">
        <f ca="1">SUM(DA323,DB323,DC323)</f>
        <v>254.4609375</v>
      </c>
      <c r="DG323" s="14">
        <f>SUM(EP323*0.0045)/2</f>
        <v>222.07499999999999</v>
      </c>
      <c r="DH323" s="14">
        <f>SUM(DG323*0.1)</f>
        <v>22.2075</v>
      </c>
      <c r="DI323" s="14">
        <f ca="1">SUM(DJ323*DK323)</f>
        <v>-6.107062499999997</v>
      </c>
      <c r="DJ323" s="17">
        <f>SUM((DG323+DH323)*0.00833333333333333)</f>
        <v>2.035687499999999</v>
      </c>
      <c r="DK323" s="23">
        <f ca="1">MONTH(TODAY())-7</f>
        <v>-3</v>
      </c>
      <c r="DL323" s="14">
        <f ca="1">SUM(DG323,DH323,DI323)</f>
        <v>238.17543750000002</v>
      </c>
      <c r="DM323" s="14">
        <f>SUM(EP323*0.0045)/2</f>
        <v>222.07499999999999</v>
      </c>
      <c r="DN323" s="14">
        <f>SUM(DM323*0.1)</f>
        <v>22.2075</v>
      </c>
      <c r="DO323" s="14">
        <f ca="1">SUM(DP323*DQ323)</f>
        <v>-14.249812499999994</v>
      </c>
      <c r="DP323" s="17">
        <f>SUM((DM323+DN323)*0.00833333333333333)</f>
        <v>2.035687499999999</v>
      </c>
      <c r="DQ323" s="23">
        <f ca="1">MONTH(TODAY())-11</f>
        <v>-7</v>
      </c>
      <c r="DR323" s="14">
        <f ca="1">SUM(DM323,DN323,DO323)</f>
        <v>230.03268750000001</v>
      </c>
      <c r="DS323" s="14">
        <f>SUM(BQ323, BW323, CC323, CI323,CO323,CU323,DA323,DG323,DM323)</f>
        <v>1697.6100000000001</v>
      </c>
      <c r="DT323" s="14">
        <f>SUM(BR323,BX323,CD323, CJ323,CP323,CV323,DB323,DH323,DN323)</f>
        <v>169.76100000000002</v>
      </c>
      <c r="DU323" s="14">
        <f ca="1">SUM(BS323,BY323,CE323, CK323,CQ323,CW323,DC323,DI323,DO323)</f>
        <v>209.73993333333328</v>
      </c>
      <c r="DV323" s="25">
        <f ca="1">SUM(DS323:DU323)</f>
        <v>2077.1109333333334</v>
      </c>
      <c r="DW323" s="47">
        <f ca="1">SUM(DV323/EM323)</f>
        <v>3.1567035460992911E-2</v>
      </c>
      <c r="DX323" s="14">
        <v>19.5</v>
      </c>
      <c r="DY323" s="32">
        <f>COUNTIF(AO323, "*")+COUNTIF(AJ323, "*")+COUNTIF(AA323, "*")+COUNTIF(FA323, "*")+COUNTIF(FG323, "*")+COUNTIF(FM323, "*")+COUNTIF(FQ323, "*")+COUNTIF(FX323, "*")+COUNTIF(AT323, "*")+COUNTIF(GG323, "*")+COUNTIF(GR323, "*")+COUNTIF(HC323, "*")+COUNTIF(HK323, "*")+COUNTIF(HS323, "*")+COUNTIF(IA323, "*")</f>
        <v>1</v>
      </c>
      <c r="DZ323" s="14">
        <f>DY323*0.5</f>
        <v>0.5</v>
      </c>
      <c r="EA323" s="4"/>
      <c r="EB323" s="4"/>
      <c r="EC323" s="4"/>
      <c r="ED323" s="4"/>
      <c r="EE323" s="4"/>
      <c r="EF323" s="4"/>
      <c r="EG323" s="14">
        <f>SUM(EA323:EF323)</f>
        <v>0</v>
      </c>
      <c r="EH323" s="14">
        <f ca="1">SUM(DV323,DX323,EG323,DZ323,GD323)</f>
        <v>2097.1109333333334</v>
      </c>
      <c r="EI323" s="24" t="s">
        <v>2773</v>
      </c>
      <c r="EJ323" s="7">
        <v>0.34</v>
      </c>
      <c r="EK323" s="4">
        <v>25000</v>
      </c>
      <c r="EL323" s="4">
        <v>40800</v>
      </c>
      <c r="EM323" s="14">
        <f>SUM(EK323+EL323)</f>
        <v>65800</v>
      </c>
      <c r="EN323" s="14">
        <v>24000</v>
      </c>
      <c r="EO323" s="14">
        <v>74700</v>
      </c>
      <c r="EP323" s="14">
        <f>SUM(EN323+EO323)</f>
        <v>98700</v>
      </c>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9"/>
      <c r="FV323" s="10"/>
      <c r="FW323" s="10"/>
      <c r="FX323" s="10"/>
      <c r="FY323" s="10"/>
      <c r="FZ323" s="10"/>
      <c r="GA323" s="10"/>
      <c r="GB323" s="9"/>
      <c r="GC323" s="10"/>
      <c r="GD323" s="10"/>
      <c r="GE323" s="10"/>
      <c r="GF323" s="10"/>
      <c r="GG323" s="10"/>
      <c r="GH323" s="10"/>
      <c r="GI323" s="10"/>
      <c r="GJ323" s="10"/>
      <c r="GK323" s="9"/>
      <c r="GL323" s="10"/>
      <c r="GM323" s="10"/>
      <c r="GN323" s="10"/>
      <c r="GO323" s="10"/>
      <c r="GP323" s="10"/>
      <c r="GQ323" s="10"/>
      <c r="GR323" s="10"/>
      <c r="GS323" s="10"/>
      <c r="GT323" s="10"/>
      <c r="GU323" s="10"/>
      <c r="GV323" s="9"/>
      <c r="GW323" s="10"/>
      <c r="GX323" s="10"/>
      <c r="GY323" s="10"/>
      <c r="GZ323" s="10"/>
      <c r="HA323" s="10"/>
      <c r="HB323" s="10"/>
      <c r="HC323" s="10"/>
      <c r="HD323" s="10"/>
      <c r="HE323" s="10"/>
      <c r="HF323" s="10"/>
      <c r="HG323" s="9"/>
      <c r="HH323" s="10"/>
      <c r="HI323" s="10"/>
      <c r="HJ323" s="10"/>
      <c r="HK323" s="10"/>
      <c r="HL323" s="10"/>
      <c r="HM323" s="10"/>
      <c r="HN323" s="10"/>
      <c r="HO323" s="9"/>
      <c r="HP323" s="10"/>
      <c r="HQ323" s="10"/>
      <c r="HR323" s="10"/>
      <c r="HS323" s="10"/>
      <c r="HT323" s="10"/>
      <c r="HU323" s="10"/>
      <c r="HV323" s="10"/>
      <c r="HW323" s="9"/>
      <c r="HX323" s="10"/>
      <c r="HY323" s="10"/>
      <c r="HZ323" s="10"/>
      <c r="IA323" s="10"/>
      <c r="IB323" s="10"/>
      <c r="IC323" s="10"/>
      <c r="ID323" s="10"/>
      <c r="IE323" s="9"/>
      <c r="IF323" s="4"/>
      <c r="IG323" s="4"/>
      <c r="IH323" s="10"/>
      <c r="II323" s="10"/>
      <c r="IJ323" s="10"/>
      <c r="IK323" s="10"/>
      <c r="IL323" s="4"/>
      <c r="IM323" s="4"/>
      <c r="IN323" s="14">
        <f ca="1">SUM(IF323-EH323-GD323-IL323)</f>
        <v>-2097.1109333333334</v>
      </c>
      <c r="IO323" s="14"/>
      <c r="IP323" s="14"/>
      <c r="IQ323" s="9"/>
      <c r="IR323" s="9"/>
      <c r="IS323" s="9"/>
      <c r="IT323" s="9"/>
      <c r="IU323" s="9"/>
      <c r="IV323" t="s">
        <v>5913</v>
      </c>
      <c r="IW323"/>
      <c r="IX323"/>
      <c r="IY323"/>
      <c r="IZ323"/>
      <c r="JA323"/>
      <c r="JB323"/>
      <c r="JC323"/>
    </row>
    <row r="324" spans="1:263" s="18" customFormat="1" ht="15" customHeight="1">
      <c r="A324" s="2">
        <v>102019066</v>
      </c>
      <c r="B324" s="4" t="s">
        <v>1412</v>
      </c>
      <c r="C324" s="1"/>
      <c r="D324" s="1"/>
      <c r="E324" s="3"/>
      <c r="F324" s="2"/>
      <c r="G324" s="2"/>
      <c r="H324" s="2"/>
      <c r="I324"/>
      <c r="J324"/>
      <c r="K324" t="s">
        <v>1413</v>
      </c>
      <c r="L324"/>
      <c r="M324"/>
      <c r="N324"/>
      <c r="O324" s="1"/>
      <c r="P324"/>
      <c r="Q324"/>
      <c r="R324"/>
      <c r="S324"/>
      <c r="T324" s="1"/>
      <c r="U324"/>
      <c r="V324"/>
      <c r="W324"/>
      <c r="X324"/>
      <c r="Y324"/>
      <c r="Z324"/>
      <c r="AA324"/>
      <c r="AB324"/>
      <c r="AC324"/>
      <c r="AD324"/>
      <c r="AE324"/>
      <c r="AF324"/>
      <c r="AG324"/>
      <c r="AH324" s="3"/>
      <c r="AI324"/>
      <c r="AJ324"/>
      <c r="AK324"/>
      <c r="AL324"/>
      <c r="AM324" s="3"/>
      <c r="AN324" s="3"/>
      <c r="AO324"/>
      <c r="AP324" s="1"/>
      <c r="AQ324" s="3"/>
      <c r="AR324" s="3"/>
      <c r="AS324"/>
      <c r="AT324"/>
      <c r="AU324"/>
      <c r="AV324"/>
      <c r="AW324"/>
      <c r="AX324"/>
      <c r="AY324" s="9"/>
      <c r="AZ324" s="9"/>
      <c r="BA324" s="9"/>
      <c r="BB324"/>
      <c r="BC324" s="9"/>
      <c r="BD324" s="9"/>
      <c r="BE324" s="9"/>
      <c r="BF324"/>
      <c r="BG324" s="66"/>
      <c r="BH324" s="66"/>
      <c r="BI324" s="66"/>
      <c r="BJ324" s="66"/>
      <c r="BK324" s="66"/>
      <c r="BL324" s="66"/>
      <c r="BM324"/>
      <c r="BN324"/>
      <c r="BO324" s="66"/>
      <c r="BP324"/>
      <c r="BQ324" s="66"/>
      <c r="BR324" s="66"/>
      <c r="BS324"/>
      <c r="BT324"/>
      <c r="BU324" s="66"/>
      <c r="BV324" s="66"/>
      <c r="BW324" s="66"/>
      <c r="BX324" s="66"/>
      <c r="BY324"/>
      <c r="BZ324"/>
      <c r="CA324" s="66"/>
      <c r="CB324" s="66"/>
      <c r="CC324" s="66"/>
      <c r="CD324" s="66"/>
      <c r="CE324"/>
      <c r="CF324"/>
      <c r="CG324" s="66"/>
      <c r="CH324" s="66"/>
      <c r="CI324" s="66"/>
      <c r="CJ324" s="66"/>
      <c r="CK324"/>
      <c r="CL324"/>
      <c r="CM324" s="66"/>
      <c r="CN324" s="66"/>
      <c r="CO324" s="66"/>
      <c r="CP324" s="66"/>
      <c r="CQ324"/>
      <c r="CR324"/>
      <c r="CS324" s="66"/>
      <c r="CT324" s="66"/>
      <c r="CU324" s="66"/>
      <c r="CV324" s="66"/>
      <c r="CW324"/>
      <c r="CX324"/>
      <c r="CY324" s="66"/>
      <c r="CZ324" s="66"/>
      <c r="DA324" s="66"/>
      <c r="DB324" s="66"/>
      <c r="DC324"/>
      <c r="DD324"/>
      <c r="DE324" s="66"/>
      <c r="DF324" s="66"/>
      <c r="DG324" s="66"/>
      <c r="DH324" s="66"/>
      <c r="DI324" s="66"/>
      <c r="DJ324" s="66"/>
      <c r="DK324"/>
      <c r="DL324" s="66"/>
      <c r="DM324"/>
      <c r="DN324" s="66"/>
      <c r="DO324" s="66"/>
      <c r="DP324" s="66"/>
      <c r="DQ324" s="66"/>
      <c r="DR324" s="66"/>
      <c r="DS324" s="66"/>
      <c r="DT324" s="66"/>
      <c r="DU324" s="66"/>
      <c r="DV324" s="66"/>
      <c r="DW324" s="66"/>
      <c r="DX324" s="66"/>
      <c r="DY324" s="66"/>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s="9"/>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s="9"/>
      <c r="IJ324" s="66"/>
      <c r="IK324" s="66"/>
      <c r="IL324" s="4"/>
      <c r="IM324" s="4"/>
      <c r="IN324"/>
      <c r="IO324"/>
      <c r="IP324"/>
      <c r="IQ324"/>
      <c r="IR324"/>
      <c r="IS324"/>
      <c r="IT324"/>
      <c r="IU324"/>
      <c r="IV324"/>
      <c r="IW324"/>
      <c r="IX324"/>
      <c r="IY324"/>
      <c r="IZ324"/>
      <c r="JA324"/>
      <c r="JB324"/>
      <c r="JC324"/>
    </row>
    <row r="325" spans="1:263" ht="15" customHeight="1">
      <c r="A325" s="19">
        <v>102018074</v>
      </c>
      <c r="B325" s="14" t="s">
        <v>451</v>
      </c>
      <c r="C325" s="20"/>
      <c r="D325" s="20"/>
      <c r="E325" s="20"/>
      <c r="F325" s="24" t="s">
        <v>1537</v>
      </c>
      <c r="G325" s="19"/>
      <c r="H325" s="18"/>
      <c r="I325" s="18"/>
      <c r="J325" s="18" t="s">
        <v>311</v>
      </c>
      <c r="K325" s="18" t="s">
        <v>452</v>
      </c>
      <c r="L325" s="18" t="s">
        <v>453</v>
      </c>
      <c r="M325" s="18"/>
      <c r="N325" s="18"/>
      <c r="O325" s="13"/>
      <c r="P325" s="18"/>
      <c r="Q325" s="18"/>
      <c r="R325" s="18"/>
      <c r="S325" s="18"/>
      <c r="T325" s="13"/>
      <c r="U325" s="18"/>
      <c r="V325" s="18"/>
      <c r="W325" s="18"/>
      <c r="X325" s="18"/>
      <c r="Y325" s="18"/>
      <c r="Z325" s="18"/>
      <c r="AA325" s="18"/>
      <c r="AB325" s="18"/>
      <c r="AC325" s="18"/>
      <c r="AD325" s="18"/>
      <c r="AE325" s="18"/>
      <c r="AF325" s="18"/>
      <c r="AG325" s="231"/>
      <c r="AH325" s="18"/>
      <c r="AI325" s="18"/>
      <c r="AJ325" s="14"/>
      <c r="AK325" s="14"/>
      <c r="AL325" s="18"/>
      <c r="AM325" s="24"/>
      <c r="AN325" s="24"/>
      <c r="AO325" s="14"/>
      <c r="AP325" s="20"/>
      <c r="AQ325" s="63"/>
      <c r="AR325" s="24"/>
      <c r="AS325" s="20"/>
      <c r="AT325" s="20"/>
      <c r="AU325" s="13"/>
      <c r="AV325" s="13"/>
      <c r="AW325" s="13"/>
      <c r="AX325" s="48"/>
      <c r="AY325" s="48"/>
      <c r="AZ325" s="48"/>
      <c r="BA325" s="48"/>
      <c r="BB325" s="19"/>
      <c r="BC325" s="48"/>
      <c r="BD325" s="48"/>
      <c r="BE325" s="48"/>
      <c r="BF325" s="19"/>
      <c r="BG325" s="20"/>
      <c r="BH325" s="22"/>
      <c r="BI325" s="22"/>
      <c r="BJ325" s="14"/>
      <c r="BK325" s="14"/>
      <c r="BL325" s="14"/>
      <c r="BM325" s="17"/>
      <c r="BN325" s="23"/>
      <c r="BO325" s="14"/>
      <c r="BP325" s="14"/>
      <c r="BQ325" s="14"/>
      <c r="BR325" s="14"/>
      <c r="BS325" s="17"/>
      <c r="BT325" s="23"/>
      <c r="BU325" s="14"/>
      <c r="BV325" s="14"/>
      <c r="BW325" s="14"/>
      <c r="BX325" s="14"/>
      <c r="BY325" s="17"/>
      <c r="BZ325" s="23"/>
      <c r="CA325" s="14"/>
      <c r="CB325" s="14"/>
      <c r="CC325" s="14"/>
      <c r="CD325" s="14"/>
      <c r="CE325" s="17"/>
      <c r="CF325" s="23"/>
      <c r="CG325" s="14"/>
      <c r="CH325" s="14"/>
      <c r="CI325" s="14"/>
      <c r="CJ325" s="14"/>
      <c r="CK325" s="17"/>
      <c r="CL325" s="23"/>
      <c r="CM325" s="14"/>
      <c r="CN325" s="14"/>
      <c r="CO325" s="14"/>
      <c r="CP325" s="14"/>
      <c r="CQ325" s="17"/>
      <c r="CR325" s="23"/>
      <c r="CS325" s="14"/>
      <c r="CT325" s="14"/>
      <c r="CU325" s="14"/>
      <c r="CV325" s="14"/>
      <c r="CW325" s="17"/>
      <c r="CX325" s="23"/>
      <c r="CY325" s="14"/>
      <c r="CZ325" s="14"/>
      <c r="DA325" s="14"/>
      <c r="DB325" s="14"/>
      <c r="DC325" s="14"/>
      <c r="DD325" s="14"/>
      <c r="DE325" s="47"/>
      <c r="DF325" s="18"/>
      <c r="DG325" s="14"/>
      <c r="DH325" s="32"/>
      <c r="DI325" s="14"/>
      <c r="DJ325" s="14"/>
      <c r="DK325" s="14"/>
      <c r="DL325" s="14"/>
      <c r="DM325" s="14"/>
      <c r="DN325" s="14"/>
      <c r="DO325" s="23"/>
      <c r="DP325" s="25"/>
      <c r="DQ325" s="14"/>
      <c r="DR325" s="25"/>
      <c r="DS325" s="25"/>
      <c r="DT325" s="25"/>
      <c r="DU325" s="36"/>
      <c r="DV325" s="18"/>
      <c r="DW325" s="18"/>
      <c r="DX325" s="18"/>
      <c r="DY325" s="18"/>
      <c r="DZ325" s="18"/>
      <c r="EA325" s="18"/>
      <c r="EB325" s="18"/>
      <c r="EC325" s="18"/>
      <c r="ED325" s="30"/>
      <c r="EE325" s="18"/>
      <c r="EF325" s="18"/>
      <c r="EG325" s="18"/>
      <c r="EH325" s="18"/>
      <c r="EI325" s="18"/>
      <c r="EJ325" s="30"/>
      <c r="EK325" s="30"/>
      <c r="EL325" s="14"/>
      <c r="EM325" s="14"/>
      <c r="EN325" s="14"/>
      <c r="EO325" s="14"/>
      <c r="EP325" s="30"/>
      <c r="EQ325" s="14"/>
      <c r="ER325" s="14"/>
      <c r="ES325" s="14"/>
      <c r="ET325" s="14"/>
      <c r="EU325" s="14"/>
      <c r="EV325" s="30"/>
      <c r="EW325" s="14"/>
      <c r="EX325" s="14"/>
      <c r="EY325" s="14"/>
      <c r="EZ325" s="14"/>
      <c r="FA325" s="18"/>
      <c r="FB325" s="18"/>
      <c r="FC325" s="18"/>
      <c r="FD325" s="27"/>
      <c r="FE325" s="18"/>
      <c r="FF325" s="18"/>
      <c r="FG325" s="18"/>
      <c r="FH325" s="18"/>
      <c r="FI325" s="18"/>
      <c r="FJ325" s="18"/>
      <c r="FK325" s="18"/>
      <c r="FL325" s="18"/>
      <c r="FM325" s="27"/>
      <c r="FN325" s="18"/>
      <c r="FO325" s="18"/>
      <c r="FP325" s="18"/>
      <c r="FQ325" s="18"/>
      <c r="FR325" s="18"/>
      <c r="FS325" s="14"/>
      <c r="FT325" s="18"/>
      <c r="FU325" s="18"/>
      <c r="FV325" s="18"/>
      <c r="FW325" s="18"/>
      <c r="FX325" s="28"/>
      <c r="FY325" s="18"/>
      <c r="FZ325" s="18"/>
      <c r="GA325" s="18"/>
      <c r="GB325" s="18"/>
      <c r="GC325" s="18"/>
      <c r="GD325" s="18"/>
      <c r="GE325" s="18"/>
      <c r="GF325" s="18"/>
      <c r="GG325" s="18"/>
      <c r="GH325" s="28"/>
      <c r="GI325" s="18"/>
      <c r="GJ325" s="18"/>
      <c r="GK325" s="18"/>
      <c r="GL325" s="18"/>
      <c r="GM325" s="18"/>
      <c r="GN325" s="18"/>
      <c r="GO325" s="18"/>
      <c r="GP325" s="18"/>
      <c r="GQ325" s="18"/>
      <c r="GR325" s="18"/>
      <c r="GS325" s="18"/>
      <c r="GT325" s="18"/>
      <c r="GU325" s="18"/>
      <c r="GV325" s="18"/>
      <c r="GW325" s="27"/>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27"/>
      <c r="IE325" s="14"/>
      <c r="IF325" s="14"/>
      <c r="IG325" s="27"/>
      <c r="IH325" s="18"/>
      <c r="II325" s="18"/>
      <c r="IJ325" s="18"/>
      <c r="IK325" s="18"/>
      <c r="IZ325" s="18"/>
      <c r="JA325" s="18"/>
      <c r="JB325" s="18"/>
      <c r="JC325" s="18"/>
    </row>
    <row r="326" spans="1:263" ht="15" customHeight="1">
      <c r="A326" s="19">
        <v>102023138</v>
      </c>
      <c r="B326" s="18" t="s">
        <v>4356</v>
      </c>
      <c r="D326" s="1"/>
      <c r="E326" s="3"/>
      <c r="F326" s="3"/>
      <c r="J326" s="18" t="s">
        <v>311</v>
      </c>
      <c r="K326" s="18" t="s">
        <v>4488</v>
      </c>
      <c r="L326" s="130" t="s">
        <v>4489</v>
      </c>
      <c r="M326" s="130" t="s">
        <v>256</v>
      </c>
      <c r="N326" s="130"/>
      <c r="O326" s="288"/>
      <c r="P326" s="130"/>
      <c r="Q326" s="130"/>
      <c r="R326" s="130"/>
      <c r="S326" s="130"/>
      <c r="AG326" s="43"/>
      <c r="AJ326" s="18" t="s">
        <v>328</v>
      </c>
      <c r="AL326" t="s">
        <v>349</v>
      </c>
      <c r="AM326"/>
      <c r="AN326"/>
      <c r="AO326" s="18" t="s">
        <v>4490</v>
      </c>
      <c r="AP326" s="3" t="s">
        <v>258</v>
      </c>
      <c r="AQ326" s="18" t="s">
        <v>349</v>
      </c>
      <c r="AR326" t="s">
        <v>260</v>
      </c>
      <c r="AX326" s="1"/>
      <c r="AY326" s="1"/>
      <c r="AZ326" s="1"/>
      <c r="BA326" s="1"/>
      <c r="BB326" s="1"/>
      <c r="BC326" s="2"/>
      <c r="BD326" s="116"/>
      <c r="BE326" s="115"/>
      <c r="BF326" s="2"/>
      <c r="BG326" s="2"/>
      <c r="BH326" s="2"/>
      <c r="BI326" s="2"/>
      <c r="BJ326" s="2"/>
      <c r="BK326" s="2"/>
      <c r="BL326" s="20">
        <f ca="1">SUM(DP326)+220</f>
        <v>308.267</v>
      </c>
      <c r="BM326" s="22">
        <f ca="1">PMT(10%/12,12,BL326,0,0)</f>
        <v>-27.101566808733367</v>
      </c>
      <c r="BN326" s="22">
        <f ca="1">SUM(BM326*-1)</f>
        <v>27.101566808733367</v>
      </c>
      <c r="BO326" s="14">
        <f>SUM(DX326*0.0052)/12</f>
        <v>5.2</v>
      </c>
      <c r="BP326" s="22">
        <f ca="1">SUM(BN326+BO326)</f>
        <v>32.301566808733369</v>
      </c>
      <c r="BQ326" s="14"/>
      <c r="BR326" s="14">
        <f>SUM(BQ326*0.1)</f>
        <v>0</v>
      </c>
      <c r="BS326" s="14">
        <f ca="1">SUM(BT326*BU326)</f>
        <v>0</v>
      </c>
      <c r="BT326" s="17">
        <f>SUM((BQ326+BR326)*0.00833333333333333)</f>
        <v>0</v>
      </c>
      <c r="BU326" s="23">
        <f ca="1">MONTH(TODAY())+49</f>
        <v>53</v>
      </c>
      <c r="BV326" s="14">
        <f ca="1">SUM(BQ326,BR326,BS326)</f>
        <v>0</v>
      </c>
      <c r="BW326" s="14"/>
      <c r="BX326" s="14">
        <f>SUM(BW326*0.1)</f>
        <v>0</v>
      </c>
      <c r="BY326" s="14">
        <f ca="1">SUM(BZ326*CA326)</f>
        <v>0</v>
      </c>
      <c r="BZ326" s="17">
        <f>SUM((BW326+BX326)*0.00833333333333333)</f>
        <v>0</v>
      </c>
      <c r="CA326" s="23">
        <f ca="1">MONTH(TODAY())+37</f>
        <v>41</v>
      </c>
      <c r="CB326" s="14">
        <f ca="1">SUM(BW326,BX326,BY326)</f>
        <v>0</v>
      </c>
      <c r="CC326" s="14">
        <v>0</v>
      </c>
      <c r="CD326" s="14">
        <f>SUM(CC326*0.1)</f>
        <v>0</v>
      </c>
      <c r="CE326" s="14">
        <f ca="1">SUM(CF326*CG326)</f>
        <v>0</v>
      </c>
      <c r="CF326" s="17">
        <f>SUM((CC326+CD326)*0.00833333333333333)</f>
        <v>0</v>
      </c>
      <c r="CG326" s="23">
        <f ca="1">MONTH(TODAY())+25</f>
        <v>29</v>
      </c>
      <c r="CH326" s="14">
        <f ca="1">SUM(CC326,CD326,CE326)</f>
        <v>0</v>
      </c>
      <c r="CI326" s="14">
        <v>5.2</v>
      </c>
      <c r="CJ326" s="14">
        <f>SUM(CI326*0.1)</f>
        <v>0.52</v>
      </c>
      <c r="CK326" s="14">
        <f ca="1">SUM(CL326*CM326)</f>
        <v>0.81033333333333302</v>
      </c>
      <c r="CL326" s="17">
        <f>SUM((CI326+CJ326)*0.00833333333333333)</f>
        <v>4.7666666666666649E-2</v>
      </c>
      <c r="CM326" s="23">
        <f ca="1">MONTH(TODAY())+13</f>
        <v>17</v>
      </c>
      <c r="CN326" s="14">
        <f ca="1">SUM(CI326,CJ326,CK326)</f>
        <v>6.530333333333334</v>
      </c>
      <c r="CO326" s="14">
        <f>SUM(DU326*0.0052)/2</f>
        <v>26</v>
      </c>
      <c r="CP326" s="14">
        <f>SUM(CO326*0.1)</f>
        <v>2.6</v>
      </c>
      <c r="CQ326" s="14">
        <f ca="1">SUM(CR326*CS326)</f>
        <v>2.1449999999999991</v>
      </c>
      <c r="CR326" s="17">
        <f>SUM((CO326+CP326)*0.00833333333333333)</f>
        <v>0.23833333333333323</v>
      </c>
      <c r="CS326" s="23">
        <f ca="1">MONTH(TODAY())+5</f>
        <v>9</v>
      </c>
      <c r="CT326" s="23">
        <f ca="1">SUM(CO326,CP326,CQ326)</f>
        <v>30.745000000000001</v>
      </c>
      <c r="CU326" s="14">
        <f>SUM(DU326*0.0052)/2</f>
        <v>26</v>
      </c>
      <c r="CV326" s="14">
        <f>SUM(CU326*0.1)</f>
        <v>2.6</v>
      </c>
      <c r="CW326" s="14">
        <f ca="1">SUM(CX326*CY326)</f>
        <v>1.1916666666666662</v>
      </c>
      <c r="CX326" s="17">
        <f>SUM((CU326+CV326)*0.00833333333333333)</f>
        <v>0.23833333333333323</v>
      </c>
      <c r="CY326" s="23">
        <f ca="1">MONTH(TODAY())+1</f>
        <v>5</v>
      </c>
      <c r="CZ326" s="23">
        <f ca="1">SUM(CU326,CV326,CW326)</f>
        <v>29.791666666666668</v>
      </c>
      <c r="DA326" s="14">
        <f>SUM( BQ326, BW326, CC326, CI326, CO326,CU326)</f>
        <v>57.2</v>
      </c>
      <c r="DB326" s="14">
        <f>SUM(BR326,BX326,CD326,CJ326, CP326,CV326)</f>
        <v>5.7200000000000006</v>
      </c>
      <c r="DC326" s="14">
        <f ca="1">SUM(BS326,BY326,CE326,CK326, CQ326,CW326)</f>
        <v>4.1469999999999985</v>
      </c>
      <c r="DD326" s="25">
        <f ca="1">SUM(DA326:DC326)</f>
        <v>67.067000000000007</v>
      </c>
      <c r="DE326" s="47">
        <f ca="1">SUM(DD326/DU326)</f>
        <v>6.7067000000000003E-3</v>
      </c>
      <c r="DF326" s="14">
        <v>20</v>
      </c>
      <c r="DG326" s="32">
        <f>COUNTIF(DL326, "*")+COUNTIF(AO326, "*")+COUNTIF(AJ326, "*")+COUNTIF(AA326, "*")+COUNTIF(EM326, "*")+COUNTIF(ES326, "*")+COUNTIF(EY326, "*")+COUNTIF(FC326, "*")+COUNTIF(FJ326, "*")+COUNTIF(AT326, "*")+COUNTIF(FS326, "*")+COUNTIF(GD326, "*")+COUNTIF(GO326, "*")+COUNTIF(GW326, "*")+COUNTIF(HE326, "*")+COUNTIF(HM326, "*")+COUNTIF(HU326, "*")</f>
        <v>2</v>
      </c>
      <c r="DH326" s="14">
        <f>DG326*0.6</f>
        <v>1.2</v>
      </c>
      <c r="DI326" s="4"/>
      <c r="DJ326" s="4"/>
      <c r="DK326" s="4"/>
      <c r="DL326" s="4"/>
      <c r="DN326" s="4"/>
      <c r="DO326" s="14">
        <f>SUM(DJ326:DN326)</f>
        <v>0</v>
      </c>
      <c r="DP326" s="14">
        <f ca="1">SUM(DD326,DF326,DO326, DI326, DH326,FP326)</f>
        <v>88.26700000000001</v>
      </c>
      <c r="DQ326" s="24" t="s">
        <v>3879</v>
      </c>
      <c r="DR326" s="130">
        <v>2</v>
      </c>
      <c r="DS326" s="14">
        <v>10000</v>
      </c>
      <c r="DT326" s="14">
        <v>0</v>
      </c>
      <c r="DU326" s="14">
        <v>10000</v>
      </c>
      <c r="DV326" s="14">
        <v>12000</v>
      </c>
      <c r="DW326" s="14">
        <v>0</v>
      </c>
      <c r="DX326" s="14">
        <f>SUM(DV326+DW326)</f>
        <v>12000</v>
      </c>
      <c r="IA326" s="9"/>
      <c r="IL326" s="14">
        <f ca="1">SUM(IB326-DP326-FP326-IJ326)</f>
        <v>-88.26700000000001</v>
      </c>
      <c r="IM326" s="9"/>
      <c r="IN326" s="9"/>
      <c r="IO326" s="9"/>
      <c r="IP326" s="9"/>
      <c r="IQ326" s="9"/>
    </row>
    <row r="327" spans="1:263" s="243" customFormat="1" ht="15" customHeight="1">
      <c r="A327" s="2">
        <v>102019040</v>
      </c>
      <c r="B327" s="4" t="s">
        <v>1349</v>
      </c>
      <c r="C327" s="4"/>
      <c r="D327" s="4"/>
      <c r="E327" s="3"/>
      <c r="F327" s="3"/>
      <c r="G327" s="3"/>
      <c r="H327" s="3"/>
      <c r="I327"/>
      <c r="J327" t="s">
        <v>554</v>
      </c>
      <c r="K327" t="s">
        <v>1302</v>
      </c>
      <c r="L327" t="s">
        <v>1350</v>
      </c>
      <c r="M327" t="s">
        <v>256</v>
      </c>
      <c r="N327" t="s">
        <v>470</v>
      </c>
      <c r="O327" s="1"/>
      <c r="P327" t="s">
        <v>1302</v>
      </c>
      <c r="Q327" t="s">
        <v>402</v>
      </c>
      <c r="R327" t="s">
        <v>403</v>
      </c>
      <c r="S327"/>
      <c r="T327" s="1"/>
      <c r="U327"/>
      <c r="V327"/>
      <c r="W327"/>
      <c r="X327"/>
      <c r="Y327"/>
      <c r="Z327"/>
      <c r="AA327"/>
      <c r="AB327"/>
      <c r="AC327"/>
      <c r="AD327"/>
      <c r="AE327"/>
      <c r="AF327"/>
      <c r="AG327" s="3"/>
      <c r="AH327"/>
      <c r="AI327"/>
      <c r="AJ327" s="4"/>
      <c r="AK327" s="4"/>
      <c r="AL327"/>
      <c r="AM327" s="34"/>
      <c r="AN327" s="3"/>
      <c r="AO327" s="4"/>
      <c r="AP327" s="5"/>
      <c r="AQ327" s="34"/>
      <c r="AR327" s="3"/>
      <c r="AS327" s="5"/>
      <c r="AT327" s="5"/>
      <c r="AU327" s="1"/>
      <c r="AV327" s="1"/>
      <c r="AW327" s="1"/>
      <c r="AX327" s="15"/>
      <c r="AY327" s="15"/>
      <c r="AZ327" s="15"/>
      <c r="BA327" s="1"/>
      <c r="BB327" s="1"/>
      <c r="BC327" s="1"/>
      <c r="BD327" s="1"/>
      <c r="BE327" s="15"/>
      <c r="BF327" s="15"/>
      <c r="BG327" s="5"/>
      <c r="BH327" s="16"/>
      <c r="BI327" s="16"/>
      <c r="BJ327"/>
      <c r="BK327" s="4"/>
      <c r="BL327" s="4"/>
      <c r="BM327" s="6"/>
      <c r="BN327" s="7"/>
      <c r="BO327" s="4"/>
      <c r="BP327" s="4"/>
      <c r="BQ327" s="4"/>
      <c r="BR327" s="4"/>
      <c r="BS327" s="6"/>
      <c r="BT327" s="7"/>
      <c r="BU327" s="4"/>
      <c r="BV327" s="4"/>
      <c r="BW327" s="4"/>
      <c r="BX327" s="4"/>
      <c r="BY327" s="6"/>
      <c r="BZ327" s="7"/>
      <c r="CA327" s="4"/>
      <c r="CB327" s="4"/>
      <c r="CC327" s="4"/>
      <c r="CD327" s="4"/>
      <c r="CE327" s="6"/>
      <c r="CF327" s="7"/>
      <c r="CG327" s="4"/>
      <c r="CH327" s="4"/>
      <c r="CI327" s="4"/>
      <c r="CJ327" s="4"/>
      <c r="CK327" s="6"/>
      <c r="CL327" s="7"/>
      <c r="CM327" s="4"/>
      <c r="CN327" s="4"/>
      <c r="CO327" s="4"/>
      <c r="CP327" s="4"/>
      <c r="CQ327" s="6"/>
      <c r="CR327" s="7"/>
      <c r="CS327" s="4"/>
      <c r="CT327" s="4"/>
      <c r="CU327" s="4"/>
      <c r="CV327" s="4"/>
      <c r="CW327" s="6"/>
      <c r="CX327" s="23"/>
      <c r="CY327" s="4"/>
      <c r="CZ327" s="4"/>
      <c r="DA327" s="4"/>
      <c r="DB327" s="4"/>
      <c r="DC327" s="6"/>
      <c r="DD327" s="7"/>
      <c r="DE327" s="4"/>
      <c r="DF327" s="4"/>
      <c r="DG327" s="4"/>
      <c r="DH327" s="14"/>
      <c r="DI327" s="14"/>
      <c r="DJ327" s="4"/>
      <c r="DK327"/>
      <c r="DL327" s="4"/>
      <c r="DM327" s="234"/>
      <c r="DN327" s="4"/>
      <c r="DO327" s="4"/>
      <c r="DP327" s="4"/>
      <c r="DQ327" s="4"/>
      <c r="DR327" s="4"/>
      <c r="DS327" s="4"/>
      <c r="DT327" s="7"/>
      <c r="DU327" s="8"/>
      <c r="DV327" s="4"/>
      <c r="DW327" s="8"/>
      <c r="DX327" s="4"/>
      <c r="DY327" s="4"/>
      <c r="DZ327" s="7"/>
      <c r="EA327"/>
      <c r="EB327"/>
      <c r="EC327"/>
      <c r="ED327"/>
      <c r="EE327"/>
      <c r="EF327"/>
      <c r="EG327"/>
      <c r="EH327"/>
      <c r="EI327" s="11"/>
      <c r="EJ327"/>
      <c r="EK327"/>
      <c r="EL327"/>
      <c r="EM327"/>
      <c r="EN327"/>
      <c r="EO327" s="11"/>
      <c r="EP327" s="11"/>
      <c r="EQ327" s="4"/>
      <c r="ER327" s="4"/>
      <c r="ES327" s="4"/>
      <c r="ET327" s="4"/>
      <c r="EU327" s="4"/>
      <c r="EV327" s="4"/>
      <c r="EW327" s="4"/>
      <c r="EX327" s="4"/>
      <c r="EY327" s="4"/>
      <c r="EZ327" s="4"/>
      <c r="FA327" s="4"/>
      <c r="FB327" s="4"/>
      <c r="FC327" s="4"/>
      <c r="FD327" s="4"/>
      <c r="FE327" s="4"/>
      <c r="FF327"/>
      <c r="FG327"/>
      <c r="FH327"/>
      <c r="FI327" s="9"/>
      <c r="FJ327"/>
      <c r="FK327"/>
      <c r="FL327"/>
      <c r="FM327"/>
      <c r="FN327"/>
      <c r="FO327"/>
      <c r="FP327"/>
      <c r="FQ327"/>
      <c r="FR327" s="9"/>
      <c r="FS327" s="18"/>
      <c r="FT327" s="18"/>
      <c r="FU327" s="18"/>
      <c r="FV327" s="18"/>
      <c r="FW327" s="18"/>
      <c r="FX327" s="14"/>
      <c r="FY327"/>
      <c r="FZ327"/>
      <c r="GA327"/>
      <c r="GB327"/>
      <c r="GC327"/>
      <c r="GD327"/>
      <c r="GE327" s="9"/>
      <c r="GF327"/>
      <c r="GG327"/>
      <c r="GH327"/>
      <c r="GI327"/>
      <c r="GJ327"/>
      <c r="GK327"/>
      <c r="GL327"/>
      <c r="GM327" s="10"/>
      <c r="GN327"/>
      <c r="GO327"/>
      <c r="GP327" s="9"/>
      <c r="GQ327"/>
      <c r="GR327"/>
      <c r="GS327"/>
      <c r="GT327"/>
      <c r="GU327"/>
      <c r="GV327"/>
      <c r="GW327"/>
      <c r="GX327"/>
      <c r="GY327"/>
      <c r="GZ327"/>
      <c r="HA327"/>
      <c r="HB327" s="9"/>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s="27"/>
      <c r="IJ327" s="4"/>
      <c r="IK327" s="4"/>
      <c r="IL327" s="9"/>
      <c r="IM327"/>
      <c r="IN327"/>
      <c r="IO327"/>
      <c r="IP327"/>
      <c r="IQ327"/>
      <c r="IR327"/>
      <c r="IS327" s="4"/>
      <c r="IT327" s="4"/>
      <c r="IU327"/>
      <c r="IV327"/>
      <c r="IW327"/>
      <c r="IX327"/>
      <c r="IY327"/>
      <c r="IZ327"/>
      <c r="JA327"/>
      <c r="JB327"/>
      <c r="JC327"/>
    </row>
    <row r="328" spans="1:263" ht="15" customHeight="1">
      <c r="A328" s="2">
        <v>102019041</v>
      </c>
      <c r="B328" s="4" t="s">
        <v>1351</v>
      </c>
      <c r="C328" s="4"/>
      <c r="D328" s="4"/>
      <c r="E328" s="3"/>
      <c r="F328" s="3"/>
      <c r="G328" s="3"/>
      <c r="H328" s="3"/>
      <c r="J328" t="s">
        <v>311</v>
      </c>
      <c r="K328" t="s">
        <v>1302</v>
      </c>
      <c r="L328" t="s">
        <v>1350</v>
      </c>
      <c r="M328" t="s">
        <v>256</v>
      </c>
      <c r="O328" s="1"/>
      <c r="T328" s="1"/>
      <c r="AE328" s="1"/>
      <c r="AJ328" s="4"/>
      <c r="AK328" s="4"/>
      <c r="AL328" s="4"/>
      <c r="AM328" s="34"/>
      <c r="AP328" s="13"/>
      <c r="AR328" s="34"/>
      <c r="AS328" s="5"/>
      <c r="AT328" s="13"/>
      <c r="AU328" s="1"/>
      <c r="AV328" s="1"/>
      <c r="AW328" s="1"/>
      <c r="AX328" s="15"/>
      <c r="AY328" s="15"/>
      <c r="AZ328" s="15"/>
      <c r="BA328" s="15"/>
      <c r="BB328" s="1"/>
      <c r="BC328" s="15"/>
      <c r="BD328" s="15"/>
      <c r="BE328" s="15"/>
      <c r="BF328" s="15"/>
      <c r="BG328" s="5"/>
      <c r="BH328" s="16"/>
      <c r="BI328" s="16"/>
      <c r="BJ328" s="4"/>
      <c r="BK328" s="4"/>
      <c r="BL328" s="4"/>
      <c r="BM328" s="6"/>
      <c r="BN328" s="7"/>
      <c r="BO328" s="4"/>
      <c r="BQ328" s="4"/>
      <c r="BR328" s="4"/>
      <c r="BS328" s="6"/>
      <c r="BT328" s="7"/>
      <c r="BU328" s="4"/>
      <c r="BV328" s="4"/>
      <c r="BW328" s="4"/>
      <c r="BX328" s="4"/>
      <c r="BY328" s="6"/>
      <c r="BZ328" s="7"/>
      <c r="CA328" s="4"/>
      <c r="CB328" s="4"/>
      <c r="CC328" s="4"/>
      <c r="CD328" s="4"/>
      <c r="CE328" s="6"/>
      <c r="CF328" s="7"/>
      <c r="CG328" s="4"/>
      <c r="CH328" s="4"/>
      <c r="CI328" s="4"/>
      <c r="CJ328" s="4"/>
      <c r="CK328" s="6"/>
      <c r="CL328" s="23"/>
      <c r="CM328" s="4"/>
      <c r="CN328" s="4"/>
      <c r="CO328" s="4"/>
      <c r="CP328" s="4"/>
      <c r="CQ328" s="6"/>
      <c r="CR328" s="7"/>
      <c r="CS328" s="4"/>
      <c r="CT328" s="4"/>
      <c r="CU328" s="4"/>
      <c r="CV328" s="4"/>
      <c r="CW328" s="6"/>
      <c r="CX328" s="23"/>
      <c r="CY328" s="4"/>
      <c r="CZ328" s="4"/>
      <c r="DA328" s="4"/>
      <c r="DB328" s="4"/>
      <c r="DC328" s="6"/>
      <c r="DD328" s="7"/>
      <c r="DE328" s="4"/>
      <c r="DF328" s="4"/>
      <c r="DG328" s="4"/>
      <c r="DH328" s="14"/>
      <c r="DI328" s="14"/>
      <c r="DJ328" s="4"/>
      <c r="DK328" s="3"/>
      <c r="DL328" s="4"/>
      <c r="DM328" s="234"/>
      <c r="DN328" s="4"/>
      <c r="DO328" s="4"/>
      <c r="DP328" s="4"/>
      <c r="DQ328" s="4"/>
      <c r="DR328" s="4"/>
      <c r="DS328" s="4"/>
      <c r="DT328" s="4"/>
      <c r="DU328" s="8"/>
      <c r="DV328" s="4"/>
      <c r="DW328" s="8"/>
      <c r="DX328" s="4"/>
      <c r="DY328" s="4"/>
      <c r="DZ328" s="7"/>
      <c r="FI328" s="9"/>
      <c r="FJ328" s="10"/>
      <c r="FQ328" s="10"/>
      <c r="FR328" s="9"/>
      <c r="FX328" s="4"/>
      <c r="GE328" s="9"/>
      <c r="II328" s="27"/>
      <c r="IJ328" s="4"/>
      <c r="IK328" s="4"/>
      <c r="IL328" s="9"/>
      <c r="IS328" s="4"/>
      <c r="IT328" s="4"/>
    </row>
    <row r="329" spans="1:263" ht="15" customHeight="1">
      <c r="A329" s="2">
        <v>102024029</v>
      </c>
      <c r="B329" t="s">
        <v>5076</v>
      </c>
      <c r="D329" s="1"/>
      <c r="E329" s="3"/>
      <c r="G329" s="3">
        <v>240002067</v>
      </c>
      <c r="J329" t="s">
        <v>253</v>
      </c>
      <c r="K329" t="s">
        <v>1019</v>
      </c>
      <c r="L329" t="s">
        <v>5154</v>
      </c>
      <c r="M329" t="s">
        <v>403</v>
      </c>
      <c r="O329" s="3"/>
      <c r="AG329" s="43"/>
      <c r="AM329"/>
      <c r="AN329"/>
      <c r="AO329" t="s">
        <v>5155</v>
      </c>
      <c r="AP329" s="1" t="s">
        <v>258</v>
      </c>
      <c r="AQ329" t="s">
        <v>349</v>
      </c>
      <c r="AR329" t="s">
        <v>260</v>
      </c>
      <c r="AS329" s="10"/>
      <c r="AT329" s="10"/>
      <c r="AU329" s="10"/>
      <c r="AV329" s="10"/>
      <c r="AW329" s="10"/>
      <c r="AX329" s="1"/>
      <c r="AY329" s="1"/>
      <c r="AZ329" s="1"/>
      <c r="BA329" s="1"/>
      <c r="BB329" s="1"/>
      <c r="BC329" s="2"/>
      <c r="BD329" s="115">
        <v>45382</v>
      </c>
      <c r="BE329" s="115">
        <v>45386</v>
      </c>
      <c r="BF329" s="2"/>
      <c r="BG329" s="2"/>
      <c r="BH329" s="2"/>
      <c r="BI329" s="2"/>
      <c r="BJ329" s="2"/>
      <c r="BK329" s="2"/>
      <c r="BL329" s="20">
        <f ca="1">SUM(EH329)+220</f>
        <v>1413.2222791666666</v>
      </c>
      <c r="BM329" s="22">
        <f ca="1">PMT(10%/12,12,BL329,0,0)</f>
        <v>-124.2446905261538</v>
      </c>
      <c r="BN329" s="22">
        <f ca="1">SUM(BM329*-1)</f>
        <v>124.2446905261538</v>
      </c>
      <c r="BO329" s="14">
        <f>SUM(EP329*0.0052)/12</f>
        <v>53.863333333333337</v>
      </c>
      <c r="BP329" s="22">
        <f ca="1">SUM(BN329+BO329)</f>
        <v>178.10802385948713</v>
      </c>
      <c r="BQ329" s="14"/>
      <c r="BR329" s="14">
        <f>SUM(BQ329*0.1)</f>
        <v>0</v>
      </c>
      <c r="BS329" s="14">
        <f ca="1">SUM(BT329*BU329)</f>
        <v>0</v>
      </c>
      <c r="BT329" s="17">
        <f>SUM((BQ329+BR329)*0.00833333333333333)</f>
        <v>0</v>
      </c>
      <c r="BU329" s="23">
        <f ca="1">MONTH(TODAY())+49</f>
        <v>53</v>
      </c>
      <c r="BV329" s="14">
        <f ca="1">SUM(BQ329,BR329,BS329)</f>
        <v>0</v>
      </c>
      <c r="BW329" s="14">
        <v>0</v>
      </c>
      <c r="BX329" s="14">
        <f>SUM(BW329*0.1)</f>
        <v>0</v>
      </c>
      <c r="BY329" s="14">
        <f ca="1">SUM(BZ329*CA329)</f>
        <v>0</v>
      </c>
      <c r="BZ329" s="17">
        <f>SUM((BW329+BX329)*0.00833333333333333)</f>
        <v>0</v>
      </c>
      <c r="CA329" s="23">
        <f ca="1">MONTH(TODAY())+37</f>
        <v>41</v>
      </c>
      <c r="CB329" s="14">
        <f ca="1">SUM(BW329,BX329,BY329)</f>
        <v>0</v>
      </c>
      <c r="CC329" s="14">
        <v>0</v>
      </c>
      <c r="CD329" s="14">
        <f>SUM(CC329*0.1)</f>
        <v>0</v>
      </c>
      <c r="CE329" s="14">
        <f ca="1">SUM(CF329*CG329)</f>
        <v>0</v>
      </c>
      <c r="CF329" s="17">
        <f>SUM((CC329+CD329)*0.00833333333333333)</f>
        <v>0</v>
      </c>
      <c r="CG329" s="23">
        <f ca="1">MONTH(TODAY())+25</f>
        <v>29</v>
      </c>
      <c r="CH329" s="14">
        <f ca="1">SUM(CC329,CD329,CE329)</f>
        <v>0</v>
      </c>
      <c r="CI329" s="14">
        <v>0</v>
      </c>
      <c r="CJ329" s="14">
        <f>SUM(CI329*0.1)</f>
        <v>0</v>
      </c>
      <c r="CK329" s="14">
        <f ca="1">SUM(CL329*CM329)</f>
        <v>0</v>
      </c>
      <c r="CL329" s="17">
        <f>SUM((CI329+CJ329)*0.00833333333333333)</f>
        <v>0</v>
      </c>
      <c r="CM329" s="23">
        <f ca="1">MONTH(TODAY())+17</f>
        <v>21</v>
      </c>
      <c r="CN329" s="23">
        <f ca="1">SUM(CI329,CJ329,CK329)</f>
        <v>0</v>
      </c>
      <c r="CO329" s="14">
        <f>SUM(EM329*0.0052)/2-63.76</f>
        <v>130.97999999999999</v>
      </c>
      <c r="CP329" s="14">
        <f>SUM(CO329*0.1)</f>
        <v>13.097999999999999</v>
      </c>
      <c r="CQ329" s="14">
        <f ca="1">SUM(CR329*CS329)</f>
        <v>20.411049999999989</v>
      </c>
      <c r="CR329" s="17">
        <f>SUM((CO329+CP329)*0.00833333333333333)</f>
        <v>1.2006499999999993</v>
      </c>
      <c r="CS329" s="23">
        <f ca="1">MONTH(TODAY())+13</f>
        <v>17</v>
      </c>
      <c r="CT329" s="14">
        <f ca="1">SUM(CO329,CP329,CQ329)</f>
        <v>164.48904999999996</v>
      </c>
      <c r="CU329" s="14">
        <f>SUM(EP329*0.0045)/2-76.19</f>
        <v>203.48499999999996</v>
      </c>
      <c r="CV329" s="14">
        <f>SUM(CU329*0.1)</f>
        <v>20.348499999999998</v>
      </c>
      <c r="CW329" s="14">
        <f ca="1">SUM(CX329*CY329)</f>
        <v>20.518070833333319</v>
      </c>
      <c r="CX329" s="17">
        <f>SUM((CU329+CV329)*0.00833333333333333)</f>
        <v>1.8652791666666655</v>
      </c>
      <c r="CY329" s="23">
        <f ca="1">MONTH(TODAY())+7</f>
        <v>11</v>
      </c>
      <c r="CZ329" s="14">
        <f ca="1">SUM(CU329,CV329,CW329)</f>
        <v>244.35157083333328</v>
      </c>
      <c r="DA329" s="14">
        <f>SUM(EP329*0.0045)/2-52.52</f>
        <v>227.15499999999994</v>
      </c>
      <c r="DB329" s="14">
        <f>SUM(DA329*0.1)</f>
        <v>22.715499999999995</v>
      </c>
      <c r="DC329" s="14">
        <f ca="1">SUM(DD329*DE329)</f>
        <v>10.411270833333326</v>
      </c>
      <c r="DD329" s="17">
        <f>SUM((DA329+DB329)*0.00833333333333333)</f>
        <v>2.0822541666666652</v>
      </c>
      <c r="DE329" s="23">
        <f ca="1">MONTH(TODAY())+1</f>
        <v>5</v>
      </c>
      <c r="DF329" s="14">
        <f ca="1">SUM(DA329,DB329,DC329)</f>
        <v>260.28177083333327</v>
      </c>
      <c r="DG329" s="14">
        <f>SUM(EP329*0.0045)/2-78.78</f>
        <v>200.89499999999995</v>
      </c>
      <c r="DH329" s="14">
        <f>SUM(DG329*0.1)</f>
        <v>20.089499999999997</v>
      </c>
      <c r="DI329" s="14">
        <f ca="1">SUM(DJ329*DK329)</f>
        <v>-5.5246124999999964</v>
      </c>
      <c r="DJ329" s="17">
        <f>SUM((DG329+DH329)*0.00833333333333333)</f>
        <v>1.8415374999999987</v>
      </c>
      <c r="DK329" s="23">
        <f ca="1">MONTH(TODAY())-7</f>
        <v>-3</v>
      </c>
      <c r="DL329" s="14">
        <f ca="1">SUM(DG329,DH329,DI329)</f>
        <v>215.45988749999995</v>
      </c>
      <c r="DM329" s="14">
        <f>0</f>
        <v>0</v>
      </c>
      <c r="DN329" s="14">
        <f>0</f>
        <v>0</v>
      </c>
      <c r="DO329" s="14">
        <f ca="1">SUM(DP329*DQ329)</f>
        <v>0</v>
      </c>
      <c r="DP329" s="17">
        <f>SUM((DM329+DN329)*0.00833333333333333)</f>
        <v>0</v>
      </c>
      <c r="DQ329" s="23">
        <f ca="1">MONTH(TODAY())+1</f>
        <v>5</v>
      </c>
      <c r="DR329" s="14">
        <f ca="1">SUM(DM329,DN329,DO329)</f>
        <v>0</v>
      </c>
      <c r="DS329" s="14">
        <f>SUM(BQ329, BW329, CC329, CI329,CO329,CU329,DA329,DG329,DM329)</f>
        <v>762.51499999999987</v>
      </c>
      <c r="DT329" s="14">
        <f>SUM(BR329,BX329,CD329, CJ329,CP329,CV329,DB329,DH329,DN329)</f>
        <v>76.251499999999993</v>
      </c>
      <c r="DU329" s="14">
        <f ca="1">SUM(BS329,BY329,CE329, CK329,CQ329,CW329,DC329,DI329,DO329)</f>
        <v>45.815779166666637</v>
      </c>
      <c r="DV329" s="25">
        <f ca="1">SUM(DS329:DU329)</f>
        <v>884.58227916666647</v>
      </c>
      <c r="DW329" s="47">
        <f ca="1">SUM(DV329/EM329)</f>
        <v>1.1810177291944812E-2</v>
      </c>
      <c r="DX329" s="14">
        <f>20+60+160+60</f>
        <v>300</v>
      </c>
      <c r="DY329" s="32">
        <f>COUNTIF(AO329, "*")+COUNTIF(AJ329, "*")+COUNTIF(AA329, "*")+COUNTIF(FA329, "*")+COUNTIF(FG329, "*")+COUNTIF(FM329, "*")+COUNTIF(FQ329, "*")+COUNTIF(FX329, "*")+COUNTIF(AS329, "*")+COUNTIF(GG329, "*")+COUNTIF(GR329, "*")+COUNTIF(HC329, "*")+COUNTIF(HK329, "*")+COUNTIF(HS329, "*")+COUNTIF(IA329, "*")</f>
        <v>1</v>
      </c>
      <c r="DZ329" s="14">
        <f>DY329*0.64+7.36+0.64</f>
        <v>8.64</v>
      </c>
      <c r="EA329" s="4"/>
      <c r="EB329" s="4"/>
      <c r="EC329" s="4"/>
      <c r="ED329" s="4"/>
      <c r="EE329" s="4"/>
      <c r="EF329" s="4"/>
      <c r="EG329" s="14">
        <f>SUM(EA329:EF329)</f>
        <v>0</v>
      </c>
      <c r="EH329" s="14">
        <f ca="1">SUM(DV329,DX329,EG329, EA329, DZ329,GD329)</f>
        <v>1193.2222791666666</v>
      </c>
      <c r="EI329" s="24" t="s">
        <v>4944</v>
      </c>
      <c r="EJ329" s="130">
        <v>3</v>
      </c>
      <c r="EK329" s="14">
        <v>27000</v>
      </c>
      <c r="EL329" s="14">
        <v>47900</v>
      </c>
      <c r="EM329" s="14">
        <f>SUM(EK329+EL329)</f>
        <v>74900</v>
      </c>
      <c r="EN329" s="14">
        <v>42300</v>
      </c>
      <c r="EO329" s="14">
        <v>82000</v>
      </c>
      <c r="EP329" s="14">
        <f>SUM(EN329+EO329)</f>
        <v>124300</v>
      </c>
      <c r="EQ329" s="10" t="s">
        <v>5285</v>
      </c>
      <c r="ER329" s="10" t="s">
        <v>5286</v>
      </c>
      <c r="ES329" s="10" t="s">
        <v>5287</v>
      </c>
      <c r="ET329" s="10" t="s">
        <v>5288</v>
      </c>
      <c r="EU329" s="10"/>
      <c r="EV329" s="10"/>
      <c r="EW329" s="10"/>
      <c r="EX329" s="10"/>
      <c r="EY329" s="10" t="s">
        <v>5287</v>
      </c>
      <c r="EZ329" s="10" t="s">
        <v>5288</v>
      </c>
      <c r="FA329" s="10"/>
      <c r="FB329" s="10"/>
      <c r="FC329" s="10"/>
      <c r="FD329" s="10"/>
      <c r="GJ329" s="4"/>
      <c r="IK329" s="9"/>
      <c r="IV329" s="4"/>
    </row>
    <row r="330" spans="1:263" ht="15" customHeight="1">
      <c r="A330" s="19">
        <v>102023087</v>
      </c>
      <c r="B330" s="18" t="s">
        <v>4298</v>
      </c>
      <c r="D330" s="1"/>
      <c r="E330" s="3"/>
      <c r="F330" s="3"/>
      <c r="J330" s="18" t="s">
        <v>311</v>
      </c>
      <c r="K330" s="18" t="s">
        <v>949</v>
      </c>
      <c r="L330" s="130" t="s">
        <v>4299</v>
      </c>
      <c r="M330" s="130"/>
      <c r="N330" s="130"/>
      <c r="O330" s="288" t="s">
        <v>258</v>
      </c>
      <c r="P330" s="130"/>
      <c r="Q330" s="130"/>
      <c r="R330" s="130"/>
      <c r="S330" s="130"/>
      <c r="AG330" s="43"/>
      <c r="AJ330" s="18" t="s">
        <v>4318</v>
      </c>
      <c r="AK330" s="18" t="s">
        <v>258</v>
      </c>
      <c r="AL330" s="18" t="s">
        <v>349</v>
      </c>
      <c r="AM330" s="18" t="s">
        <v>260</v>
      </c>
      <c r="AN330" s="18" t="s">
        <v>4657</v>
      </c>
      <c r="AO330" s="18" t="s">
        <v>4319</v>
      </c>
      <c r="AP330" s="18" t="s">
        <v>258</v>
      </c>
      <c r="AQ330" s="18" t="s">
        <v>4320</v>
      </c>
      <c r="AR330" s="18"/>
      <c r="AX330" s="1"/>
      <c r="AY330" s="1"/>
      <c r="AZ330" s="1"/>
      <c r="BA330" s="1"/>
      <c r="BB330" s="1"/>
      <c r="BC330" s="2"/>
      <c r="BD330" s="116"/>
      <c r="BE330" s="115">
        <v>45033</v>
      </c>
      <c r="BF330" s="2"/>
      <c r="BG330" s="2"/>
      <c r="BH330" s="2"/>
      <c r="BI330" s="2"/>
      <c r="BJ330" s="2"/>
      <c r="BK330" s="2"/>
      <c r="BL330" s="20">
        <f ca="1">SUM(DP330)+220</f>
        <v>1426.5767999999998</v>
      </c>
      <c r="BM330" s="22">
        <f ca="1">PMT(10%/12,12,BL330,0,0)</f>
        <v>-125.41876507374793</v>
      </c>
      <c r="BN330" s="22">
        <f ca="1">SUM(BM330*-1)</f>
        <v>125.41876507374793</v>
      </c>
      <c r="BO330" s="14">
        <f>SUM(DX330*0.0052)/12</f>
        <v>37.093333333333334</v>
      </c>
      <c r="BP330" s="22">
        <f ca="1">SUM(BN330+BO330)</f>
        <v>162.51209840708128</v>
      </c>
      <c r="BQ330" s="14"/>
      <c r="BR330" s="14">
        <f>SUM(BQ330*0.1)</f>
        <v>0</v>
      </c>
      <c r="BS330" s="14">
        <f ca="1">SUM(BT330*BU330)</f>
        <v>0</v>
      </c>
      <c r="BT330" s="17">
        <f>SUM((BQ330+BR330)*0.00833333333333333)</f>
        <v>0</v>
      </c>
      <c r="BU330" s="23">
        <f ca="1">MONTH(TODAY())+49</f>
        <v>53</v>
      </c>
      <c r="BV330" s="14">
        <f ca="1">SUM(BQ330,BR330,BS330)</f>
        <v>0</v>
      </c>
      <c r="BW330" s="14"/>
      <c r="BX330" s="14">
        <f>SUM(BW330*0.1)</f>
        <v>0</v>
      </c>
      <c r="BY330" s="14">
        <f ca="1">SUM(BZ330*CA330)</f>
        <v>0</v>
      </c>
      <c r="BZ330" s="17">
        <f>SUM((BW330+BX330)*0.00833333333333333)</f>
        <v>0</v>
      </c>
      <c r="CA330" s="23">
        <f ca="1">MONTH(TODAY())+37</f>
        <v>41</v>
      </c>
      <c r="CB330" s="14">
        <f ca="1">SUM(BW330,BX330,BY330)</f>
        <v>0</v>
      </c>
      <c r="CC330" s="14">
        <v>0</v>
      </c>
      <c r="CD330" s="14">
        <f>SUM(CC330*0.1)</f>
        <v>0</v>
      </c>
      <c r="CE330" s="14">
        <f ca="1">SUM(CF330*CG330)</f>
        <v>0</v>
      </c>
      <c r="CF330" s="17">
        <f>SUM((CC330+CD330)*0.00833333333333333)</f>
        <v>0</v>
      </c>
      <c r="CG330" s="23">
        <f ca="1">MONTH(TODAY())+25</f>
        <v>29</v>
      </c>
      <c r="CH330" s="14">
        <f ca="1">SUM(CC330,CD330,CE330)</f>
        <v>0</v>
      </c>
      <c r="CI330" s="14">
        <f>SUM(DU330*0.0052)</f>
        <v>339.03999999999996</v>
      </c>
      <c r="CJ330" s="14">
        <f>SUM(CI330*0.1)</f>
        <v>33.903999999999996</v>
      </c>
      <c r="CK330" s="14">
        <f ca="1">SUM(CL330*CM330)</f>
        <v>52.833733333333306</v>
      </c>
      <c r="CL330" s="17">
        <f>SUM((CI330+CJ330)*0.00833333333333333)</f>
        <v>3.107866666666665</v>
      </c>
      <c r="CM330" s="23">
        <f ca="1">MONTH(TODAY())+13</f>
        <v>17</v>
      </c>
      <c r="CN330" s="14">
        <f ca="1">SUM(CI330,CJ330,CK330)</f>
        <v>425.77773333333329</v>
      </c>
      <c r="CO330" s="14">
        <f>SUM(DU330*0.0052)/2</f>
        <v>169.51999999999998</v>
      </c>
      <c r="CP330" s="14">
        <f>SUM(CO330*0.1)</f>
        <v>16.951999999999998</v>
      </c>
      <c r="CQ330" s="14">
        <f ca="1">SUM(CR330*CS330)</f>
        <v>13.985399999999993</v>
      </c>
      <c r="CR330" s="17">
        <f>SUM((CO330+CP330)*0.00833333333333333)</f>
        <v>1.5539333333333325</v>
      </c>
      <c r="CS330" s="23">
        <f ca="1">MONTH(TODAY())+5</f>
        <v>9</v>
      </c>
      <c r="CT330" s="23">
        <f ca="1">SUM(CO330,CP330,CQ330)</f>
        <v>200.45739999999998</v>
      </c>
      <c r="CU330" s="14">
        <f>SUM(DU330*0.0052)/2</f>
        <v>169.51999999999998</v>
      </c>
      <c r="CV330" s="14">
        <f>SUM(CU330*0.1)</f>
        <v>16.951999999999998</v>
      </c>
      <c r="CW330" s="14">
        <f ca="1">SUM(CX330*CY330)</f>
        <v>7.7696666666666623</v>
      </c>
      <c r="CX330" s="17">
        <f>SUM((CU330+CV330)*0.00833333333333333)</f>
        <v>1.5539333333333325</v>
      </c>
      <c r="CY330" s="23">
        <f ca="1">MONTH(TODAY())+1</f>
        <v>5</v>
      </c>
      <c r="CZ330" s="23">
        <f ca="1">SUM(CU330,CV330,CW330)</f>
        <v>194.24166666666665</v>
      </c>
      <c r="DA330" s="14">
        <f>SUM( BQ330, BW330, CC330, CI330, CO330,CU330)</f>
        <v>678.07999999999993</v>
      </c>
      <c r="DB330" s="14">
        <f>SUM(BR330,BX330,CD330,CJ330, CP330,CV330)</f>
        <v>67.807999999999993</v>
      </c>
      <c r="DC330" s="14">
        <f ca="1">SUM(BS330,BY330,CE330,CK330, CQ330,CW330)</f>
        <v>74.588799999999964</v>
      </c>
      <c r="DD330" s="25">
        <f ca="1">SUM(DA330:DC330)</f>
        <v>820.47679999999991</v>
      </c>
      <c r="DE330" s="47">
        <f ca="1">SUM(DD330/DU330)</f>
        <v>1.2583999999999998E-2</v>
      </c>
      <c r="DF330" s="14">
        <f>20+200</f>
        <v>220</v>
      </c>
      <c r="DG330" s="32">
        <f>COUNTIF(DL330, "*")+COUNTIF(AO330, "*")+COUNTIF(AJ330, "*")+COUNTIF(AA330, "*")+COUNTIF(EM330, "*")+COUNTIF(ES330, "*")+COUNTIF(EY330, "*")+COUNTIF(FC330, "*")+COUNTIF(FJ330, "*")+COUNTIF(AT330, "*")+COUNTIF(FS330, "*")+COUNTIF(GD330, "*")+COUNTIF(GO330, "*")+COUNTIF(GW330, "*")+COUNTIF(HE330, "*")+COUNTIF(HM330, "*")+COUNTIF(HU330, "*")</f>
        <v>2</v>
      </c>
      <c r="DH330" s="14">
        <f>1.2+DG330*7.45</f>
        <v>16.100000000000001</v>
      </c>
      <c r="DI330" s="4">
        <v>150</v>
      </c>
      <c r="DJ330" s="4"/>
      <c r="DK330" s="4"/>
      <c r="DL330" s="4"/>
      <c r="DN330" s="4"/>
      <c r="DO330" s="14">
        <f>SUM(DJ330:DN330)</f>
        <v>0</v>
      </c>
      <c r="DP330" s="14">
        <f ca="1">SUM(DD330,DF330,DO330, DI330, DH330,FP330)</f>
        <v>1206.5767999999998</v>
      </c>
      <c r="DQ330" s="24" t="s">
        <v>3879</v>
      </c>
      <c r="DR330" s="130">
        <v>3.54</v>
      </c>
      <c r="DS330" s="14">
        <v>32700</v>
      </c>
      <c r="DT330" s="14">
        <v>32500</v>
      </c>
      <c r="DU330" s="14">
        <v>65200</v>
      </c>
      <c r="DV330" s="14">
        <v>50200</v>
      </c>
      <c r="DW330" s="14">
        <v>35400</v>
      </c>
      <c r="DX330" s="14">
        <f>SUM(DV330+DW330)</f>
        <v>85600</v>
      </c>
      <c r="DY330" t="s">
        <v>4654</v>
      </c>
      <c r="DZ330" t="s">
        <v>4655</v>
      </c>
      <c r="EA330" t="s">
        <v>4656</v>
      </c>
      <c r="IA330" s="9"/>
      <c r="IL330" s="14">
        <f ca="1">SUM(IB330-DP330-FP330-IJ330)</f>
        <v>-1206.5767999999998</v>
      </c>
      <c r="IM330" s="9"/>
      <c r="IN330" s="9"/>
      <c r="IO330" s="9"/>
      <c r="IP330" s="9"/>
      <c r="IQ330" s="9"/>
      <c r="IR330" s="3"/>
      <c r="IS330" s="3"/>
    </row>
    <row r="331" spans="1:263" s="240" customFormat="1" ht="15" customHeight="1">
      <c r="A331" s="2">
        <v>102018003</v>
      </c>
      <c r="B331" t="s">
        <v>1101</v>
      </c>
      <c r="C331"/>
      <c r="D331"/>
      <c r="E331"/>
      <c r="F331"/>
      <c r="G331"/>
      <c r="H331"/>
      <c r="I331"/>
      <c r="J331" t="s">
        <v>253</v>
      </c>
      <c r="K331" t="s">
        <v>848</v>
      </c>
      <c r="L331" t="s">
        <v>849</v>
      </c>
      <c r="M331" t="s">
        <v>850</v>
      </c>
      <c r="N331"/>
      <c r="O331" s="1" t="s">
        <v>258</v>
      </c>
      <c r="P331"/>
      <c r="Q331"/>
      <c r="R331"/>
      <c r="S331"/>
      <c r="T331" s="1"/>
      <c r="U331"/>
      <c r="V331"/>
      <c r="W331"/>
      <c r="X331"/>
      <c r="Y331"/>
      <c r="Z331"/>
      <c r="AA331"/>
      <c r="AB331"/>
      <c r="AC331"/>
      <c r="AD331"/>
      <c r="AE331"/>
      <c r="AF331"/>
      <c r="AG331" s="3"/>
      <c r="AH331"/>
      <c r="AI331"/>
      <c r="AJ331" s="11"/>
      <c r="AK331" s="11"/>
      <c r="AL331"/>
      <c r="AM331" s="3"/>
      <c r="AN331" s="3"/>
      <c r="AO331" s="4"/>
      <c r="AP331" s="5"/>
      <c r="AQ331" s="34"/>
      <c r="AR331" s="34"/>
      <c r="AS331" s="29"/>
      <c r="AT331" s="1"/>
      <c r="AU331" s="1"/>
      <c r="AV331" s="1"/>
      <c r="AW331" s="1"/>
      <c r="AX331" s="1"/>
      <c r="AY331" s="1"/>
      <c r="AZ331" s="1"/>
      <c r="BA331" s="1"/>
      <c r="BB331" s="1"/>
      <c r="BC331" s="1"/>
      <c r="BD331" s="1"/>
      <c r="BE331" s="5"/>
      <c r="BF331" s="16"/>
      <c r="BG331" s="16"/>
      <c r="BH331"/>
      <c r="BI331" s="4"/>
      <c r="BJ331" s="4"/>
      <c r="BK331" s="6"/>
      <c r="BL331" s="7"/>
      <c r="BM331" s="4"/>
      <c r="BN331"/>
      <c r="BO331" s="4"/>
      <c r="BP331" s="4"/>
      <c r="BQ331" s="6"/>
      <c r="BR331" s="7"/>
      <c r="BS331" s="4"/>
      <c r="BT331" s="4"/>
      <c r="BU331" s="4"/>
      <c r="BV331" s="4"/>
      <c r="BW331" s="6"/>
      <c r="BX331" s="7"/>
      <c r="BY331" s="4"/>
      <c r="BZ331"/>
      <c r="CA331" s="4"/>
      <c r="CB331" s="4"/>
      <c r="CC331" s="6"/>
      <c r="CD331" s="7"/>
      <c r="CE331" s="4"/>
      <c r="CF331" s="4"/>
      <c r="CG331" s="4"/>
      <c r="CH331" s="4"/>
      <c r="CI331" s="6"/>
      <c r="CJ331" s="7"/>
      <c r="CK331" s="4"/>
      <c r="CL331" s="4"/>
      <c r="CM331" s="4"/>
      <c r="CN331" s="4"/>
      <c r="CO331" s="6"/>
      <c r="CP331" s="7"/>
      <c r="CQ331" s="4"/>
      <c r="CR331" s="4"/>
      <c r="CS331" s="4"/>
      <c r="CT331" s="4"/>
      <c r="CU331" s="6"/>
      <c r="CV331" s="7"/>
      <c r="CW331" s="4"/>
      <c r="CX331" s="4"/>
      <c r="CY331" s="4"/>
      <c r="CZ331" s="4"/>
      <c r="DA331" s="6"/>
      <c r="DB331" s="7"/>
      <c r="DC331" s="4"/>
      <c r="DD331" s="4"/>
      <c r="DE331" s="4"/>
      <c r="DF331" s="4"/>
      <c r="DG331" s="6"/>
      <c r="DH331" s="7"/>
      <c r="DI331" s="4"/>
      <c r="DJ331" s="4"/>
      <c r="DK331" s="4"/>
      <c r="DL331" s="4"/>
      <c r="DM331" s="4"/>
      <c r="DN331"/>
      <c r="DO331" s="4"/>
      <c r="DP331"/>
      <c r="DQ331" s="4"/>
      <c r="DR331" s="4"/>
      <c r="DS331" s="4"/>
      <c r="DT331" s="4"/>
      <c r="DU331" s="4"/>
      <c r="DV331" s="4"/>
      <c r="DW331" s="4"/>
      <c r="DX331" s="4"/>
      <c r="DY331" s="3"/>
      <c r="DZ331" s="3"/>
      <c r="EA331" s="3"/>
      <c r="EB331" s="3"/>
      <c r="EC331" s="3"/>
      <c r="ED331" s="4"/>
      <c r="EE331"/>
      <c r="EF331"/>
      <c r="EG331"/>
      <c r="EH331" s="4"/>
      <c r="EI331" s="4"/>
      <c r="EJ331" s="4"/>
      <c r="EK331" s="4"/>
      <c r="EL331" s="4"/>
      <c r="EM331" s="4"/>
      <c r="EN331" s="4"/>
      <c r="EO331" s="4"/>
      <c r="EP331" s="4"/>
      <c r="EQ331" s="4"/>
      <c r="ER331" s="4"/>
      <c r="ES331" s="4"/>
      <c r="ET331"/>
      <c r="EU331"/>
      <c r="EV331"/>
      <c r="EW331"/>
      <c r="EX331"/>
      <c r="EY331"/>
      <c r="EZ331"/>
      <c r="FA331"/>
      <c r="FB331"/>
      <c r="FC331"/>
      <c r="FD331"/>
      <c r="FE331"/>
      <c r="FF331"/>
      <c r="FG331"/>
      <c r="FH331"/>
      <c r="FI331"/>
      <c r="FJ331"/>
      <c r="FK331"/>
      <c r="FL331"/>
      <c r="FM331"/>
      <c r="FN331" s="9"/>
      <c r="FO331" s="10"/>
      <c r="FP331"/>
      <c r="FQ331"/>
      <c r="FR331"/>
      <c r="FS331"/>
      <c r="FT331"/>
      <c r="FU331"/>
      <c r="FV331" s="10"/>
      <c r="FW331"/>
      <c r="FX331"/>
      <c r="FY331"/>
      <c r="FZ331"/>
      <c r="GA331"/>
      <c r="GB331"/>
      <c r="GC331"/>
      <c r="GD331"/>
      <c r="GE331"/>
      <c r="GF331"/>
      <c r="GG331"/>
      <c r="GH331" s="9"/>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row>
    <row r="332" spans="1:263" ht="15" customHeight="1">
      <c r="A332" s="19">
        <v>102022078</v>
      </c>
      <c r="B332" t="s">
        <v>2823</v>
      </c>
      <c r="D332" s="1"/>
      <c r="E332" s="3" t="s">
        <v>3886</v>
      </c>
      <c r="F332" s="3">
        <v>220004199</v>
      </c>
      <c r="J332" t="s">
        <v>311</v>
      </c>
      <c r="K332" t="s">
        <v>811</v>
      </c>
      <c r="L332" t="s">
        <v>1006</v>
      </c>
      <c r="M332" t="s">
        <v>598</v>
      </c>
      <c r="AG332" s="43"/>
      <c r="AJ332" s="18" t="s">
        <v>328</v>
      </c>
      <c r="AL332" s="3" t="s">
        <v>349</v>
      </c>
      <c r="AM332"/>
      <c r="AN332"/>
      <c r="AO332" s="3" t="s">
        <v>2950</v>
      </c>
      <c r="AP332" s="3" t="s">
        <v>258</v>
      </c>
      <c r="AQ332" t="s">
        <v>349</v>
      </c>
      <c r="AR332" t="s">
        <v>260</v>
      </c>
      <c r="AS332" s="1"/>
      <c r="AT332" s="1" t="s">
        <v>258</v>
      </c>
      <c r="AU332" s="1"/>
      <c r="AV332" s="1"/>
      <c r="AW332" s="1"/>
      <c r="AX332" s="48">
        <v>44728</v>
      </c>
      <c r="AY332" s="115">
        <v>44696</v>
      </c>
      <c r="AZ332" s="115">
        <v>44655</v>
      </c>
      <c r="BA332" s="2"/>
      <c r="BB332" s="2"/>
      <c r="BC332" s="2"/>
      <c r="BD332" s="2"/>
      <c r="BE332" s="2"/>
      <c r="BF332" s="2"/>
      <c r="BG332" s="20">
        <f ca="1">SUM(CZ332)+214.5</f>
        <v>1172.7001500000001</v>
      </c>
      <c r="BH332" s="22">
        <f ca="1">PMT(10%/12,12,BG332,0,0)</f>
        <v>-103.09897414201535</v>
      </c>
      <c r="BI332" s="22">
        <f ca="1">SUM(BH332*-1)</f>
        <v>103.09897414201535</v>
      </c>
      <c r="BJ332" s="14">
        <f>SUM(DJ332*0.0052)/12</f>
        <v>14.17</v>
      </c>
      <c r="BK332" s="22">
        <f ca="1">SUM(BI332+BJ332)</f>
        <v>117.26897414201535</v>
      </c>
      <c r="BL332" s="14"/>
      <c r="BM332" s="14">
        <f>SUM(BL332*0.1)</f>
        <v>0</v>
      </c>
      <c r="BN332" s="14">
        <f ca="1">SUM(BO332*BP332)</f>
        <v>0</v>
      </c>
      <c r="BO332" s="17">
        <f>SUM((BL332+BM332)*0.00833333333333333)</f>
        <v>0</v>
      </c>
      <c r="BP332" s="23">
        <f ca="1">MONTH(TODAY())+49</f>
        <v>53</v>
      </c>
      <c r="BQ332" s="14">
        <f ca="1">SUM(BL332,BM332,BN332)</f>
        <v>0</v>
      </c>
      <c r="BR332" s="14"/>
      <c r="BS332" s="14">
        <f>SUM(BR332*0.1)</f>
        <v>0</v>
      </c>
      <c r="BT332" s="14">
        <f ca="1">SUM(BU332*BV332)</f>
        <v>0</v>
      </c>
      <c r="BU332" s="17">
        <f>SUM((BR332+BS332)*0.00833333333333333)</f>
        <v>0</v>
      </c>
      <c r="BV332" s="23">
        <f ca="1">MONTH(TODAY())+37</f>
        <v>41</v>
      </c>
      <c r="BW332" s="14">
        <f ca="1">SUM(BR332,BS332,BT332)</f>
        <v>0</v>
      </c>
      <c r="BX332" s="14"/>
      <c r="BY332" s="14">
        <f>SUM(BX332*0.1)</f>
        <v>0</v>
      </c>
      <c r="BZ332" s="14">
        <f ca="1">SUM(CA332*CB332)</f>
        <v>0</v>
      </c>
      <c r="CA332" s="17">
        <f>SUM((BX332+BY332)*0.00833333333333333)</f>
        <v>0</v>
      </c>
      <c r="CB332" s="23">
        <f ca="1">MONTH(TODAY())+25</f>
        <v>29</v>
      </c>
      <c r="CC332" s="14">
        <f ca="1">SUM(BX332,BY332,BZ332)</f>
        <v>0</v>
      </c>
      <c r="CD332" s="14">
        <v>16.739999999999998</v>
      </c>
      <c r="CE332" s="14">
        <f>SUM(CD332*0.1)</f>
        <v>1.6739999999999999</v>
      </c>
      <c r="CF332" s="14">
        <f ca="1">SUM(CG332*CH332)</f>
        <v>2.6086499999999986</v>
      </c>
      <c r="CG332" s="17">
        <f>SUM((CD332+CE332)*0.00833333333333333)</f>
        <v>0.15344999999999992</v>
      </c>
      <c r="CH332" s="23">
        <f ca="1">MONTH(TODAY())+13</f>
        <v>17</v>
      </c>
      <c r="CI332" s="14">
        <f ca="1">SUM(CD332,CE332,CF332)</f>
        <v>21.022649999999995</v>
      </c>
      <c r="CJ332" s="14">
        <f>SUM(DJ332*0.0052)</f>
        <v>170.04</v>
      </c>
      <c r="CK332" s="14">
        <f>SUM(CJ332*0.1)</f>
        <v>17.004000000000001</v>
      </c>
      <c r="CL332" s="14">
        <f ca="1">SUM(CM332*CN332)</f>
        <v>7.7934999999999954</v>
      </c>
      <c r="CM332" s="17">
        <f>SUM((CJ332+CK332)*0.00833333333333333)</f>
        <v>1.5586999999999991</v>
      </c>
      <c r="CN332" s="23">
        <f ca="1">MONTH(TODAY())+1</f>
        <v>5</v>
      </c>
      <c r="CO332" s="14">
        <f ca="1">SUM(CJ332,CK332,CL332)</f>
        <v>194.83749999999998</v>
      </c>
      <c r="CP332" s="14">
        <f>SUM(DJ332*0.0052)/2</f>
        <v>85.02</v>
      </c>
      <c r="CQ332" s="14">
        <f>SUM(BL332, BR332, BX332, CD332, CJ332, CP332)</f>
        <v>271.8</v>
      </c>
      <c r="CR332" s="14">
        <f>SUM(BM332, BS332,BY332,CE332,CK332)</f>
        <v>18.678000000000001</v>
      </c>
      <c r="CS332" s="14">
        <f ca="1">SUM(BN332, BT332,BZ332,CF332,CL332)</f>
        <v>10.402149999999994</v>
      </c>
      <c r="CT332" s="14">
        <f ca="1">SUM(CQ332:CS332)</f>
        <v>300.88015000000001</v>
      </c>
      <c r="CU332" s="47">
        <f ca="1">SUM(CT332/DJ332)</f>
        <v>9.2012278287461786E-3</v>
      </c>
      <c r="CV332" s="14">
        <f>19.5+19.5+195+195</f>
        <v>429</v>
      </c>
      <c r="CW332" s="32">
        <f>COUNTIF(DC332, "*")+COUNTIF(AO332, "*")+COUNTIF(AJ332, "*")+COUNTIF(AA332, "*")+COUNTIF(DZ332, "*")+COUNTIF(EF332, "*")+COUNTIF(EL332, "*")+COUNTIF(EP332, "*")+COUNTIF(EW332, "*")+COUNTIF(FD332, "*")+COUNTIF(FK332, "*")+COUNTIF(FV332, "*")+COUNTIF(GG332, "*")+COUNTIF(GO332, "*")+COUNTIF(GW332, "*")+COUNTIF(HE332, "*")+COUNTIF(HM332, "*")</f>
        <v>2</v>
      </c>
      <c r="CX332" s="14">
        <f>CW332*0.5+CW332*6.66</f>
        <v>14.32</v>
      </c>
      <c r="CY332" s="4">
        <v>150</v>
      </c>
      <c r="CZ332" s="14">
        <f ca="1">SUM(CT332,CV332,DF332, CY332, CX332,FH332)</f>
        <v>958.20015000000001</v>
      </c>
      <c r="DA332" s="4">
        <v>64</v>
      </c>
      <c r="DF332" s="14">
        <f>SUM(DA332:DE332)</f>
        <v>64</v>
      </c>
      <c r="DG332" s="24" t="s">
        <v>2773</v>
      </c>
      <c r="DH332" s="4">
        <v>32700</v>
      </c>
      <c r="DI332" s="4">
        <v>0</v>
      </c>
      <c r="DJ332" s="25">
        <f>SUM(DH332+DI332)</f>
        <v>32700</v>
      </c>
      <c r="DK332" s="35">
        <v>3.67</v>
      </c>
      <c r="DL332" t="s">
        <v>3733</v>
      </c>
      <c r="DM332" t="s">
        <v>3734</v>
      </c>
      <c r="ID332" s="4"/>
    </row>
    <row r="333" spans="1:263" ht="15" customHeight="1">
      <c r="A333" s="2">
        <v>102017024</v>
      </c>
      <c r="B333" t="s">
        <v>847</v>
      </c>
      <c r="J333" t="s">
        <v>253</v>
      </c>
      <c r="K333" t="s">
        <v>848</v>
      </c>
      <c r="L333" t="s">
        <v>849</v>
      </c>
      <c r="M333" t="s">
        <v>850</v>
      </c>
      <c r="O333" s="1" t="s">
        <v>258</v>
      </c>
      <c r="T333" s="1"/>
      <c r="AE333" s="1"/>
      <c r="AJ333" s="4"/>
      <c r="AK333" s="4"/>
      <c r="AL333" s="4"/>
      <c r="AP333" s="13"/>
      <c r="AQ333" s="63"/>
      <c r="AR333" s="34"/>
      <c r="AS333" s="5"/>
      <c r="AT333" s="13"/>
      <c r="AU333" s="1"/>
      <c r="AV333" s="1"/>
      <c r="AW333" s="1"/>
      <c r="AX333" s="1"/>
      <c r="AY333" s="1"/>
      <c r="AZ333" s="15"/>
      <c r="BA333" s="1"/>
      <c r="BB333" s="1"/>
      <c r="BC333" s="1"/>
      <c r="BD333" s="1"/>
      <c r="BE333" s="5"/>
      <c r="BF333" s="16"/>
      <c r="BG333" s="16"/>
      <c r="BI333" s="4"/>
      <c r="BJ333" s="4"/>
      <c r="BK333" s="6"/>
      <c r="BL333" s="7"/>
      <c r="BM333" s="4"/>
      <c r="BO333" s="4"/>
      <c r="BP333" s="4"/>
      <c r="BQ333" s="6"/>
      <c r="BR333" s="7"/>
      <c r="BS333" s="4"/>
      <c r="BT333" s="4"/>
      <c r="BU333" s="4"/>
      <c r="BV333" s="4"/>
      <c r="BW333" s="6"/>
      <c r="BX333" s="7"/>
      <c r="BY333" s="4"/>
      <c r="CA333" s="4"/>
      <c r="CB333" s="4"/>
      <c r="CC333" s="6"/>
      <c r="CD333" s="7"/>
      <c r="CE333" s="4"/>
      <c r="CF333" s="4"/>
      <c r="CG333" s="4"/>
      <c r="CH333" s="4"/>
      <c r="CI333" s="6"/>
      <c r="CJ333" s="7"/>
      <c r="CK333" s="4"/>
      <c r="CL333" s="4"/>
      <c r="CM333" s="4"/>
      <c r="CN333" s="4"/>
      <c r="CO333" s="6"/>
      <c r="CP333" s="7"/>
      <c r="CQ333" s="4"/>
      <c r="CR333" s="4"/>
      <c r="CS333" s="4"/>
      <c r="CT333" s="4"/>
      <c r="CU333" s="6"/>
      <c r="CV333" s="7"/>
      <c r="CW333" s="4"/>
      <c r="CX333" s="4"/>
      <c r="CY333" s="4"/>
      <c r="CZ333" s="4"/>
      <c r="DA333" s="6"/>
      <c r="DB333" s="7"/>
      <c r="DC333" s="4"/>
      <c r="DD333" s="4"/>
      <c r="DE333" s="4"/>
      <c r="DF333" s="4"/>
      <c r="DG333" s="6"/>
      <c r="DH333" s="7"/>
      <c r="DI333" s="4"/>
      <c r="DJ333" s="4"/>
      <c r="DK333" s="4"/>
      <c r="DL333" s="4"/>
      <c r="DM333" s="4"/>
      <c r="DN333" s="3"/>
      <c r="DO333" s="4"/>
      <c r="DP333" s="4"/>
      <c r="DQ333" s="4"/>
      <c r="DR333" s="4"/>
      <c r="DS333" s="4"/>
      <c r="DT333" s="4"/>
      <c r="DU333" s="4"/>
      <c r="DV333" s="4"/>
      <c r="DW333" s="4"/>
      <c r="DX333" s="4"/>
      <c r="DY333" s="4"/>
      <c r="DZ333" s="4"/>
      <c r="EA333" s="4"/>
      <c r="EB333" s="4"/>
      <c r="EC333" s="4"/>
      <c r="ED333" s="4"/>
      <c r="EE333" s="4"/>
      <c r="EF333" s="4"/>
      <c r="EG333" s="4"/>
      <c r="FO333" s="9"/>
      <c r="FP333" s="10"/>
      <c r="FW333" s="10"/>
      <c r="GI333" s="9"/>
      <c r="IP333" s="4"/>
      <c r="IQ333" s="9">
        <v>43160</v>
      </c>
      <c r="IR333" s="9">
        <v>43312</v>
      </c>
      <c r="IS333" s="9">
        <v>43328</v>
      </c>
    </row>
    <row r="334" spans="1:263" s="243" customFormat="1" ht="15" customHeight="1">
      <c r="A334" s="2">
        <v>102018091</v>
      </c>
      <c r="B334" s="4" t="s">
        <v>1275</v>
      </c>
      <c r="C334" s="4"/>
      <c r="D334" s="4"/>
      <c r="E334" s="3"/>
      <c r="F334" s="2"/>
      <c r="G334">
        <v>180000895</v>
      </c>
      <c r="H334"/>
      <c r="I334"/>
      <c r="J334" t="s">
        <v>305</v>
      </c>
      <c r="K334" t="s">
        <v>1276</v>
      </c>
      <c r="L334" t="s">
        <v>926</v>
      </c>
      <c r="M334" t="s">
        <v>357</v>
      </c>
      <c r="N334"/>
      <c r="O334" s="1"/>
      <c r="P334" t="s">
        <v>1276</v>
      </c>
      <c r="Q334" t="s">
        <v>566</v>
      </c>
      <c r="R334" t="s">
        <v>396</v>
      </c>
      <c r="S334"/>
      <c r="T334" s="1"/>
      <c r="U334"/>
      <c r="V334"/>
      <c r="W334"/>
      <c r="X334"/>
      <c r="Y334"/>
      <c r="Z334"/>
      <c r="AA334"/>
      <c r="AB334"/>
      <c r="AC334"/>
      <c r="AD334"/>
      <c r="AE334"/>
      <c r="AF334"/>
      <c r="AG334" s="3"/>
      <c r="AH334"/>
      <c r="AI334"/>
      <c r="AJ334" s="4"/>
      <c r="AK334" s="4"/>
      <c r="AL334"/>
      <c r="AM334" s="3"/>
      <c r="AN334" s="3"/>
      <c r="AO334" s="4"/>
      <c r="AP334" s="5"/>
      <c r="AQ334" s="3"/>
      <c r="AR334" s="3"/>
      <c r="AS334" s="5"/>
      <c r="AT334" s="5"/>
      <c r="AU334" s="1"/>
      <c r="AV334" s="1"/>
      <c r="AW334" s="1"/>
      <c r="AX334" s="1"/>
      <c r="AY334" s="1"/>
      <c r="AZ334" s="1"/>
      <c r="BA334" s="1"/>
      <c r="BB334" s="1"/>
      <c r="BC334" s="1"/>
      <c r="BD334" s="1"/>
      <c r="BE334" s="1"/>
      <c r="BF334" s="1"/>
      <c r="BG334" s="5"/>
      <c r="BH334" s="16"/>
      <c r="BI334" s="16"/>
      <c r="BJ334"/>
      <c r="BK334" s="4"/>
      <c r="BL334" s="4"/>
      <c r="BM334" s="6"/>
      <c r="BN334" s="7"/>
      <c r="BO334" s="4"/>
      <c r="BP334" s="4"/>
      <c r="BQ334" s="4"/>
      <c r="BR334" s="4"/>
      <c r="BS334" s="6"/>
      <c r="BT334" s="7"/>
      <c r="BU334" s="4"/>
      <c r="BV334" s="4"/>
      <c r="BW334" s="4"/>
      <c r="BX334" s="4"/>
      <c r="BY334" s="6"/>
      <c r="BZ334" s="7"/>
      <c r="CA334" s="4"/>
      <c r="CB334" s="4"/>
      <c r="CC334" s="4"/>
      <c r="CD334" s="4"/>
      <c r="CE334" s="6"/>
      <c r="CF334" s="7"/>
      <c r="CG334" s="4"/>
      <c r="CH334" s="4"/>
      <c r="CI334" s="4"/>
      <c r="CJ334" s="4"/>
      <c r="CK334" s="6"/>
      <c r="CL334" s="7"/>
      <c r="CM334" s="4"/>
      <c r="CN334" s="4"/>
      <c r="CO334" s="4"/>
      <c r="CP334" s="4"/>
      <c r="CQ334" s="6"/>
      <c r="CR334" s="7"/>
      <c r="CS334" s="4"/>
      <c r="CT334" s="4"/>
      <c r="CU334" s="4"/>
      <c r="CV334" s="4"/>
      <c r="CW334" s="6"/>
      <c r="CX334" s="7"/>
      <c r="CY334" s="4"/>
      <c r="CZ334" s="4"/>
      <c r="DA334" s="4"/>
      <c r="DB334" s="4"/>
      <c r="DC334" s="6"/>
      <c r="DD334" s="7"/>
      <c r="DE334" s="4"/>
      <c r="DF334" s="4"/>
      <c r="DG334" s="14"/>
      <c r="DH334" s="14"/>
      <c r="DI334" s="4"/>
      <c r="DJ334" s="3"/>
      <c r="DK334" s="4"/>
      <c r="DL334" s="234"/>
      <c r="DM334" s="4"/>
      <c r="DN334" s="4"/>
      <c r="DO334" s="4"/>
      <c r="DP334" s="4"/>
      <c r="DQ334" s="4"/>
      <c r="DR334" s="4"/>
      <c r="DS334" s="7"/>
      <c r="DT334" s="8"/>
      <c r="DU334" s="4"/>
      <c r="DV334" s="8"/>
      <c r="DW334" s="4"/>
      <c r="DX334" s="4"/>
      <c r="DY334"/>
      <c r="DZ334"/>
      <c r="EA334"/>
      <c r="EB334"/>
      <c r="EC334"/>
      <c r="ED334"/>
      <c r="EE334"/>
      <c r="EF334"/>
      <c r="EG334" s="11"/>
      <c r="EH334"/>
      <c r="EI334"/>
      <c r="EJ334"/>
      <c r="EK334"/>
      <c r="EL334"/>
      <c r="EM334" s="11"/>
      <c r="EN334" s="11"/>
      <c r="EO334" s="4"/>
      <c r="EP334" s="4"/>
      <c r="EQ334" s="4"/>
      <c r="ER334" s="4"/>
      <c r="ES334" s="4"/>
      <c r="ET334" s="4"/>
      <c r="EU334" s="4"/>
      <c r="EV334" s="4"/>
      <c r="EW334" s="4"/>
      <c r="EX334" s="4"/>
      <c r="EY334" s="4"/>
      <c r="EZ334" s="4"/>
      <c r="FA334" s="4"/>
      <c r="FB334" s="4"/>
      <c r="FC334" s="4"/>
      <c r="FD334"/>
      <c r="FE334"/>
      <c r="FF334"/>
      <c r="FG334" s="9"/>
      <c r="FH334"/>
      <c r="FI334"/>
      <c r="FJ334"/>
      <c r="FK334"/>
      <c r="FL334"/>
      <c r="FM334"/>
      <c r="FN334"/>
      <c r="FO334"/>
      <c r="FP334" s="9"/>
      <c r="FQ334"/>
      <c r="FR334"/>
      <c r="FS334"/>
      <c r="FT334"/>
      <c r="FU334"/>
      <c r="FV334"/>
      <c r="FW334"/>
      <c r="FX334"/>
      <c r="FY334"/>
      <c r="FZ334" s="10"/>
      <c r="GA334"/>
      <c r="GB334"/>
      <c r="GC334"/>
      <c r="GD334"/>
      <c r="GE334"/>
      <c r="GF334"/>
      <c r="GG334"/>
      <c r="GH334"/>
      <c r="GI334"/>
      <c r="GJ334" s="10"/>
      <c r="GK334"/>
      <c r="GL334"/>
      <c r="GM334"/>
      <c r="GN334"/>
      <c r="GO334"/>
      <c r="GP334"/>
      <c r="GQ334"/>
      <c r="GR334"/>
      <c r="GS334"/>
      <c r="GT334"/>
      <c r="GU334"/>
      <c r="GV334"/>
      <c r="GW334"/>
      <c r="GX334"/>
      <c r="GY334" s="9"/>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s="4"/>
      <c r="IL334"/>
      <c r="IM334"/>
      <c r="IN334"/>
      <c r="IO334"/>
      <c r="IP334"/>
      <c r="IQ334"/>
      <c r="IR334"/>
      <c r="IS334"/>
      <c r="IT334"/>
      <c r="IU334"/>
      <c r="IV334"/>
      <c r="IW334"/>
      <c r="IX334"/>
      <c r="IY334"/>
      <c r="IZ334"/>
      <c r="JA334"/>
      <c r="JB334"/>
      <c r="JC334"/>
    </row>
    <row r="335" spans="1:263" ht="15" customHeight="1">
      <c r="A335" s="18">
        <v>102020049</v>
      </c>
      <c r="B335" s="18" t="s">
        <v>1669</v>
      </c>
      <c r="C335" s="28"/>
      <c r="D335" s="159"/>
      <c r="E335" s="150"/>
      <c r="F335" s="149"/>
      <c r="G335" s="150">
        <v>210002453</v>
      </c>
      <c r="H335" s="28"/>
      <c r="I335" s="28"/>
      <c r="J335" s="28" t="s">
        <v>434</v>
      </c>
      <c r="K335" s="28" t="s">
        <v>1670</v>
      </c>
      <c r="L335" s="28" t="s">
        <v>1392</v>
      </c>
      <c r="M335" s="28"/>
      <c r="N335" s="28"/>
      <c r="O335" s="150"/>
      <c r="P335" s="28" t="s">
        <v>399</v>
      </c>
      <c r="Q335" s="28" t="s">
        <v>1084</v>
      </c>
      <c r="R335" s="28"/>
      <c r="S335" s="28"/>
      <c r="T335" s="28"/>
      <c r="U335" s="28"/>
      <c r="V335" s="28"/>
      <c r="W335" s="28"/>
      <c r="X335" s="28"/>
      <c r="Y335" s="28"/>
      <c r="Z335" s="28"/>
      <c r="AA335" s="28"/>
      <c r="AB335" s="28"/>
      <c r="AC335" s="28"/>
      <c r="AD335" s="28" t="s">
        <v>2381</v>
      </c>
      <c r="AE335" s="28" t="s">
        <v>253</v>
      </c>
      <c r="AF335" s="28" t="s">
        <v>1142</v>
      </c>
      <c r="AG335" s="148" t="s">
        <v>2382</v>
      </c>
      <c r="AH335" s="28" t="s">
        <v>2383</v>
      </c>
      <c r="AI335" s="28" t="s">
        <v>300</v>
      </c>
      <c r="AJ335" s="18" t="s">
        <v>328</v>
      </c>
      <c r="AK335" s="13"/>
      <c r="AL335" s="18" t="s">
        <v>349</v>
      </c>
      <c r="AM335" s="18"/>
      <c r="AN335" s="18" t="s">
        <v>5739</v>
      </c>
      <c r="AO335" s="18" t="s">
        <v>2306</v>
      </c>
      <c r="AP335" s="13" t="s">
        <v>258</v>
      </c>
      <c r="AQ335" s="18" t="s">
        <v>349</v>
      </c>
      <c r="AR335" s="18" t="s">
        <v>260</v>
      </c>
      <c r="AS335" s="18"/>
      <c r="AT335" s="18"/>
      <c r="AU335" s="18"/>
      <c r="AV335" s="18"/>
      <c r="AW335" s="18"/>
      <c r="AX335" s="13"/>
      <c r="AY335" s="13"/>
      <c r="AZ335" s="13" t="s">
        <v>258</v>
      </c>
      <c r="BA335" s="13" t="s">
        <v>258</v>
      </c>
      <c r="BB335" s="13" t="s">
        <v>258</v>
      </c>
      <c r="BC335" s="48"/>
      <c r="BD335" s="114">
        <v>43982</v>
      </c>
      <c r="BE335" s="143">
        <v>44242</v>
      </c>
      <c r="BF335" s="48"/>
      <c r="BG335" s="19"/>
      <c r="BH335" s="48"/>
      <c r="BI335" s="48"/>
      <c r="BJ335" s="48"/>
      <c r="BK335" s="48"/>
      <c r="BL335" s="20">
        <f ca="1">SUM(EH335)+220</f>
        <v>1418.0037333333335</v>
      </c>
      <c r="BM335" s="22">
        <f ca="1">PMT(10%/12,12,BL335,0,0)</f>
        <v>-124.66505631146593</v>
      </c>
      <c r="BN335" s="22">
        <f ca="1">SUM(BM335*-1)</f>
        <v>124.66505631146593</v>
      </c>
      <c r="BO335" s="14">
        <f>SUM(EP335*0.0052)/12</f>
        <v>15.6</v>
      </c>
      <c r="BP335" s="22">
        <f ca="1">SUM(BN335+BO335)</f>
        <v>140.26505631146594</v>
      </c>
      <c r="BQ335" s="14">
        <v>0</v>
      </c>
      <c r="BR335" s="14">
        <f>SUM(BQ335*0.1)</f>
        <v>0</v>
      </c>
      <c r="BS335" s="14">
        <f ca="1">SUM(BT335*BU335)</f>
        <v>0</v>
      </c>
      <c r="BT335" s="17">
        <f>SUM((BQ335+BR335)*0.00833333333333333)</f>
        <v>0</v>
      </c>
      <c r="BU335" s="23">
        <f ca="1">MONTH(TODAY())+49</f>
        <v>53</v>
      </c>
      <c r="BV335" s="14">
        <f ca="1">SUM(BQ335,BR335,BS335)</f>
        <v>0</v>
      </c>
      <c r="BW335" s="14">
        <v>0</v>
      </c>
      <c r="BX335" s="14">
        <f>SUM(BW335*0.1)</f>
        <v>0</v>
      </c>
      <c r="BY335" s="14">
        <f ca="1">SUM(BZ335*CA335)</f>
        <v>0</v>
      </c>
      <c r="BZ335" s="17">
        <f>SUM((BW335+BX335)*0.00833333333333333)</f>
        <v>0</v>
      </c>
      <c r="CA335" s="23">
        <f ca="1">MONTH(TODAY())+37</f>
        <v>41</v>
      </c>
      <c r="CB335" s="14">
        <f ca="1">SUM(BW335,BX335,BY335)</f>
        <v>0</v>
      </c>
      <c r="CC335" s="14">
        <v>0</v>
      </c>
      <c r="CD335" s="14">
        <f>SUM(CC335*0.1)</f>
        <v>0</v>
      </c>
      <c r="CE335" s="14">
        <f ca="1">SUM(CF335*CG335)</f>
        <v>0</v>
      </c>
      <c r="CF335" s="17">
        <f>SUM((CC335+CD335)*0.00833333333333333)</f>
        <v>0</v>
      </c>
      <c r="CG335" s="23">
        <f ca="1">MONTH(TODAY())+25</f>
        <v>29</v>
      </c>
      <c r="CH335" s="14">
        <f ca="1">SUM(CC335,CD335,CE335)</f>
        <v>0</v>
      </c>
      <c r="CI335" s="14">
        <f>SUM(EM335*0.0052)/2</f>
        <v>73.06</v>
      </c>
      <c r="CJ335" s="14">
        <f>SUM(CI335*0.1)</f>
        <v>7.3060000000000009</v>
      </c>
      <c r="CK335" s="14">
        <f ca="1">SUM(CL335*CM335)</f>
        <v>14.064049999999995</v>
      </c>
      <c r="CL335" s="17">
        <f>SUM((CI335+CJ335)*0.00833333333333333)</f>
        <v>0.6697166666666664</v>
      </c>
      <c r="CM335" s="23">
        <f ca="1">MONTH(TODAY())+17</f>
        <v>21</v>
      </c>
      <c r="CN335" s="23">
        <f ca="1">SUM(CI335,CJ335,CK335)</f>
        <v>94.430049999999994</v>
      </c>
      <c r="CO335" s="14">
        <f>SUM(EM335*0.0052)/2</f>
        <v>73.06</v>
      </c>
      <c r="CP335" s="14">
        <f>SUM(CO335*0.1)</f>
        <v>7.3060000000000009</v>
      </c>
      <c r="CQ335" s="14">
        <f ca="1">SUM(CR335*CS335)</f>
        <v>11.385183333333329</v>
      </c>
      <c r="CR335" s="17">
        <f>SUM((CO335+CP335)*0.00833333333333333)</f>
        <v>0.6697166666666664</v>
      </c>
      <c r="CS335" s="23">
        <f ca="1">MONTH(TODAY())+13</f>
        <v>17</v>
      </c>
      <c r="CT335" s="14">
        <f ca="1">SUM(CO335,CP335,CQ335)</f>
        <v>91.75118333333333</v>
      </c>
      <c r="CU335" s="14">
        <f>SUM(EP335*0.0045)/2</f>
        <v>81</v>
      </c>
      <c r="CV335" s="14">
        <f>SUM(CU335*0.1)</f>
        <v>8.1</v>
      </c>
      <c r="CW335" s="14">
        <f ca="1">SUM(CX335*CY335)</f>
        <v>8.1674999999999951</v>
      </c>
      <c r="CX335" s="17">
        <f>SUM((CU335+CV335)*0.00833333333333333)</f>
        <v>0.7424999999999996</v>
      </c>
      <c r="CY335" s="23">
        <f ca="1">MONTH(TODAY())+7</f>
        <v>11</v>
      </c>
      <c r="CZ335" s="14">
        <f ca="1">SUM(CU335,CV335,CW335)</f>
        <v>97.267499999999984</v>
      </c>
      <c r="DA335" s="14">
        <f>SUM(EP335*0.0045)/2</f>
        <v>81</v>
      </c>
      <c r="DB335" s="14">
        <f>SUM(DA335*0.1)</f>
        <v>8.1</v>
      </c>
      <c r="DC335" s="14">
        <f ca="1">SUM(DD335*DE335)</f>
        <v>3.7124999999999981</v>
      </c>
      <c r="DD335" s="17">
        <f>SUM((DA335+DB335)*0.00833333333333333)</f>
        <v>0.7424999999999996</v>
      </c>
      <c r="DE335" s="23">
        <f ca="1">MONTH(TODAY())+1</f>
        <v>5</v>
      </c>
      <c r="DF335" s="14">
        <f ca="1">SUM(DA335,DB335,DC335)</f>
        <v>92.812499999999986</v>
      </c>
      <c r="DG335" s="14">
        <f>SUM(EP335*0.0045)/2</f>
        <v>81</v>
      </c>
      <c r="DH335" s="14">
        <f>SUM(DG335*0.1)</f>
        <v>8.1</v>
      </c>
      <c r="DI335" s="14">
        <f ca="1">SUM(DJ335*DK335)</f>
        <v>-2.2274999999999987</v>
      </c>
      <c r="DJ335" s="17">
        <f>SUM((DG335+DH335)*0.00833333333333333)</f>
        <v>0.7424999999999996</v>
      </c>
      <c r="DK335" s="23">
        <f ca="1">MONTH(TODAY())-7</f>
        <v>-3</v>
      </c>
      <c r="DL335" s="14">
        <f ca="1">SUM(DG335,DH335,DI335)</f>
        <v>86.872500000000002</v>
      </c>
      <c r="DM335" s="14">
        <f>SUM(EP335*0.0045)/2</f>
        <v>81</v>
      </c>
      <c r="DN335" s="14">
        <f>0</f>
        <v>0</v>
      </c>
      <c r="DO335" s="14">
        <f>SUM(DP335*DQ335)</f>
        <v>0</v>
      </c>
      <c r="DP335" s="17">
        <f>SUM((DM335+DN335)*0.00833333333333333)</f>
        <v>0.67499999999999971</v>
      </c>
      <c r="DQ335" s="23">
        <v>0</v>
      </c>
      <c r="DR335" s="14">
        <f>SUM(DM335,DN335,DO335)</f>
        <v>81</v>
      </c>
      <c r="DS335" s="14">
        <f>SUM(BQ335, BW335, CC335, CI335,CO335,CU335,DA335,DG335,DM335)</f>
        <v>470.12</v>
      </c>
      <c r="DT335" s="14">
        <f>SUM(BR335,BX335,CD335, CJ335,CP335,CV335,DB335,DH335,DN335)</f>
        <v>38.912000000000006</v>
      </c>
      <c r="DU335" s="14">
        <f ca="1">SUM(BS335,BY335,CE335, CK335,CQ335,CW335,DC335,DI335,DO335)</f>
        <v>35.101733333333321</v>
      </c>
      <c r="DV335" s="25">
        <f ca="1">SUM(DS335:DU335)</f>
        <v>544.13373333333334</v>
      </c>
      <c r="DW335" s="47">
        <f ca="1">SUM(DV335/EM335)</f>
        <v>1.9364189798339263E-2</v>
      </c>
      <c r="DX335" s="14">
        <f>588.72+58.5</f>
        <v>647.22</v>
      </c>
      <c r="DY335" s="32">
        <f>COUNTIF(AO335, "*")+COUNTIF(AJ335, "*")+COUNTIF(AA335, "*")+COUNTIF(FA335, "*")+COUNTIF(FG335, "*")+COUNTIF(FM335, "*")+COUNTIF(FQ335, "*")+COUNTIF(FX335, "*")+COUNTIF(AT335, "*")+COUNTIF(GG335, "*")+COUNTIF(GR335, "*")+COUNTIF(HC335, "*")+COUNTIF(HK335, "*")+COUNTIF(HS335, "*")+COUNTIF(IA335, "*")</f>
        <v>2</v>
      </c>
      <c r="DZ335" s="14">
        <v>6.65</v>
      </c>
      <c r="EA335" s="14">
        <v>0</v>
      </c>
      <c r="EB335" s="14">
        <v>0</v>
      </c>
      <c r="EC335" s="14"/>
      <c r="ED335" s="14"/>
      <c r="EE335" s="14"/>
      <c r="EF335" s="25"/>
      <c r="EG335" s="14">
        <f>SUM(EA335:EF335)</f>
        <v>0</v>
      </c>
      <c r="EH335" s="14">
        <f ca="1">SUM(DV335,DX335,EG335,DZ335,GD335)</f>
        <v>1198.0037333333335</v>
      </c>
      <c r="EI335" s="24" t="s">
        <v>2299</v>
      </c>
      <c r="EJ335" s="23">
        <v>10</v>
      </c>
      <c r="EK335" s="14">
        <v>28100</v>
      </c>
      <c r="EL335" s="14">
        <v>0</v>
      </c>
      <c r="EM335" s="14">
        <f>SUM(EK335+EL335)</f>
        <v>28100</v>
      </c>
      <c r="EN335" s="14">
        <v>36000</v>
      </c>
      <c r="EO335" s="14">
        <v>0</v>
      </c>
      <c r="EP335" s="14">
        <f>SUM(EN335+EO335)</f>
        <v>36000</v>
      </c>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7"/>
      <c r="FV335" s="28"/>
      <c r="FW335" s="28"/>
      <c r="FX335" s="28"/>
      <c r="FY335" s="28"/>
      <c r="FZ335" s="28"/>
      <c r="GA335" s="28"/>
      <c r="GB335" s="27"/>
      <c r="GC335" s="28"/>
      <c r="GD335" s="28"/>
      <c r="GE335" s="28"/>
      <c r="GF335" s="28"/>
      <c r="GG335" s="28"/>
      <c r="GH335" s="28"/>
      <c r="GI335" s="28"/>
      <c r="GJ335" s="28"/>
      <c r="GK335" s="27"/>
      <c r="GL335" s="28"/>
      <c r="GM335" s="28"/>
      <c r="GN335" s="28"/>
      <c r="GO335" s="28"/>
      <c r="GP335" s="28"/>
      <c r="GQ335" s="28"/>
      <c r="GR335" s="28"/>
      <c r="GS335" s="28"/>
      <c r="GT335" s="28"/>
      <c r="GU335" s="28"/>
      <c r="GV335" s="27"/>
      <c r="GW335" s="28"/>
      <c r="GX335" s="28"/>
      <c r="GY335" s="28"/>
      <c r="GZ335" s="28"/>
      <c r="HA335" s="28"/>
      <c r="HB335" s="28"/>
      <c r="HC335" s="28"/>
      <c r="HD335" s="28"/>
      <c r="HE335" s="28"/>
      <c r="HF335" s="28"/>
      <c r="HG335" s="27"/>
      <c r="HH335" s="28"/>
      <c r="HI335" s="28"/>
      <c r="HJ335" s="28"/>
      <c r="HK335" s="28"/>
      <c r="HL335" s="28"/>
      <c r="HM335" s="28"/>
      <c r="HN335" s="28"/>
      <c r="HO335" s="27"/>
      <c r="HP335" s="28"/>
      <c r="HQ335" s="28"/>
      <c r="HR335" s="28"/>
      <c r="HS335" s="28"/>
      <c r="HT335" s="28"/>
      <c r="HU335" s="28"/>
      <c r="HV335" s="28"/>
      <c r="HW335" s="27"/>
      <c r="HX335" s="28"/>
      <c r="HY335" s="28"/>
      <c r="HZ335" s="28"/>
      <c r="IA335" s="28"/>
      <c r="IB335" s="28"/>
      <c r="IC335" s="28"/>
      <c r="ID335" s="28"/>
      <c r="IE335" s="27"/>
      <c r="IF335" s="14"/>
      <c r="IG335" s="14"/>
      <c r="IH335" s="28"/>
      <c r="II335" s="28"/>
      <c r="IJ335" s="28"/>
      <c r="IK335" s="28"/>
      <c r="IL335" s="14"/>
      <c r="IM335" s="14"/>
      <c r="IN335" s="14">
        <f ca="1">SUM(IF335-EH335-GD335-IL335)</f>
        <v>-1198.0037333333335</v>
      </c>
      <c r="IO335" s="14"/>
      <c r="IP335" s="14"/>
      <c r="IQ335" s="27"/>
      <c r="IR335" s="27"/>
      <c r="IS335" s="27"/>
      <c r="IT335" s="27"/>
      <c r="IU335" s="27"/>
      <c r="IV335" s="27" t="s">
        <v>5913</v>
      </c>
    </row>
    <row r="336" spans="1:263" s="243" customFormat="1" ht="15" customHeight="1">
      <c r="A336" s="19">
        <v>102022109</v>
      </c>
      <c r="B336" t="s">
        <v>3106</v>
      </c>
      <c r="C336"/>
      <c r="D336" s="1">
        <v>2025</v>
      </c>
      <c r="E336"/>
      <c r="F336"/>
      <c r="G336"/>
      <c r="H336"/>
      <c r="I336"/>
      <c r="J336" t="s">
        <v>311</v>
      </c>
      <c r="K336" t="s">
        <v>1186</v>
      </c>
      <c r="L336" t="s">
        <v>3083</v>
      </c>
      <c r="M336"/>
      <c r="N336"/>
      <c r="O336"/>
      <c r="P336"/>
      <c r="Q336"/>
      <c r="R336"/>
      <c r="S336"/>
      <c r="T336"/>
      <c r="U336"/>
      <c r="V336"/>
      <c r="W336"/>
      <c r="X336"/>
      <c r="Y336"/>
      <c r="Z336"/>
      <c r="AA336"/>
      <c r="AB336"/>
      <c r="AC336"/>
      <c r="AD336"/>
      <c r="AE336"/>
      <c r="AF336"/>
      <c r="AG336" s="248"/>
      <c r="AH336"/>
      <c r="AI336"/>
      <c r="AJ336" t="s">
        <v>3107</v>
      </c>
      <c r="AK336" t="s">
        <v>258</v>
      </c>
      <c r="AL336" t="s">
        <v>349</v>
      </c>
      <c r="AM336" s="3" t="s">
        <v>260</v>
      </c>
      <c r="AN336" s="3"/>
      <c r="AO336" t="s">
        <v>773</v>
      </c>
      <c r="AP336" s="1" t="s">
        <v>258</v>
      </c>
      <c r="AQ336" s="3" t="s">
        <v>386</v>
      </c>
      <c r="AR336" s="3" t="s">
        <v>260</v>
      </c>
      <c r="AS336" s="1"/>
      <c r="AT336" s="1"/>
      <c r="AU336" s="1"/>
      <c r="AV336" s="1"/>
      <c r="AW336" s="1"/>
      <c r="AX336" s="2"/>
      <c r="AY336" s="116"/>
      <c r="AZ336" s="115"/>
      <c r="BA336" s="2"/>
      <c r="BB336" s="2"/>
      <c r="BC336" s="2"/>
      <c r="BD336" s="2"/>
      <c r="BE336" s="2"/>
      <c r="BF336" s="2"/>
      <c r="BG336" s="20"/>
      <c r="BH336" s="22"/>
      <c r="BI336" s="22"/>
      <c r="BJ336" s="14"/>
      <c r="BK336" s="22"/>
      <c r="BL336" s="14"/>
      <c r="BM336" s="14"/>
      <c r="BN336" s="14"/>
      <c r="BO336" s="17"/>
      <c r="BP336" s="23"/>
      <c r="BQ336" s="14"/>
      <c r="BR336" s="14"/>
      <c r="BS336" s="14"/>
      <c r="BT336" s="14"/>
      <c r="BU336" s="17"/>
      <c r="BV336" s="23"/>
      <c r="BW336" s="14"/>
      <c r="BX336" s="14"/>
      <c r="BY336" s="14"/>
      <c r="BZ336" s="14"/>
      <c r="CA336" s="17"/>
      <c r="CB336" s="23"/>
      <c r="CC336" s="14"/>
      <c r="CD336" s="14"/>
      <c r="CE336" s="14"/>
      <c r="CF336" s="14"/>
      <c r="CG336" s="17"/>
      <c r="CH336" s="23"/>
      <c r="CI336" s="14"/>
      <c r="CJ336" s="14"/>
      <c r="CK336" s="14"/>
      <c r="CL336" s="14"/>
      <c r="CM336" s="17"/>
      <c r="CN336" s="23"/>
      <c r="CO336" s="14"/>
      <c r="CP336" s="14"/>
      <c r="CQ336" s="14"/>
      <c r="CR336" s="14"/>
      <c r="CS336" s="14"/>
      <c r="CT336" s="47"/>
      <c r="CU336" s="14"/>
      <c r="CV336" s="32"/>
      <c r="CW336" s="14"/>
      <c r="CX336" s="4"/>
      <c r="CY336" s="14"/>
      <c r="CZ336" s="4"/>
      <c r="DA336"/>
      <c r="DB336"/>
      <c r="DC336"/>
      <c r="DD336"/>
      <c r="DE336" s="14"/>
      <c r="DF336" s="24"/>
      <c r="DG336" s="4"/>
      <c r="DH336" s="4"/>
      <c r="DI336" s="25"/>
      <c r="DJ336" s="35">
        <v>1</v>
      </c>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s="4"/>
      <c r="ID336"/>
      <c r="IE336"/>
      <c r="IF336"/>
      <c r="IG336"/>
      <c r="IH336"/>
      <c r="II336"/>
      <c r="IJ336"/>
      <c r="IK336"/>
      <c r="IL336"/>
      <c r="IM336"/>
      <c r="IN336"/>
      <c r="IO336"/>
      <c r="IP336"/>
      <c r="IQ336"/>
      <c r="IR336"/>
      <c r="IS336"/>
      <c r="IT336"/>
      <c r="IU336"/>
      <c r="IV336"/>
      <c r="IW336"/>
      <c r="IX336"/>
      <c r="IY336"/>
      <c r="IZ336"/>
      <c r="JA336"/>
      <c r="JB336"/>
      <c r="JC336"/>
    </row>
    <row r="337" spans="1:263" ht="15" customHeight="1">
      <c r="A337" s="19">
        <v>102022190</v>
      </c>
      <c r="B337" t="s">
        <v>2913</v>
      </c>
      <c r="C337" s="10"/>
      <c r="D337" s="161"/>
      <c r="E337" s="147"/>
      <c r="F337" s="160"/>
      <c r="G337" s="147">
        <v>220001330</v>
      </c>
      <c r="H337" s="10"/>
      <c r="I337" s="10"/>
      <c r="J337" s="10" t="s">
        <v>311</v>
      </c>
      <c r="K337" s="10" t="s">
        <v>1017</v>
      </c>
      <c r="L337" s="10" t="s">
        <v>1143</v>
      </c>
      <c r="M337" s="10" t="s">
        <v>396</v>
      </c>
      <c r="N337" s="10" t="s">
        <v>341</v>
      </c>
      <c r="O337" s="147"/>
      <c r="P337" s="10"/>
      <c r="Q337" s="10"/>
      <c r="R337" s="10"/>
      <c r="S337" s="10"/>
      <c r="T337" s="10"/>
      <c r="U337" s="10"/>
      <c r="V337" s="10"/>
      <c r="W337" s="10"/>
      <c r="X337" s="10"/>
      <c r="Y337" s="10"/>
      <c r="Z337" s="10"/>
      <c r="AA337" s="10"/>
      <c r="AB337" s="10"/>
      <c r="AC337" s="10"/>
      <c r="AD337" s="10"/>
      <c r="AE337" s="10"/>
      <c r="AF337" s="10"/>
      <c r="AG337" s="141"/>
      <c r="AH337" s="10"/>
      <c r="AI337" s="10"/>
      <c r="AK337" s="1"/>
      <c r="AM337"/>
      <c r="AN337"/>
      <c r="AO337" t="s">
        <v>3253</v>
      </c>
      <c r="AP337" s="1" t="s">
        <v>258</v>
      </c>
      <c r="AQ337" t="s">
        <v>349</v>
      </c>
      <c r="AR337" t="s">
        <v>260</v>
      </c>
      <c r="AX337" s="1"/>
      <c r="AY337" s="1"/>
      <c r="AZ337" s="1"/>
      <c r="BA337" s="1"/>
      <c r="BB337" s="1"/>
      <c r="BC337" s="70"/>
      <c r="BD337" s="115"/>
      <c r="BE337" s="144"/>
      <c r="BF337" s="70"/>
      <c r="BG337" s="2"/>
      <c r="BH337" s="70"/>
      <c r="BI337" s="70"/>
      <c r="BJ337" s="70"/>
      <c r="BK337" s="70"/>
      <c r="BL337" s="20">
        <f ca="1">SUM(EH337)+220</f>
        <v>1334.49125</v>
      </c>
      <c r="BM337" s="22">
        <f ca="1">PMT(10%/12,12,BL337,0,0)</f>
        <v>-117.32298224443454</v>
      </c>
      <c r="BN337" s="22">
        <f ca="1">SUM(BM337*-1)</f>
        <v>117.32298224443454</v>
      </c>
      <c r="BO337" s="14">
        <f>SUM(EP337*0.0052)/12</f>
        <v>44.199999999999996</v>
      </c>
      <c r="BP337" s="22">
        <f ca="1">SUM(BN337+BO337)</f>
        <v>161.52298224443453</v>
      </c>
      <c r="BQ337" s="14"/>
      <c r="BR337" s="14">
        <f>SUM(BQ337*0.1)</f>
        <v>0</v>
      </c>
      <c r="BS337" s="14">
        <f ca="1">SUM(BT337*BU337)</f>
        <v>0</v>
      </c>
      <c r="BT337" s="17">
        <f>SUM((BQ337+BR337)*0.00833333333333333)</f>
        <v>0</v>
      </c>
      <c r="BU337" s="23">
        <f ca="1">MONTH(TODAY())+49</f>
        <v>53</v>
      </c>
      <c r="BV337" s="14">
        <f ca="1">SUM(BQ337,BR337,BS337)</f>
        <v>0</v>
      </c>
      <c r="BW337" s="14">
        <v>0</v>
      </c>
      <c r="BX337" s="14">
        <f>SUM(BW337*0.1)</f>
        <v>0</v>
      </c>
      <c r="BY337" s="14">
        <f ca="1">SUM(BZ337*CA337)</f>
        <v>0</v>
      </c>
      <c r="BZ337" s="17">
        <f>SUM((BW337+BX337)*0.00833333333333333)</f>
        <v>0</v>
      </c>
      <c r="CA337" s="23">
        <f ca="1">MONTH(TODAY())+37</f>
        <v>41</v>
      </c>
      <c r="CB337" s="14">
        <f ca="1">SUM(BW337,BX337,BY337)</f>
        <v>0</v>
      </c>
      <c r="CC337" s="14">
        <v>0</v>
      </c>
      <c r="CD337" s="14">
        <f>SUM(CC337*0.1)</f>
        <v>0</v>
      </c>
      <c r="CE337" s="14">
        <f ca="1">SUM(CF337*CG337)</f>
        <v>0</v>
      </c>
      <c r="CF337" s="17">
        <f>SUM((CC337+CD337)*0.00833333333333333)</f>
        <v>0</v>
      </c>
      <c r="CG337" s="23">
        <f ca="1">MONTH(TODAY())+25</f>
        <v>29</v>
      </c>
      <c r="CH337" s="14">
        <f ca="1">SUM(CC337,CD337,CE337)</f>
        <v>0</v>
      </c>
      <c r="CI337" s="14">
        <v>0</v>
      </c>
      <c r="CJ337" s="14">
        <v>0</v>
      </c>
      <c r="CK337" s="14">
        <v>0</v>
      </c>
      <c r="CL337" s="17">
        <f>SUM((CI337+CJ337)*0.00833333333333333)</f>
        <v>0</v>
      </c>
      <c r="CM337" s="23">
        <f ca="1">MONTH(TODAY())+17</f>
        <v>21</v>
      </c>
      <c r="CN337" s="23">
        <f>SUM(CI337,CJ337,CK337)</f>
        <v>0</v>
      </c>
      <c r="CO337" s="14">
        <v>0</v>
      </c>
      <c r="CP337" s="14">
        <f>SUM(CO337*0.1)</f>
        <v>0</v>
      </c>
      <c r="CQ337" s="14">
        <f ca="1">SUM(CR337*CS337)</f>
        <v>0</v>
      </c>
      <c r="CR337" s="17">
        <f>SUM((CO337+CP337)*0.00833333333333333)</f>
        <v>0</v>
      </c>
      <c r="CS337" s="23">
        <f ca="1">MONTH(TODAY())+13</f>
        <v>17</v>
      </c>
      <c r="CT337" s="14">
        <f ca="1">SUM(CO337,CP337,CQ337)</f>
        <v>0</v>
      </c>
      <c r="CU337" s="14">
        <v>0</v>
      </c>
      <c r="CV337" s="14">
        <f>SUM(CU337*0.1)</f>
        <v>0</v>
      </c>
      <c r="CW337" s="14">
        <f ca="1">SUM(CX337*CY337)</f>
        <v>0</v>
      </c>
      <c r="CX337" s="17">
        <f>SUM((CU337+CV337)*0.00833333333333333)</f>
        <v>0</v>
      </c>
      <c r="CY337" s="23">
        <f ca="1">MONTH(TODAY())+7</f>
        <v>11</v>
      </c>
      <c r="CZ337" s="14">
        <f ca="1">SUM(CU337,CV337,CW337)</f>
        <v>0</v>
      </c>
      <c r="DA337" s="14">
        <f>SUM(EP337*0.0045)/2</f>
        <v>229.49999999999997</v>
      </c>
      <c r="DB337" s="14">
        <f>SUM(DA337*0.1)</f>
        <v>22.95</v>
      </c>
      <c r="DC337" s="14">
        <f ca="1">SUM(DD337*DE337)</f>
        <v>10.518749999999994</v>
      </c>
      <c r="DD337" s="17">
        <f>SUM((DA337+DB337)*0.00833333333333333)</f>
        <v>2.1037499999999989</v>
      </c>
      <c r="DE337" s="23">
        <f ca="1">MONTH(TODAY())+1</f>
        <v>5</v>
      </c>
      <c r="DF337" s="14">
        <f ca="1">SUM(DA337,DB337,DC337)</f>
        <v>262.96874999999994</v>
      </c>
      <c r="DG337" s="14">
        <f>SUM(EP337*0.0045)/2</f>
        <v>229.49999999999997</v>
      </c>
      <c r="DH337" s="14">
        <f>SUM(DG337*0.1)</f>
        <v>22.95</v>
      </c>
      <c r="DI337" s="14">
        <f ca="1">SUM(DJ337*DK337)</f>
        <v>-6.3112499999999967</v>
      </c>
      <c r="DJ337" s="17">
        <f>SUM((DG337+DH337)*0.00833333333333333)</f>
        <v>2.1037499999999989</v>
      </c>
      <c r="DK337" s="23">
        <f ca="1">MONTH(TODAY())-7</f>
        <v>-3</v>
      </c>
      <c r="DL337" s="14">
        <f ca="1">SUM(DG337,DH337,DI337)</f>
        <v>246.13874999999996</v>
      </c>
      <c r="DM337" s="14">
        <f>SUM(EP337*0.0045)/2</f>
        <v>229.49999999999997</v>
      </c>
      <c r="DN337" s="14">
        <f>SUM(DM337*0.1)</f>
        <v>22.95</v>
      </c>
      <c r="DO337" s="14">
        <f ca="1">SUM(DP337*DQ337)</f>
        <v>-14.726249999999993</v>
      </c>
      <c r="DP337" s="17">
        <f>SUM((DM337+DN337)*0.00833333333333333)</f>
        <v>2.1037499999999989</v>
      </c>
      <c r="DQ337" s="23">
        <f ca="1">MONTH(TODAY())-11</f>
        <v>-7</v>
      </c>
      <c r="DR337" s="14">
        <f ca="1">SUM(DM337,DN337,DO337)</f>
        <v>237.72374999999997</v>
      </c>
      <c r="DS337" s="14">
        <f>SUM(BQ337, BW337, CC337, CI337,CO337,CU337,DA337,DG337,DM337)</f>
        <v>688.49999999999989</v>
      </c>
      <c r="DT337" s="14">
        <f>SUM(BR337,BX337,CD337, CJ337,CP337,CV337,DB337,DH337,DN337)</f>
        <v>68.849999999999994</v>
      </c>
      <c r="DU337" s="14">
        <f ca="1">SUM(BS337,BY337,CE337, CK337,CQ337,CW337,DC337,DI337,DO337)</f>
        <v>-10.518749999999997</v>
      </c>
      <c r="DV337" s="25">
        <f ca="1">SUM(DS337:DU337)</f>
        <v>746.83124999999995</v>
      </c>
      <c r="DW337" s="47">
        <f ca="1">SUM(DV337/EM337)</f>
        <v>1.1130122950819672E-2</v>
      </c>
      <c r="DX337" s="14">
        <f>19.5+58.5+156+58.5+60</f>
        <v>352.5</v>
      </c>
      <c r="DY337" s="32">
        <f>COUNTIF(AO337, "*")+COUNTIF(AJ337, "*")+COUNTIF(AA337, "*")+COUNTIF(FA337, "*")+COUNTIF(FG337, "*")+COUNTIF(FM337, "*")+COUNTIF(FQ337, "*")+COUNTIF(FX337, "*")+COUNTIF(AT337, "*")+COUNTIF(GG337, "*")+COUNTIF(GR337, "*")+COUNTIF(HC337, "*")+COUNTIF(HK337, "*")+COUNTIF(HS337, "*")+COUNTIF(IA337, "*")</f>
        <v>1</v>
      </c>
      <c r="DZ337" s="14">
        <f>0.57+7.14+7.45</f>
        <v>15.16</v>
      </c>
      <c r="EA337" s="4"/>
      <c r="EB337" s="4"/>
      <c r="EC337" s="4"/>
      <c r="ED337" s="4"/>
      <c r="EE337" s="4"/>
      <c r="EF337" s="4"/>
      <c r="EG337" s="14">
        <f>SUM(EA337:EF337)</f>
        <v>0</v>
      </c>
      <c r="EH337" s="14">
        <f ca="1">SUM(DV337,DX337,EG337,DZ337,GD337)</f>
        <v>1114.49125</v>
      </c>
      <c r="EI337" s="24" t="s">
        <v>2773</v>
      </c>
      <c r="EJ337" s="7">
        <v>2.08</v>
      </c>
      <c r="EK337" s="4">
        <v>25400</v>
      </c>
      <c r="EL337" s="4">
        <v>41700</v>
      </c>
      <c r="EM337" s="14">
        <f>SUM(EK337+EL337)</f>
        <v>67100</v>
      </c>
      <c r="EN337" s="14">
        <v>41500</v>
      </c>
      <c r="EO337" s="14">
        <v>60500</v>
      </c>
      <c r="EP337" s="14">
        <f>SUM(EN337+EO337)</f>
        <v>102000</v>
      </c>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9"/>
      <c r="FV337" s="10"/>
      <c r="FW337" s="10"/>
      <c r="FX337" s="10"/>
      <c r="FY337" s="10"/>
      <c r="FZ337" s="10"/>
      <c r="GA337" s="10"/>
      <c r="GB337" s="9"/>
      <c r="GC337" s="10"/>
      <c r="GD337" s="10"/>
      <c r="GE337" s="10"/>
      <c r="GF337" s="10"/>
      <c r="GG337" s="10"/>
      <c r="GH337" s="10"/>
      <c r="GI337" s="10"/>
      <c r="GJ337" s="10"/>
      <c r="GK337" s="9"/>
      <c r="GL337" s="10"/>
      <c r="GM337" s="10"/>
      <c r="GN337" s="10"/>
      <c r="GO337" s="10"/>
      <c r="GP337" s="10"/>
      <c r="GQ337" s="10"/>
      <c r="GR337" s="10"/>
      <c r="GS337" s="10"/>
      <c r="GT337" s="10"/>
      <c r="GU337" s="10"/>
      <c r="GV337" s="9"/>
      <c r="GW337" s="10"/>
      <c r="GX337" s="10"/>
      <c r="GY337" s="10"/>
      <c r="GZ337" s="10"/>
      <c r="HA337" s="10"/>
      <c r="HB337" s="10"/>
      <c r="HC337" s="10"/>
      <c r="HD337" s="10"/>
      <c r="HE337" s="10"/>
      <c r="HF337" s="10"/>
      <c r="HG337" s="9"/>
      <c r="HH337" s="10"/>
      <c r="HI337" s="10"/>
      <c r="HJ337" s="10"/>
      <c r="HK337" s="10"/>
      <c r="HL337" s="10"/>
      <c r="HM337" s="10"/>
      <c r="HN337" s="10"/>
      <c r="HO337" s="9"/>
      <c r="HP337" s="10"/>
      <c r="HQ337" s="10"/>
      <c r="HR337" s="10"/>
      <c r="HS337" s="10"/>
      <c r="HT337" s="10"/>
      <c r="HU337" s="10"/>
      <c r="HV337" s="10"/>
      <c r="HW337" s="9"/>
      <c r="HX337" s="10"/>
      <c r="HY337" s="10"/>
      <c r="HZ337" s="10"/>
      <c r="IA337" s="10"/>
      <c r="IB337" s="10"/>
      <c r="IC337" s="10"/>
      <c r="ID337" s="10"/>
      <c r="IE337" s="9"/>
      <c r="IF337" s="4"/>
      <c r="IG337" s="4"/>
      <c r="IH337" s="10"/>
      <c r="II337" s="10"/>
      <c r="IJ337" s="10"/>
      <c r="IK337" s="10"/>
      <c r="IL337" s="4"/>
      <c r="IM337" s="4"/>
      <c r="IN337" s="14">
        <f ca="1">SUM(IF337-EH337-GD337-IL337)</f>
        <v>-1114.49125</v>
      </c>
      <c r="IO337" s="14"/>
      <c r="IP337" s="14"/>
      <c r="IQ337" s="9"/>
      <c r="IR337" s="9"/>
      <c r="IS337" s="9"/>
      <c r="IT337" s="9"/>
      <c r="IU337" s="9"/>
      <c r="IV337" s="27" t="s">
        <v>5913</v>
      </c>
    </row>
    <row r="338" spans="1:263" s="243" customFormat="1" ht="15" customHeight="1">
      <c r="A338" s="19">
        <v>102021076</v>
      </c>
      <c r="B338" s="18" t="s">
        <v>2559</v>
      </c>
      <c r="C338" s="28"/>
      <c r="D338" s="159"/>
      <c r="E338" s="150"/>
      <c r="F338" s="149"/>
      <c r="G338" s="150">
        <v>210007651</v>
      </c>
      <c r="H338" s="28"/>
      <c r="I338" s="28"/>
      <c r="J338" s="28" t="s">
        <v>253</v>
      </c>
      <c r="K338" s="28" t="s">
        <v>2560</v>
      </c>
      <c r="L338" s="28" t="s">
        <v>1029</v>
      </c>
      <c r="M338" s="28"/>
      <c r="N338" s="28"/>
      <c r="O338" s="150"/>
      <c r="P338" s="28"/>
      <c r="Q338" s="28"/>
      <c r="R338" s="28"/>
      <c r="S338" s="28"/>
      <c r="T338" s="28"/>
      <c r="U338" s="28"/>
      <c r="V338" s="28"/>
      <c r="W338" s="28"/>
      <c r="X338" s="28"/>
      <c r="Y338" s="28"/>
      <c r="Z338" s="28"/>
      <c r="AA338" s="28"/>
      <c r="AB338" s="28"/>
      <c r="AC338" s="28"/>
      <c r="AD338" s="28" t="s">
        <v>2707</v>
      </c>
      <c r="AE338" s="28" t="s">
        <v>253</v>
      </c>
      <c r="AF338" s="28" t="s">
        <v>2560</v>
      </c>
      <c r="AG338" s="148" t="s">
        <v>2706</v>
      </c>
      <c r="AH338" s="150" t="s">
        <v>2561</v>
      </c>
      <c r="AI338" s="150" t="s">
        <v>349</v>
      </c>
      <c r="AJ338" s="18"/>
      <c r="AK338" s="13"/>
      <c r="AL338" s="18"/>
      <c r="AM338" s="18"/>
      <c r="AN338" s="18"/>
      <c r="AO338" s="18" t="s">
        <v>2561</v>
      </c>
      <c r="AP338" s="13" t="s">
        <v>258</v>
      </c>
      <c r="AQ338" s="18" t="s">
        <v>349</v>
      </c>
      <c r="AR338" s="18" t="s">
        <v>260</v>
      </c>
      <c r="AS338" s="18"/>
      <c r="AT338" s="18"/>
      <c r="AU338" s="18"/>
      <c r="AV338" s="18"/>
      <c r="AW338" s="18"/>
      <c r="AX338" s="13"/>
      <c r="AY338" s="13"/>
      <c r="AZ338" s="13"/>
      <c r="BA338" s="13"/>
      <c r="BB338" s="13"/>
      <c r="BC338" s="48"/>
      <c r="BD338" s="114"/>
      <c r="BE338" s="143"/>
      <c r="BF338" s="48"/>
      <c r="BG338" s="19"/>
      <c r="BH338" s="48"/>
      <c r="BI338" s="48"/>
      <c r="BJ338" s="48"/>
      <c r="BK338" s="48"/>
      <c r="BL338" s="20">
        <f ca="1">SUM(EB338)+220</f>
        <v>3589.7192666666665</v>
      </c>
      <c r="BM338" s="22">
        <f ca="1">PMT(10%/12,12,BL338,0,0)</f>
        <v>-315.59335423565943</v>
      </c>
      <c r="BN338" s="22">
        <f ca="1">SUM(BM338*-1)</f>
        <v>315.59335423565943</v>
      </c>
      <c r="BO338" s="14">
        <f>SUM(EJ338*0.0052)/12</f>
        <v>59.54</v>
      </c>
      <c r="BP338" s="22">
        <f ca="1">SUM(BN338+BO338)</f>
        <v>375.13335423565945</v>
      </c>
      <c r="BQ338" s="14">
        <f>SUM(EG338*0.0052)</f>
        <v>422.23999999999995</v>
      </c>
      <c r="BR338" s="14">
        <f>SUM(BQ338*0.1)</f>
        <v>42.223999999999997</v>
      </c>
      <c r="BS338" s="14">
        <f ca="1">SUM(BT338*BU338)</f>
        <v>158.69186666666658</v>
      </c>
      <c r="BT338" s="17">
        <f>SUM((BQ338+BR338)*0.00833333333333333)</f>
        <v>3.8705333333333312</v>
      </c>
      <c r="BU338" s="23">
        <f ca="1">MONTH(TODAY())+37</f>
        <v>41</v>
      </c>
      <c r="BV338" s="14">
        <f ca="1">SUM(BQ338,BR338,BS338)</f>
        <v>623.1558666666665</v>
      </c>
      <c r="BW338" s="14">
        <f>SUM(EG338*0.0052)</f>
        <v>422.23999999999995</v>
      </c>
      <c r="BX338" s="14">
        <f>SUM(BW338*0.1)</f>
        <v>42.223999999999997</v>
      </c>
      <c r="BY338" s="14">
        <f ca="1">SUM(BZ338*CA338)</f>
        <v>158.69186666666658</v>
      </c>
      <c r="BZ338" s="17">
        <f>SUM((BW338+BX338)*0.00833333333333333)</f>
        <v>3.8705333333333312</v>
      </c>
      <c r="CA338" s="23">
        <f ca="1">MONTH(TODAY())+37</f>
        <v>41</v>
      </c>
      <c r="CB338" s="14">
        <f ca="1">SUM(BW338,BX338,BY338)</f>
        <v>623.1558666666665</v>
      </c>
      <c r="CC338" s="14">
        <f>SUM(EG338*0.0052)/2</f>
        <v>211.11999999999998</v>
      </c>
      <c r="CD338" s="14">
        <f>SUM(CC338*0.1)</f>
        <v>21.111999999999998</v>
      </c>
      <c r="CE338" s="14">
        <f ca="1">SUM(CF338*CG338)</f>
        <v>63.863799999999962</v>
      </c>
      <c r="CF338" s="17">
        <f>SUM((CC338+CD338)*0.00833333333333333)</f>
        <v>1.9352666666666656</v>
      </c>
      <c r="CG338" s="23">
        <f ca="1">MONTH(TODAY())+29</f>
        <v>33</v>
      </c>
      <c r="CH338" s="23">
        <f ca="1">SUM(CC338,CD338,CE338)</f>
        <v>296.09579999999994</v>
      </c>
      <c r="CI338" s="14">
        <f>SUM(EG338*0.0052)/2</f>
        <v>211.11999999999998</v>
      </c>
      <c r="CJ338" s="14">
        <f>SUM(CI338*0.1)</f>
        <v>21.111999999999998</v>
      </c>
      <c r="CK338" s="14">
        <f ca="1">SUM(CL338*CM338)</f>
        <v>56.122733333333301</v>
      </c>
      <c r="CL338" s="17">
        <f>SUM((CI338+CJ338)*0.00833333333333333)</f>
        <v>1.9352666666666656</v>
      </c>
      <c r="CM338" s="23">
        <f ca="1">MONTH(TODAY())+25</f>
        <v>29</v>
      </c>
      <c r="CN338" s="14">
        <f ca="1">SUM(CI338,CJ338,CK338)</f>
        <v>288.35473333333329</v>
      </c>
      <c r="CO338" s="14">
        <f>SUM(EJ338*0.0045)/2</f>
        <v>309.14999999999998</v>
      </c>
      <c r="CP338" s="14">
        <f>SUM(CO338*0.1)</f>
        <v>30.914999999999999</v>
      </c>
      <c r="CQ338" s="14">
        <f ca="1">SUM(CR338*CS338)</f>
        <v>65.179124999999971</v>
      </c>
      <c r="CR338" s="17">
        <f>SUM((CO338+CP338)*0.00833333333333333)</f>
        <v>2.8338749999999986</v>
      </c>
      <c r="CS338" s="23">
        <f ca="1">MONTH(TODAY())+19</f>
        <v>23</v>
      </c>
      <c r="CT338" s="14">
        <f ca="1">SUM(CO338,CP338,CQ338)</f>
        <v>405.24412499999994</v>
      </c>
      <c r="CU338" s="14">
        <f>SUM(EJ338*0.0045)/2</f>
        <v>309.14999999999998</v>
      </c>
      <c r="CV338" s="14">
        <f>SUM(CU338*0.1)</f>
        <v>30.914999999999999</v>
      </c>
      <c r="CW338" s="14">
        <f ca="1">SUM(CX338*CY338)</f>
        <v>48.175874999999976</v>
      </c>
      <c r="CX338" s="17">
        <f>SUM((CU338+CV338)*0.00833333333333333)</f>
        <v>2.8338749999999986</v>
      </c>
      <c r="CY338" s="23">
        <f ca="1">MONTH(TODAY())+13</f>
        <v>17</v>
      </c>
      <c r="CZ338" s="14">
        <f ca="1">SUM(CU338,CV338,CW338)</f>
        <v>388.24087499999996</v>
      </c>
      <c r="DA338" s="14">
        <f>SUM(EJ338*0.0045)/2</f>
        <v>309.14999999999998</v>
      </c>
      <c r="DB338" s="14">
        <f>SUM(DA338*0.1)</f>
        <v>30.914999999999999</v>
      </c>
      <c r="DC338" s="14">
        <f ca="1">SUM(DD338*DE338)</f>
        <v>31.172624999999986</v>
      </c>
      <c r="DD338" s="17">
        <f>SUM((DA338+DB338)*0.00833333333333333)</f>
        <v>2.8338749999999986</v>
      </c>
      <c r="DE338" s="23">
        <f ca="1">MONTH(TODAY())+7</f>
        <v>11</v>
      </c>
      <c r="DF338" s="14">
        <f ca="1">SUM(DA338,DB338,DC338)</f>
        <v>371.23762499999998</v>
      </c>
      <c r="DG338" s="14">
        <f>SUM(EJ338*0.0045)/2</f>
        <v>309.14999999999998</v>
      </c>
      <c r="DH338" s="14">
        <f>SUM(DG338*0.1)</f>
        <v>30.914999999999999</v>
      </c>
      <c r="DI338" s="14">
        <f ca="1">SUM(DJ338*DK338)</f>
        <v>14.169374999999993</v>
      </c>
      <c r="DJ338" s="17">
        <f>SUM((DG338+DH338)*0.00833333333333333)</f>
        <v>2.8338749999999986</v>
      </c>
      <c r="DK338" s="23">
        <f ca="1">MONTH(TODAY())+1</f>
        <v>5</v>
      </c>
      <c r="DL338" s="14">
        <f ca="1">SUM(DG338,DH338,DI338)</f>
        <v>354.234375</v>
      </c>
      <c r="DM338" s="14">
        <f>SUM(BQ338, BW338, CC338,CI338,CO338,CU338,DA338,DG338)</f>
        <v>2503.3200000000002</v>
      </c>
      <c r="DN338" s="14">
        <f>SUM(BR338,BX338, CD338,CJ338,CP338,CV338,DB338,DH338)</f>
        <v>250.33199999999997</v>
      </c>
      <c r="DO338" s="14">
        <f ca="1">SUM(BS338,BY338, CE338,CK338,CQ338,CW338,DC338,DI338)</f>
        <v>596.06726666666646</v>
      </c>
      <c r="DP338" s="25">
        <f ca="1">SUM(DM338:DO338)</f>
        <v>3349.7192666666665</v>
      </c>
      <c r="DQ338" s="47">
        <f ca="1">SUM(DP338/EG338)</f>
        <v>4.1252700328407221E-2</v>
      </c>
      <c r="DR338" s="14">
        <v>19.5</v>
      </c>
      <c r="DS338" s="32">
        <f>COUNTIF(AO338, "*")+COUNTIF(AJ338, "*")+COUNTIF(AA338, "*")+COUNTIF(EU338, "*")+COUNTIF(FA338, "*")+COUNTIF(FG338, "*")+COUNTIF(FK338, "*")+COUNTIF(FR338, "*")+COUNTIF(AT338, "*")+COUNTIF(GA338, "*")+COUNTIF(GL338, "*")+COUNTIF(GW338, "*")+COUNTIF(HE338, "*")+COUNTIF(HM338, "*")+COUNTIF(HU338, "*")</f>
        <v>1</v>
      </c>
      <c r="DT338" s="14">
        <f>DS338*0.5</f>
        <v>0.5</v>
      </c>
      <c r="DU338" s="14"/>
      <c r="DV338" s="14"/>
      <c r="DW338" s="14"/>
      <c r="DX338" s="14"/>
      <c r="DY338" s="14"/>
      <c r="DZ338" s="25"/>
      <c r="EA338" s="14">
        <f>SUM(DU338:DZ338)</f>
        <v>0</v>
      </c>
      <c r="EB338" s="14">
        <f ca="1">SUM(DP338,DR338,EA338,DT338,FX338)</f>
        <v>3369.7192666666665</v>
      </c>
      <c r="EC338" s="24" t="s">
        <v>2770</v>
      </c>
      <c r="ED338" s="23">
        <v>2.1</v>
      </c>
      <c r="EE338" s="14">
        <v>25500</v>
      </c>
      <c r="EF338" s="14">
        <v>55700</v>
      </c>
      <c r="EG338" s="14">
        <f>SUM(EE338+EF338)</f>
        <v>81200</v>
      </c>
      <c r="EH338" s="14">
        <v>41600</v>
      </c>
      <c r="EI338" s="14">
        <v>95800</v>
      </c>
      <c r="EJ338" s="14">
        <f>SUM(EH338+EI338)</f>
        <v>137400</v>
      </c>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7"/>
      <c r="FP338" s="28"/>
      <c r="FQ338" s="28"/>
      <c r="FR338" s="28"/>
      <c r="FS338" s="28"/>
      <c r="FT338" s="28"/>
      <c r="FU338" s="28"/>
      <c r="FV338" s="27"/>
      <c r="FW338" s="28"/>
      <c r="FX338" s="28"/>
      <c r="FY338" s="28"/>
      <c r="FZ338" s="28"/>
      <c r="GA338" s="28"/>
      <c r="GB338" s="28"/>
      <c r="GC338" s="28"/>
      <c r="GD338" s="28"/>
      <c r="GE338" s="27"/>
      <c r="GF338" s="28"/>
      <c r="GG338" s="28"/>
      <c r="GH338" s="28"/>
      <c r="GI338" s="28"/>
      <c r="GJ338" s="28"/>
      <c r="GK338" s="28"/>
      <c r="GL338" s="28"/>
      <c r="GM338" s="28"/>
      <c r="GN338" s="28"/>
      <c r="GO338" s="28"/>
      <c r="GP338" s="27"/>
      <c r="GQ338" s="28"/>
      <c r="GR338" s="28"/>
      <c r="GS338" s="28"/>
      <c r="GT338" s="28"/>
      <c r="GU338" s="28"/>
      <c r="GV338" s="28"/>
      <c r="GW338" s="28"/>
      <c r="GX338" s="28"/>
      <c r="GY338" s="28"/>
      <c r="GZ338" s="28"/>
      <c r="HA338" s="27"/>
      <c r="HB338" s="28"/>
      <c r="HC338" s="28"/>
      <c r="HD338" s="28"/>
      <c r="HE338" s="28"/>
      <c r="HF338" s="28"/>
      <c r="HG338" s="28"/>
      <c r="HH338" s="28"/>
      <c r="HI338" s="27"/>
      <c r="HJ338" s="28"/>
      <c r="HK338" s="28"/>
      <c r="HL338" s="28"/>
      <c r="HM338" s="28"/>
      <c r="HN338" s="28"/>
      <c r="HO338" s="28"/>
      <c r="HP338" s="28"/>
      <c r="HQ338" s="27"/>
      <c r="HR338" s="28"/>
      <c r="HS338" s="28"/>
      <c r="HT338" s="28"/>
      <c r="HU338" s="28"/>
      <c r="HV338" s="28"/>
      <c r="HW338" s="28"/>
      <c r="HX338" s="28"/>
      <c r="HY338" s="27"/>
      <c r="HZ338" s="14"/>
      <c r="IA338" s="14"/>
      <c r="IB338" s="28"/>
      <c r="IC338" s="28"/>
      <c r="ID338" s="28"/>
      <c r="IE338" s="28"/>
      <c r="IF338" s="14"/>
      <c r="IG338" s="14"/>
      <c r="IH338" s="14">
        <f ca="1">SUM(HZ338-EB338-FX338-IF338)</f>
        <v>-3369.7192666666665</v>
      </c>
      <c r="II338" s="14"/>
      <c r="IJ338" s="14"/>
      <c r="IK338" s="27"/>
      <c r="IL338" s="27"/>
      <c r="IM338" s="27"/>
      <c r="IN338" s="27"/>
      <c r="IO338" s="27"/>
      <c r="IP338" s="27" t="s">
        <v>5913</v>
      </c>
      <c r="IQ338"/>
      <c r="IR338"/>
      <c r="IS338"/>
      <c r="IT338"/>
      <c r="IU338"/>
      <c r="IV338"/>
      <c r="IW338"/>
      <c r="IX338"/>
      <c r="IY338"/>
      <c r="IZ338"/>
      <c r="JA338"/>
      <c r="JB338"/>
      <c r="JC338"/>
    </row>
    <row r="339" spans="1:263" ht="15" customHeight="1">
      <c r="A339" s="19">
        <v>102022050</v>
      </c>
      <c r="B339" t="s">
        <v>2801</v>
      </c>
      <c r="D339" s="1"/>
      <c r="E339" s="3" t="s">
        <v>3887</v>
      </c>
      <c r="F339" s="3">
        <v>220004197</v>
      </c>
      <c r="G339">
        <v>220006369</v>
      </c>
      <c r="J339" t="s">
        <v>253</v>
      </c>
      <c r="K339" t="s">
        <v>892</v>
      </c>
      <c r="L339" t="s">
        <v>893</v>
      </c>
      <c r="M339" t="s">
        <v>650</v>
      </c>
      <c r="AD339" t="s">
        <v>3964</v>
      </c>
      <c r="AE339" t="s">
        <v>253</v>
      </c>
      <c r="AF339" t="s">
        <v>3965</v>
      </c>
      <c r="AG339" s="43"/>
      <c r="AH339" s="118" t="s">
        <v>3966</v>
      </c>
      <c r="AM339"/>
      <c r="AN339"/>
      <c r="AO339" s="3" t="s">
        <v>3024</v>
      </c>
      <c r="AP339" s="3" t="s">
        <v>258</v>
      </c>
      <c r="AQ339" t="s">
        <v>349</v>
      </c>
      <c r="AR339" t="s">
        <v>260</v>
      </c>
      <c r="AS339" s="1"/>
      <c r="AT339" s="1" t="s">
        <v>258</v>
      </c>
      <c r="AU339" s="1"/>
      <c r="AV339" s="1"/>
      <c r="AW339" s="1"/>
      <c r="AX339" s="48">
        <v>44728</v>
      </c>
      <c r="AY339" s="115">
        <v>44696</v>
      </c>
      <c r="AZ339" s="115">
        <v>44659</v>
      </c>
      <c r="BA339" s="70"/>
      <c r="BB339" s="2"/>
      <c r="BC339" s="48"/>
      <c r="BD339" s="48"/>
      <c r="BE339" s="70">
        <v>44813</v>
      </c>
      <c r="BF339" s="19" t="s">
        <v>319</v>
      </c>
      <c r="BG339" s="20">
        <f ca="1">SUM(DE339)+214.5</f>
        <v>3314.4077833333336</v>
      </c>
      <c r="BH339" s="22">
        <f ca="1">PMT(10%/12,12,BG339,0,0)</f>
        <v>-291.38910091379944</v>
      </c>
      <c r="BI339" s="22">
        <f ca="1">SUM(BH339*-1)</f>
        <v>291.38910091379944</v>
      </c>
      <c r="BJ339" s="14">
        <f>SUM(DO339*0.0052)/12</f>
        <v>36.443333333333335</v>
      </c>
      <c r="BK339" s="22">
        <f ca="1">SUM(BI339+BJ339)</f>
        <v>327.83243424713277</v>
      </c>
      <c r="BL339" s="14"/>
      <c r="BM339" s="14">
        <f>SUM(BL339*0.1)</f>
        <v>0</v>
      </c>
      <c r="BN339" s="14">
        <f ca="1">SUM(BO339*BP339)</f>
        <v>0</v>
      </c>
      <c r="BO339" s="17">
        <f>SUM((BL339+BM339)*0.00833333333333333)</f>
        <v>0</v>
      </c>
      <c r="BP339" s="23">
        <f ca="1">MONTH(TODAY())+49</f>
        <v>53</v>
      </c>
      <c r="BQ339" s="14">
        <f ca="1">SUM(BL339,BM339,BN339)</f>
        <v>0</v>
      </c>
      <c r="BR339" s="14"/>
      <c r="BS339" s="14">
        <f>SUM(BR339*0.1)</f>
        <v>0</v>
      </c>
      <c r="BT339" s="14">
        <f ca="1">SUM(BU339*BV339)</f>
        <v>0</v>
      </c>
      <c r="BU339" s="17">
        <f>SUM((BR339+BS339)*0.00833333333333333)</f>
        <v>0</v>
      </c>
      <c r="BV339" s="23">
        <f ca="1">MONTH(TODAY())+37</f>
        <v>41</v>
      </c>
      <c r="BW339" s="14">
        <f ca="1">SUM(BR339,BS339,BT339)</f>
        <v>0</v>
      </c>
      <c r="BX339" s="14">
        <v>337.54</v>
      </c>
      <c r="BY339" s="14">
        <f>SUM(BX339*0.1)</f>
        <v>33.754000000000005</v>
      </c>
      <c r="BZ339" s="14">
        <f ca="1">SUM(CA339*CB339)</f>
        <v>89.729383333333303</v>
      </c>
      <c r="CA339" s="17">
        <f>SUM((BX339+BY339)*0.00833333333333333)</f>
        <v>3.0941166666666655</v>
      </c>
      <c r="CB339" s="23">
        <f ca="1">MONTH(TODAY())+25</f>
        <v>29</v>
      </c>
      <c r="CC339" s="14">
        <f ca="1">SUM(BX339,BY339,BZ339)</f>
        <v>461.02338333333336</v>
      </c>
      <c r="CD339" s="14">
        <f>SUM(DO339*0.0052)</f>
        <v>437.32</v>
      </c>
      <c r="CE339" s="14">
        <f>SUM(CD339*0.1)</f>
        <v>43.731999999999999</v>
      </c>
      <c r="CF339" s="14">
        <f ca="1">SUM(CG339*CH339)</f>
        <v>68.149033333333307</v>
      </c>
      <c r="CG339" s="17">
        <f>SUM((CD339+CE339)*0.00833333333333333)</f>
        <v>4.0087666666666655</v>
      </c>
      <c r="CH339" s="23">
        <f ca="1">MONTH(TODAY())+13</f>
        <v>17</v>
      </c>
      <c r="CI339" s="14">
        <f ca="1">SUM(CD339,CE339,CF339)</f>
        <v>549.20103333333327</v>
      </c>
      <c r="CJ339" s="14">
        <f>SUM(DO339*0.0052)/2</f>
        <v>218.66</v>
      </c>
      <c r="CK339" s="14">
        <f>SUM(CJ339*0.1)</f>
        <v>21.866</v>
      </c>
      <c r="CL339" s="14">
        <f ca="1">SUM(CM339*CN339)</f>
        <v>18.039449999999995</v>
      </c>
      <c r="CM339" s="17">
        <f>SUM((CJ339+CK339)*0.00833333333333333)</f>
        <v>2.0043833333333327</v>
      </c>
      <c r="CN339" s="23">
        <f ca="1">MONTH(TODAY())+5</f>
        <v>9</v>
      </c>
      <c r="CO339" s="23">
        <f ca="1">SUM(CJ339,CK339,CL339)</f>
        <v>258.56545</v>
      </c>
      <c r="CP339" s="14">
        <f>SUM(DO339*0.0052)/2</f>
        <v>218.66</v>
      </c>
      <c r="CQ339" s="14">
        <f>SUM(CP339*0.1)</f>
        <v>21.866</v>
      </c>
      <c r="CR339" s="14">
        <f ca="1">SUM(CS339*CT339)</f>
        <v>10.021916666666664</v>
      </c>
      <c r="CS339" s="17">
        <f>SUM((CP339+CQ339)*0.00833333333333333)</f>
        <v>2.0043833333333327</v>
      </c>
      <c r="CT339" s="23">
        <f ca="1">MONTH(TODAY())+1</f>
        <v>5</v>
      </c>
      <c r="CU339" s="262">
        <v>244.54</v>
      </c>
      <c r="CV339" s="14">
        <f>SUM( BL339, BR339, BX339, CD339, CJ339,CP339)</f>
        <v>1212.18</v>
      </c>
      <c r="CW339" s="14">
        <f>SUM(BM339,BS339,BY339,CE339, CK339,CQ339)</f>
        <v>121.218</v>
      </c>
      <c r="CX339" s="14">
        <f ca="1">SUM(BN339,BT339,BZ339,CF339, CL339,CR339)</f>
        <v>185.93978333333328</v>
      </c>
      <c r="CY339" s="14">
        <f ca="1">SUM(CV339:CX339)</f>
        <v>1519.3377833333334</v>
      </c>
      <c r="CZ339" s="47">
        <f ca="1">SUM(CY339/DO339)</f>
        <v>1.8065847602061039E-2</v>
      </c>
      <c r="DA339" s="14">
        <f>19.5+19.5+195+195+39+39+97.5+97.5+58.5+58.5+156+39+39</f>
        <v>1053</v>
      </c>
      <c r="DB339" s="32">
        <f>COUNTIF(DH339, "*")+COUNTIF(AO339, "*")+COUNTIF(AJ339, "*")+COUNTIF(AA339, "*")+COUNTIF(EE339, "*")+COUNTIF(EK339, "*")+COUNTIF(EQ339, "*")+COUNTIF(EU339, "*")+COUNTIF(FB339, "*")+COUNTIF(FI339, "*")+COUNTIF(FP339, "*")+COUNTIF(GA339, "*")+COUNTIF(GL339, "*")+COUNTIF(GT339, "*")+COUNTIF(HB339, "*")+COUNTIF(HJ339, "*")+COUNTIF(HR339, "*")</f>
        <v>3</v>
      </c>
      <c r="DC339" s="14">
        <f>DB339*0.53+DB339*6.66</f>
        <v>21.57</v>
      </c>
      <c r="DD339" s="4">
        <v>250</v>
      </c>
      <c r="DE339" s="14">
        <f ca="1">SUM(CY339,DA339,DK339, DD339, DC339,FM339)</f>
        <v>3099.9077833333336</v>
      </c>
      <c r="DF339" s="14">
        <v>64</v>
      </c>
      <c r="DG339" s="4"/>
      <c r="DH339" s="4">
        <v>42</v>
      </c>
      <c r="DI339" s="14"/>
      <c r="DJ339" s="4">
        <v>150</v>
      </c>
      <c r="DK339" s="14">
        <f>SUM(DF339:DJ339)</f>
        <v>256</v>
      </c>
      <c r="DL339" s="24" t="s">
        <v>2773</v>
      </c>
      <c r="DM339" s="4">
        <v>20500</v>
      </c>
      <c r="DN339" s="4">
        <v>63600</v>
      </c>
      <c r="DO339" s="25">
        <f>SUM(DM339+DN339)</f>
        <v>84100</v>
      </c>
      <c r="DP339" s="35">
        <v>0.93</v>
      </c>
      <c r="DQ339" t="s">
        <v>3777</v>
      </c>
      <c r="DR339" t="s">
        <v>3778</v>
      </c>
      <c r="ET339" t="s">
        <v>3783</v>
      </c>
      <c r="EU339" t="s">
        <v>2228</v>
      </c>
      <c r="EY339" s="9">
        <v>36129</v>
      </c>
      <c r="EZ339" t="s">
        <v>3779</v>
      </c>
      <c r="FA339" t="s">
        <v>859</v>
      </c>
      <c r="FB339" t="s">
        <v>3780</v>
      </c>
      <c r="FC339" t="s">
        <v>3781</v>
      </c>
      <c r="FD339" t="s">
        <v>543</v>
      </c>
      <c r="FE339" t="s">
        <v>544</v>
      </c>
      <c r="FF339" s="9">
        <v>36129</v>
      </c>
      <c r="FG339" t="s">
        <v>3782</v>
      </c>
      <c r="HX339" s="9"/>
      <c r="II339" s="14">
        <f ca="1">SUM(HY339-DE339-FM339-IG339)</f>
        <v>-3099.9077833333336</v>
      </c>
      <c r="IJ339" s="9"/>
      <c r="IK339" s="9"/>
      <c r="IL339" s="9"/>
      <c r="IM339" s="9"/>
      <c r="IN339" s="9"/>
    </row>
    <row r="340" spans="1:263" ht="15" customHeight="1">
      <c r="A340" s="19">
        <v>102023101</v>
      </c>
      <c r="B340" s="18" t="s">
        <v>4312</v>
      </c>
      <c r="D340" s="1"/>
      <c r="E340" s="3"/>
      <c r="F340" s="3"/>
      <c r="J340" s="18" t="s">
        <v>253</v>
      </c>
      <c r="K340" s="18" t="s">
        <v>4397</v>
      </c>
      <c r="L340" s="130" t="s">
        <v>1015</v>
      </c>
      <c r="M340" s="130" t="s">
        <v>537</v>
      </c>
      <c r="N340" s="130"/>
      <c r="O340" s="288"/>
      <c r="P340" s="130"/>
      <c r="Q340" s="130"/>
      <c r="R340" s="130"/>
      <c r="S340" s="130"/>
      <c r="AD340" t="s">
        <v>4539</v>
      </c>
      <c r="AE340" t="s">
        <v>311</v>
      </c>
      <c r="AF340" t="s">
        <v>4540</v>
      </c>
      <c r="AG340" s="43" t="s">
        <v>4541</v>
      </c>
      <c r="AH340" t="s">
        <v>4542</v>
      </c>
      <c r="AI340" t="s">
        <v>371</v>
      </c>
      <c r="AJ340" s="18"/>
      <c r="AM340"/>
      <c r="AN340" t="s">
        <v>4398</v>
      </c>
      <c r="AO340" s="18" t="s">
        <v>4399</v>
      </c>
      <c r="AP340" s="3" t="s">
        <v>258</v>
      </c>
      <c r="AQ340" s="18" t="s">
        <v>349</v>
      </c>
      <c r="AR340" s="18" t="s">
        <v>260</v>
      </c>
      <c r="AX340" s="1"/>
      <c r="AY340" s="1"/>
      <c r="AZ340" s="1"/>
      <c r="BA340" s="1"/>
      <c r="BB340" s="1"/>
      <c r="BC340" s="2"/>
      <c r="BD340" s="116"/>
      <c r="BE340" s="115"/>
      <c r="BF340" s="2"/>
      <c r="BG340" s="2"/>
      <c r="BH340" s="2"/>
      <c r="BI340" s="2"/>
      <c r="BJ340" s="2"/>
      <c r="BK340" s="2"/>
      <c r="BL340" s="20">
        <f ca="1">SUM(DP340)+220</f>
        <v>951.596</v>
      </c>
      <c r="BM340" s="22">
        <f ca="1">PMT(10%/12,12,BL340,0,0)</f>
        <v>-83.660406624528207</v>
      </c>
      <c r="BN340" s="22">
        <f ca="1">SUM(BM340*-1)</f>
        <v>83.660406624528207</v>
      </c>
      <c r="BO340" s="14">
        <f>SUM(DX340*0.0052)/12</f>
        <v>38.783333333333331</v>
      </c>
      <c r="BP340" s="22">
        <f ca="1">SUM(BN340+BO340)</f>
        <v>122.44373995786154</v>
      </c>
      <c r="BQ340" s="14"/>
      <c r="BR340" s="14">
        <f>SUM(BQ340*0.1)</f>
        <v>0</v>
      </c>
      <c r="BS340" s="14">
        <f ca="1">SUM(BT340*BU340)</f>
        <v>0</v>
      </c>
      <c r="BT340" s="17">
        <f>SUM((BQ340+BR340)*0.00833333333333333)</f>
        <v>0</v>
      </c>
      <c r="BU340" s="23">
        <f ca="1">MONTH(TODAY())+49</f>
        <v>53</v>
      </c>
      <c r="BV340" s="14">
        <f ca="1">SUM(BQ340,BR340,BS340)</f>
        <v>0</v>
      </c>
      <c r="BW340" s="14"/>
      <c r="BX340" s="14">
        <f>SUM(BW340*0.1)</f>
        <v>0</v>
      </c>
      <c r="BY340" s="14">
        <f ca="1">SUM(BZ340*CA340)</f>
        <v>0</v>
      </c>
      <c r="BZ340" s="17">
        <f>SUM((BW340+BX340)*0.00833333333333333)</f>
        <v>0</v>
      </c>
      <c r="CA340" s="23">
        <f ca="1">MONTH(TODAY())+37</f>
        <v>41</v>
      </c>
      <c r="CB340" s="14">
        <f ca="1">SUM(BW340,BX340,BY340)</f>
        <v>0</v>
      </c>
      <c r="CC340" s="14">
        <v>0</v>
      </c>
      <c r="CD340" s="14">
        <f>SUM(CC340*0.1)</f>
        <v>0</v>
      </c>
      <c r="CE340" s="14">
        <f ca="1">SUM(CF340*CG340)</f>
        <v>0</v>
      </c>
      <c r="CF340" s="17">
        <f>SUM((CC340+CD340)*0.00833333333333333)</f>
        <v>0</v>
      </c>
      <c r="CG340" s="23">
        <f ca="1">MONTH(TODAY())+25</f>
        <v>29</v>
      </c>
      <c r="CH340" s="14">
        <f ca="1">SUM(CC340,CD340,CE340)</f>
        <v>0</v>
      </c>
      <c r="CI340" s="14">
        <f>SUM(DU340*0.0052)</f>
        <v>293.8</v>
      </c>
      <c r="CJ340" s="14">
        <f>SUM(CI340*0.1)</f>
        <v>29.380000000000003</v>
      </c>
      <c r="CK340" s="14">
        <f ca="1">SUM(CL340*CM340)</f>
        <v>45.783833333333313</v>
      </c>
      <c r="CL340" s="17">
        <f>SUM((CI340+CJ340)*0.00833333333333333)</f>
        <v>2.6931666666666656</v>
      </c>
      <c r="CM340" s="23">
        <f ca="1">MONTH(TODAY())+13</f>
        <v>17</v>
      </c>
      <c r="CN340" s="14">
        <f ca="1">SUM(CI340,CJ340,CK340)</f>
        <v>368.9638333333333</v>
      </c>
      <c r="CO340" s="14">
        <f>SUM(DU340*0.0052)/2</f>
        <v>146.9</v>
      </c>
      <c r="CP340" s="14">
        <f>SUM(CO340*0.1)</f>
        <v>14.690000000000001</v>
      </c>
      <c r="CQ340" s="14">
        <f ca="1">SUM(CR340*CS340)</f>
        <v>12.119249999999996</v>
      </c>
      <c r="CR340" s="17">
        <f>SUM((CO340+CP340)*0.00833333333333333)</f>
        <v>1.3465833333333328</v>
      </c>
      <c r="CS340" s="23">
        <f ca="1">MONTH(TODAY())+5</f>
        <v>9</v>
      </c>
      <c r="CT340" s="23">
        <f ca="1">SUM(CO340,CP340,CQ340)</f>
        <v>173.70925</v>
      </c>
      <c r="CU340" s="14">
        <f>SUM(DU340*0.0052)/2</f>
        <v>146.9</v>
      </c>
      <c r="CV340" s="14">
        <f>SUM(CU340*0.1)</f>
        <v>14.690000000000001</v>
      </c>
      <c r="CW340" s="14">
        <f ca="1">SUM(CX340*CY340)</f>
        <v>6.7329166666666644</v>
      </c>
      <c r="CX340" s="17">
        <f>SUM((CU340+CV340)*0.00833333333333333)</f>
        <v>1.3465833333333328</v>
      </c>
      <c r="CY340" s="23">
        <f ca="1">MONTH(TODAY())+1</f>
        <v>5</v>
      </c>
      <c r="CZ340" s="23">
        <f ca="1">SUM(CU340,CV340,CW340)</f>
        <v>168.32291666666666</v>
      </c>
      <c r="DA340" s="14">
        <f>SUM( BQ340, BW340, CC340, CI340, CO340,CU340)</f>
        <v>587.6</v>
      </c>
      <c r="DB340" s="14">
        <f>SUM(BR340,BX340,CD340,CJ340, CP340,CV340)</f>
        <v>58.760000000000005</v>
      </c>
      <c r="DC340" s="14">
        <f ca="1">SUM(BS340,BY340,CE340,CK340, CQ340,CW340)</f>
        <v>64.635999999999967</v>
      </c>
      <c r="DD340" s="25">
        <f ca="1">SUM(DA340:DC340)</f>
        <v>710.99599999999998</v>
      </c>
      <c r="DE340" s="47">
        <f ca="1">SUM(DD340/DU340)</f>
        <v>1.2584E-2</v>
      </c>
      <c r="DF340" s="14">
        <v>20</v>
      </c>
      <c r="DG340" s="32">
        <f>COUNTIF(DL340, "*")+COUNTIF(AO340, "*")+COUNTIF(AJ340, "*")+COUNTIF(AA340, "*")+COUNTIF(EM340, "*")+COUNTIF(ES340, "*")+COUNTIF(EY340, "*")+COUNTIF(FC340, "*")+COUNTIF(FJ340, "*")+COUNTIF(AT340, "*")+COUNTIF(FS340, "*")+COUNTIF(GD340, "*")+COUNTIF(GO340, "*")+COUNTIF(GW340, "*")+COUNTIF(HE340, "*")+COUNTIF(HM340, "*")+COUNTIF(HU340, "*")</f>
        <v>1</v>
      </c>
      <c r="DH340" s="14">
        <f>DG340*0.6</f>
        <v>0.6</v>
      </c>
      <c r="DI340" s="4"/>
      <c r="DJ340" s="4"/>
      <c r="DK340" s="4"/>
      <c r="DL340" s="4"/>
      <c r="DN340" s="4"/>
      <c r="DO340" s="14">
        <f>SUM(DJ340:DN340)</f>
        <v>0</v>
      </c>
      <c r="DP340" s="14">
        <f ca="1">SUM(DD340,DF340,DO340, DI340, DH340,FP340)</f>
        <v>731.596</v>
      </c>
      <c r="DQ340" s="24" t="s">
        <v>3879</v>
      </c>
      <c r="DR340" s="130">
        <v>1.53</v>
      </c>
      <c r="DS340" s="14">
        <v>22700</v>
      </c>
      <c r="DT340" s="14">
        <v>33800</v>
      </c>
      <c r="DU340" s="14">
        <v>56500</v>
      </c>
      <c r="DV340" s="14">
        <v>38200</v>
      </c>
      <c r="DW340" s="14">
        <v>51300</v>
      </c>
      <c r="DX340" s="14">
        <f>SUM(DV340+DW340)</f>
        <v>89500</v>
      </c>
      <c r="IA340" s="9"/>
      <c r="IL340" s="14">
        <f ca="1">SUM(IB340-DP340-FP340-IJ340)</f>
        <v>-731.596</v>
      </c>
      <c r="IM340" s="9"/>
      <c r="IN340" s="9"/>
      <c r="IO340" s="9"/>
      <c r="IP340" s="9"/>
      <c r="IQ340" s="9"/>
    </row>
    <row r="341" spans="1:263" ht="15" customHeight="1">
      <c r="A341" s="2">
        <v>102019042</v>
      </c>
      <c r="B341" s="4" t="s">
        <v>1352</v>
      </c>
      <c r="C341" s="4"/>
      <c r="D341" s="4"/>
      <c r="E341" s="3" t="s">
        <v>1353</v>
      </c>
      <c r="F341" s="2">
        <v>190002053</v>
      </c>
      <c r="G341" s="2"/>
      <c r="H341" s="2"/>
      <c r="J341" t="s">
        <v>311</v>
      </c>
      <c r="K341" t="s">
        <v>1354</v>
      </c>
      <c r="L341" t="s">
        <v>1355</v>
      </c>
      <c r="M341" t="s">
        <v>256</v>
      </c>
      <c r="O341" s="1"/>
      <c r="T341" s="1"/>
      <c r="AJ341" s="4"/>
      <c r="AK341" s="4"/>
      <c r="AO341" s="4"/>
      <c r="AP341" s="5"/>
      <c r="AS341" s="5"/>
      <c r="AT341" s="5"/>
      <c r="AU341" s="1"/>
      <c r="AV341" s="1"/>
      <c r="AW341" s="1"/>
      <c r="AX341" s="15"/>
      <c r="AY341" s="15"/>
      <c r="AZ341" s="15"/>
      <c r="BA341" s="15"/>
      <c r="BB341" s="13"/>
      <c r="BC341" s="15"/>
      <c r="BD341" s="15"/>
      <c r="BE341" s="15"/>
      <c r="BF341" s="21"/>
      <c r="BG341" s="5"/>
      <c r="BH341" s="16"/>
      <c r="BI341" s="16"/>
      <c r="BK341" s="4"/>
      <c r="BL341" s="4"/>
      <c r="BM341" s="6"/>
      <c r="BN341" s="7"/>
      <c r="BO341" s="4"/>
      <c r="BP341" s="4"/>
      <c r="BQ341" s="4"/>
      <c r="BR341" s="4"/>
      <c r="BS341" s="6"/>
      <c r="BT341" s="7"/>
      <c r="BU341" s="4"/>
      <c r="BV341" s="4"/>
      <c r="BW341" s="4"/>
      <c r="BX341" s="4"/>
      <c r="BY341" s="6"/>
      <c r="BZ341" s="23"/>
      <c r="CA341" s="4"/>
      <c r="CB341" s="4"/>
      <c r="CC341" s="4"/>
      <c r="CD341" s="4"/>
      <c r="CE341" s="6"/>
      <c r="CF341" s="7"/>
      <c r="CG341" s="4"/>
      <c r="CH341" s="4"/>
      <c r="CI341" s="14"/>
      <c r="CJ341" s="4"/>
      <c r="CK341" s="6"/>
      <c r="CL341" s="23"/>
      <c r="CM341" s="14"/>
      <c r="CN341" s="4"/>
      <c r="CO341" s="4"/>
      <c r="CP341" s="4"/>
      <c r="CQ341" s="6"/>
      <c r="CR341" s="7"/>
      <c r="CS341" s="4"/>
      <c r="CT341" s="4"/>
      <c r="CU341" s="4"/>
      <c r="CV341" s="4"/>
      <c r="CW341" s="6"/>
      <c r="CX341" s="23"/>
      <c r="CY341" s="4"/>
      <c r="CZ341" s="4"/>
      <c r="DA341" s="4"/>
      <c r="DB341" s="4"/>
      <c r="DC341" s="6"/>
      <c r="DD341" s="7"/>
      <c r="DE341" s="4"/>
      <c r="DF341" s="4"/>
      <c r="DG341" s="4"/>
      <c r="DH341" s="14"/>
      <c r="DI341" s="14"/>
      <c r="DJ341" s="4"/>
      <c r="DK341" s="3"/>
      <c r="DL341" s="4"/>
      <c r="DM341" s="234"/>
      <c r="DN341" s="4"/>
      <c r="DO341" s="4"/>
      <c r="DP341" s="4"/>
      <c r="DQ341" s="4"/>
      <c r="DR341" s="4"/>
      <c r="DS341" s="4"/>
      <c r="DT341" s="7"/>
      <c r="DU341" s="8"/>
      <c r="DV341" s="4"/>
      <c r="DW341" s="8"/>
      <c r="DX341" s="4"/>
      <c r="DY341" s="4"/>
      <c r="DZ341" s="7"/>
      <c r="EI341" s="11"/>
      <c r="EO341" s="11"/>
      <c r="EQ341" s="11"/>
      <c r="ER341" s="4"/>
      <c r="ES341" s="4"/>
      <c r="ET341" s="4"/>
      <c r="EU341" s="11"/>
      <c r="EW341" s="11"/>
      <c r="EX341" s="4"/>
      <c r="EY341" s="4"/>
      <c r="EZ341" s="4"/>
      <c r="FA341" s="4"/>
      <c r="FB341" s="4"/>
      <c r="FC341" s="4"/>
      <c r="FD341" s="4"/>
      <c r="FE341" s="4"/>
      <c r="FI341" s="9"/>
      <c r="FR341" s="9"/>
      <c r="FX341" s="4"/>
      <c r="GC341" s="10"/>
      <c r="GM341" s="10"/>
      <c r="HB341" s="9"/>
      <c r="II341" s="27"/>
      <c r="IJ341" s="4"/>
      <c r="IK341" s="4"/>
      <c r="IL341" s="9"/>
      <c r="IS341" s="4"/>
      <c r="IT341" s="4"/>
    </row>
    <row r="342" spans="1:263" ht="15" customHeight="1">
      <c r="A342" s="19">
        <v>102023144</v>
      </c>
      <c r="B342" s="18" t="s">
        <v>4347</v>
      </c>
      <c r="D342" s="1"/>
      <c r="E342" s="3"/>
      <c r="F342" s="3"/>
      <c r="J342" s="18" t="s">
        <v>253</v>
      </c>
      <c r="K342" s="18" t="s">
        <v>4514</v>
      </c>
      <c r="L342" s="18" t="s">
        <v>1335</v>
      </c>
      <c r="M342" s="18"/>
      <c r="N342" s="18"/>
      <c r="O342" s="19"/>
      <c r="P342" s="18"/>
      <c r="Q342" s="18"/>
      <c r="R342" s="18"/>
      <c r="S342" s="18"/>
      <c r="AG342" s="43"/>
      <c r="AJ342" s="18" t="s">
        <v>328</v>
      </c>
      <c r="AL342" t="s">
        <v>349</v>
      </c>
      <c r="AM342"/>
      <c r="AN342"/>
      <c r="AO342" s="18" t="s">
        <v>4515</v>
      </c>
      <c r="AP342" s="3" t="s">
        <v>258</v>
      </c>
      <c r="AQ342" s="18" t="s">
        <v>290</v>
      </c>
      <c r="AR342" t="s">
        <v>268</v>
      </c>
      <c r="AX342" s="1"/>
      <c r="AY342" s="1"/>
      <c r="AZ342" s="1"/>
      <c r="BA342" s="1"/>
      <c r="BB342" s="1"/>
      <c r="BC342" s="2"/>
      <c r="BD342" s="116"/>
      <c r="BE342" s="115"/>
      <c r="BF342" s="2"/>
      <c r="BG342" s="2"/>
      <c r="BH342" s="2"/>
      <c r="BI342" s="2"/>
      <c r="BJ342" s="2"/>
      <c r="BK342" s="2"/>
      <c r="BL342" s="20">
        <f ca="1">SUM(DP342)+220</f>
        <v>1104.4623999999999</v>
      </c>
      <c r="BM342" s="22">
        <f ca="1">PMT(10%/12,12,BL342,0,0)</f>
        <v>-97.099791808185742</v>
      </c>
      <c r="BN342" s="22">
        <f ca="1">SUM(BM342*-1)</f>
        <v>97.099791808185742</v>
      </c>
      <c r="BO342" s="14">
        <f>SUM(DX342*0.0052)/12</f>
        <v>35.793333333333329</v>
      </c>
      <c r="BP342" s="22">
        <f ca="1">SUM(BN342+BO342)</f>
        <v>132.89312514151908</v>
      </c>
      <c r="BQ342" s="14"/>
      <c r="BR342" s="14">
        <f>SUM(BQ342*0.1)</f>
        <v>0</v>
      </c>
      <c r="BS342" s="14">
        <f ca="1">SUM(BT342*BU342)</f>
        <v>0</v>
      </c>
      <c r="BT342" s="17">
        <f>SUM((BQ342+BR342)*0.00833333333333333)</f>
        <v>0</v>
      </c>
      <c r="BU342" s="23">
        <f ca="1">MONTH(TODAY())+49</f>
        <v>53</v>
      </c>
      <c r="BV342" s="14">
        <f ca="1">SUM(BQ342,BR342,BS342)</f>
        <v>0</v>
      </c>
      <c r="BW342" s="14"/>
      <c r="BX342" s="14">
        <f>SUM(BW342*0.1)</f>
        <v>0</v>
      </c>
      <c r="BY342" s="14">
        <f ca="1">SUM(BZ342*CA342)</f>
        <v>0</v>
      </c>
      <c r="BZ342" s="17">
        <f>SUM((BW342+BX342)*0.00833333333333333)</f>
        <v>0</v>
      </c>
      <c r="CA342" s="23">
        <f ca="1">MONTH(TODAY())+37</f>
        <v>41</v>
      </c>
      <c r="CB342" s="14">
        <f ca="1">SUM(BW342,BX342,BY342)</f>
        <v>0</v>
      </c>
      <c r="CC342" s="14">
        <v>0</v>
      </c>
      <c r="CD342" s="14">
        <f>SUM(CC342*0.1)</f>
        <v>0</v>
      </c>
      <c r="CE342" s="14">
        <f ca="1">SUM(CF342*CG342)</f>
        <v>0</v>
      </c>
      <c r="CF342" s="17">
        <f>SUM((CC342+CD342)*0.00833333333333333)</f>
        <v>0</v>
      </c>
      <c r="CG342" s="23">
        <f ca="1">MONTH(TODAY())+25</f>
        <v>29</v>
      </c>
      <c r="CH342" s="14">
        <f ca="1">SUM(CC342,CD342,CE342)</f>
        <v>0</v>
      </c>
      <c r="CI342" s="14">
        <f>SUM(DU342*0.0052)</f>
        <v>356.71999999999997</v>
      </c>
      <c r="CJ342" s="14">
        <f>SUM(CI342*0.1)</f>
        <v>35.671999999999997</v>
      </c>
      <c r="CK342" s="14">
        <f ca="1">SUM(CL342*CM342)</f>
        <v>55.58886666666664</v>
      </c>
      <c r="CL342" s="17">
        <f>SUM((CI342+CJ342)*0.00833333333333333)</f>
        <v>3.2699333333333316</v>
      </c>
      <c r="CM342" s="23">
        <f ca="1">MONTH(TODAY())+13</f>
        <v>17</v>
      </c>
      <c r="CN342" s="14">
        <f ca="1">SUM(CI342,CJ342,CK342)</f>
        <v>447.9808666666666</v>
      </c>
      <c r="CO342" s="14">
        <f>SUM(DU342*0.0052)/2</f>
        <v>178.35999999999999</v>
      </c>
      <c r="CP342" s="14">
        <f>SUM(CO342*0.1)</f>
        <v>17.835999999999999</v>
      </c>
      <c r="CQ342" s="14">
        <f ca="1">SUM(CR342*CS342)</f>
        <v>14.714699999999992</v>
      </c>
      <c r="CR342" s="17">
        <f>SUM((CO342+CP342)*0.00833333333333333)</f>
        <v>1.6349666666666658</v>
      </c>
      <c r="CS342" s="23">
        <f ca="1">MONTH(TODAY())+5</f>
        <v>9</v>
      </c>
      <c r="CT342" s="23">
        <f ca="1">SUM(CO342,CP342,CQ342)</f>
        <v>210.91069999999996</v>
      </c>
      <c r="CU342" s="14">
        <f>SUM(DU342*0.0052)/2</f>
        <v>178.35999999999999</v>
      </c>
      <c r="CV342" s="14">
        <f>SUM(CU342*0.1)</f>
        <v>17.835999999999999</v>
      </c>
      <c r="CW342" s="14">
        <f ca="1">SUM(CX342*CY342)</f>
        <v>8.1748333333333285</v>
      </c>
      <c r="CX342" s="17">
        <f>SUM((CU342+CV342)*0.00833333333333333)</f>
        <v>1.6349666666666658</v>
      </c>
      <c r="CY342" s="23">
        <f ca="1">MONTH(TODAY())+1</f>
        <v>5</v>
      </c>
      <c r="CZ342" s="23">
        <f ca="1">SUM(CU342,CV342,CW342)</f>
        <v>204.37083333333331</v>
      </c>
      <c r="DA342" s="14">
        <f>SUM( BQ342, BW342, CC342, CI342, CO342,CU342)</f>
        <v>713.43999999999994</v>
      </c>
      <c r="DB342" s="14">
        <f>SUM(BR342,BX342,CD342,CJ342, CP342,CV342)</f>
        <v>71.343999999999994</v>
      </c>
      <c r="DC342" s="14">
        <f ca="1">SUM(BS342,BY342,CE342,CK342, CQ342,CW342)</f>
        <v>78.478399999999951</v>
      </c>
      <c r="DD342" s="25">
        <f ca="1">SUM(DA342:DC342)</f>
        <v>863.26239999999984</v>
      </c>
      <c r="DE342" s="47">
        <f ca="1">SUM(DD342/DU342)</f>
        <v>1.2583999999999998E-2</v>
      </c>
      <c r="DF342" s="14">
        <v>20</v>
      </c>
      <c r="DG342" s="32">
        <f>COUNTIF(DL342, "*")+COUNTIF(AO342, "*")+COUNTIF(AJ342, "*")+COUNTIF(AA342, "*")+COUNTIF(EM342, "*")+COUNTIF(ES342, "*")+COUNTIF(EY342, "*")+COUNTIF(FC342, "*")+COUNTIF(FJ342, "*")+COUNTIF(AT342, "*")+COUNTIF(FS342, "*")+COUNTIF(GD342, "*")+COUNTIF(GO342, "*")+COUNTIF(GW342, "*")+COUNTIF(HE342, "*")+COUNTIF(HM342, "*")+COUNTIF(HU342, "*")</f>
        <v>2</v>
      </c>
      <c r="DH342" s="14">
        <f>DG342*0.6</f>
        <v>1.2</v>
      </c>
      <c r="DI342" s="4"/>
      <c r="DJ342" s="4"/>
      <c r="DK342" s="4"/>
      <c r="DL342" s="4"/>
      <c r="DN342" s="4"/>
      <c r="DO342" s="14">
        <f>SUM(DJ342:DN342)</f>
        <v>0</v>
      </c>
      <c r="DP342" s="14">
        <f ca="1">SUM(DD342,DF342,DO342, DI342, DH342,FP342)</f>
        <v>884.46239999999989</v>
      </c>
      <c r="DQ342" s="24" t="s">
        <v>3879</v>
      </c>
      <c r="DR342" s="130">
        <v>4.74</v>
      </c>
      <c r="DS342" s="14">
        <v>67900</v>
      </c>
      <c r="DT342" s="14">
        <v>700</v>
      </c>
      <c r="DU342" s="14">
        <v>68600</v>
      </c>
      <c r="DV342" s="14">
        <v>81700</v>
      </c>
      <c r="DW342" s="14">
        <v>900</v>
      </c>
      <c r="DX342" s="14">
        <f>SUM(DV342+DW342)</f>
        <v>82600</v>
      </c>
      <c r="IA342" s="9"/>
      <c r="IL342" s="14">
        <f ca="1">SUM(IB342-DP342-FP342-IJ342)</f>
        <v>-884.46239999999989</v>
      </c>
      <c r="IM342" s="9"/>
      <c r="IN342" s="9"/>
      <c r="IO342" s="9"/>
      <c r="IP342" s="9"/>
      <c r="IQ342" s="9"/>
    </row>
    <row r="343" spans="1:263" ht="15" customHeight="1">
      <c r="A343" s="19">
        <v>102017093</v>
      </c>
      <c r="B343" s="18" t="s">
        <v>1044</v>
      </c>
      <c r="C343" s="18"/>
      <c r="D343" s="18"/>
      <c r="E343" s="18"/>
      <c r="F343" s="18"/>
      <c r="G343" s="18">
        <v>180001388</v>
      </c>
      <c r="H343" s="18"/>
      <c r="I343" s="18"/>
      <c r="K343" s="18" t="s">
        <v>1043</v>
      </c>
      <c r="L343" s="18"/>
      <c r="M343" s="18"/>
      <c r="N343" s="13"/>
      <c r="O343" s="18"/>
      <c r="P343" s="18"/>
      <c r="Q343" s="18"/>
      <c r="R343" s="18"/>
      <c r="S343" s="13"/>
      <c r="T343" s="18"/>
      <c r="U343" s="18"/>
      <c r="AE343" s="1"/>
      <c r="AG343"/>
      <c r="AI343" s="34"/>
      <c r="AJ343" s="4"/>
      <c r="AK343" s="4"/>
      <c r="AL343" s="4"/>
      <c r="AO343" s="4"/>
      <c r="AP343" s="13"/>
      <c r="AQ343" s="34"/>
      <c r="AR343" s="34"/>
      <c r="AS343" s="5"/>
      <c r="AT343" s="13"/>
      <c r="AU343" s="1"/>
      <c r="AV343" s="1"/>
      <c r="AW343" s="1"/>
      <c r="AX343" s="15"/>
      <c r="AY343" s="15"/>
      <c r="AZ343" s="15"/>
      <c r="BA343" s="15"/>
      <c r="BB343" s="1"/>
      <c r="BC343" s="15"/>
      <c r="BD343" s="15"/>
      <c r="BE343" s="15"/>
      <c r="BF343" s="15"/>
      <c r="BG343" s="5"/>
      <c r="BH343" s="16"/>
      <c r="BI343" s="16"/>
      <c r="BK343" s="4"/>
      <c r="BL343" s="4"/>
      <c r="BM343" s="6"/>
      <c r="BN343" s="7"/>
      <c r="BO343" s="4"/>
      <c r="BQ343" s="4"/>
      <c r="BR343" s="4"/>
      <c r="BS343" s="6"/>
      <c r="BT343" s="7"/>
      <c r="BU343" s="4"/>
      <c r="BV343" s="4"/>
      <c r="BW343" s="4"/>
      <c r="BX343" s="4"/>
      <c r="BY343" s="6"/>
      <c r="BZ343" s="7"/>
      <c r="CA343" s="4"/>
      <c r="CC343" s="4"/>
      <c r="CD343" s="4"/>
      <c r="CE343" s="6"/>
      <c r="CF343" s="7"/>
      <c r="CG343" s="4"/>
      <c r="CH343" s="4"/>
      <c r="CI343" s="4"/>
      <c r="CJ343" s="4"/>
      <c r="CK343" s="6"/>
      <c r="CL343" s="7"/>
      <c r="CM343" s="4"/>
      <c r="CN343" s="4"/>
      <c r="CO343" s="4"/>
      <c r="CP343" s="4"/>
      <c r="CQ343" s="6"/>
      <c r="CR343" s="7"/>
      <c r="CS343" s="4"/>
      <c r="CT343" s="4"/>
      <c r="CU343" s="4"/>
      <c r="CV343" s="4"/>
      <c r="CW343" s="6"/>
      <c r="CX343" s="7"/>
      <c r="CY343" s="4"/>
      <c r="CZ343" s="4"/>
      <c r="DA343" s="4"/>
      <c r="DB343" s="4"/>
      <c r="DC343" s="6"/>
      <c r="DD343" s="7"/>
      <c r="DE343" s="4"/>
      <c r="DF343" s="4"/>
      <c r="DG343" s="4"/>
      <c r="DH343" s="4"/>
      <c r="DI343" s="6"/>
      <c r="DJ343" s="7"/>
      <c r="DK343" s="4"/>
      <c r="DL343" s="4"/>
      <c r="DM343" s="4"/>
      <c r="DN343" s="4"/>
      <c r="DO343" s="4"/>
      <c r="DP343" s="4"/>
      <c r="DQ343" s="3"/>
      <c r="DR343" s="4"/>
      <c r="DS343" s="4"/>
      <c r="DT343" s="4"/>
      <c r="DU343" s="4"/>
      <c r="DV343" s="4"/>
      <c r="DW343" s="4"/>
      <c r="DX343" s="4"/>
      <c r="DY343" s="4"/>
      <c r="DZ343" s="4"/>
      <c r="EA343" s="4"/>
      <c r="EB343" s="4"/>
      <c r="EC343" s="4"/>
      <c r="ED343" s="4"/>
      <c r="FL343" s="9"/>
      <c r="FM343" s="10"/>
      <c r="FT343" s="10"/>
      <c r="FU343" s="9"/>
      <c r="GG343" s="9"/>
    </row>
    <row r="344" spans="1:263" ht="15" customHeight="1">
      <c r="A344" s="2">
        <v>102020028</v>
      </c>
      <c r="B344" t="s">
        <v>1616</v>
      </c>
      <c r="J344" t="s">
        <v>554</v>
      </c>
      <c r="K344" t="s">
        <v>609</v>
      </c>
      <c r="L344" t="s">
        <v>1010</v>
      </c>
      <c r="M344" t="s">
        <v>537</v>
      </c>
      <c r="P344" t="s">
        <v>609</v>
      </c>
      <c r="Q344" t="s">
        <v>1559</v>
      </c>
      <c r="R344" t="s">
        <v>326</v>
      </c>
      <c r="AG344" s="248"/>
      <c r="AO344" s="4"/>
      <c r="AY344" s="9"/>
      <c r="AZ344" s="9"/>
      <c r="BG344" s="5"/>
      <c r="BH344" s="16"/>
      <c r="BI344" s="16"/>
      <c r="BJ344" s="4"/>
      <c r="BK344" s="4"/>
      <c r="BL344" s="4"/>
      <c r="BM344" s="6"/>
      <c r="BN344" s="7"/>
      <c r="BO344" s="4"/>
      <c r="BP344" s="4"/>
      <c r="BQ344" s="4"/>
      <c r="BR344" s="4"/>
      <c r="BS344" s="6"/>
      <c r="BT344" s="7"/>
      <c r="BU344" s="4"/>
      <c r="BV344" s="4"/>
      <c r="BW344" s="4"/>
      <c r="BX344" s="4"/>
      <c r="BY344" s="6"/>
      <c r="BZ344" s="7"/>
      <c r="CA344" s="4"/>
      <c r="CB344" s="4"/>
      <c r="CC344" s="4"/>
      <c r="CD344" s="4"/>
      <c r="CE344" s="6"/>
      <c r="CF344" s="7"/>
      <c r="CG344" s="4"/>
      <c r="CH344" s="4"/>
      <c r="CI344" s="4"/>
      <c r="CJ344" s="4"/>
      <c r="CK344" s="6"/>
      <c r="CL344" s="7"/>
      <c r="CM344" s="4"/>
      <c r="CN344" s="4"/>
      <c r="CO344" s="4"/>
      <c r="CP344" s="4"/>
      <c r="CQ344" s="6"/>
      <c r="CR344" s="7"/>
      <c r="CS344" s="4"/>
      <c r="CT344" s="4"/>
      <c r="CU344" s="4"/>
      <c r="CV344" s="4"/>
      <c r="CW344" s="6"/>
      <c r="CX344" s="7"/>
      <c r="CY344" s="4"/>
      <c r="CZ344" s="4"/>
      <c r="DA344" s="4"/>
      <c r="DB344" s="4"/>
      <c r="DC344" s="4"/>
      <c r="DD344" s="3"/>
      <c r="DE344" s="4"/>
      <c r="DF344" s="234"/>
      <c r="DG344" s="4"/>
      <c r="DH344" s="4"/>
      <c r="DI344" s="4"/>
      <c r="DJ344" s="4"/>
      <c r="DK344" s="4"/>
      <c r="DL344" s="4"/>
      <c r="DM344" s="4"/>
      <c r="DN344" s="8"/>
      <c r="DO344" s="4"/>
      <c r="DP344" s="8"/>
      <c r="DQ344" s="8"/>
      <c r="DR344" s="8"/>
      <c r="DS344" s="35"/>
      <c r="IL344" s="4"/>
      <c r="IM344" s="4"/>
      <c r="IW344" s="18"/>
      <c r="IX344" s="18"/>
      <c r="IY344" s="18"/>
      <c r="JA344" s="18"/>
      <c r="JB344" s="18"/>
      <c r="JC344" s="18"/>
    </row>
    <row r="345" spans="1:263" ht="15" customHeight="1">
      <c r="A345" s="2">
        <v>102020029</v>
      </c>
      <c r="B345" t="s">
        <v>1617</v>
      </c>
      <c r="J345" t="s">
        <v>554</v>
      </c>
      <c r="K345" t="s">
        <v>609</v>
      </c>
      <c r="L345" t="s">
        <v>1010</v>
      </c>
      <c r="M345" t="s">
        <v>537</v>
      </c>
      <c r="P345" t="s">
        <v>609</v>
      </c>
      <c r="Q345" t="s">
        <v>1559</v>
      </c>
      <c r="R345" t="s">
        <v>326</v>
      </c>
      <c r="AG345" s="248"/>
      <c r="AY345" s="9"/>
      <c r="AZ345" s="9"/>
      <c r="BG345" s="5"/>
      <c r="BH345" s="16"/>
      <c r="BI345" s="16"/>
      <c r="BJ345" s="4"/>
      <c r="BK345" s="4"/>
      <c r="BL345" s="4"/>
      <c r="BM345" s="6"/>
      <c r="BN345" s="7"/>
      <c r="BO345" s="4"/>
      <c r="BP345" s="4"/>
      <c r="BQ345" s="4"/>
      <c r="BR345" s="4"/>
      <c r="BS345" s="6"/>
      <c r="BT345" s="7"/>
      <c r="BU345" s="4"/>
      <c r="BV345" s="4"/>
      <c r="BW345" s="4"/>
      <c r="BX345" s="4"/>
      <c r="BY345" s="6"/>
      <c r="BZ345" s="7"/>
      <c r="CA345" s="4"/>
      <c r="CB345" s="4"/>
      <c r="CC345" s="4"/>
      <c r="CD345" s="4"/>
      <c r="CE345" s="6"/>
      <c r="CF345" s="7"/>
      <c r="CG345" s="4"/>
      <c r="CH345" s="4"/>
      <c r="CI345" s="4"/>
      <c r="CJ345" s="4"/>
      <c r="CK345" s="6"/>
      <c r="CL345" s="7"/>
      <c r="CM345" s="4"/>
      <c r="CN345" s="4"/>
      <c r="CO345" s="4"/>
      <c r="CP345" s="4"/>
      <c r="CQ345" s="6"/>
      <c r="CR345" s="7"/>
      <c r="CS345" s="4"/>
      <c r="CT345" s="4"/>
      <c r="CU345" s="4"/>
      <c r="CV345" s="4"/>
      <c r="CW345" s="6"/>
      <c r="CX345" s="7"/>
      <c r="CY345" s="4"/>
      <c r="CZ345" s="4"/>
      <c r="DA345" s="4"/>
      <c r="DB345" s="4"/>
      <c r="DC345" s="4"/>
      <c r="DD345" s="3"/>
      <c r="DE345" s="4"/>
      <c r="DF345" s="234"/>
      <c r="DG345" s="4"/>
      <c r="DH345" s="4"/>
      <c r="DI345" s="4"/>
      <c r="DJ345" s="4"/>
      <c r="DK345" s="4"/>
      <c r="DL345" s="4"/>
      <c r="DM345" s="4"/>
      <c r="DN345" s="8"/>
      <c r="DO345" s="4"/>
      <c r="DP345" s="8"/>
      <c r="DQ345" s="8"/>
      <c r="DR345" s="8"/>
      <c r="DS345" s="35"/>
      <c r="DT345" s="276"/>
      <c r="FB345" s="9"/>
      <c r="IW345" s="18"/>
      <c r="IX345" s="18"/>
      <c r="IY345" s="18"/>
    </row>
    <row r="346" spans="1:263" s="243" customFormat="1" ht="15" customHeight="1">
      <c r="A346" s="2">
        <v>102020029</v>
      </c>
      <c r="B346" t="s">
        <v>1617</v>
      </c>
      <c r="C346"/>
      <c r="D346"/>
      <c r="E346"/>
      <c r="F346"/>
      <c r="G346"/>
      <c r="H346"/>
      <c r="I346"/>
      <c r="J346" t="s">
        <v>554</v>
      </c>
      <c r="K346" t="s">
        <v>609</v>
      </c>
      <c r="L346" t="s">
        <v>1010</v>
      </c>
      <c r="M346" t="s">
        <v>537</v>
      </c>
      <c r="N346"/>
      <c r="O346"/>
      <c r="P346" t="s">
        <v>609</v>
      </c>
      <c r="Q346" t="s">
        <v>1559</v>
      </c>
      <c r="R346" t="s">
        <v>326</v>
      </c>
      <c r="S346"/>
      <c r="T346"/>
      <c r="U346"/>
      <c r="V346"/>
      <c r="W346"/>
      <c r="X346"/>
      <c r="Y346"/>
      <c r="Z346"/>
      <c r="AA346"/>
      <c r="AB346"/>
      <c r="AC346"/>
      <c r="AD346"/>
      <c r="AE346"/>
      <c r="AF346"/>
      <c r="AG346" s="248"/>
      <c r="AH346"/>
      <c r="AI346"/>
      <c r="AJ346"/>
      <c r="AK346"/>
      <c r="AL346"/>
      <c r="AM346" s="3"/>
      <c r="AN346" s="3"/>
      <c r="AO346"/>
      <c r="AP346" s="1"/>
      <c r="AQ346" s="3"/>
      <c r="AR346" s="3"/>
      <c r="AS346"/>
      <c r="AT346"/>
      <c r="AU346"/>
      <c r="AV346"/>
      <c r="AW346"/>
      <c r="AX346"/>
      <c r="AY346" s="48"/>
      <c r="AZ346" s="48"/>
      <c r="BA346" s="19"/>
      <c r="BB346" s="19"/>
      <c r="BC346" s="19"/>
      <c r="BD346" s="19"/>
      <c r="BE346" s="19"/>
      <c r="BF346" s="19"/>
      <c r="BG346" s="20"/>
      <c r="BH346" s="22"/>
      <c r="BI346" s="22"/>
      <c r="BJ346" s="14"/>
      <c r="BK346" s="14"/>
      <c r="BL346" s="14"/>
      <c r="BM346" s="17"/>
      <c r="BN346" s="23"/>
      <c r="BO346" s="14"/>
      <c r="BP346" s="14"/>
      <c r="BQ346" s="14"/>
      <c r="BR346" s="14"/>
      <c r="BS346" s="17"/>
      <c r="BT346" s="23"/>
      <c r="BU346" s="14"/>
      <c r="BV346" s="14"/>
      <c r="BW346" s="14"/>
      <c r="BX346" s="14"/>
      <c r="BY346" s="17"/>
      <c r="BZ346" s="23"/>
      <c r="CA346" s="14"/>
      <c r="CB346" s="14"/>
      <c r="CC346" s="14"/>
      <c r="CD346" s="14"/>
      <c r="CE346" s="17"/>
      <c r="CF346" s="23"/>
      <c r="CG346" s="14"/>
      <c r="CH346" s="14"/>
      <c r="CI346" s="14"/>
      <c r="CJ346" s="14"/>
      <c r="CK346" s="17"/>
      <c r="CL346" s="23"/>
      <c r="CM346" s="14"/>
      <c r="CN346" s="14"/>
      <c r="CO346" s="14"/>
      <c r="CP346" s="14"/>
      <c r="CQ346" s="17"/>
      <c r="CR346" s="23"/>
      <c r="CS346" s="14"/>
      <c r="CT346" s="14"/>
      <c r="CU346" s="14"/>
      <c r="CV346" s="14"/>
      <c r="CW346" s="17"/>
      <c r="CX346" s="23"/>
      <c r="CY346" s="14"/>
      <c r="CZ346" s="14"/>
      <c r="DA346" s="14"/>
      <c r="DB346" s="14"/>
      <c r="DC346" s="17"/>
      <c r="DD346" s="23"/>
      <c r="DE346" s="14"/>
      <c r="DF346" s="14"/>
      <c r="DG346" s="14"/>
      <c r="DH346" s="14"/>
      <c r="DI346" s="14"/>
      <c r="DJ346" s="47"/>
      <c r="DK346" s="14"/>
      <c r="DL346" s="32"/>
      <c r="DM346" s="14"/>
      <c r="DN346" s="14"/>
      <c r="DO346" s="14"/>
      <c r="DP346" s="14"/>
      <c r="DQ346" s="14"/>
      <c r="DR346" s="14"/>
      <c r="DS346" s="23"/>
      <c r="DT346" s="25"/>
      <c r="DU346" s="14"/>
      <c r="DV346" s="24"/>
      <c r="DW346" s="25"/>
      <c r="DX346" s="25"/>
      <c r="DY346" s="25"/>
      <c r="DZ346" s="36"/>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c r="IM346"/>
      <c r="IN346"/>
      <c r="IO346"/>
      <c r="IP346"/>
      <c r="IQ346"/>
      <c r="IR346"/>
      <c r="IS346"/>
      <c r="IT346"/>
      <c r="IU346"/>
      <c r="IV346"/>
      <c r="IW346" s="18"/>
      <c r="IX346" s="18"/>
      <c r="IY346" s="18"/>
      <c r="IZ346"/>
      <c r="JA346"/>
      <c r="JB346"/>
      <c r="JC346"/>
    </row>
    <row r="347" spans="1:263" ht="15" customHeight="1">
      <c r="A347" s="2">
        <v>102017111</v>
      </c>
      <c r="B347" s="4" t="s">
        <v>1093</v>
      </c>
      <c r="C347" s="4"/>
      <c r="D347" s="4"/>
      <c r="E347" t="s">
        <v>1094</v>
      </c>
      <c r="F347" s="2">
        <v>190000741</v>
      </c>
      <c r="G347" s="2"/>
      <c r="H347" s="2"/>
      <c r="J347" t="s">
        <v>311</v>
      </c>
      <c r="K347" t="s">
        <v>1095</v>
      </c>
      <c r="L347" t="s">
        <v>1096</v>
      </c>
      <c r="O347" s="1"/>
      <c r="P347" t="s">
        <v>1097</v>
      </c>
      <c r="Q347" t="s">
        <v>1098</v>
      </c>
      <c r="T347" s="1"/>
      <c r="AJ347" s="4"/>
      <c r="AK347" s="11"/>
      <c r="AL347" s="4"/>
      <c r="AM347" s="34"/>
      <c r="AO347" s="4"/>
      <c r="AQ347" s="34"/>
      <c r="AR347" s="34"/>
      <c r="AS347" s="29"/>
      <c r="AT347" s="1"/>
      <c r="AU347" s="1"/>
      <c r="AV347" s="1"/>
      <c r="AW347" s="1"/>
      <c r="AX347" s="1"/>
      <c r="AY347" s="1"/>
      <c r="AZ347" s="1"/>
      <c r="BA347" s="1"/>
      <c r="BB347" s="1"/>
      <c r="BC347" s="1"/>
      <c r="BD347" s="1"/>
      <c r="BE347" s="1"/>
      <c r="BF347" s="1"/>
      <c r="BG347" s="5"/>
      <c r="BH347" s="16"/>
      <c r="BI347" s="16"/>
      <c r="BK347" s="4"/>
      <c r="BL347" s="4"/>
      <c r="BM347" s="6"/>
      <c r="BN347" s="7"/>
      <c r="BO347" s="4"/>
      <c r="BQ347" s="4"/>
      <c r="BR347" s="4"/>
      <c r="BS347" s="6"/>
      <c r="BT347" s="7"/>
      <c r="BU347" s="4"/>
      <c r="BV347" s="4"/>
      <c r="BW347" s="4"/>
      <c r="BX347" s="4"/>
      <c r="BY347" s="6"/>
      <c r="BZ347" s="7"/>
      <c r="CA347" s="4"/>
      <c r="CC347" s="4"/>
      <c r="CD347" s="4"/>
      <c r="CE347" s="6"/>
      <c r="CF347" s="7"/>
      <c r="CG347" s="4"/>
      <c r="CH347" s="4"/>
      <c r="CI347" s="4"/>
      <c r="CJ347" s="4"/>
      <c r="CK347" s="6"/>
      <c r="CL347" s="7"/>
      <c r="CM347" s="4"/>
      <c r="CN347" s="4"/>
      <c r="CO347" s="4"/>
      <c r="CP347" s="4"/>
      <c r="CQ347" s="6"/>
      <c r="CR347" s="7"/>
      <c r="CS347" s="4"/>
      <c r="CT347" s="4"/>
      <c r="CU347" s="4"/>
      <c r="CV347" s="4"/>
      <c r="CW347" s="6"/>
      <c r="CX347" s="7"/>
      <c r="CY347" s="4"/>
      <c r="CZ347" s="4"/>
      <c r="DA347" s="4"/>
      <c r="DB347" s="4"/>
      <c r="DC347" s="6"/>
      <c r="DD347" s="7"/>
      <c r="DE347" s="4"/>
      <c r="DF347" s="4"/>
      <c r="DG347" s="4"/>
      <c r="DH347" s="4"/>
      <c r="DI347" s="6"/>
      <c r="DJ347" s="7"/>
      <c r="DK347" s="4"/>
      <c r="DL347" s="4"/>
      <c r="DM347" s="4"/>
      <c r="DN347" s="4"/>
      <c r="DO347" s="4"/>
      <c r="DQ347" s="4"/>
      <c r="DS347" s="4"/>
      <c r="DT347" s="4"/>
      <c r="DU347" s="4"/>
      <c r="DV347" s="4"/>
      <c r="DW347" s="4"/>
      <c r="DX347" s="4"/>
      <c r="DY347" s="4"/>
      <c r="DZ347" s="4"/>
      <c r="EA347" s="3"/>
      <c r="EB347" s="3"/>
      <c r="EC347" s="3"/>
      <c r="ED347" s="3"/>
      <c r="EE347" s="3"/>
      <c r="EF347" s="4"/>
      <c r="EJ347" s="4"/>
      <c r="EK347" s="4"/>
      <c r="EL347" s="4"/>
      <c r="EM347" s="4"/>
      <c r="EN347" s="4"/>
      <c r="EO347" s="4"/>
      <c r="EP347" s="4"/>
      <c r="EQ347" s="4"/>
      <c r="ER347" s="4"/>
      <c r="ES347" s="4"/>
      <c r="ET347" s="4"/>
      <c r="EU347" s="4"/>
      <c r="FQ347" s="9"/>
      <c r="FR347" s="10"/>
      <c r="FY347" s="10"/>
      <c r="GK347" s="9"/>
      <c r="IL347" s="9"/>
      <c r="IS347" s="4"/>
      <c r="IT347" s="4"/>
      <c r="IZ347" s="243"/>
      <c r="JA347" s="243"/>
      <c r="JB347" s="243"/>
      <c r="JC347" s="243"/>
    </row>
    <row r="348" spans="1:263" ht="15" customHeight="1">
      <c r="A348" s="18">
        <v>102017111</v>
      </c>
      <c r="B348" s="18" t="s">
        <v>1093</v>
      </c>
      <c r="D348" s="1"/>
      <c r="E348" s="3" t="s">
        <v>4950</v>
      </c>
      <c r="F348" s="2">
        <v>230003532</v>
      </c>
      <c r="G348" s="3"/>
      <c r="J348" s="18" t="s">
        <v>311</v>
      </c>
      <c r="K348" s="18" t="s">
        <v>4616</v>
      </c>
      <c r="L348" s="18" t="s">
        <v>1096</v>
      </c>
      <c r="M348" s="18"/>
      <c r="N348" s="18"/>
      <c r="O348" s="24"/>
      <c r="P348" s="18"/>
      <c r="Q348" s="18"/>
      <c r="R348" s="18"/>
      <c r="S348" s="18"/>
      <c r="AG348" s="43"/>
      <c r="AJ348" s="18"/>
      <c r="AK348" s="13"/>
      <c r="AL348" s="18"/>
      <c r="AM348" s="18"/>
      <c r="AN348" s="18"/>
      <c r="AO348" s="18" t="s">
        <v>4122</v>
      </c>
      <c r="AP348" s="13" t="s">
        <v>258</v>
      </c>
      <c r="AQ348" s="18" t="s">
        <v>386</v>
      </c>
      <c r="AR348" s="18" t="s">
        <v>260</v>
      </c>
      <c r="AS348" s="10"/>
      <c r="AT348" s="10"/>
      <c r="AU348" s="10"/>
      <c r="AV348" s="10"/>
      <c r="AW348" s="10"/>
      <c r="AX348" s="1"/>
      <c r="AY348" s="1" t="s">
        <v>258</v>
      </c>
      <c r="AZ348" s="1"/>
      <c r="BA348" s="1"/>
      <c r="BB348" s="1"/>
      <c r="BC348" s="70">
        <v>45133</v>
      </c>
      <c r="BD348" s="115">
        <v>45060</v>
      </c>
      <c r="BE348" s="144">
        <v>45028</v>
      </c>
      <c r="BF348" s="2"/>
      <c r="BG348" s="2"/>
      <c r="BH348" s="2"/>
      <c r="BI348" s="2"/>
      <c r="BJ348" s="70">
        <v>45420</v>
      </c>
      <c r="BK348" s="2" t="s">
        <v>5242</v>
      </c>
      <c r="BL348" s="20">
        <f ca="1">SUM(EH348)+220</f>
        <v>3401.232125</v>
      </c>
      <c r="BM348" s="22">
        <f ca="1">PMT(10%/12,12,BL348,0,0)</f>
        <v>-299.02233994458589</v>
      </c>
      <c r="BN348" s="22">
        <f ca="1">SUM(BM348*-1)</f>
        <v>299.02233994458589</v>
      </c>
      <c r="BO348" s="14">
        <f>SUM(EP348*0.0052)/12</f>
        <v>38.783333333333331</v>
      </c>
      <c r="BP348" s="22">
        <f ca="1">SUM(BN348+BO348)</f>
        <v>337.80567327791925</v>
      </c>
      <c r="BQ348" s="14"/>
      <c r="BR348" s="14">
        <f>SUM(BQ348*0.1)</f>
        <v>0</v>
      </c>
      <c r="BS348" s="14">
        <f ca="1">SUM(BT348*BU348)</f>
        <v>0</v>
      </c>
      <c r="BT348" s="17">
        <f>SUM((BQ348+BR348)*0.00833333333333333)</f>
        <v>0</v>
      </c>
      <c r="BU348" s="23">
        <f ca="1">MONTH(TODAY())+49</f>
        <v>53</v>
      </c>
      <c r="BV348" s="14">
        <f ca="1">SUM(BQ348,BR348,BS348)</f>
        <v>0</v>
      </c>
      <c r="BW348" s="14">
        <v>0</v>
      </c>
      <c r="BX348" s="14">
        <f>SUM(BW348*0.1)</f>
        <v>0</v>
      </c>
      <c r="BY348" s="14">
        <f ca="1">SUM(BZ348*CA348)</f>
        <v>0</v>
      </c>
      <c r="BZ348" s="17">
        <f>SUM((BW348+BX348)*0.00833333333333333)</f>
        <v>0</v>
      </c>
      <c r="CA348" s="23">
        <f ca="1">MONTH(TODAY())+37</f>
        <v>41</v>
      </c>
      <c r="CB348" s="14">
        <f ca="1">SUM(BW348,BX348,BY348)</f>
        <v>0</v>
      </c>
      <c r="CC348" s="14">
        <v>260.19</v>
      </c>
      <c r="CD348" s="14">
        <f>SUM(CC348*0.1)</f>
        <v>26.019000000000002</v>
      </c>
      <c r="CE348" s="14">
        <f>SUM(CF348*CG348)</f>
        <v>71.552249999999972</v>
      </c>
      <c r="CF348" s="17">
        <f>SUM((CC348+CD348)*0.00833333333333333)</f>
        <v>2.3850749999999992</v>
      </c>
      <c r="CG348" s="23">
        <v>30</v>
      </c>
      <c r="CH348" s="14">
        <f>SUM(CC348,CD348,CE348)</f>
        <v>357.76124999999996</v>
      </c>
      <c r="CI348" s="14">
        <f>SUM(EM348*0.0052)/2</f>
        <v>184.85999999999999</v>
      </c>
      <c r="CJ348" s="14">
        <f>SUM(CI348*0.1)</f>
        <v>18.486000000000001</v>
      </c>
      <c r="CK348" s="14">
        <f>SUM(CL348*CM348)</f>
        <v>37.280099999999983</v>
      </c>
      <c r="CL348" s="17">
        <f>SUM((CI348+CJ348)*0.00833333333333333)</f>
        <v>1.6945499999999991</v>
      </c>
      <c r="CM348" s="23">
        <v>22</v>
      </c>
      <c r="CN348" s="23">
        <f>SUM(CI348,CJ348,CK348)</f>
        <v>240.62609999999995</v>
      </c>
      <c r="CO348" s="14">
        <f>SUM(EM348*0.0052)/2</f>
        <v>184.85999999999999</v>
      </c>
      <c r="CP348" s="14">
        <f>SUM(CO348*0.1)</f>
        <v>18.486000000000001</v>
      </c>
      <c r="CQ348" s="14">
        <f>SUM(CR348*CS348)</f>
        <v>30.501899999999985</v>
      </c>
      <c r="CR348" s="17">
        <f>SUM((CO348+CP348)*0.00833333333333333)</f>
        <v>1.6945499999999991</v>
      </c>
      <c r="CS348" s="23">
        <v>18</v>
      </c>
      <c r="CT348" s="23">
        <f>SUM(CO348,CP348,CQ348)</f>
        <v>233.84789999999995</v>
      </c>
      <c r="CU348" s="14">
        <f>SUM(EP348*0.0045)/2</f>
        <v>201.37499999999997</v>
      </c>
      <c r="CV348" s="14">
        <f>SUM(CU348*0.1)</f>
        <v>20.137499999999999</v>
      </c>
      <c r="CW348" s="14">
        <f>SUM(CX348*CY348)</f>
        <v>22.151249999999987</v>
      </c>
      <c r="CX348" s="17">
        <f>SUM((CU348+CV348)*0.00833333333333333)</f>
        <v>1.8459374999999989</v>
      </c>
      <c r="CY348" s="23">
        <v>12</v>
      </c>
      <c r="CZ348" s="23">
        <f>SUM(CU348,CV348,CW348)</f>
        <v>243.66374999999994</v>
      </c>
      <c r="DA348" s="14">
        <f>SUM(EP348*0.0045)/2</f>
        <v>201.37499999999997</v>
      </c>
      <c r="DB348" s="14">
        <f>SUM(DA348*0.1)</f>
        <v>20.137499999999999</v>
      </c>
      <c r="DC348" s="14">
        <f>SUM(DD348*DE348)</f>
        <v>11.075624999999993</v>
      </c>
      <c r="DD348" s="17">
        <f>SUM((DA348+DB348)*0.00833333333333333)</f>
        <v>1.8459374999999989</v>
      </c>
      <c r="DE348" s="23">
        <v>6</v>
      </c>
      <c r="DF348" s="14">
        <f>SUM(DA348,DB348,DC348)</f>
        <v>232.58812499999996</v>
      </c>
      <c r="DG348" s="14">
        <f>SUM(EP348*0.0045)/2</f>
        <v>201.37499999999997</v>
      </c>
      <c r="DH348" s="14">
        <f>0</f>
        <v>0</v>
      </c>
      <c r="DI348" s="14">
        <f>0</f>
        <v>0</v>
      </c>
      <c r="DJ348" s="17">
        <f>SUM((DG348+DH348)*0.00833333333333333)</f>
        <v>1.678124999999999</v>
      </c>
      <c r="DK348" s="23">
        <f ca="1">MONTH(TODAY())+7</f>
        <v>11</v>
      </c>
      <c r="DL348" s="23">
        <f>SUM(DG348,DH348,DI348)</f>
        <v>201.37499999999997</v>
      </c>
      <c r="DM348" s="14">
        <f>0</f>
        <v>0</v>
      </c>
      <c r="DN348" s="14">
        <f>0</f>
        <v>0</v>
      </c>
      <c r="DO348" s="14">
        <f ca="1">SUM(DP348*DQ348)</f>
        <v>0</v>
      </c>
      <c r="DP348" s="17">
        <f>SUM((DM348+DN348)*0.00833333333333333)</f>
        <v>0</v>
      </c>
      <c r="DQ348" s="23">
        <f ca="1">MONTH(TODAY())+1</f>
        <v>5</v>
      </c>
      <c r="DR348" s="14">
        <f ca="1">SUM(DM348,DN348,DO348)</f>
        <v>0</v>
      </c>
      <c r="DS348" s="14">
        <f>SUM(BQ348, BW348, CC348, CI348,CO348,CU348,DA348,DG348,DM348)</f>
        <v>1234.0349999999999</v>
      </c>
      <c r="DT348" s="14">
        <f>SUM(BR348,BX348,CD348, CJ348,CP348,CV348,DB348,DH348,DN348)</f>
        <v>103.26600000000001</v>
      </c>
      <c r="DU348" s="14">
        <f ca="1">SUM(BS348,BY348,CE348, CK348,CQ348,CW348,DC348,DI348,DO348)</f>
        <v>172.56112499999992</v>
      </c>
      <c r="DV348" s="25">
        <f ca="1">SUM(DS348:DU348)</f>
        <v>1509.8621249999999</v>
      </c>
      <c r="DW348" s="47">
        <f ca="1">SUM(DV348/EM348)</f>
        <v>2.1235754219409281E-2</v>
      </c>
      <c r="DX348" s="14">
        <f>20+200+200+60+40+40+60+160+60+60+40+40+60+40</f>
        <v>1080</v>
      </c>
      <c r="DY348" s="32">
        <f>COUNTIF(AO348, "*")+COUNTIF(AJ348, "*")+COUNTIF(AA348, "*")+COUNTIF(FA348, "*")+COUNTIF(FG348, "*")+COUNTIF(FM348, "*")+COUNTIF(FQ348, "*")+COUNTIF(FX348, "*")+COUNTIF(AT348, "*")+COUNTIF(GG348, "*")+COUNTIF(GR348, "*")+COUNTIF(HC348, "*")+COUNTIF(HK348, "*")+COUNTIF(HS348, "*")+COUNTIF(IA348, "*")</f>
        <v>8</v>
      </c>
      <c r="DZ348" s="14">
        <f>1.2+DY348*7.45+7.81</f>
        <v>68.61</v>
      </c>
      <c r="EA348" s="4">
        <v>336</v>
      </c>
      <c r="EB348" s="4">
        <v>36.76</v>
      </c>
      <c r="EC348" s="4"/>
      <c r="ED348" s="4"/>
      <c r="EF348" s="4">
        <v>150</v>
      </c>
      <c r="EG348" s="14">
        <f>SUM(EB348:EF348)</f>
        <v>186.76</v>
      </c>
      <c r="EH348" s="14">
        <f ca="1">SUM(DV348,DX348,EG348, EA348, DZ348,GD348)</f>
        <v>3181.232125</v>
      </c>
      <c r="EI348" s="24" t="s">
        <v>4949</v>
      </c>
      <c r="EJ348" s="23">
        <v>0.6</v>
      </c>
      <c r="EK348" s="14">
        <v>14400</v>
      </c>
      <c r="EL348" s="14">
        <v>56700</v>
      </c>
      <c r="EM348" s="14">
        <f>SUM(EK348+EL348)</f>
        <v>71100</v>
      </c>
      <c r="EN348" s="14">
        <v>25200</v>
      </c>
      <c r="EO348" s="14">
        <v>64300</v>
      </c>
      <c r="EP348" s="14">
        <f>SUM(EN348+EO348)</f>
        <v>89500</v>
      </c>
      <c r="EQ348" s="141" t="s">
        <v>4625</v>
      </c>
      <c r="ER348" s="141" t="s">
        <v>4626</v>
      </c>
      <c r="ES348" s="141" t="s">
        <v>4627</v>
      </c>
      <c r="ET348" s="10" t="s">
        <v>4628</v>
      </c>
      <c r="EU348" s="10"/>
      <c r="EV348" s="10"/>
      <c r="EW348" s="10"/>
      <c r="EX348" s="10"/>
      <c r="EY348" t="s">
        <v>4620</v>
      </c>
      <c r="FA348" t="s">
        <v>4122</v>
      </c>
      <c r="FC348" t="s">
        <v>386</v>
      </c>
      <c r="FD348" t="s">
        <v>260</v>
      </c>
      <c r="FE348" t="s">
        <v>4618</v>
      </c>
      <c r="FG348" t="s">
        <v>4621</v>
      </c>
      <c r="FI348" t="s">
        <v>386</v>
      </c>
      <c r="FJ348" t="s">
        <v>260</v>
      </c>
      <c r="FK348" t="s">
        <v>4619</v>
      </c>
      <c r="FM348" t="s">
        <v>4622</v>
      </c>
      <c r="FN348" t="s">
        <v>349</v>
      </c>
      <c r="FO348" t="s">
        <v>260</v>
      </c>
      <c r="FP348" t="s">
        <v>4617</v>
      </c>
      <c r="FQ348" t="s">
        <v>4623</v>
      </c>
      <c r="FS348" t="s">
        <v>4624</v>
      </c>
      <c r="GD348" s="4"/>
      <c r="GE348" t="s">
        <v>297</v>
      </c>
      <c r="GF348" t="s">
        <v>4629</v>
      </c>
      <c r="GG348" t="s">
        <v>553</v>
      </c>
      <c r="GI348" t="s">
        <v>300</v>
      </c>
      <c r="GJ348" t="s">
        <v>301</v>
      </c>
      <c r="GK348" s="9">
        <v>39524</v>
      </c>
      <c r="GL348" t="s">
        <v>4630</v>
      </c>
      <c r="GP348" t="s">
        <v>4631</v>
      </c>
      <c r="GQ348" t="s">
        <v>4632</v>
      </c>
      <c r="GR348" t="s">
        <v>4633</v>
      </c>
      <c r="GT348" t="s">
        <v>3476</v>
      </c>
      <c r="GU348" t="s">
        <v>496</v>
      </c>
      <c r="GV348" s="9">
        <v>43073</v>
      </c>
      <c r="GW348" t="s">
        <v>4637</v>
      </c>
      <c r="HA348" t="s">
        <v>439</v>
      </c>
      <c r="HB348" t="s">
        <v>3638</v>
      </c>
      <c r="HC348" t="s">
        <v>298</v>
      </c>
      <c r="HD348" t="s">
        <v>440</v>
      </c>
      <c r="HE348" t="s">
        <v>274</v>
      </c>
      <c r="HF348" t="s">
        <v>275</v>
      </c>
      <c r="HG348" s="9">
        <v>39024</v>
      </c>
      <c r="HH348" t="s">
        <v>5592</v>
      </c>
      <c r="IE348" s="9"/>
      <c r="IN348" s="4"/>
      <c r="IO348" s="4"/>
      <c r="IP348" s="4"/>
      <c r="IQ348" s="9"/>
      <c r="IR348" s="9"/>
      <c r="IS348" s="9"/>
      <c r="IT348" s="9"/>
      <c r="IU348" s="9"/>
    </row>
    <row r="349" spans="1:263" ht="15" customHeight="1">
      <c r="A349" s="19">
        <v>102017092</v>
      </c>
      <c r="B349" s="18" t="s">
        <v>1042</v>
      </c>
      <c r="C349" s="18"/>
      <c r="D349" s="18"/>
      <c r="E349" s="18"/>
      <c r="F349" s="18"/>
      <c r="G349">
        <v>180001389</v>
      </c>
      <c r="I349" s="18"/>
      <c r="K349" s="18" t="s">
        <v>1043</v>
      </c>
      <c r="L349" s="18"/>
      <c r="M349" s="18"/>
      <c r="N349" s="13"/>
      <c r="O349" s="18"/>
      <c r="P349" s="18"/>
      <c r="Q349" s="18"/>
      <c r="R349" s="18"/>
      <c r="S349" s="13"/>
      <c r="T349" s="18"/>
      <c r="U349" s="18"/>
      <c r="AE349" s="1"/>
      <c r="AG349"/>
      <c r="AH349" s="3"/>
      <c r="AJ349" s="4"/>
      <c r="AK349" s="18"/>
      <c r="AL349" s="4"/>
      <c r="AM349" s="34"/>
      <c r="AP349" s="13"/>
      <c r="AQ349" s="34"/>
      <c r="AR349" s="34"/>
      <c r="AS349" s="13"/>
      <c r="AT349" s="13"/>
      <c r="AU349" s="1"/>
      <c r="AV349" s="1"/>
      <c r="AW349" s="1"/>
      <c r="AX349" s="15"/>
      <c r="AY349" s="15"/>
      <c r="AZ349" s="15"/>
      <c r="BA349" s="15"/>
      <c r="BB349" s="1"/>
      <c r="BC349" s="15"/>
      <c r="BD349" s="15"/>
      <c r="BE349" s="15"/>
      <c r="BF349" s="15"/>
      <c r="BG349" s="5"/>
      <c r="BH349" s="16"/>
      <c r="BI349" s="16"/>
      <c r="BK349" s="4"/>
      <c r="BL349" s="4"/>
      <c r="BM349" s="6"/>
      <c r="BN349" s="7"/>
      <c r="BO349" s="4"/>
      <c r="BQ349" s="4"/>
      <c r="BR349" s="4"/>
      <c r="BS349" s="6"/>
      <c r="BT349" s="7"/>
      <c r="BU349" s="4"/>
      <c r="BV349" s="4"/>
      <c r="BW349" s="4"/>
      <c r="BX349" s="4"/>
      <c r="BY349" s="6"/>
      <c r="BZ349" s="7"/>
      <c r="CA349" s="4"/>
      <c r="CC349" s="4"/>
      <c r="CD349" s="4"/>
      <c r="CE349" s="6"/>
      <c r="CF349" s="7"/>
      <c r="CG349" s="4"/>
      <c r="CH349" s="4"/>
      <c r="CI349" s="4"/>
      <c r="CJ349" s="4"/>
      <c r="CK349" s="6"/>
      <c r="CL349" s="7"/>
      <c r="CM349" s="4"/>
      <c r="CN349" s="4"/>
      <c r="CO349" s="4"/>
      <c r="CP349" s="4"/>
      <c r="CQ349" s="6"/>
      <c r="CR349" s="7"/>
      <c r="CS349" s="4"/>
      <c r="CT349" s="4"/>
      <c r="CU349" s="4"/>
      <c r="CV349" s="4"/>
      <c r="CW349" s="6"/>
      <c r="CX349" s="7"/>
      <c r="CY349" s="4"/>
      <c r="CZ349" s="4"/>
      <c r="DA349" s="4"/>
      <c r="DB349" s="4"/>
      <c r="DC349" s="6"/>
      <c r="DD349" s="7"/>
      <c r="DE349" s="4"/>
      <c r="DF349" s="4"/>
      <c r="DG349" s="4"/>
      <c r="DH349" s="4"/>
      <c r="DI349" s="6"/>
      <c r="DJ349" s="7"/>
      <c r="DK349" s="4"/>
      <c r="DL349" s="4"/>
      <c r="DM349" s="4"/>
      <c r="DN349" s="4"/>
      <c r="DO349" s="4"/>
      <c r="DP349" s="4"/>
      <c r="DQ349" s="3"/>
      <c r="DR349" s="4"/>
      <c r="DS349" s="4"/>
      <c r="DT349" s="4"/>
      <c r="DU349" s="4"/>
      <c r="DV349" s="4"/>
      <c r="DW349" s="4"/>
      <c r="DX349" s="4"/>
      <c r="DY349" s="4"/>
      <c r="DZ349" s="4"/>
      <c r="EA349" s="4"/>
      <c r="EB349" s="4"/>
      <c r="EC349" s="4"/>
      <c r="ED349" s="4"/>
      <c r="FL349" s="9"/>
      <c r="FM349" s="10"/>
      <c r="FT349" s="10"/>
      <c r="FU349" s="9"/>
      <c r="GG349" s="9"/>
      <c r="IP349" s="4"/>
    </row>
    <row r="350" spans="1:263" ht="15" customHeight="1">
      <c r="A350" s="19">
        <v>102023082</v>
      </c>
      <c r="B350" s="18" t="s">
        <v>4136</v>
      </c>
      <c r="D350" s="1"/>
      <c r="E350" s="3"/>
      <c r="F350" s="3"/>
      <c r="J350" s="18" t="s">
        <v>253</v>
      </c>
      <c r="K350" s="18" t="s">
        <v>2954</v>
      </c>
      <c r="L350" s="130" t="s">
        <v>502</v>
      </c>
      <c r="M350" s="130" t="s">
        <v>537</v>
      </c>
      <c r="N350" s="18"/>
      <c r="O350" s="252"/>
      <c r="P350" s="130"/>
      <c r="Q350" s="130"/>
      <c r="R350" s="130"/>
      <c r="S350" s="130"/>
      <c r="AG350" s="43"/>
      <c r="AJ350" s="18" t="s">
        <v>328</v>
      </c>
      <c r="AK350" s="18"/>
      <c r="AL350" s="18" t="s">
        <v>386</v>
      </c>
      <c r="AM350" s="18"/>
      <c r="AN350" s="18"/>
      <c r="AO350" s="18" t="s">
        <v>4135</v>
      </c>
      <c r="AP350" s="18" t="s">
        <v>258</v>
      </c>
      <c r="AQ350" s="18" t="s">
        <v>386</v>
      </c>
      <c r="AR350" s="18" t="s">
        <v>260</v>
      </c>
      <c r="AX350" s="1"/>
      <c r="AY350" s="1"/>
      <c r="AZ350" s="1"/>
      <c r="BA350" s="1"/>
      <c r="BB350" s="1"/>
      <c r="BC350" s="2"/>
      <c r="BD350" s="116"/>
      <c r="BE350" s="115"/>
      <c r="BF350" s="2"/>
      <c r="BG350" s="2"/>
      <c r="BH350" s="2"/>
      <c r="BI350" s="2"/>
      <c r="BJ350" s="2"/>
      <c r="BK350" s="2"/>
      <c r="BL350" s="20">
        <f>SUM(DP350)+220</f>
        <v>241.45987500000001</v>
      </c>
      <c r="BM350" s="22">
        <f>PMT(10%/12,12,BL350,0,0)</f>
        <v>-21.228159141072211</v>
      </c>
      <c r="BN350" s="22">
        <f>SUM(BM350*-1)</f>
        <v>21.228159141072211</v>
      </c>
      <c r="BO350" s="14">
        <f>SUM(DX350*0.0052)/12</f>
        <v>14.776666666666666</v>
      </c>
      <c r="BP350" s="22">
        <f>SUM(BN350+BO350)</f>
        <v>36.004825807738875</v>
      </c>
      <c r="BQ350" s="14"/>
      <c r="BR350" s="14">
        <f>SUM(BQ350*0.1)</f>
        <v>0</v>
      </c>
      <c r="BS350" s="14">
        <f ca="1">SUM(BT350*BU350)</f>
        <v>0</v>
      </c>
      <c r="BT350" s="17">
        <f>SUM((BQ350+BR350)*0.00833333333333333)</f>
        <v>0</v>
      </c>
      <c r="BU350" s="23">
        <f ca="1">MONTH(TODAY())+49</f>
        <v>53</v>
      </c>
      <c r="BV350" s="14">
        <f ca="1">SUM(BQ350,BR350,BS350)</f>
        <v>0</v>
      </c>
      <c r="BW350" s="14"/>
      <c r="BX350" s="14">
        <f>SUM(BW350*0.1)</f>
        <v>0</v>
      </c>
      <c r="BY350" s="14">
        <f ca="1">SUM(BZ350*CA350)</f>
        <v>0</v>
      </c>
      <c r="BZ350" s="17">
        <f>SUM((BW350+BX350)*0.00833333333333333)</f>
        <v>0</v>
      </c>
      <c r="CA350" s="23">
        <f ca="1">MONTH(TODAY())+37</f>
        <v>41</v>
      </c>
      <c r="CB350" s="14">
        <f ca="1">SUM(BW350,BX350,BY350)</f>
        <v>0</v>
      </c>
      <c r="CC350" s="14">
        <v>0</v>
      </c>
      <c r="CD350" s="14">
        <f>SUM(CC350*0.1)</f>
        <v>0</v>
      </c>
      <c r="CE350" s="14">
        <f ca="1">SUM(CF350*CG350)</f>
        <v>0</v>
      </c>
      <c r="CF350" s="17">
        <f>SUM((CC350+CD350)*0.00833333333333333)</f>
        <v>0</v>
      </c>
      <c r="CG350" s="23">
        <f ca="1">MONTH(TODAY())+25</f>
        <v>29</v>
      </c>
      <c r="CH350" s="14">
        <f ca="1">SUM(CC350,CD350,CE350)</f>
        <v>0</v>
      </c>
      <c r="CI350" s="14">
        <f>SUM(DU350*0.0052)</f>
        <v>145.07999999999998</v>
      </c>
      <c r="CJ350" s="14">
        <f>SUM(CI350*0.1)</f>
        <v>14.507999999999999</v>
      </c>
      <c r="CK350" s="14">
        <f ca="1">SUM(CL350*CM350)</f>
        <v>22.608299999999989</v>
      </c>
      <c r="CL350" s="17">
        <f>SUM((CI350+CJ350)*0.00833333333333333)</f>
        <v>1.3298999999999994</v>
      </c>
      <c r="CM350" s="23">
        <f ca="1">MONTH(TODAY())+13</f>
        <v>17</v>
      </c>
      <c r="CN350" s="14">
        <f ca="1">SUM(CI350,CJ350,CK350)</f>
        <v>182.19629999999998</v>
      </c>
      <c r="CO350" s="14">
        <f>SUM(DU350*0.0052)/2</f>
        <v>72.539999999999992</v>
      </c>
      <c r="CP350" s="14">
        <f>SUM(CO350*0.1)</f>
        <v>7.2539999999999996</v>
      </c>
      <c r="CQ350" s="14">
        <f ca="1">SUM(CR350*CS350)</f>
        <v>5.9845499999999969</v>
      </c>
      <c r="CR350" s="17">
        <f>SUM((CO350+CP350)*0.00833333333333333)</f>
        <v>0.66494999999999971</v>
      </c>
      <c r="CS350" s="23">
        <f ca="1">MONTH(TODAY())+5</f>
        <v>9</v>
      </c>
      <c r="CT350" s="23">
        <f ca="1">SUM(CO350,CP350,CQ350)</f>
        <v>85.778549999999996</v>
      </c>
      <c r="CU350" s="14">
        <f>SUM(DU350*0.0052)/2</f>
        <v>72.539999999999992</v>
      </c>
      <c r="CV350" s="14">
        <f>SUM(CU350*0.1)</f>
        <v>7.2539999999999996</v>
      </c>
      <c r="CW350" s="14">
        <f ca="1">SUM(CX350*CY350)</f>
        <v>3.3247499999999985</v>
      </c>
      <c r="CX350" s="17">
        <f>SUM((CU350+CV350)*0.00833333333333333)</f>
        <v>0.66494999999999971</v>
      </c>
      <c r="CY350" s="23">
        <f ca="1">MONTH(TODAY())+1</f>
        <v>5</v>
      </c>
      <c r="CZ350" s="23">
        <f ca="1">SUM(CU350,CV350,CW350)</f>
        <v>83.118749999999991</v>
      </c>
      <c r="DA350" s="14">
        <f>SUM( BQ350, BW350, CC350, CI350, CO350,CU350)</f>
        <v>290.15999999999997</v>
      </c>
      <c r="DB350" s="14">
        <f>SUM(BR350,BX350,CD350,CJ350, CP350,CV350)</f>
        <v>29.015999999999998</v>
      </c>
      <c r="DC350" s="14">
        <f ca="1">SUM(BS350,BY350,CE350,CK350, CQ350,CW350)</f>
        <v>31.917599999999982</v>
      </c>
      <c r="DD350" s="25">
        <f ca="1">SUM(DA350:DC350)</f>
        <v>351.09359999999998</v>
      </c>
      <c r="DE350" s="47">
        <f>SUM(Paid!DD679/DU350)</f>
        <v>9.3145161290322532E-6</v>
      </c>
      <c r="DF350" s="14">
        <v>20</v>
      </c>
      <c r="DG350" s="32">
        <f>COUNTIF(DL350, "*")+COUNTIF(AO350, "*")+COUNTIF(AJ350, "*")+COUNTIF(AA350, "*")+COUNTIF(EM350, "*")+COUNTIF(ES350, "*")+COUNTIF(EY350, "*")+COUNTIF(FC350, "*")+COUNTIF(FJ350, "*")+COUNTIF(AT350, "*")+COUNTIF(FS350, "*")+COUNTIF(GD350, "*")+COUNTIF(GO350, "*")+COUNTIF(GW350, "*")+COUNTIF(HE350, "*")+COUNTIF(HM350, "*")+COUNTIF(HU350, "*")</f>
        <v>2</v>
      </c>
      <c r="DH350" s="14">
        <f>DG350*0.6</f>
        <v>1.2</v>
      </c>
      <c r="DI350" s="4"/>
      <c r="DJ350" s="4"/>
      <c r="DK350" s="4"/>
      <c r="DL350" s="4"/>
      <c r="DN350" s="4"/>
      <c r="DO350" s="14">
        <f>SUM(DJ350:DN350)</f>
        <v>0</v>
      </c>
      <c r="DP350" s="14">
        <f>SUM(Paid!DD679,DF350,DO350, DI350, DH350,FP350)</f>
        <v>21.459875</v>
      </c>
      <c r="DQ350" s="24" t="s">
        <v>3879</v>
      </c>
      <c r="DR350" s="130">
        <v>7.75</v>
      </c>
      <c r="DS350" s="14">
        <v>27900</v>
      </c>
      <c r="DT350" s="14">
        <v>0</v>
      </c>
      <c r="DU350" s="14">
        <v>27900</v>
      </c>
      <c r="DV350" s="14">
        <v>34100</v>
      </c>
      <c r="DW350" s="14">
        <v>0</v>
      </c>
      <c r="DX350" s="14">
        <f>SUM(DV350+DW350)</f>
        <v>34100</v>
      </c>
      <c r="IA350" s="9"/>
      <c r="IL350" s="14">
        <f>SUM(IB350-DP350-FP350-IJ350)</f>
        <v>-21.459875</v>
      </c>
      <c r="IM350" s="9"/>
      <c r="IN350" s="9"/>
      <c r="IO350" s="9"/>
      <c r="IP350" s="9"/>
      <c r="IQ350" s="9"/>
    </row>
    <row r="351" spans="1:263" ht="15" customHeight="1">
      <c r="A351" s="19">
        <v>102022159</v>
      </c>
      <c r="B351" t="s">
        <v>2889</v>
      </c>
      <c r="D351" s="1"/>
      <c r="J351" t="s">
        <v>311</v>
      </c>
      <c r="K351" t="s">
        <v>3185</v>
      </c>
      <c r="L351" t="s">
        <v>1156</v>
      </c>
      <c r="M351" t="s">
        <v>326</v>
      </c>
      <c r="AJ351" t="s">
        <v>3188</v>
      </c>
      <c r="AK351" t="s">
        <v>258</v>
      </c>
      <c r="AL351" t="s">
        <v>386</v>
      </c>
      <c r="AM351" t="s">
        <v>260</v>
      </c>
      <c r="AN351"/>
      <c r="AO351" s="3" t="s">
        <v>3186</v>
      </c>
      <c r="AP351" s="3" t="s">
        <v>258</v>
      </c>
      <c r="AQ351" s="3" t="s">
        <v>3187</v>
      </c>
      <c r="AR351"/>
      <c r="AT351" s="1"/>
      <c r="AU351" s="1"/>
      <c r="AV351" s="1"/>
      <c r="AW351" s="1"/>
      <c r="AX351" s="2"/>
      <c r="AY351" s="116"/>
      <c r="AZ351" s="115"/>
      <c r="BA351" s="2"/>
      <c r="BB351" s="2"/>
      <c r="BC351" s="2"/>
      <c r="BD351" s="2"/>
      <c r="BE351" s="2"/>
      <c r="BF351" s="2"/>
      <c r="BG351" s="20"/>
      <c r="BH351" s="22"/>
      <c r="BI351" s="22"/>
      <c r="BJ351" s="14"/>
      <c r="BK351" s="22"/>
      <c r="BL351" s="14"/>
      <c r="BM351" s="14"/>
      <c r="BN351" s="14"/>
      <c r="BO351" s="17"/>
      <c r="BP351" s="23"/>
      <c r="BQ351" s="14"/>
      <c r="BR351" s="14"/>
      <c r="BS351" s="14"/>
      <c r="BT351" s="14"/>
      <c r="BU351" s="17"/>
      <c r="BV351" s="23"/>
      <c r="BW351" s="14"/>
      <c r="BX351" s="14"/>
      <c r="BY351" s="14"/>
      <c r="BZ351" s="14"/>
      <c r="CA351" s="17"/>
      <c r="CB351" s="23"/>
      <c r="CC351" s="14"/>
      <c r="CD351" s="14"/>
      <c r="CE351" s="14"/>
      <c r="CF351" s="14"/>
      <c r="CG351" s="17"/>
      <c r="CH351" s="23"/>
      <c r="CI351" s="14"/>
      <c r="CJ351" s="14"/>
      <c r="CK351" s="14"/>
      <c r="CL351" s="14"/>
      <c r="CM351" s="17"/>
      <c r="CN351" s="23"/>
      <c r="CO351" s="14"/>
      <c r="CP351" s="14"/>
      <c r="CQ351" s="14"/>
      <c r="CR351" s="14"/>
      <c r="CS351" s="14"/>
      <c r="CT351" s="47"/>
      <c r="CU351" s="14"/>
      <c r="CV351" s="32"/>
      <c r="CW351" s="14"/>
      <c r="CX351" s="4"/>
      <c r="CY351" s="14"/>
      <c r="CZ351" s="4"/>
      <c r="DE351" s="14"/>
      <c r="DF351" s="24"/>
      <c r="DG351" s="4"/>
      <c r="DH351" s="4"/>
      <c r="DI351" s="25"/>
      <c r="DJ351" s="35">
        <v>8.5540000000000003</v>
      </c>
      <c r="IC351" s="4"/>
      <c r="IZ351" s="243"/>
      <c r="JA351" s="243"/>
      <c r="JB351" s="243"/>
      <c r="JC351" s="243"/>
    </row>
    <row r="352" spans="1:263" ht="15" customHeight="1">
      <c r="A352" s="19">
        <v>102023143</v>
      </c>
      <c r="B352" s="18" t="s">
        <v>4348</v>
      </c>
      <c r="D352" s="1"/>
      <c r="E352" t="s">
        <v>4923</v>
      </c>
      <c r="F352">
        <v>230002973</v>
      </c>
      <c r="G352" s="3"/>
      <c r="K352" s="18" t="s">
        <v>4660</v>
      </c>
      <c r="L352" s="18"/>
      <c r="M352" s="18"/>
      <c r="N352" s="18"/>
      <c r="O352" s="19"/>
      <c r="P352" s="18"/>
      <c r="Q352" s="18"/>
      <c r="R352" s="18"/>
      <c r="S352" s="18"/>
      <c r="AG352" s="43"/>
      <c r="AJ352" s="18"/>
      <c r="AM352"/>
      <c r="AN352"/>
      <c r="AO352" s="18" t="s">
        <v>4513</v>
      </c>
      <c r="AP352" s="3" t="s">
        <v>258</v>
      </c>
      <c r="AQ352" s="18" t="s">
        <v>386</v>
      </c>
      <c r="AR352" t="s">
        <v>260</v>
      </c>
      <c r="AX352" s="1"/>
      <c r="AY352" s="1"/>
      <c r="AZ352" s="1" t="s">
        <v>258</v>
      </c>
      <c r="BA352" s="1" t="s">
        <v>258</v>
      </c>
      <c r="BB352" s="1" t="s">
        <v>258</v>
      </c>
      <c r="BC352" s="9">
        <v>45093</v>
      </c>
      <c r="BD352" s="115">
        <v>45060</v>
      </c>
      <c r="BE352" s="115">
        <v>45033</v>
      </c>
      <c r="BF352" s="70">
        <v>45156</v>
      </c>
      <c r="BG352" t="s">
        <v>4902</v>
      </c>
      <c r="BH352" s="9">
        <v>45142</v>
      </c>
      <c r="BI352" s="9">
        <v>45149</v>
      </c>
      <c r="BJ352" s="70">
        <v>45177</v>
      </c>
      <c r="BK352" s="2" t="s">
        <v>319</v>
      </c>
      <c r="BL352" s="20">
        <f ca="1">SUM(EB352)+220</f>
        <v>2731.3819125</v>
      </c>
      <c r="BM352" s="22">
        <f ca="1">PMT(10%/12,12,BL352,0,0)</f>
        <v>-240.13186420143793</v>
      </c>
      <c r="BN352" s="22">
        <f ca="1">SUM(BM352*-1)</f>
        <v>240.13186420143793</v>
      </c>
      <c r="BO352" s="14">
        <f>SUM(EJ352*0.0052)/12</f>
        <v>16.076666666666664</v>
      </c>
      <c r="BP352" s="22">
        <f ca="1">SUM(BN352+BO352)</f>
        <v>256.20853086810462</v>
      </c>
      <c r="BQ352" s="14"/>
      <c r="BR352" s="14">
        <f>SUM(BQ352*0.1)</f>
        <v>0</v>
      </c>
      <c r="BS352" s="14">
        <f ca="1">SUM(BT352*BU352)</f>
        <v>0</v>
      </c>
      <c r="BT352" s="17">
        <f>SUM((BQ352+BR352)*0.00833333333333333)</f>
        <v>0</v>
      </c>
      <c r="BU352" s="23">
        <f ca="1">MONTH(TODAY())+49</f>
        <v>53</v>
      </c>
      <c r="BV352" s="14">
        <f ca="1">SUM(BQ352,BR352,BS352)</f>
        <v>0</v>
      </c>
      <c r="BW352" s="14"/>
      <c r="BX352" s="14">
        <f>SUM(BW352*0.1)</f>
        <v>0</v>
      </c>
      <c r="BY352" s="14">
        <f ca="1">SUM(BZ352*CA352)</f>
        <v>0</v>
      </c>
      <c r="BZ352" s="17">
        <f>SUM((BW352+BX352)*0.00833333333333333)</f>
        <v>0</v>
      </c>
      <c r="CA352" s="23">
        <f ca="1">MONTH(TODAY())+37</f>
        <v>41</v>
      </c>
      <c r="CB352" s="14">
        <f ca="1">SUM(BW352,BX352,BY352)</f>
        <v>0</v>
      </c>
      <c r="CC352" s="14">
        <v>0</v>
      </c>
      <c r="CD352" s="14">
        <f>SUM(CC352*0.1)</f>
        <v>0</v>
      </c>
      <c r="CE352" s="14">
        <f ca="1">SUM(CF352*CG352)</f>
        <v>0</v>
      </c>
      <c r="CF352" s="17">
        <f>SUM((CC352+CD352)*0.00833333333333333)</f>
        <v>0</v>
      </c>
      <c r="CG352" s="23">
        <f ca="1">MONTH(TODAY())+25</f>
        <v>29</v>
      </c>
      <c r="CH352" s="14">
        <f ca="1">SUM(CC352,CD352,CE352)</f>
        <v>0</v>
      </c>
      <c r="CI352" s="14">
        <f>SUM(EG352*0.0052)</f>
        <v>178.88</v>
      </c>
      <c r="CJ352" s="14">
        <f>SUM(CI352*0.1)</f>
        <v>17.888000000000002</v>
      </c>
      <c r="CK352" s="14">
        <f ca="1">SUM(CL352*CM352)</f>
        <v>27.875466666666654</v>
      </c>
      <c r="CL352" s="17">
        <f>SUM((CI352+CJ352)*0.00833333333333333)</f>
        <v>1.6397333333333326</v>
      </c>
      <c r="CM352" s="23">
        <f ca="1">MONTH(TODAY())+13</f>
        <v>17</v>
      </c>
      <c r="CN352" s="14">
        <f ca="1">SUM(CI352,CJ352,CK352)</f>
        <v>224.64346666666665</v>
      </c>
      <c r="CO352" s="14">
        <f>SUM(EG352*0.0052)/2</f>
        <v>89.44</v>
      </c>
      <c r="CP352" s="14">
        <f>SUM(CO352*0.1)</f>
        <v>8.9440000000000008</v>
      </c>
      <c r="CQ352" s="14">
        <f ca="1">SUM(CR352*CS352)</f>
        <v>7.3787999999999965</v>
      </c>
      <c r="CR352" s="17">
        <f>SUM((CO352+CP352)*0.00833333333333333)</f>
        <v>0.8198666666666663</v>
      </c>
      <c r="CS352" s="23">
        <f ca="1">MONTH(TODAY())+5</f>
        <v>9</v>
      </c>
      <c r="CT352" s="23">
        <f ca="1">SUM(CO352,CP352,CQ352)</f>
        <v>105.7628</v>
      </c>
      <c r="CU352" s="14">
        <f>SUM(EG352*0.0052)/2</f>
        <v>89.44</v>
      </c>
      <c r="CV352" s="14">
        <f>SUM(CU352*0.1)</f>
        <v>8.9440000000000008</v>
      </c>
      <c r="CW352" s="14">
        <f ca="1">SUM(CX352*CY352)</f>
        <v>4.0993333333333313</v>
      </c>
      <c r="CX352" s="17">
        <f>SUM((CU352+CV352)*0.00833333333333333)</f>
        <v>0.8198666666666663</v>
      </c>
      <c r="CY352" s="23">
        <f ca="1">MONTH(TODAY())+1</f>
        <v>5</v>
      </c>
      <c r="CZ352" s="23">
        <f ca="1">SUM(CU352,CV352,CW352)</f>
        <v>102.48333333333333</v>
      </c>
      <c r="DA352" s="14">
        <f>SUM(EJ352*0.0045)/2</f>
        <v>83.474999999999994</v>
      </c>
      <c r="DB352" s="14">
        <f>SUM(DA352*0.1)</f>
        <v>8.3475000000000001</v>
      </c>
      <c r="DC352" s="14">
        <f ca="1">SUM(DD352*DE352)</f>
        <v>-0.76518749999999958</v>
      </c>
      <c r="DD352" s="17">
        <f>SUM((DA352+DB352)*0.00833333333333333)</f>
        <v>0.76518749999999958</v>
      </c>
      <c r="DE352" s="23">
        <f ca="1">MONTH(TODAY())-5</f>
        <v>-1</v>
      </c>
      <c r="DF352" s="23">
        <f ca="1">SUM(DA352,DB352,DC352)</f>
        <v>91.057312499999995</v>
      </c>
      <c r="DG352" s="14">
        <f>SUM(EJ352*0.0045)/2</f>
        <v>83.474999999999994</v>
      </c>
      <c r="DH352" s="14">
        <v>0</v>
      </c>
      <c r="DI352" s="14">
        <v>0</v>
      </c>
      <c r="DJ352" s="17">
        <f>SUM((DG352+DH352)*0.00833333333333333)</f>
        <v>0.6956249999999996</v>
      </c>
      <c r="DK352" s="23">
        <f ca="1">MONTH(TODAY())+1</f>
        <v>5</v>
      </c>
      <c r="DL352" s="23">
        <f>SUM(DG352,DH352,DI352)</f>
        <v>83.474999999999994</v>
      </c>
      <c r="DM352" s="14">
        <f>SUM( BQ352, BW352, CC352, CI352, CO352,CU352,DA352,DG352)</f>
        <v>524.71</v>
      </c>
      <c r="DN352" s="14">
        <f>SUM(BR352,BX352,CD352,CJ352, CP352,CV352,DB352,DH352)</f>
        <v>44.123500000000007</v>
      </c>
      <c r="DO352" s="14">
        <f ca="1">SUM(BS352,BY352,CE352,CK352, CQ352,CW352,DC352,DI352)</f>
        <v>38.58841249999999</v>
      </c>
      <c r="DP352" s="25">
        <f ca="1">SUM(DM352:DO352)</f>
        <v>607.42191250000008</v>
      </c>
      <c r="DQ352" s="47">
        <f ca="1">SUM(DP352/EG352)</f>
        <v>1.7657613735465118E-2</v>
      </c>
      <c r="DR352" s="14">
        <f>20+200+20+200+40+40+40</f>
        <v>560</v>
      </c>
      <c r="DS352" s="32">
        <f>COUNTIF(DX352, "*")+COUNTIF(AO352, "*")+COUNTIF(AJ352, "*")+COUNTIF(AA352, "*")+COUNTIF(EY352, "*")+COUNTIF(FE352, "*")+COUNTIF(FK352, "*")+COUNTIF(FO352, "*")+COUNTIF(FV352, "*")+COUNTIF(AT352, "*")+COUNTIF(GE352, "*")+COUNTIF(GP352, "*")+COUNTIF(HA352, "*")+COUNTIF(HI352, "*")+COUNTIF(HQ352, "*")+COUNTIF(HY352, "*")+COUNTIF(IG352, "*")</f>
        <v>1</v>
      </c>
      <c r="DT352" s="14">
        <f>0.6+DS352*7.45</f>
        <v>8.0500000000000007</v>
      </c>
      <c r="DU352" s="4">
        <v>250</v>
      </c>
      <c r="DV352" s="4">
        <f>36.76+795.4</f>
        <v>832.16</v>
      </c>
      <c r="DW352" s="4">
        <v>93.75</v>
      </c>
      <c r="DX352" s="4"/>
      <c r="DZ352" s="4">
        <v>160</v>
      </c>
      <c r="EA352" s="14">
        <f>SUM(DV352:DZ352)</f>
        <v>1085.9099999999999</v>
      </c>
      <c r="EB352" s="14">
        <f ca="1">SUM(DP352,DR352,EA352, DU352, DT352,GB352)</f>
        <v>2511.3819125</v>
      </c>
      <c r="EC352" s="24" t="s">
        <v>3879</v>
      </c>
      <c r="ED352" s="130">
        <v>1.6</v>
      </c>
      <c r="EE352" s="14">
        <v>21200</v>
      </c>
      <c r="EF352" s="14">
        <v>13200</v>
      </c>
      <c r="EG352" s="14">
        <v>34400</v>
      </c>
      <c r="EH352" s="14">
        <v>37100</v>
      </c>
      <c r="EI352" s="14">
        <v>0</v>
      </c>
      <c r="EJ352" s="14">
        <f>SUM(EH352+EI352)</f>
        <v>37100</v>
      </c>
      <c r="EK352" t="s">
        <v>5008</v>
      </c>
      <c r="EL352" t="s">
        <v>4661</v>
      </c>
      <c r="IM352" s="9"/>
      <c r="IX352" s="14">
        <f ca="1">SUM(IN352-EB352-GB352-IV352)</f>
        <v>-2511.3819125</v>
      </c>
      <c r="IY352" s="9"/>
      <c r="IZ352" s="9"/>
      <c r="JA352" s="9"/>
      <c r="JB352" s="9"/>
      <c r="JC352" s="9"/>
    </row>
    <row r="353" spans="1:268" ht="15" customHeight="1">
      <c r="A353" s="19">
        <v>102022107</v>
      </c>
      <c r="B353" t="s">
        <v>2849</v>
      </c>
      <c r="D353" s="1"/>
      <c r="E353" s="3"/>
      <c r="F353" s="3"/>
      <c r="J353" t="s">
        <v>311</v>
      </c>
      <c r="K353" t="s">
        <v>1186</v>
      </c>
      <c r="L353" t="s">
        <v>3083</v>
      </c>
      <c r="AG353" s="43"/>
      <c r="AJ353" t="s">
        <v>3105</v>
      </c>
      <c r="AK353" t="s">
        <v>258</v>
      </c>
      <c r="AL353" t="s">
        <v>386</v>
      </c>
      <c r="AM353" t="s">
        <v>260</v>
      </c>
      <c r="AN353"/>
      <c r="AO353" s="3" t="s">
        <v>773</v>
      </c>
      <c r="AP353" s="3" t="s">
        <v>258</v>
      </c>
      <c r="AQ353" t="s">
        <v>386</v>
      </c>
      <c r="AR353" t="s">
        <v>260</v>
      </c>
      <c r="AS353" s="1"/>
      <c r="AT353" s="1"/>
      <c r="AU353" s="1"/>
      <c r="AV353" s="1"/>
      <c r="AW353" s="1"/>
      <c r="AX353" s="2"/>
      <c r="AY353" s="116"/>
      <c r="AZ353" s="115"/>
      <c r="BA353" s="2"/>
      <c r="BB353" s="2"/>
      <c r="BC353" s="2"/>
      <c r="BD353" s="2"/>
      <c r="BE353" s="2"/>
      <c r="BF353" s="2"/>
      <c r="BG353" s="20">
        <f ca="1">SUM(CY353)+58.5+58.5</f>
        <v>875.58019999999999</v>
      </c>
      <c r="BH353" s="22">
        <f ca="1">PMT(10%/12,12,BG353,0,0)</f>
        <v>-76.977410124029234</v>
      </c>
      <c r="BI353" s="22">
        <f ca="1">SUM(BH353*-1)</f>
        <v>76.977410124029234</v>
      </c>
      <c r="BJ353" s="14">
        <f>SUM(DI353*0.0052)/12</f>
        <v>25.61</v>
      </c>
      <c r="BK353" s="22">
        <f ca="1">SUM(BI353+BJ353)</f>
        <v>102.58741012402923</v>
      </c>
      <c r="BL353" s="14"/>
      <c r="BM353" s="14">
        <f>SUM(BL353*0.1)</f>
        <v>0</v>
      </c>
      <c r="BN353" s="14">
        <f ca="1">SUM(BO353*BP353)</f>
        <v>0</v>
      </c>
      <c r="BO353" s="17">
        <f>SUM((BL353+BM353)*0.00833333333333333)</f>
        <v>0</v>
      </c>
      <c r="BP353" s="23">
        <f ca="1">MONTH(TODAY())+49</f>
        <v>53</v>
      </c>
      <c r="BQ353" s="14">
        <f ca="1">SUM(BL353,BM353,BN353)</f>
        <v>0</v>
      </c>
      <c r="BR353" s="14"/>
      <c r="BS353" s="14">
        <f>SUM(BR353*0.1)</f>
        <v>0</v>
      </c>
      <c r="BT353" s="14">
        <f ca="1">SUM(BU353*BV353)</f>
        <v>0</v>
      </c>
      <c r="BU353" s="17">
        <f>SUM((BR353+BS353)*0.00833333333333333)</f>
        <v>0</v>
      </c>
      <c r="BV353" s="23">
        <f ca="1">MONTH(TODAY())+37</f>
        <v>41</v>
      </c>
      <c r="BW353" s="14">
        <f ca="1">SUM(BR353,BS353,BT353)</f>
        <v>0</v>
      </c>
      <c r="BX353" s="14"/>
      <c r="BY353" s="14">
        <f>SUM(BX353*0.1)</f>
        <v>0</v>
      </c>
      <c r="BZ353" s="14">
        <f ca="1">SUM(CA353*CB353)</f>
        <v>0</v>
      </c>
      <c r="CA353" s="17">
        <f>SUM((BX353+BY353)*0.00833333333333333)</f>
        <v>0</v>
      </c>
      <c r="CB353" s="23">
        <f ca="1">MONTH(TODAY())+25</f>
        <v>29</v>
      </c>
      <c r="CC353" s="14">
        <f ca="1">SUM(BX353,BY353,BZ353)</f>
        <v>0</v>
      </c>
      <c r="CD353" s="14">
        <f>SUM(DI353*0.0052)</f>
        <v>307.32</v>
      </c>
      <c r="CE353" s="14">
        <f>SUM(CD353*0.1)</f>
        <v>30.731999999999999</v>
      </c>
      <c r="CF353" s="14">
        <f ca="1">SUM(CG353*CH353)</f>
        <v>47.890699999999981</v>
      </c>
      <c r="CG353" s="17">
        <f>SUM((CD353+CE353)*0.00833333333333333)</f>
        <v>2.817099999999999</v>
      </c>
      <c r="CH353" s="23">
        <f ca="1">MONTH(TODAY())+13</f>
        <v>17</v>
      </c>
      <c r="CI353" s="14">
        <f ca="1">SUM(CD353,CE353,CF353)</f>
        <v>385.9427</v>
      </c>
      <c r="CJ353" s="14">
        <f>SUM(DI353*0.0052)</f>
        <v>307.32</v>
      </c>
      <c r="CK353" s="14">
        <f>SUM(CJ353*0.1)</f>
        <v>30.731999999999999</v>
      </c>
      <c r="CL353" s="14">
        <f ca="1">SUM(CM353*CN353)</f>
        <v>14.085499999999996</v>
      </c>
      <c r="CM353" s="17">
        <f>SUM((CJ353+CK353)*0.00833333333333333)</f>
        <v>2.817099999999999</v>
      </c>
      <c r="CN353" s="23">
        <f ca="1">MONTH(TODAY())+1</f>
        <v>5</v>
      </c>
      <c r="CO353" s="14">
        <f ca="1">SUM(CJ353,CK353,CL353)</f>
        <v>352.13750000000005</v>
      </c>
      <c r="CP353" s="14">
        <f>SUM(BL353, BR353,BX353,CD353,CJ353)</f>
        <v>614.64</v>
      </c>
      <c r="CQ353" s="14">
        <f>SUM(BM353, BS353,BY353,CE353,CK353)</f>
        <v>61.463999999999999</v>
      </c>
      <c r="CR353" s="14">
        <f ca="1">SUM(BN353, BT353,BZ353,CF353,CL353)</f>
        <v>61.976199999999977</v>
      </c>
      <c r="CS353" s="14">
        <f ca="1">SUM(CP353:CR353)</f>
        <v>738.08019999999999</v>
      </c>
      <c r="CT353" s="47">
        <f ca="1">SUM(CS353/DI353)</f>
        <v>1.2488666666666667E-2</v>
      </c>
      <c r="CU353" s="14">
        <v>19.5</v>
      </c>
      <c r="CV353" s="32">
        <f>COUNTIF(DB353, "*")+COUNTIF(AO353, "*")+COUNTIF(AJ353, "*")+COUNTIF(AA353, "*")+COUNTIF(DY353, "*")+COUNTIF(EE353, "*")+COUNTIF(EK353, "*")+COUNTIF(EO353, "*")+COUNTIF(EV353, "*")+COUNTIF(FC353, "*")+COUNTIF(FJ353, "*")+COUNTIF(FU353, "*")+COUNTIF(GF353, "*")+COUNTIF(GN353, "*")+COUNTIF(GV353, "*")+COUNTIF(HD353, "*")+COUNTIF(HL353, "*")</f>
        <v>2</v>
      </c>
      <c r="CW353" s="14">
        <f>CV353*0.5</f>
        <v>1</v>
      </c>
      <c r="CX353" s="4"/>
      <c r="CY353" s="14">
        <f ca="1">SUM(CS353,CU353,DE353, CX353, CW353,FG353)</f>
        <v>758.58019999999999</v>
      </c>
      <c r="CZ353" s="4"/>
      <c r="DE353" s="14">
        <f>SUM(CZ353:DD353)</f>
        <v>0</v>
      </c>
      <c r="DF353" s="24" t="s">
        <v>2773</v>
      </c>
      <c r="DG353" s="4">
        <v>10100</v>
      </c>
      <c r="DH353" s="4">
        <v>49000</v>
      </c>
      <c r="DI353" s="25">
        <f>SUM(DG353+DH353)</f>
        <v>59100</v>
      </c>
      <c r="DJ353" s="35">
        <v>0.39</v>
      </c>
      <c r="IC353" s="4"/>
    </row>
    <row r="354" spans="1:268" ht="15" customHeight="1">
      <c r="A354" s="19">
        <v>102021075</v>
      </c>
      <c r="B354" s="18" t="s">
        <v>2529</v>
      </c>
      <c r="C354" s="18"/>
      <c r="D354" s="13"/>
      <c r="E354" s="24" t="s">
        <v>3731</v>
      </c>
      <c r="F354" s="24">
        <v>220001778</v>
      </c>
      <c r="G354" s="18"/>
      <c r="H354" s="18"/>
      <c r="I354" s="18"/>
      <c r="J354" s="18" t="s">
        <v>253</v>
      </c>
      <c r="K354" s="18" t="s">
        <v>1020</v>
      </c>
      <c r="L354" s="18" t="s">
        <v>1051</v>
      </c>
      <c r="M354" s="18" t="s">
        <v>403</v>
      </c>
      <c r="N354" s="18"/>
      <c r="O354" s="18"/>
      <c r="P354" s="18"/>
      <c r="Q354" s="18"/>
      <c r="R354" s="18"/>
      <c r="S354" s="18"/>
      <c r="T354" s="18"/>
      <c r="U354" s="18"/>
      <c r="V354" s="18"/>
      <c r="W354" s="18"/>
      <c r="X354" s="18"/>
      <c r="Y354" s="18"/>
      <c r="Z354" s="18"/>
      <c r="AA354" s="18"/>
      <c r="AB354" s="18"/>
      <c r="AC354" s="18"/>
      <c r="AD354" s="18" t="s">
        <v>2533</v>
      </c>
      <c r="AE354" s="18" t="s">
        <v>311</v>
      </c>
      <c r="AF354" s="18" t="s">
        <v>399</v>
      </c>
      <c r="AG354" s="26" t="s">
        <v>2531</v>
      </c>
      <c r="AH354" s="18" t="s">
        <v>2532</v>
      </c>
      <c r="AI354" s="18" t="s">
        <v>386</v>
      </c>
      <c r="AJ354" s="18" t="s">
        <v>328</v>
      </c>
      <c r="AK354" s="18"/>
      <c r="AL354" s="24" t="s">
        <v>386</v>
      </c>
      <c r="AM354" s="18"/>
      <c r="AN354" s="18"/>
      <c r="AO354" s="24" t="s">
        <v>2530</v>
      </c>
      <c r="AP354" s="24" t="s">
        <v>258</v>
      </c>
      <c r="AQ354" s="18" t="s">
        <v>290</v>
      </c>
      <c r="AR354" s="18" t="s">
        <v>268</v>
      </c>
      <c r="AS354" s="13"/>
      <c r="AT354" s="13" t="s">
        <v>258</v>
      </c>
      <c r="AU354" s="13"/>
      <c r="AV354" s="13"/>
      <c r="AW354" s="13"/>
      <c r="AX354" s="48">
        <v>44630</v>
      </c>
      <c r="AY354" s="114">
        <v>44598</v>
      </c>
      <c r="AZ354" s="114">
        <v>44595</v>
      </c>
      <c r="BA354" s="19"/>
      <c r="BB354" s="19"/>
      <c r="BC354" s="19"/>
      <c r="BD354" s="19"/>
      <c r="BE354" s="48">
        <v>44785</v>
      </c>
      <c r="BF354" s="19" t="s">
        <v>319</v>
      </c>
      <c r="BG354" s="20">
        <f ca="1">SUM(DK354)+214.5</f>
        <v>6278.8392999999996</v>
      </c>
      <c r="BH354" s="22">
        <f ca="1">PMT(10%/12,12,BG354,0,0)</f>
        <v>-552.00972783415239</v>
      </c>
      <c r="BI354" s="22">
        <f ca="1">SUM(BH354*-1)</f>
        <v>552.00972783415239</v>
      </c>
      <c r="BJ354" s="14">
        <f>SUM(DU354*0.0052)/12</f>
        <v>12.35</v>
      </c>
      <c r="BK354" s="22">
        <f ca="1">SUM(BI354+BJ354)</f>
        <v>564.35972783415241</v>
      </c>
      <c r="BL354" s="14"/>
      <c r="BM354" s="14">
        <f>SUM(BL354*0.1)</f>
        <v>0</v>
      </c>
      <c r="BN354" s="14">
        <f ca="1">SUM(BO354*BP354)</f>
        <v>0</v>
      </c>
      <c r="BO354" s="17">
        <f>SUM((BL354+BM354)*0.00833333333333333)</f>
        <v>0</v>
      </c>
      <c r="BP354" s="23">
        <f ca="1">MONTH(TODAY())+49</f>
        <v>53</v>
      </c>
      <c r="BQ354" s="14">
        <f ca="1">SUM(BL354,BM354,BN354)</f>
        <v>0</v>
      </c>
      <c r="BR354" s="14"/>
      <c r="BS354" s="14">
        <f>SUM(BR354*0.1)</f>
        <v>0</v>
      </c>
      <c r="BT354" s="14">
        <f ca="1">SUM(BU354*BV354)</f>
        <v>0</v>
      </c>
      <c r="BU354" s="17">
        <f>SUM((BR354+BS354)*0.00833333333333333)</f>
        <v>0</v>
      </c>
      <c r="BV354" s="23">
        <f ca="1">MONTH(TODAY())+37</f>
        <v>41</v>
      </c>
      <c r="BW354" s="14">
        <f ca="1">SUM(BR354,BS354,BT354)</f>
        <v>0</v>
      </c>
      <c r="BX354" s="14">
        <v>148.19999999999999</v>
      </c>
      <c r="BY354" s="14">
        <f>SUM(BX354*0.1)</f>
        <v>14.82</v>
      </c>
      <c r="BZ354" s="14">
        <f ca="1">SUM(CA354*CB354)</f>
        <v>39.396499999999982</v>
      </c>
      <c r="CA354" s="17">
        <f>SUM((BX354+BY354)*0.00833333333333333)</f>
        <v>1.3584999999999994</v>
      </c>
      <c r="CB354" s="23">
        <f ca="1">MONTH(TODAY())+25</f>
        <v>29</v>
      </c>
      <c r="CC354" s="14">
        <f ca="1">SUM(BX354,BY354,BZ354)</f>
        <v>202.41649999999996</v>
      </c>
      <c r="CD354" s="14">
        <f>148.2+3161.31</f>
        <v>3309.5099999999998</v>
      </c>
      <c r="CE354" s="14">
        <f>SUM(SUM(DU354*0.0052)*0.1)</f>
        <v>14.82</v>
      </c>
      <c r="CF354" s="14">
        <f ca="1">SUM(CG354*CH354)</f>
        <v>282.56804999999997</v>
      </c>
      <c r="CG354" s="17">
        <f>SUM((CD354+CE354)*0.005)</f>
        <v>16.621649999999999</v>
      </c>
      <c r="CH354" s="23">
        <f ca="1">MONTH(TODAY())+13</f>
        <v>17</v>
      </c>
      <c r="CI354" s="14">
        <f ca="1">SUM(CD354,CE354,CF354)</f>
        <v>3606.8980499999998</v>
      </c>
      <c r="CJ354" s="14">
        <f>SUM(DU354*0.0052)</f>
        <v>148.19999999999999</v>
      </c>
      <c r="CK354" s="14">
        <f>SUM(CJ354*0.1)</f>
        <v>14.82</v>
      </c>
      <c r="CL354" s="14">
        <f ca="1">SUM(CM354*CN354)</f>
        <v>6.7924999999999969</v>
      </c>
      <c r="CM354" s="17">
        <f>SUM((CJ354+CK354)*0.00833333333333333)</f>
        <v>1.3584999999999994</v>
      </c>
      <c r="CN354" s="23">
        <f ca="1">MONTH(TODAY())+1</f>
        <v>5</v>
      </c>
      <c r="CO354" s="14">
        <f ca="1">SUM(CJ354,CK354,CL354)</f>
        <v>169.81249999999997</v>
      </c>
      <c r="CP354" s="14">
        <f>SUM(DU354*0.0052)/2</f>
        <v>74.099999999999994</v>
      </c>
      <c r="CQ354" s="14">
        <f>SUM(CP354*0.1)</f>
        <v>7.41</v>
      </c>
      <c r="CR354" s="14">
        <f ca="1">SUM(CS354*CT354)</f>
        <v>-2.0377499999999991</v>
      </c>
      <c r="CS354" s="17">
        <f>SUM((CP354+CQ354)*0.00833333333333333)</f>
        <v>0.67924999999999969</v>
      </c>
      <c r="CT354" s="23">
        <f ca="1">MONTH(TODAY())-7</f>
        <v>-3</v>
      </c>
      <c r="CU354" s="23">
        <f ca="1">SUM(CP354,CQ354,CR354)</f>
        <v>79.472249999999988</v>
      </c>
      <c r="CV354" s="14">
        <f>SUM(DU354*0.0052)/2</f>
        <v>74.099999999999994</v>
      </c>
      <c r="CW354" s="14">
        <v>0</v>
      </c>
      <c r="CX354" s="14">
        <v>0</v>
      </c>
      <c r="CY354" s="17">
        <f>SUM((CV354+CW354)*0.00833333333333333)</f>
        <v>0.61749999999999972</v>
      </c>
      <c r="CZ354" s="23">
        <f ca="1">MONTH(TODAY())-6</f>
        <v>-2</v>
      </c>
      <c r="DA354" s="23">
        <f>SUM(CV354,CW354,CX354)</f>
        <v>74.099999999999994</v>
      </c>
      <c r="DB354" s="14">
        <f>SUM(BL354, BR354, BX354, CD354, CJ354, CP354,CV354)</f>
        <v>3754.1099999999992</v>
      </c>
      <c r="DC354" s="14">
        <f t="shared" ref="DC354:DD356" si="37">SUM(BM354, BS354,BY354,CE354,CK354, CQ354,CW354)</f>
        <v>51.870000000000005</v>
      </c>
      <c r="DD354" s="14">
        <f t="shared" ca="1" si="37"/>
        <v>326.71929999999998</v>
      </c>
      <c r="DE354" s="14">
        <f ca="1">SUM(DB354:DD354)</f>
        <v>4132.6992999999993</v>
      </c>
      <c r="DF354" s="47">
        <f ca="1">SUM(DE354/DU354)</f>
        <v>0.14500699298245612</v>
      </c>
      <c r="DG354" s="14">
        <f>39+58.5+19.5+195+195+39+39+97.5+97.5</f>
        <v>780</v>
      </c>
      <c r="DH354" s="32">
        <f>COUNTIF(DN354, "*")+COUNTIF(AO354, "*")+COUNTIF(AJ354, "*")+COUNTIF(AA354, "*")+COUNTIF(EK354, "*")+COUNTIF(EQ354, "*")+COUNTIF(EW354, "*")+COUNTIF(FA354, "*")+COUNTIF(FH354, "*")+COUNTIF(FO354, "*")+COUNTIF(FV354, "*")+COUNTIF(GG354, "*")+COUNTIF(GR354, "*")+COUNTIF(GZ354, "*")+COUNTIF(HH354, "*")+COUNTIF(HP354, "*")+COUNTIF(HX354, "*")</f>
        <v>2</v>
      </c>
      <c r="DI354" s="14">
        <f>13.32+1.59</f>
        <v>14.91</v>
      </c>
      <c r="DJ354" s="14">
        <v>300</v>
      </c>
      <c r="DK354" s="14">
        <f ca="1">SUM(DE354,DG354,DQ354, DJ354, DI354,FS354)</f>
        <v>6064.3392999999996</v>
      </c>
      <c r="DL354" s="14">
        <v>50.23</v>
      </c>
      <c r="DM354" s="14"/>
      <c r="DN354" s="14">
        <v>87.5</v>
      </c>
      <c r="DO354" s="14">
        <f>SUM(DU354*0.004)</f>
        <v>114</v>
      </c>
      <c r="DP354" s="25">
        <v>585</v>
      </c>
      <c r="DQ354" s="14">
        <f>SUM(DL354:DP354)</f>
        <v>836.73</v>
      </c>
      <c r="DR354" s="24" t="s">
        <v>3907</v>
      </c>
      <c r="DS354" s="25">
        <v>16000</v>
      </c>
      <c r="DT354" s="25">
        <v>12500</v>
      </c>
      <c r="DU354" s="25">
        <f>SUM(DS354+DT354)</f>
        <v>28500</v>
      </c>
      <c r="DV354" s="36">
        <v>1</v>
      </c>
      <c r="DW354" s="18" t="s">
        <v>3322</v>
      </c>
      <c r="DX354" s="18" t="s">
        <v>3323</v>
      </c>
      <c r="DY354" s="18" t="s">
        <v>3324</v>
      </c>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9">
        <v>44863</v>
      </c>
      <c r="IE354" s="18"/>
      <c r="IF354" s="18"/>
      <c r="IG354" s="18"/>
      <c r="IH354" s="18"/>
      <c r="II354" s="18"/>
      <c r="IJ354" s="18"/>
      <c r="IK354" s="18"/>
      <c r="IL354" s="18"/>
      <c r="IM354" s="18"/>
      <c r="IN354" s="18"/>
      <c r="IO354" s="14">
        <f ca="1">SUM(IE354-DK354-FS354-IM354)</f>
        <v>-6064.3392999999996</v>
      </c>
      <c r="IP354" s="27">
        <v>44797</v>
      </c>
      <c r="IQ354" s="27"/>
      <c r="IR354" s="27"/>
      <c r="IS354" s="27"/>
      <c r="IT354" s="27"/>
    </row>
    <row r="355" spans="1:268" ht="15" customHeight="1">
      <c r="A355" s="19">
        <v>102021116</v>
      </c>
      <c r="B355" t="s">
        <v>3905</v>
      </c>
      <c r="D355" s="13"/>
      <c r="E355" s="3" t="s">
        <v>3729</v>
      </c>
      <c r="F355" s="3">
        <v>220001776</v>
      </c>
      <c r="J355" t="s">
        <v>434</v>
      </c>
      <c r="K355" t="s">
        <v>1020</v>
      </c>
      <c r="L355" t="s">
        <v>420</v>
      </c>
      <c r="M355" t="s">
        <v>392</v>
      </c>
      <c r="O355" t="s">
        <v>258</v>
      </c>
      <c r="P355" t="s">
        <v>1020</v>
      </c>
      <c r="Q355" t="s">
        <v>2750</v>
      </c>
      <c r="U355" t="s">
        <v>2751</v>
      </c>
      <c r="V355" t="s">
        <v>1099</v>
      </c>
      <c r="AG355" s="43"/>
      <c r="AJ355" s="18" t="s">
        <v>328</v>
      </c>
      <c r="AL355" s="18" t="s">
        <v>386</v>
      </c>
      <c r="AM355"/>
      <c r="AN355"/>
      <c r="AO355" s="3" t="s">
        <v>2752</v>
      </c>
      <c r="AP355" s="3" t="s">
        <v>258</v>
      </c>
      <c r="AQ355" t="s">
        <v>267</v>
      </c>
      <c r="AR355" t="s">
        <v>260</v>
      </c>
      <c r="AS355" s="1"/>
      <c r="AT355" s="1"/>
      <c r="AU355" s="1" t="s">
        <v>258</v>
      </c>
      <c r="AV355" s="1" t="s">
        <v>258</v>
      </c>
      <c r="AW355" s="1" t="s">
        <v>258</v>
      </c>
      <c r="AX355" s="70">
        <v>44630</v>
      </c>
      <c r="AY355" s="115">
        <v>44598</v>
      </c>
      <c r="AZ355" s="115">
        <v>44595</v>
      </c>
      <c r="BA355" s="48">
        <v>44673</v>
      </c>
      <c r="BB355" s="19" t="s">
        <v>318</v>
      </c>
      <c r="BC355" s="9">
        <v>44659</v>
      </c>
      <c r="BD355" s="48">
        <v>44666</v>
      </c>
      <c r="BE355" s="48">
        <v>44785</v>
      </c>
      <c r="BF355" s="19" t="s">
        <v>319</v>
      </c>
      <c r="BG355" s="20">
        <f ca="1">SUM(DK355)+214.5</f>
        <v>64259.394850000004</v>
      </c>
      <c r="BH355" s="22">
        <f ca="1">PMT(10%/12,12,BG355,0,0)</f>
        <v>-5649.4217111012595</v>
      </c>
      <c r="BI355" s="22">
        <f ca="1">SUM(BH355*-1)</f>
        <v>5649.4217111012595</v>
      </c>
      <c r="BJ355" s="14">
        <f>SUM(DU355*0.0052)/12</f>
        <v>19.41333333333333</v>
      </c>
      <c r="BK355" s="22">
        <f ca="1">SUM(BI355+BJ355)</f>
        <v>5668.8350444345924</v>
      </c>
      <c r="BL355" s="14"/>
      <c r="BM355" s="14">
        <f>SUM(BL355*0.1)</f>
        <v>0</v>
      </c>
      <c r="BN355" s="14">
        <f ca="1">SUM(BO355*BP355)</f>
        <v>0</v>
      </c>
      <c r="BO355" s="17">
        <f>SUM((BL355+BM355)*0.00833333333333333)</f>
        <v>0</v>
      </c>
      <c r="BP355" s="23">
        <f ca="1">MONTH(TODAY())+49</f>
        <v>53</v>
      </c>
      <c r="BQ355" s="14">
        <f ca="1">SUM(BL355,BM355,BN355)</f>
        <v>0</v>
      </c>
      <c r="BR355" s="14"/>
      <c r="BS355" s="14">
        <f>SUM(BR355*0.1)</f>
        <v>0</v>
      </c>
      <c r="BT355" s="14">
        <f ca="1">SUM(BU355*BV355)</f>
        <v>0</v>
      </c>
      <c r="BU355" s="17">
        <f>SUM((BR355+BS355)*0.00833333333333333)</f>
        <v>0</v>
      </c>
      <c r="BV355" s="23">
        <f ca="1">MONTH(TODAY())+37</f>
        <v>41</v>
      </c>
      <c r="BW355" s="14">
        <f ca="1">SUM(BR355,BS355,BT355)</f>
        <v>0</v>
      </c>
      <c r="BX355" s="14">
        <v>0</v>
      </c>
      <c r="BY355" s="14">
        <f>SUM(BX355*0.1)</f>
        <v>0</v>
      </c>
      <c r="BZ355" s="14">
        <f ca="1">SUM(CA355*CB355)</f>
        <v>0</v>
      </c>
      <c r="CA355" s="17">
        <f>SUM((BX355+BY355)*0.00833333333333333)</f>
        <v>0</v>
      </c>
      <c r="CB355" s="23">
        <f ca="1">MONTH(TODAY())+25</f>
        <v>29</v>
      </c>
      <c r="CC355" s="14">
        <f ca="1">SUM(BX355,BY355,BZ355)</f>
        <v>0</v>
      </c>
      <c r="CD355" s="14">
        <v>55489.53</v>
      </c>
      <c r="CE355" s="14">
        <v>0</v>
      </c>
      <c r="CF355" s="14">
        <f ca="1">SUM(CG355*CH355)</f>
        <v>4716.6100500000002</v>
      </c>
      <c r="CG355" s="17">
        <f>SUM((CD355+CE355)*0.005)</f>
        <v>277.44765000000001</v>
      </c>
      <c r="CH355" s="23">
        <f ca="1">MONTH(TODAY())+13</f>
        <v>17</v>
      </c>
      <c r="CI355" s="14">
        <f ca="1">SUM(CD355,CE355,CF355)</f>
        <v>60206.140050000002</v>
      </c>
      <c r="CJ355" s="14">
        <v>0</v>
      </c>
      <c r="CK355" s="14">
        <f>SUM(CJ355*0.1)</f>
        <v>0</v>
      </c>
      <c r="CL355" s="14">
        <f ca="1">SUM(CM355*CN355)</f>
        <v>0</v>
      </c>
      <c r="CM355" s="17">
        <f>SUM((CJ355+CK355)*0.00833333333333333)</f>
        <v>0</v>
      </c>
      <c r="CN355" s="23">
        <f ca="1">MONTH(TODAY())+1</f>
        <v>5</v>
      </c>
      <c r="CO355" s="14">
        <f ca="1">SUM(CJ355,CK355,CL355)</f>
        <v>0</v>
      </c>
      <c r="CP355" s="14">
        <f>SUM(DU355*0.0052)/2</f>
        <v>116.47999999999999</v>
      </c>
      <c r="CQ355" s="14">
        <f>SUM(CP355*0.1)</f>
        <v>11.648</v>
      </c>
      <c r="CR355" s="14">
        <f ca="1">SUM(CS355*CT355)</f>
        <v>-3.203199999999998</v>
      </c>
      <c r="CS355" s="17">
        <f>SUM((CP355+CQ355)*0.00833333333333333)</f>
        <v>1.0677333333333328</v>
      </c>
      <c r="CT355" s="23">
        <f ca="1">MONTH(TODAY())-7</f>
        <v>-3</v>
      </c>
      <c r="CU355" s="23">
        <f ca="1">SUM(CP355,CQ355,CR355)</f>
        <v>124.92479999999999</v>
      </c>
      <c r="CV355" s="14">
        <f>SUM(DU355*0.0052)/2</f>
        <v>116.47999999999999</v>
      </c>
      <c r="CW355" s="14">
        <v>0</v>
      </c>
      <c r="CX355" s="14">
        <v>0</v>
      </c>
      <c r="CY355" s="17">
        <f>SUM((CV355+CW355)*0.00833333333333333)</f>
        <v>0.97066666666666612</v>
      </c>
      <c r="CZ355" s="23">
        <f ca="1">MONTH(TODAY())-6</f>
        <v>-2</v>
      </c>
      <c r="DA355" s="23">
        <f>SUM(CV355,CW355,CX355)</f>
        <v>116.47999999999999</v>
      </c>
      <c r="DB355" s="14">
        <f>SUM(BL355, BR355, BX355, CD355, CJ355, CP355,CV355)</f>
        <v>55722.490000000005</v>
      </c>
      <c r="DC355" s="14">
        <f t="shared" si="37"/>
        <v>11.648</v>
      </c>
      <c r="DD355" s="14">
        <f t="shared" ca="1" si="37"/>
        <v>4713.4068500000003</v>
      </c>
      <c r="DE355" s="14">
        <f ca="1">SUM(DB355:DD355)</f>
        <v>60447.544850000006</v>
      </c>
      <c r="DF355" s="47">
        <f ca="1">SUM(DE355/DU355)</f>
        <v>1.3492755546875002</v>
      </c>
      <c r="DG355" s="14">
        <f>39+19.5+195+195+58.5+19.5+39+39+97.5+97.5</f>
        <v>799.5</v>
      </c>
      <c r="DH355" s="32">
        <f>COUNTIF(DN355, "*")+COUNTIF(AO355, "*")+COUNTIF(AJ355, "*")+COUNTIF(AA355, "*")+COUNTIF(EK355, "*")+COUNTIF(EQ355, "*")+COUNTIF(EW355, "*")+COUNTIF(FA355, "*")+COUNTIF(FH355, "*")+COUNTIF(FO355, "*")+COUNTIF(FV355, "*")+COUNTIF(GG355, "*")+COUNTIF(GR355, "*")+COUNTIF(GZ355, "*")+COUNTIF(HH355, "*")+COUNTIF(HP355, "*")+COUNTIF(HX355, "*")</f>
        <v>4</v>
      </c>
      <c r="DI355" s="14">
        <f>39.96+1.06</f>
        <v>41.02</v>
      </c>
      <c r="DJ355" s="4">
        <v>300</v>
      </c>
      <c r="DK355" s="14">
        <f ca="1">SUM(DE355,DG355,DQ355, DJ355, DI355,FS355)</f>
        <v>64044.894850000004</v>
      </c>
      <c r="DL355" s="14">
        <f>50.23+689.4</f>
        <v>739.63</v>
      </c>
      <c r="DM355" s="4">
        <f>93.75+340</f>
        <v>433.75</v>
      </c>
      <c r="DN355" s="4">
        <v>219.25</v>
      </c>
      <c r="DO355" s="14">
        <f>SUM(DU355*0.004)</f>
        <v>179.20000000000002</v>
      </c>
      <c r="DP355" s="4">
        <v>885</v>
      </c>
      <c r="DQ355" s="14">
        <f>SUM(DL355:DP355)</f>
        <v>2456.83</v>
      </c>
      <c r="DR355" s="24" t="s">
        <v>3908</v>
      </c>
      <c r="DS355" s="4">
        <v>44800</v>
      </c>
      <c r="DT355" s="4">
        <v>0</v>
      </c>
      <c r="DU355" s="25">
        <f>SUM(DS355+DT355)</f>
        <v>44800</v>
      </c>
      <c r="DV355" s="35">
        <v>9</v>
      </c>
      <c r="DW355" t="s">
        <v>3316</v>
      </c>
      <c r="DX355" t="s">
        <v>3317</v>
      </c>
      <c r="DY355" t="s">
        <v>3318</v>
      </c>
      <c r="DZ355" t="s">
        <v>3319</v>
      </c>
      <c r="EA355" t="s">
        <v>3320</v>
      </c>
      <c r="EB355" t="s">
        <v>3321</v>
      </c>
      <c r="EI355" t="s">
        <v>3312</v>
      </c>
      <c r="EJ355" t="s">
        <v>3313</v>
      </c>
      <c r="EM355" t="s">
        <v>267</v>
      </c>
      <c r="EO355" t="s">
        <v>3314</v>
      </c>
      <c r="EQ355" t="s">
        <v>2228</v>
      </c>
      <c r="EU355" t="s">
        <v>3315</v>
      </c>
      <c r="EW355" t="s">
        <v>2228</v>
      </c>
      <c r="ID355" s="9">
        <v>44863</v>
      </c>
      <c r="IO355" s="14">
        <f ca="1">SUM(IE355-DK355-FS355-IM355)</f>
        <v>-64044.894850000004</v>
      </c>
      <c r="IP355" s="9">
        <v>44797</v>
      </c>
      <c r="IQ355" s="9"/>
      <c r="IR355" s="9"/>
      <c r="IS355" s="9"/>
      <c r="IT355" s="9"/>
    </row>
    <row r="356" spans="1:268" ht="15" customHeight="1">
      <c r="A356" s="19">
        <v>102020060</v>
      </c>
      <c r="B356" s="18" t="s">
        <v>1699</v>
      </c>
      <c r="C356" s="18"/>
      <c r="D356" s="13"/>
      <c r="E356" s="24" t="s">
        <v>3730</v>
      </c>
      <c r="F356" s="24">
        <v>220001775</v>
      </c>
      <c r="G356" s="18"/>
      <c r="H356" s="18"/>
      <c r="I356" s="18"/>
      <c r="J356" s="18" t="s">
        <v>311</v>
      </c>
      <c r="K356" s="18" t="s">
        <v>1020</v>
      </c>
      <c r="L356" s="18" t="s">
        <v>1700</v>
      </c>
      <c r="M356" s="18"/>
      <c r="N356" s="18"/>
      <c r="O356" s="18"/>
      <c r="P356" s="18"/>
      <c r="Q356" s="18"/>
      <c r="R356" s="18"/>
      <c r="S356" s="18"/>
      <c r="T356" s="18"/>
      <c r="U356" s="18"/>
      <c r="V356" s="18"/>
      <c r="W356" s="18"/>
      <c r="X356" s="18"/>
      <c r="Y356" s="18"/>
      <c r="Z356" s="18"/>
      <c r="AA356" s="18"/>
      <c r="AB356" s="18"/>
      <c r="AC356" s="18"/>
      <c r="AD356" s="18"/>
      <c r="AE356" s="18"/>
      <c r="AF356" s="18"/>
      <c r="AG356" s="26"/>
      <c r="AH356" s="18"/>
      <c r="AI356" s="18"/>
      <c r="AJ356" s="18" t="s">
        <v>2141</v>
      </c>
      <c r="AK356" s="18" t="s">
        <v>258</v>
      </c>
      <c r="AL356" s="18" t="s">
        <v>386</v>
      </c>
      <c r="AM356" s="18" t="s">
        <v>260</v>
      </c>
      <c r="AN356" s="18"/>
      <c r="AO356" s="24" t="s">
        <v>1701</v>
      </c>
      <c r="AP356" s="24" t="s">
        <v>258</v>
      </c>
      <c r="AQ356" s="18" t="s">
        <v>386</v>
      </c>
      <c r="AR356" s="18" t="s">
        <v>260</v>
      </c>
      <c r="AS356" s="13"/>
      <c r="AT356" s="13"/>
      <c r="AU356" s="13" t="s">
        <v>258</v>
      </c>
      <c r="AV356" s="13" t="s">
        <v>258</v>
      </c>
      <c r="AW356" s="13" t="s">
        <v>258</v>
      </c>
      <c r="AX356" s="48">
        <v>44630</v>
      </c>
      <c r="AY356" s="115">
        <v>44598</v>
      </c>
      <c r="AZ356" s="114">
        <v>44595</v>
      </c>
      <c r="BA356" s="48">
        <v>44673</v>
      </c>
      <c r="BB356" s="19" t="s">
        <v>318</v>
      </c>
      <c r="BC356" s="9">
        <v>44659</v>
      </c>
      <c r="BD356" s="48">
        <v>44666</v>
      </c>
      <c r="BE356" s="48">
        <v>44785</v>
      </c>
      <c r="BF356" s="19" t="s">
        <v>319</v>
      </c>
      <c r="BG356" s="20">
        <f ca="1">SUM(DK356)+214.5</f>
        <v>30838.889999999996</v>
      </c>
      <c r="BH356" s="22">
        <f ca="1">PMT(10%/12,12,BG356,0,0)</f>
        <v>-2711.2283755386702</v>
      </c>
      <c r="BI356" s="22">
        <f ca="1">SUM(BH356*-1)</f>
        <v>2711.2283755386702</v>
      </c>
      <c r="BJ356" s="14">
        <f>SUM(DU356*0.0052)/12</f>
        <v>6.9333333333333336</v>
      </c>
      <c r="BK356" s="22">
        <f ca="1">SUM(BI356+BJ356)</f>
        <v>2718.1617088720036</v>
      </c>
      <c r="BL356" s="14">
        <v>44.72</v>
      </c>
      <c r="BM356" s="14">
        <f>SUM(BL356*0.1)</f>
        <v>4.4720000000000004</v>
      </c>
      <c r="BN356" s="14">
        <f ca="1">SUM(BO356*BP356)</f>
        <v>21.726466666666656</v>
      </c>
      <c r="BO356" s="17">
        <f>SUM((BL356+BM356)*0.00833333333333333)</f>
        <v>0.40993333333333315</v>
      </c>
      <c r="BP356" s="23">
        <f ca="1">MONTH(TODAY())+49</f>
        <v>53</v>
      </c>
      <c r="BQ356" s="14">
        <f ca="1">SUM(BL356,BM356,BN356)</f>
        <v>70.91846666666666</v>
      </c>
      <c r="BR356" s="14">
        <v>44.72</v>
      </c>
      <c r="BS356" s="14">
        <f>SUM(BR356*0.1)</f>
        <v>4.4720000000000004</v>
      </c>
      <c r="BT356" s="14">
        <f ca="1">SUM(BU356*BV356)</f>
        <v>16.80726666666666</v>
      </c>
      <c r="BU356" s="17">
        <f>SUM((BR356+BS356)*0.00833333333333333)</f>
        <v>0.40993333333333315</v>
      </c>
      <c r="BV356" s="23">
        <f ca="1">MONTH(TODAY())+37</f>
        <v>41</v>
      </c>
      <c r="BW356" s="14">
        <f ca="1">SUM(BR356,BS356,BT356)</f>
        <v>65.999266666666657</v>
      </c>
      <c r="BX356" s="14">
        <v>83.2</v>
      </c>
      <c r="BY356" s="14">
        <f>SUM(BX356*0.1)</f>
        <v>8.32</v>
      </c>
      <c r="BZ356" s="14">
        <f ca="1">SUM(CA356*CB356)</f>
        <v>22.117333333333324</v>
      </c>
      <c r="CA356" s="17">
        <f>SUM((BX356+BY356)*0.00833333333333333)</f>
        <v>0.76266666666666638</v>
      </c>
      <c r="CB356" s="23">
        <f ca="1">MONTH(TODAY())+25</f>
        <v>29</v>
      </c>
      <c r="CC356" s="14">
        <f ca="1">SUM(BX356,BY356,BZ356)</f>
        <v>113.63733333333333</v>
      </c>
      <c r="CD356" s="14">
        <f>SUM(DU356*0.0052)+24541.84</f>
        <v>24625.040000000001</v>
      </c>
      <c r="CE356" s="14">
        <f>SUM(SUM(DU356*0.0052)*0.1)</f>
        <v>8.32</v>
      </c>
      <c r="CF356" s="14">
        <f ca="1">SUM(CG356*CH356)</f>
        <v>2093.8356000000003</v>
      </c>
      <c r="CG356" s="17">
        <f>SUM((CD356+CE356)*0.005)</f>
        <v>123.16680000000001</v>
      </c>
      <c r="CH356" s="23">
        <f ca="1">MONTH(TODAY())+13</f>
        <v>17</v>
      </c>
      <c r="CI356" s="14">
        <f ca="1">SUM(CD356,CE356,CF356)</f>
        <v>26727.195599999999</v>
      </c>
      <c r="CJ356" s="14">
        <f>SUM(DU356*0.0052)</f>
        <v>83.2</v>
      </c>
      <c r="CK356" s="14">
        <f>SUM(CJ356*0.1)</f>
        <v>8.32</v>
      </c>
      <c r="CL356" s="14">
        <f ca="1">SUM(CM356*CN356)</f>
        <v>3.8133333333333317</v>
      </c>
      <c r="CM356" s="17">
        <f>SUM((CJ356+CK356)*0.00833333333333333)</f>
        <v>0.76266666666666638</v>
      </c>
      <c r="CN356" s="23">
        <f ca="1">MONTH(TODAY())+1</f>
        <v>5</v>
      </c>
      <c r="CO356" s="14">
        <f ca="1">SUM(CJ356,CK356,CL356)</f>
        <v>95.333333333333343</v>
      </c>
      <c r="CP356" s="14">
        <f>SUM(DU356*0.0052)/2</f>
        <v>41.6</v>
      </c>
      <c r="CQ356" s="14">
        <f>SUM(CP356*0.1)</f>
        <v>4.16</v>
      </c>
      <c r="CR356" s="14">
        <f ca="1">SUM(CS356*CT356)</f>
        <v>-1.1439999999999997</v>
      </c>
      <c r="CS356" s="17">
        <f>SUM((CP356+CQ356)*0.00833333333333333)</f>
        <v>0.38133333333333319</v>
      </c>
      <c r="CT356" s="23">
        <f ca="1">MONTH(TODAY())-7</f>
        <v>-3</v>
      </c>
      <c r="CU356" s="23">
        <f ca="1">SUM(CP356,CQ356,CR356)</f>
        <v>44.616000000000007</v>
      </c>
      <c r="CV356" s="14">
        <f>SUM(DU356*0.0052)/2</f>
        <v>41.6</v>
      </c>
      <c r="CW356" s="14">
        <v>0</v>
      </c>
      <c r="CX356" s="14">
        <v>0</v>
      </c>
      <c r="CY356" s="17">
        <f>SUM((CV356+CW356)*0.00833333333333333)</f>
        <v>0.34666666666666651</v>
      </c>
      <c r="CZ356" s="23">
        <f ca="1">MONTH(TODAY())-6</f>
        <v>-2</v>
      </c>
      <c r="DA356" s="23">
        <f>SUM(CV356,CW356,CX356)</f>
        <v>41.6</v>
      </c>
      <c r="DB356" s="14">
        <f>SUM(BL356, BR356, BX356, CD356, CJ356, CP356,CV356)</f>
        <v>24964.079999999998</v>
      </c>
      <c r="DC356" s="14">
        <f t="shared" si="37"/>
        <v>38.064000000000007</v>
      </c>
      <c r="DD356" s="14">
        <f t="shared" ca="1" si="37"/>
        <v>2157.1560000000009</v>
      </c>
      <c r="DE356" s="14">
        <f ca="1">SUM(DB356:DD356)</f>
        <v>27159.299999999996</v>
      </c>
      <c r="DF356" s="47">
        <f ca="1">SUM(DE356/DU356)</f>
        <v>1.6974562499999997</v>
      </c>
      <c r="DG356" s="14">
        <f>19.5+39+58.5+19.5+195+195+39+58.5+19.5+39+39+97.5+97.5</f>
        <v>916.5</v>
      </c>
      <c r="DH356" s="32">
        <f>COUNTIF(DN356, "*")+COUNTIF(AO356, "*")+COUNTIF(AJ356, "*")+COUNTIF(AA356, "*")+COUNTIF(EK356, "*")+COUNTIF(EQ356, "*")+COUNTIF(EW356, "*")+COUNTIF(FA356, "*")+COUNTIF(FH356, "*")+COUNTIF(FO356, "*")+COUNTIF(FV356, "*")+COUNTIF(GG356, "*")+COUNTIF(GR356, "*")+COUNTIF(GZ356, "*")+COUNTIF(HH356, "*")+COUNTIF(HP356, "*")+COUNTIF(HX356, "*")</f>
        <v>6</v>
      </c>
      <c r="DI356" s="14">
        <f>39.96+30</f>
        <v>69.960000000000008</v>
      </c>
      <c r="DJ356" s="14">
        <v>300</v>
      </c>
      <c r="DK356" s="14">
        <f ca="1">SUM(DE356,DG356,DQ356, DJ356, DI356,FS356)</f>
        <v>30624.389999999996</v>
      </c>
      <c r="DL356" s="14">
        <f>50.23+689.4</f>
        <v>739.63</v>
      </c>
      <c r="DM356" s="14">
        <f>93.75+280.5</f>
        <v>374.25</v>
      </c>
      <c r="DN356" s="14">
        <v>159.75</v>
      </c>
      <c r="DO356" s="14">
        <v>100</v>
      </c>
      <c r="DP356" s="25">
        <v>805</v>
      </c>
      <c r="DQ356" s="14">
        <f>SUM(DL356:DP356)</f>
        <v>2178.63</v>
      </c>
      <c r="DR356" s="24" t="s">
        <v>3906</v>
      </c>
      <c r="DS356" s="25">
        <v>16000</v>
      </c>
      <c r="DT356" s="25">
        <v>0</v>
      </c>
      <c r="DU356" s="25">
        <f>SUM(DS356+DT356)</f>
        <v>16000</v>
      </c>
      <c r="DV356" s="36">
        <v>1</v>
      </c>
      <c r="DW356" s="18" t="s">
        <v>3325</v>
      </c>
      <c r="DX356" s="18" t="s">
        <v>3326</v>
      </c>
      <c r="DY356" s="18" t="s">
        <v>3327</v>
      </c>
      <c r="DZ356" s="18" t="s">
        <v>3328</v>
      </c>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t="s">
        <v>1046</v>
      </c>
      <c r="FU356" s="18" t="s">
        <v>3329</v>
      </c>
      <c r="FV356" s="18" t="s">
        <v>1047</v>
      </c>
      <c r="FW356" s="18"/>
      <c r="FX356" s="18" t="s">
        <v>279</v>
      </c>
      <c r="FY356" t="s">
        <v>260</v>
      </c>
      <c r="FZ356" s="27">
        <v>39596</v>
      </c>
      <c r="GA356" s="18" t="s">
        <v>3330</v>
      </c>
      <c r="GB356" s="18"/>
      <c r="GC356" s="18"/>
      <c r="GD356" s="18"/>
      <c r="GE356" t="s">
        <v>287</v>
      </c>
      <c r="GF356" s="71" t="s">
        <v>3332</v>
      </c>
      <c r="GG356" t="s">
        <v>1123</v>
      </c>
      <c r="GI356" t="s">
        <v>290</v>
      </c>
      <c r="GJ356" t="s">
        <v>260</v>
      </c>
      <c r="GK356" s="9">
        <v>39302</v>
      </c>
      <c r="GL356" t="s">
        <v>3333</v>
      </c>
      <c r="GM356" s="18"/>
      <c r="GN356" s="18"/>
      <c r="GO356" s="18"/>
      <c r="GP356" s="18" t="s">
        <v>439</v>
      </c>
      <c r="GQ356" s="18" t="s">
        <v>1530</v>
      </c>
      <c r="GR356" s="18" t="s">
        <v>1531</v>
      </c>
      <c r="GS356" s="18" t="s">
        <v>1532</v>
      </c>
      <c r="GT356" s="28" t="s">
        <v>274</v>
      </c>
      <c r="GU356" s="18" t="s">
        <v>275</v>
      </c>
      <c r="GV356" s="27">
        <v>39491</v>
      </c>
      <c r="GW356" s="18" t="s">
        <v>3331</v>
      </c>
      <c r="GX356" s="18" t="s">
        <v>3336</v>
      </c>
      <c r="GY356" s="18" t="s">
        <v>3334</v>
      </c>
      <c r="GZ356" s="18" t="s">
        <v>3337</v>
      </c>
      <c r="HA356" s="18"/>
      <c r="HB356" s="18" t="s">
        <v>2705</v>
      </c>
      <c r="HC356" s="18" t="s">
        <v>876</v>
      </c>
      <c r="HD356" s="27">
        <v>40039</v>
      </c>
      <c r="HE356" s="18" t="s">
        <v>3335</v>
      </c>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9">
        <v>44863</v>
      </c>
      <c r="IE356" s="18"/>
      <c r="IF356" s="18"/>
      <c r="IG356" s="18"/>
      <c r="IH356" s="18"/>
      <c r="II356" s="18"/>
      <c r="IJ356" s="18"/>
      <c r="IK356" s="18"/>
      <c r="IL356" s="18"/>
      <c r="IM356" s="18"/>
      <c r="IN356" s="18"/>
      <c r="IO356" s="14">
        <f ca="1">SUM(IE356-DK356-FS356-IM356)</f>
        <v>-30624.389999999996</v>
      </c>
      <c r="IP356" s="27">
        <v>44797</v>
      </c>
      <c r="IQ356" s="27"/>
      <c r="IR356" s="27"/>
      <c r="IS356" s="27"/>
      <c r="IT356" s="27"/>
      <c r="IU356" s="18"/>
      <c r="IV356" s="18"/>
      <c r="IW356" s="18"/>
      <c r="IX356" s="18"/>
      <c r="IY356" s="18"/>
    </row>
    <row r="357" spans="1:268" ht="15" customHeight="1">
      <c r="A357" s="19">
        <v>102021054</v>
      </c>
      <c r="B357" t="s">
        <v>2080</v>
      </c>
      <c r="J357" t="s">
        <v>311</v>
      </c>
      <c r="K357" t="s">
        <v>2081</v>
      </c>
      <c r="L357" t="s">
        <v>2082</v>
      </c>
      <c r="M357" t="s">
        <v>256</v>
      </c>
      <c r="N357" t="s">
        <v>341</v>
      </c>
      <c r="AF357" s="3"/>
      <c r="AG357" s="272"/>
      <c r="AI357" t="s">
        <v>2179</v>
      </c>
      <c r="AJ357" t="s">
        <v>258</v>
      </c>
      <c r="AK357" s="3" t="s">
        <v>386</v>
      </c>
      <c r="AL357" s="3" t="s">
        <v>260</v>
      </c>
      <c r="AN357" t="s">
        <v>2180</v>
      </c>
      <c r="AO357" s="1" t="s">
        <v>258</v>
      </c>
      <c r="AP357" s="3" t="s">
        <v>2181</v>
      </c>
      <c r="AQ357"/>
      <c r="AR357"/>
      <c r="AW357" s="2"/>
      <c r="AX357" s="2"/>
      <c r="AY357" s="70"/>
      <c r="AZ357" s="2"/>
      <c r="BA357" s="2"/>
      <c r="BB357" s="2"/>
      <c r="BC357" s="2"/>
      <c r="BD357" s="2"/>
      <c r="BE357" s="2"/>
      <c r="BF357" s="20"/>
      <c r="BG357" s="22"/>
      <c r="BH357" s="22"/>
      <c r="BI357" s="14"/>
      <c r="BJ357" s="14"/>
      <c r="BK357" s="14"/>
      <c r="BL357" s="17"/>
      <c r="BM357" s="23"/>
      <c r="BN357" s="14"/>
      <c r="BO357" s="14"/>
      <c r="BP357" s="14"/>
      <c r="BQ357" s="14"/>
      <c r="BR357" s="17"/>
      <c r="BS357" s="23"/>
      <c r="BT357" s="14"/>
      <c r="BU357" s="14"/>
      <c r="BV357" s="14"/>
      <c r="BW357" s="14"/>
      <c r="BX357" s="17"/>
      <c r="BY357" s="23"/>
      <c r="BZ357" s="14"/>
      <c r="CA357" s="14"/>
      <c r="CB357" s="14"/>
      <c r="CC357" s="14"/>
      <c r="CD357" s="17"/>
      <c r="CE357" s="23"/>
      <c r="CF357" s="14"/>
      <c r="CG357" s="14"/>
      <c r="CH357" s="14"/>
      <c r="CI357" s="14"/>
      <c r="CJ357" s="17"/>
      <c r="CK357" s="23"/>
      <c r="CL357" s="14"/>
      <c r="CM357" s="14"/>
      <c r="CN357" s="14"/>
      <c r="CO357" s="14"/>
      <c r="CP357" s="17"/>
      <c r="CQ357" s="23"/>
      <c r="CR357" s="14"/>
      <c r="CS357" s="14"/>
      <c r="CT357" s="14"/>
      <c r="CU357" s="14"/>
      <c r="CV357" s="17"/>
      <c r="CW357" s="23"/>
      <c r="CX357" s="14"/>
      <c r="CY357" s="14"/>
      <c r="CZ357" s="14"/>
      <c r="DA357" s="14"/>
      <c r="DB357" s="17"/>
      <c r="DC357" s="23"/>
      <c r="DD357" s="14"/>
      <c r="DE357" s="14"/>
      <c r="DF357" s="14"/>
      <c r="DG357" s="14"/>
      <c r="DH357" s="14">
        <f>SUM(DE357:DG357)</f>
        <v>0</v>
      </c>
      <c r="DI357" s="47">
        <f>SUM(DH357/DX357)</f>
        <v>0</v>
      </c>
      <c r="DJ357" s="14">
        <f>39+195</f>
        <v>234</v>
      </c>
      <c r="DK357" s="32">
        <f>COUNTIF(DQ357, "*")+COUNTIF(AN357, "*")+COUNTIF(AI357, "*")+COUNTIF(AA357, "*")+COUNTIF(EN357, "*")+COUNTIF(ET357, "*")+COUNTIF(EZ357, "*")+COUNTIF(FD357, "*")+COUNTIF(FK357, "*")+COUNTIF(FS357, "*")+COUNTIF(FZ357, "*")+COUNTIF(GK357, "*")+COUNTIF(GV357, "*")+COUNTIF(HD357, "*")+COUNTIF(HL357, "*")+COUNTIF(HT357, "*")+COUNTIF(IB357, "*")</f>
        <v>4</v>
      </c>
      <c r="DL357" s="14">
        <f>DK357*0.5+DK357*6.36</f>
        <v>27.44</v>
      </c>
      <c r="DM357" s="14"/>
      <c r="DN357" s="14">
        <f>SUM(DH357,DJ357,DT357, DM357, DL357,FW357)</f>
        <v>261.44</v>
      </c>
      <c r="DO357" s="14"/>
      <c r="DP357" s="14"/>
      <c r="DQ357" s="14"/>
      <c r="DR357" s="14"/>
      <c r="DS357" s="25"/>
      <c r="DT357" s="14">
        <f>SUM(DO357:DS357)</f>
        <v>0</v>
      </c>
      <c r="DU357" s="24" t="s">
        <v>1997</v>
      </c>
      <c r="DV357" s="25">
        <v>20600</v>
      </c>
      <c r="DW357" s="25">
        <v>6200</v>
      </c>
      <c r="DX357" s="25">
        <f>SUM(DV357+DW357)</f>
        <v>26800</v>
      </c>
      <c r="DY357" s="36">
        <v>1.1100000000000001</v>
      </c>
      <c r="DZ357" s="18" t="s">
        <v>2358</v>
      </c>
      <c r="EL357" t="s">
        <v>2356</v>
      </c>
      <c r="EN357" t="s">
        <v>2357</v>
      </c>
      <c r="EP357" t="s">
        <v>386</v>
      </c>
      <c r="FX357" s="18" t="s">
        <v>421</v>
      </c>
      <c r="FY357" t="s">
        <v>861</v>
      </c>
      <c r="FZ357" s="18" t="s">
        <v>422</v>
      </c>
      <c r="GA357" s="18"/>
      <c r="GB357" s="18" t="s">
        <v>274</v>
      </c>
      <c r="GC357" s="18" t="s">
        <v>275</v>
      </c>
      <c r="GD357" s="9">
        <v>39099</v>
      </c>
      <c r="GE357" t="s">
        <v>2359</v>
      </c>
      <c r="IJ357" s="18"/>
      <c r="IK357" s="18"/>
      <c r="IL357" s="18"/>
      <c r="IM357" s="18"/>
      <c r="IN357" s="14"/>
      <c r="IO357" s="27">
        <v>44377</v>
      </c>
      <c r="IP357" s="18"/>
      <c r="IQ357" s="18"/>
      <c r="IR357" s="18"/>
      <c r="IS357" s="18"/>
      <c r="IT357" s="18"/>
      <c r="IU357" s="18"/>
      <c r="IV357" s="18"/>
      <c r="IW357" s="18"/>
      <c r="IX357" s="18"/>
    </row>
    <row r="358" spans="1:268" ht="15" customHeight="1">
      <c r="A358" s="19">
        <v>102021011</v>
      </c>
      <c r="B358" s="18" t="s">
        <v>2047</v>
      </c>
      <c r="C358" s="18"/>
      <c r="D358" s="13"/>
      <c r="E358" s="24"/>
      <c r="F358" s="24"/>
      <c r="G358" s="18">
        <v>210001162</v>
      </c>
      <c r="H358" s="18"/>
      <c r="I358" s="18"/>
      <c r="J358" s="18" t="s">
        <v>311</v>
      </c>
      <c r="K358" s="18" t="s">
        <v>2048</v>
      </c>
      <c r="L358" s="18" t="s">
        <v>1355</v>
      </c>
      <c r="M358" s="18" t="s">
        <v>326</v>
      </c>
      <c r="N358" s="18" t="s">
        <v>341</v>
      </c>
      <c r="O358" s="18"/>
      <c r="P358" s="18"/>
      <c r="Q358" s="18"/>
      <c r="R358" s="18"/>
      <c r="S358" s="18"/>
      <c r="T358" s="18"/>
      <c r="U358" s="18"/>
      <c r="V358" s="18"/>
      <c r="W358" s="18"/>
      <c r="X358" s="18"/>
      <c r="Y358" s="18"/>
      <c r="Z358" s="18"/>
      <c r="AA358" s="18"/>
      <c r="AB358" s="18"/>
      <c r="AC358" s="18"/>
      <c r="AD358" s="18" t="s">
        <v>3915</v>
      </c>
      <c r="AE358" s="18" t="s">
        <v>253</v>
      </c>
      <c r="AF358" s="18" t="s">
        <v>3915</v>
      </c>
      <c r="AG358" s="26" t="s">
        <v>2216</v>
      </c>
      <c r="AH358" s="31" t="s">
        <v>3916</v>
      </c>
      <c r="AI358" s="18"/>
      <c r="AJ358" s="18"/>
      <c r="AK358" s="18"/>
      <c r="AL358" s="18"/>
      <c r="AM358" s="18"/>
      <c r="AN358" s="18"/>
      <c r="AO358" s="24" t="s">
        <v>2141</v>
      </c>
      <c r="AP358" s="24" t="s">
        <v>258</v>
      </c>
      <c r="AQ358" s="18" t="s">
        <v>386</v>
      </c>
      <c r="AR358" s="18" t="s">
        <v>260</v>
      </c>
      <c r="AS358" s="13"/>
      <c r="AT358" s="13"/>
      <c r="AU358" s="13"/>
      <c r="AV358" s="13"/>
      <c r="AW358" s="13"/>
      <c r="AX358" s="19"/>
      <c r="AY358" s="117"/>
      <c r="AZ358" s="114"/>
      <c r="BA358" s="19"/>
      <c r="BB358" s="19"/>
      <c r="BC358" s="19"/>
      <c r="BD358" s="19"/>
      <c r="BE358" s="19"/>
      <c r="BF358" s="19"/>
      <c r="BG358" s="20">
        <f ca="1">SUM(DE358)+214.5</f>
        <v>464.64520000000005</v>
      </c>
      <c r="BH358" s="22">
        <f ca="1">PMT(10%/12,12,BG358,0,0)</f>
        <v>-40.849695005165259</v>
      </c>
      <c r="BI358" s="22">
        <f ca="1">SUM(BH358*-1)</f>
        <v>40.849695005165259</v>
      </c>
      <c r="BJ358" s="14">
        <f>SUM(DO358*0.0052)/12</f>
        <v>12.479999999999999</v>
      </c>
      <c r="BK358" s="22">
        <f ca="1">SUM(BI358+BJ358)</f>
        <v>53.329695005165256</v>
      </c>
      <c r="BL358" s="14"/>
      <c r="BM358" s="14">
        <f>SUM(BL358*0.1)</f>
        <v>0</v>
      </c>
      <c r="BN358" s="14">
        <f ca="1">SUM(BO358*BP358)</f>
        <v>0</v>
      </c>
      <c r="BO358" s="17">
        <f>SUM((BL358+BM358)*0.00833333333333333)</f>
        <v>0</v>
      </c>
      <c r="BP358" s="23">
        <f ca="1">MONTH(TODAY())+49</f>
        <v>53</v>
      </c>
      <c r="BQ358" s="14">
        <f ca="1">SUM(BL358,BM358,BN358)</f>
        <v>0</v>
      </c>
      <c r="BR358" s="14">
        <v>0</v>
      </c>
      <c r="BS358" s="14">
        <f>SUM(BR358*0.1)</f>
        <v>0</v>
      </c>
      <c r="BT358" s="14">
        <f ca="1">SUM(BU358*BV358)</f>
        <v>0</v>
      </c>
      <c r="BU358" s="17">
        <f>SUM((BR358+BS358)*0.00833333333333333)</f>
        <v>0</v>
      </c>
      <c r="BV358" s="23">
        <f ca="1">MONTH(TODAY())+37</f>
        <v>41</v>
      </c>
      <c r="BW358" s="14">
        <f ca="1">SUM(BR358,BS358,BT358)</f>
        <v>0</v>
      </c>
      <c r="BX358" s="14">
        <v>0</v>
      </c>
      <c r="BY358" s="14">
        <f>SUM(BX358*0.1)</f>
        <v>0</v>
      </c>
      <c r="BZ358" s="14">
        <f ca="1">SUM(CA358*CB358)</f>
        <v>0</v>
      </c>
      <c r="CA358" s="17">
        <f>SUM((BX358+BY358)*0.00833333333333333)</f>
        <v>0</v>
      </c>
      <c r="CB358" s="23">
        <f ca="1">MONTH(TODAY())+25</f>
        <v>29</v>
      </c>
      <c r="CC358" s="14">
        <f ca="1">SUM(BX358,BY358,BZ358)</f>
        <v>0</v>
      </c>
      <c r="CD358" s="14">
        <v>0</v>
      </c>
      <c r="CE358" s="14">
        <f>SUM(CD358*0.1)</f>
        <v>0</v>
      </c>
      <c r="CF358" s="14">
        <f ca="1">SUM(CG358*CH358)</f>
        <v>0</v>
      </c>
      <c r="CG358" s="17">
        <f>SUM((CD358+CE358)*0.00833333333333333)</f>
        <v>0</v>
      </c>
      <c r="CH358" s="23">
        <f ca="1">MONTH(TODAY())+13</f>
        <v>17</v>
      </c>
      <c r="CI358" s="14">
        <f ca="1">SUM(CD358,CE358,CF358)</f>
        <v>0</v>
      </c>
      <c r="CJ358" s="14">
        <v>0</v>
      </c>
      <c r="CK358" s="14">
        <f>SUM(CJ358*0.1)</f>
        <v>0</v>
      </c>
      <c r="CL358" s="14">
        <f ca="1">SUM(CM358*CN358)</f>
        <v>0</v>
      </c>
      <c r="CM358" s="17">
        <f>SUM((CJ358+CK358)*0.00833333333333333)</f>
        <v>0</v>
      </c>
      <c r="CN358" s="23">
        <f ca="1">MONTH(TODAY())+1</f>
        <v>5</v>
      </c>
      <c r="CO358" s="14">
        <f ca="1">SUM(CJ358,CK358,CL358)</f>
        <v>0</v>
      </c>
      <c r="CP358" s="14">
        <f>SUM(DO358*0.0052)/2</f>
        <v>74.88</v>
      </c>
      <c r="CQ358" s="14">
        <f>SUM(CP358*0.1)</f>
        <v>7.4879999999999995</v>
      </c>
      <c r="CR358" s="14">
        <f ca="1">SUM(CS358*CT358)</f>
        <v>-1.3727999999999994</v>
      </c>
      <c r="CS358" s="17">
        <f>SUM((CP358+CQ358)*0.00833333333333333)</f>
        <v>0.68639999999999968</v>
      </c>
      <c r="CT358" s="23">
        <f ca="1">MONTH(TODAY())-6</f>
        <v>-2</v>
      </c>
      <c r="CU358" s="23">
        <f ca="1">SUM(CP358,CQ358,CR358)</f>
        <v>80.995199999999997</v>
      </c>
      <c r="CV358" s="14">
        <f>SUM(BL358, BR358, BX358, CD358, CJ358, CP358)</f>
        <v>74.88</v>
      </c>
      <c r="CW358" s="14">
        <f>SUM(BM358, BS358,BY358,CE358,CK358, CQ358)</f>
        <v>7.4879999999999995</v>
      </c>
      <c r="CX358" s="14">
        <f ca="1">SUM(BN358, BT358,BZ358,CF358,CL358, CR358)</f>
        <v>-1.3727999999999994</v>
      </c>
      <c r="CY358" s="14">
        <f ca="1">SUM(CV358:CX358)</f>
        <v>80.995199999999997</v>
      </c>
      <c r="CZ358" s="47">
        <f ca="1">SUM(CY358/DO358)</f>
        <v>2.8123333333333334E-3</v>
      </c>
      <c r="DA358" s="14">
        <f>90.62+39+39</f>
        <v>168.62</v>
      </c>
      <c r="DB358" s="32">
        <f>COUNTIF(DH358, "*")+COUNTIF(AO358, "*")+COUNTIF(AJ358, "*")+COUNTIF(AA358, "*")+COUNTIF(EE358, "*")+COUNTIF(EK358, "*")+COUNTIF(EQ358, "*")+COUNTIF(EU358, "*")+COUNTIF(FB358, "*")+COUNTIF(FI358, "*")+COUNTIF(FP358, "*")+COUNTIF(GA358, "*")+COUNTIF(GL358, "*")+COUNTIF(GT358, "*")+COUNTIF(HB358, "*")+COUNTIF(HJ358, "*")+COUNTIF(HR358, "*")</f>
        <v>1</v>
      </c>
      <c r="DC358" s="14">
        <v>0.53</v>
      </c>
      <c r="DD358" s="14"/>
      <c r="DE358" s="14">
        <f ca="1">SUM(CY358,DA358,DK358, DD358, DC358,FM358)</f>
        <v>250.14520000000002</v>
      </c>
      <c r="DF358" s="14"/>
      <c r="DG358" s="14"/>
      <c r="DH358" s="14"/>
      <c r="DI358" s="23"/>
      <c r="DJ358" s="25"/>
      <c r="DK358" s="14">
        <f>SUM(DF358:DJ358)</f>
        <v>0</v>
      </c>
      <c r="DL358" s="24">
        <v>2022</v>
      </c>
      <c r="DM358" s="25">
        <v>21900</v>
      </c>
      <c r="DN358" s="25">
        <v>6900</v>
      </c>
      <c r="DO358" s="25">
        <f>SUM(DM358+DN358)</f>
        <v>28800</v>
      </c>
      <c r="DP358" s="36">
        <v>2.4700000000000002</v>
      </c>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4"/>
      <c r="IJ358" s="18"/>
      <c r="IK358" s="18"/>
      <c r="IL358" s="18"/>
      <c r="IM358" s="18"/>
      <c r="IN358" s="18"/>
    </row>
    <row r="359" spans="1:268" ht="15" customHeight="1">
      <c r="A359" s="19">
        <v>102022106</v>
      </c>
      <c r="B359" t="s">
        <v>3103</v>
      </c>
      <c r="D359" s="1"/>
      <c r="J359" t="s">
        <v>311</v>
      </c>
      <c r="K359" t="s">
        <v>1186</v>
      </c>
      <c r="L359" t="s">
        <v>3083</v>
      </c>
      <c r="AG359" s="248"/>
      <c r="AJ359" t="s">
        <v>3104</v>
      </c>
      <c r="AK359" t="s">
        <v>258</v>
      </c>
      <c r="AL359" t="s">
        <v>386</v>
      </c>
      <c r="AM359" s="3" t="s">
        <v>260</v>
      </c>
      <c r="AO359" t="s">
        <v>773</v>
      </c>
      <c r="AP359" s="1" t="s">
        <v>258</v>
      </c>
      <c r="AQ359" s="3" t="s">
        <v>386</v>
      </c>
      <c r="AR359" s="3" t="s">
        <v>260</v>
      </c>
      <c r="AS359" s="1"/>
      <c r="AT359" s="1"/>
      <c r="AU359" s="1"/>
      <c r="AV359" s="1"/>
      <c r="AW359" s="1"/>
      <c r="AX359" s="2"/>
      <c r="AY359" s="116"/>
      <c r="AZ359" s="115"/>
      <c r="BA359" s="2"/>
      <c r="BB359" s="2"/>
      <c r="BC359" s="2"/>
      <c r="BD359" s="2"/>
      <c r="BE359" s="2"/>
      <c r="BF359" s="2"/>
      <c r="BG359" s="20"/>
      <c r="BH359" s="22"/>
      <c r="BI359" s="22"/>
      <c r="BJ359" s="14"/>
      <c r="BK359" s="22"/>
      <c r="BL359" s="14"/>
      <c r="BM359" s="14"/>
      <c r="BN359" s="14"/>
      <c r="BO359" s="17"/>
      <c r="BP359" s="23"/>
      <c r="BQ359" s="14"/>
      <c r="BR359" s="14"/>
      <c r="BS359" s="14"/>
      <c r="BT359" s="14"/>
      <c r="BU359" s="17"/>
      <c r="BV359" s="23"/>
      <c r="BW359" s="14"/>
      <c r="BX359" s="14"/>
      <c r="BY359" s="14"/>
      <c r="BZ359" s="14"/>
      <c r="CA359" s="17"/>
      <c r="CB359" s="23"/>
      <c r="CC359" s="14"/>
      <c r="CD359" s="14"/>
      <c r="CE359" s="14"/>
      <c r="CF359" s="14"/>
      <c r="CG359" s="17"/>
      <c r="CH359" s="23"/>
      <c r="CI359" s="14"/>
      <c r="CJ359" s="14"/>
      <c r="CK359" s="14"/>
      <c r="CL359" s="14"/>
      <c r="CM359" s="17"/>
      <c r="CN359" s="23"/>
      <c r="CO359" s="14"/>
      <c r="CP359" s="14"/>
      <c r="CQ359" s="14"/>
      <c r="CR359" s="14"/>
      <c r="CS359" s="14"/>
      <c r="CT359" s="47"/>
      <c r="CU359" s="14"/>
      <c r="CV359" s="32"/>
      <c r="CW359" s="14"/>
      <c r="CX359" s="4"/>
      <c r="CY359" s="14"/>
      <c r="CZ359" s="4"/>
      <c r="DE359" s="14"/>
      <c r="DF359" s="24"/>
      <c r="DG359" s="4"/>
      <c r="DH359" s="4"/>
      <c r="DI359" s="25"/>
      <c r="DJ359" s="35">
        <v>1.73</v>
      </c>
      <c r="IC359" s="4"/>
      <c r="JA359" s="18"/>
      <c r="JB359" s="18"/>
      <c r="JC359" s="18"/>
    </row>
    <row r="360" spans="1:268" ht="15" customHeight="1">
      <c r="A360" s="19">
        <v>102022158</v>
      </c>
      <c r="B360" t="s">
        <v>2848</v>
      </c>
      <c r="D360" s="1">
        <v>2025</v>
      </c>
      <c r="J360" t="s">
        <v>311</v>
      </c>
      <c r="K360" t="s">
        <v>3185</v>
      </c>
      <c r="L360" t="s">
        <v>1156</v>
      </c>
      <c r="M360" t="s">
        <v>326</v>
      </c>
      <c r="AJ360" s="18" t="s">
        <v>328</v>
      </c>
      <c r="AL360" t="s">
        <v>386</v>
      </c>
      <c r="AM360"/>
      <c r="AN360"/>
      <c r="AO360" s="3" t="s">
        <v>3186</v>
      </c>
      <c r="AP360" s="3" t="s">
        <v>258</v>
      </c>
      <c r="AQ360" s="3" t="s">
        <v>3187</v>
      </c>
      <c r="AR360"/>
      <c r="AT360" s="1"/>
      <c r="AU360" s="1"/>
      <c r="AV360" s="1"/>
      <c r="AW360" s="1"/>
      <c r="AX360" s="2"/>
      <c r="AY360" s="116"/>
      <c r="AZ360" s="115"/>
      <c r="BA360" s="2"/>
      <c r="BB360" s="2"/>
      <c r="BC360" s="2"/>
      <c r="BD360" s="2"/>
      <c r="BE360" s="2"/>
      <c r="BF360" s="2"/>
      <c r="BG360" s="20"/>
      <c r="BH360" s="22"/>
      <c r="BI360" s="22"/>
      <c r="BJ360" s="14"/>
      <c r="BK360" s="22"/>
      <c r="BL360" s="14"/>
      <c r="BM360" s="14"/>
      <c r="BN360" s="14"/>
      <c r="BO360" s="17"/>
      <c r="BP360" s="23"/>
      <c r="BQ360" s="14"/>
      <c r="BR360" s="14"/>
      <c r="BS360" s="14"/>
      <c r="BT360" s="14"/>
      <c r="BU360" s="17"/>
      <c r="BV360" s="23"/>
      <c r="BW360" s="14"/>
      <c r="BX360" s="14"/>
      <c r="BY360" s="14"/>
      <c r="BZ360" s="14"/>
      <c r="CA360" s="17"/>
      <c r="CB360" s="23"/>
      <c r="CC360" s="14"/>
      <c r="CD360" s="14"/>
      <c r="CE360" s="14"/>
      <c r="CF360" s="14"/>
      <c r="CG360" s="17"/>
      <c r="CH360" s="23"/>
      <c r="CI360" s="14"/>
      <c r="CJ360" s="14"/>
      <c r="CK360" s="14"/>
      <c r="CL360" s="14"/>
      <c r="CM360" s="17"/>
      <c r="CN360" s="23"/>
      <c r="CO360" s="14"/>
      <c r="CP360" s="14"/>
      <c r="CQ360" s="14"/>
      <c r="CR360" s="14"/>
      <c r="CS360" s="14"/>
      <c r="CT360" s="47"/>
      <c r="CU360" s="14"/>
      <c r="CV360" s="32"/>
      <c r="CW360" s="14"/>
      <c r="CX360" s="4"/>
      <c r="CY360" s="14"/>
      <c r="CZ360" s="4"/>
      <c r="DE360" s="14"/>
      <c r="DF360" s="24"/>
      <c r="DG360" s="4"/>
      <c r="DH360" s="4"/>
      <c r="DI360" s="25"/>
      <c r="DJ360" s="35">
        <v>0.49</v>
      </c>
      <c r="IC360" s="4"/>
      <c r="IZ360" s="243"/>
      <c r="JA360" s="243"/>
      <c r="JB360" s="243"/>
      <c r="JC360" s="243"/>
    </row>
    <row r="361" spans="1:268" ht="15" customHeight="1">
      <c r="A361" s="19">
        <v>102019074</v>
      </c>
      <c r="B361" s="14" t="s">
        <v>694</v>
      </c>
      <c r="C361" s="13"/>
      <c r="D361" s="13"/>
      <c r="E361" s="24" t="s">
        <v>2385</v>
      </c>
      <c r="F361" s="19">
        <v>210001576</v>
      </c>
      <c r="G361" s="18"/>
      <c r="H361" s="18"/>
      <c r="I361" s="18"/>
      <c r="J361" s="18" t="s">
        <v>253</v>
      </c>
      <c r="K361" s="18" t="s">
        <v>695</v>
      </c>
      <c r="L361" s="18" t="s">
        <v>696</v>
      </c>
      <c r="M361" s="18"/>
      <c r="N361" s="18"/>
      <c r="O361" s="13"/>
      <c r="P361" s="18"/>
      <c r="Q361" s="18"/>
      <c r="R361" s="18"/>
      <c r="S361" s="18"/>
      <c r="T361" s="13"/>
      <c r="U361" s="18"/>
      <c r="V361" s="18"/>
      <c r="W361" s="18"/>
      <c r="X361" s="18"/>
      <c r="Y361" s="18"/>
      <c r="Z361" s="18"/>
      <c r="AA361" s="18"/>
      <c r="AB361" s="18"/>
      <c r="AC361" s="18"/>
      <c r="AD361" s="18"/>
      <c r="AE361" s="18"/>
      <c r="AF361" s="18"/>
      <c r="AG361" s="231"/>
      <c r="AH361" s="18"/>
      <c r="AI361" s="18"/>
      <c r="AJ361" s="14" t="s">
        <v>328</v>
      </c>
      <c r="AK361" s="14"/>
      <c r="AL361" s="18" t="s">
        <v>386</v>
      </c>
      <c r="AM361" s="24"/>
      <c r="AN361" s="24" t="s">
        <v>603</v>
      </c>
      <c r="AO361" s="14" t="s">
        <v>604</v>
      </c>
      <c r="AP361" s="20" t="s">
        <v>258</v>
      </c>
      <c r="AQ361" s="24" t="s">
        <v>259</v>
      </c>
      <c r="AR361" s="24" t="s">
        <v>260</v>
      </c>
      <c r="AS361" s="20"/>
      <c r="AT361" s="20"/>
      <c r="AU361" s="13"/>
      <c r="AV361" s="13"/>
      <c r="AW361" s="13"/>
      <c r="AX361" s="48"/>
      <c r="AY361" s="48"/>
      <c r="AZ361" s="48"/>
      <c r="BA361" s="48"/>
      <c r="BB361" s="19"/>
      <c r="BC361" s="48"/>
      <c r="BD361" s="48"/>
      <c r="BE361" s="48"/>
      <c r="BF361" s="19"/>
      <c r="BG361" s="20"/>
      <c r="BH361" s="22"/>
      <c r="BI361" s="22"/>
      <c r="BJ361" s="14"/>
      <c r="BK361" s="22"/>
      <c r="BL361" s="14"/>
      <c r="BM361" s="14"/>
      <c r="BN361" s="14"/>
      <c r="BO361" s="17"/>
      <c r="BP361" s="23"/>
      <c r="BQ361" s="14"/>
      <c r="BR361" s="14"/>
      <c r="BS361" s="14"/>
      <c r="BT361" s="14"/>
      <c r="BU361" s="17"/>
      <c r="BV361" s="23"/>
      <c r="BW361" s="14"/>
      <c r="BX361" s="14"/>
      <c r="BY361" s="14"/>
      <c r="BZ361" s="14"/>
      <c r="CA361" s="17"/>
      <c r="CB361" s="23"/>
      <c r="CC361" s="14"/>
      <c r="CD361" s="14"/>
      <c r="CE361" s="14"/>
      <c r="CF361" s="14"/>
      <c r="CG361" s="17"/>
      <c r="CH361" s="23"/>
      <c r="CI361" s="14"/>
      <c r="CJ361" s="14"/>
      <c r="CK361" s="14"/>
      <c r="CL361" s="14"/>
      <c r="CM361" s="17"/>
      <c r="CN361" s="23"/>
      <c r="CO361" s="14"/>
      <c r="CP361" s="14"/>
      <c r="CQ361" s="14"/>
      <c r="CR361" s="14"/>
      <c r="CS361" s="17"/>
      <c r="CT361" s="23"/>
      <c r="CU361" s="14"/>
      <c r="CV361" s="14"/>
      <c r="CW361" s="14"/>
      <c r="CX361" s="14"/>
      <c r="CY361" s="14"/>
      <c r="CZ361" s="14"/>
      <c r="DA361" s="14"/>
      <c r="DB361" s="14"/>
      <c r="DC361" s="14"/>
      <c r="DD361" s="14"/>
      <c r="DE361" s="14"/>
      <c r="DF361" s="47"/>
      <c r="DG361" s="14"/>
      <c r="DH361" s="32"/>
      <c r="DI361" s="14"/>
      <c r="DJ361" s="14">
        <f>200+150</f>
        <v>350</v>
      </c>
      <c r="DK361" s="14">
        <f>SUM(DE361,DG361,DQ361, DJ361, DI361,FS361)</f>
        <v>1910.83</v>
      </c>
      <c r="DL361" s="14">
        <f>32.58+642</f>
        <v>674.58</v>
      </c>
      <c r="DM361" s="14">
        <f>93.75+110</f>
        <v>203.75</v>
      </c>
      <c r="DN361" s="14">
        <v>72.5</v>
      </c>
      <c r="DO361" s="14"/>
      <c r="DP361" s="25">
        <v>610</v>
      </c>
      <c r="DQ361" s="14">
        <f>SUM(DL361:DP361)</f>
        <v>1560.83</v>
      </c>
      <c r="DR361" s="24" t="s">
        <v>2217</v>
      </c>
      <c r="DS361" s="25">
        <v>20300</v>
      </c>
      <c r="DT361" s="25">
        <v>0</v>
      </c>
      <c r="DU361" s="25">
        <f>SUM(DS361+DT361)</f>
        <v>20300</v>
      </c>
      <c r="DV361" s="36">
        <v>1.06</v>
      </c>
      <c r="DW361" s="18" t="s">
        <v>2237</v>
      </c>
      <c r="DX361" s="18" t="s">
        <v>2238</v>
      </c>
      <c r="DY361" s="18" t="s">
        <v>2239</v>
      </c>
      <c r="DZ361" s="18"/>
      <c r="EA361" s="18"/>
      <c r="EB361" s="18"/>
      <c r="EC361" s="18"/>
      <c r="ED361" s="18"/>
      <c r="EE361" s="18"/>
      <c r="EF361" s="18"/>
      <c r="EG361" s="18"/>
      <c r="EH361" s="18"/>
      <c r="EI361" s="18" t="s">
        <v>2240</v>
      </c>
      <c r="EJ361" s="18" t="s">
        <v>258</v>
      </c>
      <c r="EK361" s="18" t="s">
        <v>2228</v>
      </c>
      <c r="EL361" s="18"/>
      <c r="EM361" s="18"/>
      <c r="EN361" s="18"/>
      <c r="EO361" s="18" t="s">
        <v>2241</v>
      </c>
      <c r="EP361" s="18" t="s">
        <v>258</v>
      </c>
      <c r="EQ361" s="18" t="s">
        <v>2228</v>
      </c>
      <c r="ER361" s="18"/>
      <c r="ES361" s="18"/>
      <c r="ET361" s="18"/>
      <c r="EU361" s="18"/>
      <c r="EV361" s="18"/>
      <c r="EW361" s="18"/>
      <c r="EX361" s="18"/>
      <c r="EY361" s="18"/>
      <c r="EZ361" s="18"/>
      <c r="FA361" s="18"/>
      <c r="FB361" s="18"/>
      <c r="FC361" s="18"/>
      <c r="FD361" s="18"/>
      <c r="FE361" s="27"/>
      <c r="FF361" s="18"/>
      <c r="FG361" s="18"/>
      <c r="FH361" s="18"/>
      <c r="FI361" s="18"/>
      <c r="FJ361" s="18"/>
      <c r="FK361" s="18"/>
      <c r="FL361" s="18"/>
      <c r="FM361" s="18"/>
      <c r="FN361" s="18"/>
      <c r="FO361" s="18"/>
      <c r="FP361" s="18"/>
      <c r="FQ361" s="18"/>
      <c r="FR361" s="18"/>
      <c r="FS361" s="14"/>
      <c r="FT361" s="18"/>
      <c r="FU361" s="18"/>
      <c r="FV361" s="18"/>
      <c r="FW361" s="18"/>
      <c r="FX361" s="28"/>
      <c r="FY361" s="18"/>
      <c r="FZ361" s="18"/>
      <c r="GA361" s="18"/>
      <c r="GB361" s="18"/>
      <c r="GC361" s="18"/>
      <c r="GD361" s="18"/>
      <c r="GE361" s="18"/>
      <c r="GF361" s="18"/>
      <c r="GG361" s="18"/>
      <c r="GH361" s="28"/>
      <c r="GI361" s="18"/>
      <c r="GJ361" s="18"/>
      <c r="GK361" s="18"/>
      <c r="GL361" s="18"/>
      <c r="GM361" s="18"/>
      <c r="GN361" s="18"/>
      <c r="GO361" s="18"/>
      <c r="GP361" s="18"/>
      <c r="GQ361" s="18"/>
      <c r="GR361" s="18"/>
      <c r="GS361" s="18"/>
      <c r="GT361" s="18"/>
      <c r="GU361" s="18"/>
      <c r="GV361" s="18"/>
      <c r="GW361" s="27"/>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4"/>
      <c r="IF361" s="14"/>
      <c r="IG361" s="27"/>
      <c r="IH361" s="18"/>
      <c r="II361" s="18"/>
      <c r="IJ361" s="18"/>
      <c r="IK361" s="18"/>
      <c r="IW361" s="18"/>
      <c r="IX361" s="18"/>
      <c r="IY361" s="18"/>
    </row>
    <row r="362" spans="1:268" ht="15" customHeight="1">
      <c r="A362" s="19">
        <v>102019074</v>
      </c>
      <c r="B362" s="14" t="s">
        <v>694</v>
      </c>
      <c r="C362" s="13"/>
      <c r="D362" s="13"/>
      <c r="E362" s="24" t="s">
        <v>2385</v>
      </c>
      <c r="F362" s="19">
        <v>210001576</v>
      </c>
      <c r="G362" s="18"/>
      <c r="H362" s="18"/>
      <c r="I362" s="18"/>
      <c r="J362" s="18" t="s">
        <v>253</v>
      </c>
      <c r="K362" s="18" t="s">
        <v>695</v>
      </c>
      <c r="L362" s="18" t="s">
        <v>696</v>
      </c>
      <c r="M362" s="18"/>
      <c r="N362" s="18"/>
      <c r="O362" s="13"/>
      <c r="P362" s="18"/>
      <c r="Q362" s="18"/>
      <c r="R362" s="18"/>
      <c r="S362" s="18"/>
      <c r="T362" s="13"/>
      <c r="U362" s="18"/>
      <c r="V362" s="18"/>
      <c r="W362" s="18"/>
      <c r="X362" s="18"/>
      <c r="Y362" s="18"/>
      <c r="Z362" s="18"/>
      <c r="AA362" s="18"/>
      <c r="AB362" s="18"/>
      <c r="AC362" s="18"/>
      <c r="AD362" s="18"/>
      <c r="AE362" s="18"/>
      <c r="AF362" s="18"/>
      <c r="AG362" s="37"/>
      <c r="AH362" s="18"/>
      <c r="AI362" s="18"/>
      <c r="AJ362" s="14" t="s">
        <v>328</v>
      </c>
      <c r="AK362" s="14"/>
      <c r="AL362" s="18" t="s">
        <v>386</v>
      </c>
      <c r="AM362" s="18"/>
      <c r="AN362" s="18" t="s">
        <v>603</v>
      </c>
      <c r="AO362" s="63" t="s">
        <v>604</v>
      </c>
      <c r="AP362" s="63" t="s">
        <v>258</v>
      </c>
      <c r="AQ362" s="24" t="s">
        <v>259</v>
      </c>
      <c r="AR362" s="24" t="s">
        <v>260</v>
      </c>
      <c r="AS362" s="20"/>
      <c r="AT362" s="20"/>
      <c r="AU362" s="13" t="s">
        <v>258</v>
      </c>
      <c r="AV362" s="13" t="s">
        <v>258</v>
      </c>
      <c r="AW362" s="13" t="s">
        <v>258</v>
      </c>
      <c r="AX362" s="48">
        <v>44256</v>
      </c>
      <c r="AY362" s="48">
        <v>43842</v>
      </c>
      <c r="AZ362" s="48">
        <v>44222</v>
      </c>
      <c r="BA362" s="48">
        <v>44302</v>
      </c>
      <c r="BB362" s="19" t="s">
        <v>318</v>
      </c>
      <c r="BC362" s="48">
        <v>44288</v>
      </c>
      <c r="BD362" s="48">
        <v>44295</v>
      </c>
      <c r="BE362" s="48">
        <v>44316</v>
      </c>
      <c r="BF362" s="19" t="s">
        <v>319</v>
      </c>
      <c r="BG362" s="20">
        <v>3745.0756666666666</v>
      </c>
      <c r="BH362" s="22">
        <v>-329.25164997851965</v>
      </c>
      <c r="BI362" s="22">
        <v>329.25164997851965</v>
      </c>
      <c r="BJ362" s="14">
        <v>8.7966666666666651</v>
      </c>
      <c r="BK362" s="22">
        <v>338.04831664518633</v>
      </c>
      <c r="BL362" s="14"/>
      <c r="BM362" s="14">
        <v>0</v>
      </c>
      <c r="BN362" s="14">
        <v>0</v>
      </c>
      <c r="BO362" s="17">
        <v>0</v>
      </c>
      <c r="BP362" s="23">
        <v>70</v>
      </c>
      <c r="BQ362" s="14">
        <v>0</v>
      </c>
      <c r="BR362" s="14">
        <v>84.76</v>
      </c>
      <c r="BS362" s="14">
        <f>SUM(BR362*0.1)</f>
        <v>8.4760000000000009</v>
      </c>
      <c r="BT362" s="14">
        <f>SUM(BU362*BV362)</f>
        <v>47.394966666666647</v>
      </c>
      <c r="BU362" s="17">
        <f>SUM((BR362+BS362)*0.00833333333333333)</f>
        <v>0.77696666666666636</v>
      </c>
      <c r="BV362" s="23">
        <v>61</v>
      </c>
      <c r="BW362" s="14">
        <f>SUM(BR362,BS362,BT362)</f>
        <v>140.63096666666667</v>
      </c>
      <c r="BX362" s="14">
        <v>84.76</v>
      </c>
      <c r="BY362" s="14">
        <f>SUM(BX362*0.1)</f>
        <v>8.4760000000000009</v>
      </c>
      <c r="BZ362" s="14">
        <f>SUM(CA362*CB362)</f>
        <v>38.071366666666648</v>
      </c>
      <c r="CA362" s="17">
        <f>SUM((BX362+BY362)*0.00833333333333333)</f>
        <v>0.77696666666666636</v>
      </c>
      <c r="CB362" s="23">
        <v>49</v>
      </c>
      <c r="CC362" s="14">
        <f>SUM(BX362,BY362,BZ362)</f>
        <v>131.30736666666667</v>
      </c>
      <c r="CD362" s="14">
        <v>84.76</v>
      </c>
      <c r="CE362" s="14">
        <f>SUM(CD362*0.1)</f>
        <v>8.4760000000000009</v>
      </c>
      <c r="CF362" s="14">
        <f>SUM(CG362*CH362)</f>
        <v>28.747766666666656</v>
      </c>
      <c r="CG362" s="17">
        <f>SUM((CD362+CE362)*0.00833333333333333)</f>
        <v>0.77696666666666636</v>
      </c>
      <c r="CH362" s="23">
        <v>37</v>
      </c>
      <c r="CI362" s="14">
        <f>SUM(CD362,CE362,CF362)</f>
        <v>121.98376666666667</v>
      </c>
      <c r="CJ362" s="14">
        <v>105.55999999999999</v>
      </c>
      <c r="CK362" s="14">
        <v>10.555999999999999</v>
      </c>
      <c r="CL362" s="14">
        <f>SUM(CM362*CN362)</f>
        <v>24.19083333333332</v>
      </c>
      <c r="CM362" s="17">
        <f>SUM((CJ362+CK362)*0.00833333333333333)</f>
        <v>0.96763333333333279</v>
      </c>
      <c r="CN362" s="23">
        <v>25</v>
      </c>
      <c r="CO362" s="14">
        <f>SUM(CJ362,CK362,CL362)</f>
        <v>140.30683333333332</v>
      </c>
      <c r="CP362" s="14">
        <v>105.55999999999999</v>
      </c>
      <c r="CQ362" s="14">
        <v>10.555999999999999</v>
      </c>
      <c r="CR362" s="14">
        <f>SUM(CS362*CT362)</f>
        <v>12.579233333333326</v>
      </c>
      <c r="CS362" s="17">
        <f>SUM((CP362+CQ362)*0.00833333333333333)</f>
        <v>0.96763333333333279</v>
      </c>
      <c r="CT362" s="23">
        <v>13</v>
      </c>
      <c r="CU362" s="14">
        <f>SUM(CP362,CQ362,CR362)</f>
        <v>128.69523333333331</v>
      </c>
      <c r="CV362" s="14">
        <f>SUM(DP362*0.0052)</f>
        <v>105.55999999999999</v>
      </c>
      <c r="CW362" s="14">
        <f>SUM(BL362, BR362, BX362, CD362,CJ362,CP362, CV362)</f>
        <v>570.96</v>
      </c>
      <c r="CX362" s="14">
        <f>SUM(BM362, BS362, BY362, CE362,CK362,CQ362)</f>
        <v>46.54</v>
      </c>
      <c r="CY362" s="14">
        <f>SUM(BN362, BT362, BZ362, CF362,CL362,CR362)</f>
        <v>150.9841666666666</v>
      </c>
      <c r="CZ362" s="14">
        <f>SUM(CW362:CY362)</f>
        <v>768.48416666666662</v>
      </c>
      <c r="DA362" s="47">
        <v>3.2025894909688012E-2</v>
      </c>
      <c r="DB362" s="14">
        <v>1846.5</v>
      </c>
      <c r="DC362" s="32">
        <v>4</v>
      </c>
      <c r="DD362" s="14">
        <f>20.12+25.03</f>
        <v>45.150000000000006</v>
      </c>
      <c r="DE362" s="14">
        <v>350</v>
      </c>
      <c r="DF362" s="18"/>
      <c r="DG362" s="14">
        <f>674.58+182.42</f>
        <v>857</v>
      </c>
      <c r="DH362" s="14">
        <v>203.75</v>
      </c>
      <c r="DI362" s="14">
        <v>72.5</v>
      </c>
      <c r="DJ362" s="14">
        <v>100</v>
      </c>
      <c r="DK362" s="25">
        <v>610</v>
      </c>
      <c r="DL362" s="14">
        <f>SUM(DG362:DK362)</f>
        <v>1843.25</v>
      </c>
      <c r="DM362" s="24" t="s">
        <v>2217</v>
      </c>
      <c r="DN362" s="25">
        <v>20300</v>
      </c>
      <c r="DO362" s="25">
        <v>0</v>
      </c>
      <c r="DP362" s="25">
        <v>20300</v>
      </c>
      <c r="DQ362" s="36">
        <v>1.06</v>
      </c>
      <c r="DR362" s="18" t="s">
        <v>2237</v>
      </c>
      <c r="DS362" s="18" t="s">
        <v>2238</v>
      </c>
      <c r="DT362" s="18" t="s">
        <v>2239</v>
      </c>
      <c r="DU362" s="18"/>
      <c r="DV362" s="18"/>
      <c r="DW362" s="18"/>
      <c r="DX362" s="18"/>
      <c r="DY362" s="18"/>
      <c r="DZ362" s="18"/>
      <c r="EA362" s="18"/>
      <c r="EB362" s="14">
        <f>SUM(CZ362,DB362,DL362, DE362, DD362,FK362)</f>
        <v>4853.3841666666667</v>
      </c>
      <c r="EC362" s="18"/>
      <c r="ED362" s="18" t="s">
        <v>2240</v>
      </c>
      <c r="EE362" s="18" t="s">
        <v>258</v>
      </c>
      <c r="EF362" s="18" t="s">
        <v>2228</v>
      </c>
      <c r="EG362" s="18"/>
      <c r="EH362" s="18"/>
      <c r="EI362" s="18"/>
      <c r="EJ362" s="18" t="s">
        <v>2241</v>
      </c>
      <c r="EK362" s="18" t="s">
        <v>258</v>
      </c>
      <c r="EL362" s="18" t="s">
        <v>2228</v>
      </c>
      <c r="EM362" s="18"/>
      <c r="EN362" s="18"/>
      <c r="EO362" s="18"/>
      <c r="EP362" s="18"/>
      <c r="EQ362" s="18"/>
      <c r="ER362" s="18"/>
      <c r="ES362" s="18"/>
      <c r="ET362" s="18"/>
      <c r="EU362" s="18"/>
      <c r="EV362" s="27"/>
      <c r="EW362" s="18"/>
      <c r="EX362" s="18"/>
      <c r="EY362" s="18"/>
      <c r="EZ362" s="18"/>
      <c r="FA362" s="18"/>
      <c r="FB362" s="18"/>
      <c r="FC362" s="18"/>
      <c r="FD362" s="18"/>
      <c r="FE362" s="27"/>
      <c r="FF362" s="18"/>
      <c r="FG362" s="18"/>
      <c r="FH362" s="18"/>
      <c r="FI362" s="18"/>
      <c r="FJ362" s="18"/>
      <c r="FK362" s="14"/>
      <c r="FL362" s="18"/>
      <c r="FM362" s="18"/>
      <c r="FN362" s="18"/>
      <c r="FO362" s="18"/>
      <c r="FP362" s="28"/>
      <c r="FQ362" s="18"/>
      <c r="FR362" s="18"/>
      <c r="FS362" s="18"/>
      <c r="FT362" s="18"/>
      <c r="FU362" s="18"/>
      <c r="FV362" s="18"/>
      <c r="FW362" s="18"/>
      <c r="FX362" s="18"/>
      <c r="FY362" s="18"/>
      <c r="FZ362" s="28"/>
      <c r="GA362" s="18"/>
      <c r="GB362" s="18"/>
      <c r="GC362" s="18"/>
      <c r="GD362" s="18"/>
      <c r="GE362" s="18"/>
      <c r="GF362" s="18"/>
      <c r="GG362" s="18"/>
      <c r="GH362" s="18"/>
      <c r="GI362" s="18"/>
      <c r="GJ362" s="18"/>
      <c r="GK362" s="18"/>
      <c r="GL362" s="18"/>
      <c r="GM362" s="18"/>
      <c r="GN362" s="18"/>
      <c r="GO362" s="27"/>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27">
        <v>44499</v>
      </c>
      <c r="IB362" s="14">
        <v>10000</v>
      </c>
      <c r="IC362" s="14">
        <v>1000</v>
      </c>
      <c r="ID362" s="27"/>
      <c r="IE362" s="18"/>
      <c r="IF362" s="18" t="s">
        <v>2742</v>
      </c>
      <c r="IG362" s="18" t="s">
        <v>2743</v>
      </c>
      <c r="IH362" s="18" t="s">
        <v>386</v>
      </c>
      <c r="II362" s="18"/>
      <c r="IJ362" s="18"/>
      <c r="IK362" s="14">
        <v>135.16999999999999</v>
      </c>
      <c r="IL362" s="14">
        <f>SUM(IB362-EB362-IJ362)</f>
        <v>5146.6158333333333</v>
      </c>
      <c r="IM362" s="14"/>
      <c r="IN362" s="14"/>
      <c r="IO362" s="27">
        <v>44333</v>
      </c>
      <c r="IP362" s="27">
        <v>44349</v>
      </c>
      <c r="IQ362" s="27">
        <v>44501</v>
      </c>
      <c r="IR362" s="27">
        <v>44505</v>
      </c>
      <c r="IS362" s="18"/>
      <c r="IT362" s="18"/>
      <c r="IU362" s="18"/>
      <c r="IV362" s="18"/>
      <c r="IW362" s="18"/>
      <c r="IX362" s="18"/>
      <c r="IY362" s="18"/>
      <c r="IZ362" s="18"/>
      <c r="JA362" s="18"/>
      <c r="JB362" s="18"/>
      <c r="JC362" s="18"/>
    </row>
    <row r="363" spans="1:268" ht="15" customHeight="1">
      <c r="A363" s="2">
        <v>102018056</v>
      </c>
      <c r="B363" s="4" t="s">
        <v>1197</v>
      </c>
      <c r="C363" s="4"/>
      <c r="D363" s="4"/>
      <c r="E363" s="3" t="s">
        <v>1198</v>
      </c>
      <c r="F363" s="2">
        <v>190000736</v>
      </c>
      <c r="J363" t="s">
        <v>253</v>
      </c>
      <c r="K363" t="s">
        <v>1199</v>
      </c>
      <c r="L363" t="s">
        <v>1200</v>
      </c>
      <c r="M363" t="s">
        <v>403</v>
      </c>
      <c r="O363" s="1" t="s">
        <v>258</v>
      </c>
      <c r="T363" s="1"/>
      <c r="AD363" s="5"/>
      <c r="AF363" s="1"/>
      <c r="AG363" s="34"/>
      <c r="AH363" s="4"/>
      <c r="AI363" s="4"/>
      <c r="AJ363" s="4"/>
      <c r="AN363" s="34"/>
      <c r="AO363" s="4"/>
      <c r="AP363" s="5"/>
      <c r="AR363" s="34"/>
      <c r="AS363" s="5"/>
      <c r="AT363" s="1"/>
      <c r="AU363" s="1"/>
      <c r="AV363" s="1"/>
      <c r="AW363" s="1"/>
      <c r="AX363" s="1"/>
      <c r="AY363" s="1"/>
      <c r="AZ363" s="1"/>
      <c r="BA363" s="1"/>
      <c r="BB363" s="1"/>
      <c r="BC363" s="1"/>
      <c r="BD363" s="1"/>
      <c r="BE363" s="1"/>
      <c r="BF363" s="5"/>
      <c r="BG363" s="16"/>
      <c r="BH363" s="16"/>
      <c r="BJ363" s="4"/>
      <c r="BK363" s="4"/>
      <c r="BL363" s="6"/>
      <c r="BM363" s="7"/>
      <c r="BN363" s="4"/>
      <c r="BP363" s="4"/>
      <c r="BQ363" s="4"/>
      <c r="BR363" s="6"/>
      <c r="BS363" s="7"/>
      <c r="BT363" s="4"/>
      <c r="BV363" s="4"/>
      <c r="BW363" s="4"/>
      <c r="BX363" s="6"/>
      <c r="BY363" s="7"/>
      <c r="BZ363" s="4"/>
      <c r="CA363" s="4"/>
      <c r="CB363" s="4"/>
      <c r="CC363" s="4"/>
      <c r="CD363" s="6"/>
      <c r="CE363" s="7"/>
      <c r="CF363" s="4"/>
      <c r="CG363" s="6"/>
      <c r="CH363" s="4"/>
      <c r="CI363" s="4"/>
      <c r="CJ363" s="6"/>
      <c r="CK363" s="7"/>
      <c r="CL363" s="4"/>
      <c r="CM363" s="4"/>
      <c r="CN363" s="4"/>
      <c r="CO363" s="4"/>
      <c r="CP363" s="6"/>
      <c r="CQ363" s="7"/>
      <c r="CR363" s="4"/>
      <c r="CS363" s="4"/>
      <c r="CT363" s="4"/>
      <c r="CU363" s="4"/>
      <c r="CV363" s="6"/>
      <c r="CW363" s="7"/>
      <c r="CX363" s="4"/>
      <c r="CY363" s="4"/>
      <c r="CZ363" s="4"/>
      <c r="DA363" s="4"/>
      <c r="DB363" s="6"/>
      <c r="DC363" s="7"/>
      <c r="DD363" s="4"/>
      <c r="DE363" s="4"/>
      <c r="DF363" s="4"/>
      <c r="DG363" s="4"/>
      <c r="DH363" s="6"/>
      <c r="DI363" s="7"/>
      <c r="DJ363" s="4"/>
      <c r="DK363" s="14"/>
      <c r="DL363" s="14"/>
      <c r="DM363" s="14"/>
      <c r="DN363" s="14"/>
      <c r="DP363" s="4"/>
      <c r="DQ363" s="4"/>
      <c r="DR363" s="4"/>
      <c r="DS363" s="4"/>
      <c r="DT363" s="4"/>
      <c r="DU363" s="4"/>
      <c r="DV363" s="4"/>
      <c r="DW363" s="7"/>
      <c r="DX363" s="4"/>
      <c r="DY363" s="4"/>
      <c r="DZ363" s="34"/>
      <c r="EA363" s="4"/>
      <c r="EB363" s="4"/>
      <c r="EK363" s="11"/>
      <c r="EQ363" s="11"/>
      <c r="ER363" s="11"/>
      <c r="ES363" s="4"/>
      <c r="ET363" s="4"/>
      <c r="EU363" s="4"/>
      <c r="EV363" s="4"/>
      <c r="EW363" s="4"/>
      <c r="EX363" s="4"/>
      <c r="EY363" s="4"/>
      <c r="EZ363" s="4"/>
      <c r="FA363" s="4"/>
      <c r="FB363" s="4"/>
      <c r="FC363" s="4"/>
      <c r="FD363" s="4"/>
      <c r="FE363" s="4"/>
      <c r="FF363" s="4"/>
      <c r="FJ363" s="9"/>
      <c r="FS363" s="9"/>
      <c r="GC363" s="10"/>
      <c r="GM363" s="10"/>
      <c r="HB363" s="9"/>
    </row>
    <row r="364" spans="1:268" ht="15" customHeight="1">
      <c r="A364" s="2">
        <v>102018056</v>
      </c>
      <c r="B364" t="s">
        <v>1197</v>
      </c>
      <c r="E364" t="s">
        <v>1198</v>
      </c>
      <c r="F364">
        <v>190000736</v>
      </c>
      <c r="J364" t="s">
        <v>253</v>
      </c>
      <c r="K364" t="s">
        <v>1199</v>
      </c>
      <c r="L364" t="s">
        <v>1200</v>
      </c>
      <c r="M364" t="s">
        <v>403</v>
      </c>
      <c r="O364" t="s">
        <v>258</v>
      </c>
      <c r="AJ364" s="4"/>
      <c r="AK364" s="4"/>
      <c r="AM364" s="34"/>
      <c r="AO364" s="4"/>
      <c r="AP364" s="5"/>
      <c r="AQ364" s="34"/>
      <c r="AS364" s="5"/>
      <c r="AT364" s="5"/>
      <c r="AU364" s="1"/>
      <c r="AV364" s="1"/>
      <c r="AW364" s="1"/>
      <c r="AX364" s="1"/>
      <c r="AY364" s="1"/>
      <c r="AZ364" s="1"/>
      <c r="BA364" s="1"/>
      <c r="BB364" s="1"/>
      <c r="BC364" s="1"/>
      <c r="BD364" s="1"/>
      <c r="BE364" s="1"/>
      <c r="BF364" s="1"/>
      <c r="BG364" s="5"/>
      <c r="BH364" s="16"/>
      <c r="BI364" s="16"/>
      <c r="BK364" s="4"/>
      <c r="BL364" s="4"/>
      <c r="BM364" s="6"/>
      <c r="BN364" s="7"/>
      <c r="BO364" s="4"/>
      <c r="BP364" s="4"/>
      <c r="BQ364" s="4"/>
      <c r="BR364" s="4"/>
      <c r="BS364" s="6"/>
      <c r="BT364" s="7"/>
      <c r="BU364" s="4"/>
      <c r="BV364" s="4"/>
      <c r="BW364" s="4"/>
      <c r="BX364" s="4"/>
      <c r="BY364" s="6"/>
      <c r="BZ364" s="7"/>
      <c r="CA364" s="4"/>
      <c r="CB364" s="4"/>
      <c r="CC364" s="4"/>
      <c r="CD364" s="4"/>
      <c r="CE364" s="6"/>
      <c r="CF364" s="7"/>
      <c r="CG364" s="4"/>
      <c r="CH364" s="4"/>
      <c r="CI364" s="4"/>
      <c r="CJ364" s="4"/>
      <c r="CK364" s="6"/>
      <c r="CL364" s="7"/>
      <c r="CM364" s="4"/>
      <c r="CN364" s="4"/>
      <c r="CO364" s="4"/>
      <c r="CP364" s="4"/>
      <c r="CQ364" s="6"/>
      <c r="CR364" s="7"/>
      <c r="CS364" s="4"/>
      <c r="CT364" s="4"/>
      <c r="CU364" s="4"/>
      <c r="CV364" s="4"/>
      <c r="CW364" s="6"/>
      <c r="CX364" s="7"/>
      <c r="CY364" s="4"/>
      <c r="CZ364" s="4"/>
      <c r="DA364" s="4"/>
      <c r="DB364" s="4"/>
      <c r="DC364" s="6"/>
      <c r="DD364" s="7"/>
      <c r="DE364" s="4"/>
      <c r="DF364" s="4"/>
      <c r="DG364" s="4"/>
      <c r="DH364" s="14"/>
      <c r="DI364" s="14"/>
      <c r="DJ364" s="4"/>
      <c r="DL364" s="4"/>
      <c r="DM364" s="234"/>
      <c r="DN364" s="4"/>
      <c r="DO364" s="4"/>
      <c r="DP364" s="4"/>
      <c r="DQ364" s="4"/>
      <c r="DR364" s="4"/>
      <c r="DS364" s="4"/>
      <c r="DT364" s="7"/>
      <c r="DU364" s="8"/>
      <c r="DV364" s="4"/>
      <c r="DW364" s="8"/>
      <c r="DX364" s="4"/>
      <c r="DY364" s="4"/>
      <c r="DZ364" s="7"/>
      <c r="EI364" s="11"/>
      <c r="EO364" s="11"/>
      <c r="EP364" s="11"/>
      <c r="EQ364" s="4"/>
      <c r="ER364" s="4"/>
      <c r="ES364" s="4"/>
      <c r="ET364" s="4"/>
      <c r="EU364" s="4"/>
      <c r="EV364" s="4"/>
      <c r="EW364" s="4"/>
      <c r="EX364" s="4"/>
      <c r="EY364" s="4"/>
      <c r="EZ364" s="4"/>
      <c r="FA364" s="4"/>
      <c r="FB364" s="4"/>
      <c r="FC364" s="4"/>
      <c r="FD364" s="4"/>
      <c r="FE364" s="4"/>
      <c r="FI364" s="9"/>
      <c r="FR364" s="9"/>
      <c r="FX364" s="4"/>
      <c r="GC364" s="10"/>
      <c r="GM364" s="10"/>
      <c r="HB364" s="9"/>
      <c r="IJ364" s="4"/>
      <c r="IK364" s="4"/>
      <c r="IL364" s="4"/>
      <c r="IM364" s="4"/>
      <c r="IS364" s="240"/>
      <c r="IT364" s="240"/>
      <c r="IU364" s="240"/>
      <c r="IV364" s="240"/>
    </row>
    <row r="365" spans="1:268" ht="15" customHeight="1">
      <c r="A365" s="2">
        <v>102018056</v>
      </c>
      <c r="B365" t="s">
        <v>1197</v>
      </c>
      <c r="E365" t="s">
        <v>1198</v>
      </c>
      <c r="K365" t="s">
        <v>1199</v>
      </c>
      <c r="L365" t="s">
        <v>1200</v>
      </c>
      <c r="M365" t="s">
        <v>403</v>
      </c>
      <c r="O365" s="18"/>
      <c r="P365" s="18"/>
      <c r="Q365" s="18"/>
      <c r="R365" s="18"/>
      <c r="S365" s="18"/>
      <c r="T365" s="18"/>
      <c r="U365" s="18"/>
      <c r="V365" s="18"/>
      <c r="W365" s="18"/>
      <c r="X365" s="18"/>
      <c r="Y365" s="18"/>
      <c r="Z365" s="18"/>
      <c r="AA365" s="18"/>
      <c r="AB365" s="18"/>
      <c r="AC365" s="18"/>
      <c r="AD365" s="18"/>
      <c r="AE365" s="18"/>
      <c r="AF365" s="18"/>
      <c r="AG365" s="24"/>
      <c r="AH365" s="18"/>
      <c r="AI365" s="18"/>
      <c r="AJ365" s="18"/>
      <c r="AK365" s="37"/>
      <c r="AL365" s="18"/>
      <c r="AM365" s="24"/>
      <c r="AN365" s="24"/>
      <c r="AO365" s="18"/>
      <c r="AP365" s="13"/>
      <c r="AQ365" s="24"/>
      <c r="AR365" s="24"/>
      <c r="AS365" s="24"/>
      <c r="AT365" s="24"/>
      <c r="AU365" s="24"/>
      <c r="AV365" s="18"/>
      <c r="AW365" s="13"/>
      <c r="AX365" s="13"/>
      <c r="AY365" s="13"/>
      <c r="AZ365" s="13"/>
      <c r="BA365" s="13"/>
      <c r="BB365" s="19"/>
      <c r="BC365" s="19"/>
      <c r="BD365" s="48"/>
      <c r="BE365" s="19"/>
      <c r="BF365" s="19"/>
      <c r="BG365" s="19"/>
      <c r="BH365" s="19"/>
      <c r="BI365" s="19"/>
      <c r="BJ365" s="19"/>
      <c r="BK365" s="18"/>
      <c r="BL365" s="18"/>
      <c r="BM365" s="18"/>
      <c r="BN365" s="14"/>
      <c r="BO365" s="18"/>
      <c r="BP365" s="18"/>
      <c r="BQ365" s="18"/>
      <c r="BR365" s="18"/>
      <c r="BS365" s="18"/>
      <c r="BT365" s="23"/>
      <c r="BU365" s="18"/>
      <c r="BV365" s="18"/>
      <c r="BW365" s="18"/>
      <c r="BX365" s="18"/>
      <c r="BY365" s="18"/>
      <c r="BZ365" s="18"/>
      <c r="CA365" s="18"/>
      <c r="CB365" s="18"/>
      <c r="CC365" s="18"/>
      <c r="CD365" s="18"/>
      <c r="CE365" s="18"/>
      <c r="CF365" s="23"/>
      <c r="CG365" s="18"/>
      <c r="CH365" s="18"/>
      <c r="CI365" s="18"/>
      <c r="CJ365" s="18"/>
      <c r="CK365" s="18"/>
      <c r="CL365" s="23"/>
      <c r="CM365" s="18"/>
      <c r="CN365" s="18"/>
      <c r="CO365" s="18"/>
      <c r="CP365" s="18"/>
      <c r="CQ365" s="18"/>
      <c r="CR365" s="18"/>
      <c r="CS365" s="18"/>
      <c r="CT365" s="18"/>
      <c r="CU365" s="18"/>
      <c r="CV365" s="18"/>
      <c r="CW365" s="18"/>
      <c r="CX365" s="18"/>
      <c r="CY365" s="18"/>
      <c r="CZ365" s="14"/>
      <c r="DA365" s="14"/>
      <c r="DB365" s="14"/>
      <c r="DC365" s="14"/>
      <c r="DD365" s="18"/>
      <c r="DE365" s="18"/>
      <c r="DF365" s="18"/>
      <c r="DG365" s="14"/>
      <c r="DH365" s="18"/>
      <c r="DI365" s="18"/>
      <c r="DJ365" s="18"/>
      <c r="DK365" s="18"/>
      <c r="DL365" s="18"/>
      <c r="DM365" s="18"/>
      <c r="DN365" s="18"/>
      <c r="DO365" s="14">
        <f>SUM(DJ365:DN365)</f>
        <v>0</v>
      </c>
      <c r="DP365" s="18"/>
      <c r="DQ365" s="14"/>
      <c r="DR365" s="14"/>
      <c r="DS365" s="18"/>
      <c r="DT365" s="36"/>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27">
        <v>43694</v>
      </c>
      <c r="HZ365" s="18"/>
      <c r="IA365" s="18"/>
      <c r="IB365" s="18"/>
      <c r="IC365" s="18"/>
      <c r="ID365" s="18"/>
      <c r="IE365" s="18"/>
      <c r="IF365" s="18"/>
      <c r="IG365" s="18"/>
      <c r="IH365" s="18"/>
      <c r="II365" s="18"/>
      <c r="IJ365" s="14">
        <v>10708.59</v>
      </c>
      <c r="IK365" s="18"/>
      <c r="JD365" s="66"/>
      <c r="JE365" s="9">
        <v>43643</v>
      </c>
      <c r="JF365" s="9">
        <v>43661</v>
      </c>
      <c r="JG365" s="9">
        <v>43699</v>
      </c>
      <c r="JH365" s="9">
        <v>43711</v>
      </c>
    </row>
    <row r="366" spans="1:268" ht="15" customHeight="1">
      <c r="A366" s="2">
        <v>102018044</v>
      </c>
      <c r="B366" s="4" t="s">
        <v>1168</v>
      </c>
      <c r="C366" s="4"/>
      <c r="D366" s="4"/>
      <c r="E366" s="3" t="s">
        <v>1169</v>
      </c>
      <c r="F366" s="2">
        <v>190000735</v>
      </c>
      <c r="J366" t="s">
        <v>253</v>
      </c>
      <c r="K366" t="s">
        <v>1170</v>
      </c>
      <c r="L366" t="s">
        <v>1171</v>
      </c>
      <c r="O366" s="1" t="s">
        <v>258</v>
      </c>
      <c r="T366" s="1"/>
      <c r="AF366" s="1"/>
      <c r="AH366" s="3"/>
      <c r="AK366" s="4"/>
      <c r="AO366" s="4"/>
      <c r="AP366" s="5"/>
      <c r="AQ366" s="34"/>
      <c r="AS366" s="5"/>
      <c r="AT366" s="5"/>
      <c r="AU366" s="1"/>
      <c r="AV366" s="1"/>
      <c r="AW366" s="1"/>
      <c r="AX366" s="1"/>
      <c r="AY366" s="1"/>
      <c r="AZ366" s="15"/>
      <c r="BA366" s="1"/>
      <c r="BB366" s="1"/>
      <c r="BC366" s="1"/>
      <c r="BD366" s="1"/>
      <c r="BE366" s="1"/>
      <c r="BF366" s="1"/>
      <c r="BG366" s="5"/>
      <c r="BH366" s="16"/>
      <c r="BI366" s="16"/>
      <c r="BK366" s="4"/>
      <c r="BL366" s="4"/>
      <c r="BM366" s="6"/>
      <c r="BN366" s="7"/>
      <c r="BO366" s="4"/>
      <c r="BQ366" s="4"/>
      <c r="BR366" s="4"/>
      <c r="BS366" s="6"/>
      <c r="BT366" s="7"/>
      <c r="BU366" s="4"/>
      <c r="BW366" s="4"/>
      <c r="BX366" s="4"/>
      <c r="BY366" s="6"/>
      <c r="BZ366" s="7"/>
      <c r="CA366" s="4"/>
      <c r="CB366" s="4"/>
      <c r="CC366" s="4"/>
      <c r="CD366" s="4"/>
      <c r="CE366" s="6"/>
      <c r="CF366" s="7"/>
      <c r="CG366" s="4"/>
      <c r="CH366" s="6"/>
      <c r="CI366" s="4"/>
      <c r="CJ366" s="4"/>
      <c r="CK366" s="6"/>
      <c r="CL366" s="7"/>
      <c r="CM366" s="4"/>
      <c r="CN366" s="4"/>
      <c r="CO366" s="4"/>
      <c r="CP366" s="4"/>
      <c r="CQ366" s="6"/>
      <c r="CR366" s="7"/>
      <c r="CS366" s="4"/>
      <c r="CT366" s="4"/>
      <c r="CU366" s="4"/>
      <c r="CV366" s="4"/>
      <c r="CW366" s="6"/>
      <c r="CX366" s="7"/>
      <c r="CY366" s="4"/>
      <c r="CZ366" s="4"/>
      <c r="DA366" s="4"/>
      <c r="DB366" s="4"/>
      <c r="DC366" s="6"/>
      <c r="DD366" s="7"/>
      <c r="DE366" s="4"/>
      <c r="DF366" s="4"/>
      <c r="DG366" s="4"/>
      <c r="DH366" s="4"/>
      <c r="DI366" s="6"/>
      <c r="DJ366" s="7"/>
      <c r="DK366" s="4"/>
      <c r="DL366" s="4"/>
      <c r="DM366" s="4"/>
      <c r="DN366" s="4"/>
      <c r="DO366" s="4"/>
      <c r="DP366" s="4"/>
      <c r="DR366" s="4"/>
      <c r="DS366" s="4"/>
      <c r="DT366" s="4"/>
      <c r="DU366" s="4"/>
      <c r="DV366" s="4"/>
      <c r="DW366" s="4"/>
      <c r="DX366" s="4"/>
      <c r="DY366" s="7"/>
      <c r="DZ366" s="4"/>
      <c r="EA366" s="4"/>
      <c r="EB366" s="34"/>
      <c r="EC366" s="4"/>
      <c r="ED366" s="4"/>
      <c r="EM366" s="11"/>
      <c r="ES366" s="11"/>
      <c r="ET366" s="11"/>
      <c r="EU366" s="4"/>
      <c r="EV366" s="4"/>
      <c r="EW366" s="4"/>
      <c r="EX366" s="4"/>
      <c r="EY366" s="4"/>
      <c r="EZ366" s="4"/>
      <c r="FA366" s="4"/>
      <c r="FB366" s="4"/>
      <c r="FC366" s="4"/>
      <c r="FD366" s="4"/>
      <c r="FE366" s="4"/>
      <c r="FF366" s="4"/>
      <c r="FG366" s="4"/>
      <c r="FH366" s="4"/>
      <c r="FL366" s="9"/>
      <c r="FU366" s="9"/>
      <c r="GE366" s="10"/>
      <c r="GO366" s="10"/>
      <c r="HD366" s="9"/>
      <c r="IO366" s="4"/>
    </row>
    <row r="367" spans="1:268" ht="15" customHeight="1">
      <c r="A367" s="2">
        <v>102018044</v>
      </c>
      <c r="B367" t="s">
        <v>1168</v>
      </c>
      <c r="E367" t="s">
        <v>1169</v>
      </c>
      <c r="F367">
        <v>190000735</v>
      </c>
      <c r="J367" t="s">
        <v>253</v>
      </c>
      <c r="K367" t="s">
        <v>1170</v>
      </c>
      <c r="L367" t="s">
        <v>1171</v>
      </c>
      <c r="O367" t="s">
        <v>258</v>
      </c>
      <c r="AF367" s="1"/>
      <c r="AI367" s="4"/>
      <c r="AJ367" s="4"/>
      <c r="AN367" s="34"/>
      <c r="AO367" s="4"/>
      <c r="AP367" s="5"/>
      <c r="AR367" s="34"/>
      <c r="AS367" s="5"/>
      <c r="AT367" s="1"/>
      <c r="AU367" s="1"/>
      <c r="AV367" s="1"/>
      <c r="AW367" s="1"/>
      <c r="AX367" s="1"/>
      <c r="AY367" s="15"/>
      <c r="AZ367" s="1"/>
      <c r="BA367" s="1"/>
      <c r="BB367" s="1"/>
      <c r="BC367" s="1"/>
      <c r="BD367" s="1"/>
      <c r="BE367" s="1"/>
      <c r="BF367" s="5"/>
      <c r="BG367" s="16"/>
      <c r="BH367" s="16"/>
      <c r="BJ367" s="4"/>
      <c r="BK367" s="4"/>
      <c r="BL367" s="6"/>
      <c r="BM367" s="7"/>
      <c r="BN367" s="4"/>
      <c r="BP367" s="4"/>
      <c r="BQ367" s="4"/>
      <c r="BR367" s="6"/>
      <c r="BS367" s="7"/>
      <c r="BT367" s="4"/>
      <c r="BV367" s="4"/>
      <c r="BW367" s="4"/>
      <c r="BX367" s="6"/>
      <c r="BY367" s="7"/>
      <c r="BZ367" s="4"/>
      <c r="CA367" s="4"/>
      <c r="CB367" s="4"/>
      <c r="CC367" s="4"/>
      <c r="CD367" s="6"/>
      <c r="CE367" s="7"/>
      <c r="CF367" s="4"/>
      <c r="CG367" s="6"/>
      <c r="CH367" s="4"/>
      <c r="CI367" s="4"/>
      <c r="CJ367" s="6"/>
      <c r="CK367" s="7"/>
      <c r="CL367" s="4"/>
      <c r="CM367" s="4"/>
      <c r="CN367" s="4"/>
      <c r="CO367" s="4"/>
      <c r="CP367" s="6"/>
      <c r="CQ367" s="7"/>
      <c r="CR367" s="4"/>
      <c r="CS367" s="4"/>
      <c r="CT367" s="4"/>
      <c r="CU367" s="4"/>
      <c r="CV367" s="6"/>
      <c r="CW367" s="7"/>
      <c r="CX367" s="4"/>
      <c r="CY367" s="4"/>
      <c r="CZ367" s="4"/>
      <c r="DA367" s="4"/>
      <c r="DB367" s="6"/>
      <c r="DC367" s="7"/>
      <c r="DD367" s="4"/>
      <c r="DE367" s="4"/>
      <c r="DF367" s="4"/>
      <c r="DG367" s="4"/>
      <c r="DH367" s="6"/>
      <c r="DI367" s="7"/>
      <c r="DJ367" s="4"/>
      <c r="DK367" s="4"/>
      <c r="DL367" s="4"/>
      <c r="DM367" s="4"/>
      <c r="DN367" s="4"/>
      <c r="DO367" s="4"/>
      <c r="DQ367" s="4"/>
      <c r="DR367" s="4"/>
      <c r="DS367" s="4"/>
      <c r="DT367" s="4"/>
      <c r="DU367" s="4"/>
      <c r="DV367" s="4"/>
      <c r="DW367" s="4"/>
      <c r="DX367" s="7"/>
      <c r="DY367" s="4"/>
      <c r="DZ367" s="4"/>
      <c r="EA367" s="34"/>
      <c r="EB367" s="4"/>
      <c r="EC367" s="4"/>
      <c r="EL367" s="11"/>
      <c r="ER367" s="11"/>
      <c r="ES367" s="11"/>
      <c r="ET367" s="4"/>
      <c r="EU367" s="4"/>
      <c r="EV367" s="4"/>
      <c r="EW367" s="4"/>
      <c r="EX367" s="4"/>
      <c r="EY367" s="4"/>
      <c r="EZ367" s="4"/>
      <c r="FA367" s="4"/>
      <c r="FB367" s="4"/>
      <c r="FC367" s="4"/>
      <c r="FD367" s="4"/>
      <c r="FE367" s="4"/>
      <c r="FF367" s="4"/>
      <c r="FG367" s="4"/>
      <c r="FK367" s="9"/>
      <c r="FT367" s="9"/>
      <c r="GD367" s="10"/>
      <c r="GN367" s="10"/>
      <c r="HC367" s="9"/>
      <c r="IP367" s="4"/>
    </row>
    <row r="368" spans="1:268" ht="15" customHeight="1">
      <c r="A368" s="2">
        <v>102018044</v>
      </c>
      <c r="B368" t="s">
        <v>1168</v>
      </c>
      <c r="E368" t="s">
        <v>1169</v>
      </c>
      <c r="K368" t="s">
        <v>1170</v>
      </c>
      <c r="L368" t="s">
        <v>1171</v>
      </c>
      <c r="O368" s="18"/>
      <c r="P368" s="18"/>
      <c r="Q368" s="18"/>
      <c r="R368" s="18"/>
      <c r="S368" s="18"/>
      <c r="T368" s="18"/>
      <c r="U368" s="18"/>
      <c r="V368" s="18"/>
      <c r="W368" s="18"/>
      <c r="X368" s="18"/>
      <c r="Y368" s="18"/>
      <c r="Z368" s="18"/>
      <c r="AA368" s="18"/>
      <c r="AB368" s="18"/>
      <c r="AC368" s="18"/>
      <c r="AD368" s="18"/>
      <c r="AE368" s="18"/>
      <c r="AF368" s="18"/>
      <c r="AG368" s="24"/>
      <c r="AH368" s="18"/>
      <c r="AI368" s="18"/>
      <c r="AJ368" s="18"/>
      <c r="AK368" s="37"/>
      <c r="AL368" s="18"/>
      <c r="AM368" s="24"/>
      <c r="AN368" s="24"/>
      <c r="AO368" s="18"/>
      <c r="AP368" s="13"/>
      <c r="AQ368" s="24"/>
      <c r="AR368" s="24"/>
      <c r="AS368" s="24"/>
      <c r="AT368" s="24"/>
      <c r="AU368" s="24"/>
      <c r="AV368" s="18"/>
      <c r="AW368" s="13"/>
      <c r="AX368" s="13"/>
      <c r="AY368" s="13"/>
      <c r="AZ368" s="13"/>
      <c r="BA368" s="13"/>
      <c r="BB368" s="19"/>
      <c r="BC368" s="19"/>
      <c r="BD368" s="48"/>
      <c r="BE368" s="19"/>
      <c r="BF368" s="19"/>
      <c r="BG368" s="19"/>
      <c r="BH368" s="19"/>
      <c r="BI368" s="19"/>
      <c r="BJ368" s="19"/>
      <c r="BK368" s="18"/>
      <c r="BL368" s="18"/>
      <c r="BM368" s="18"/>
      <c r="BN368" s="14"/>
      <c r="BO368" s="18"/>
      <c r="BP368" s="18"/>
      <c r="BQ368" s="18"/>
      <c r="BR368" s="18"/>
      <c r="BS368" s="18"/>
      <c r="BT368" s="23"/>
      <c r="BU368" s="18"/>
      <c r="BV368" s="18"/>
      <c r="BW368" s="18"/>
      <c r="BX368" s="18"/>
      <c r="BY368" s="18"/>
      <c r="BZ368" s="18"/>
      <c r="CA368" s="18"/>
      <c r="CB368" s="18"/>
      <c r="CC368" s="18"/>
      <c r="CD368" s="18"/>
      <c r="CE368" s="18"/>
      <c r="CF368" s="23"/>
      <c r="CG368" s="18"/>
      <c r="CH368" s="18"/>
      <c r="CI368" s="18"/>
      <c r="CJ368" s="18"/>
      <c r="CK368" s="18"/>
      <c r="CL368" s="23"/>
      <c r="CM368" s="18"/>
      <c r="CN368" s="18"/>
      <c r="CO368" s="18"/>
      <c r="CP368" s="18"/>
      <c r="CQ368" s="18"/>
      <c r="CR368" s="18"/>
      <c r="CS368" s="18"/>
      <c r="CT368" s="18"/>
      <c r="CU368" s="18"/>
      <c r="CV368" s="18"/>
      <c r="CW368" s="18"/>
      <c r="CX368" s="18"/>
      <c r="CY368" s="18"/>
      <c r="CZ368" s="14"/>
      <c r="DA368" s="14"/>
      <c r="DB368" s="14"/>
      <c r="DC368" s="14"/>
      <c r="DD368" s="18"/>
      <c r="DE368" s="18"/>
      <c r="DF368" s="18"/>
      <c r="DG368" s="14"/>
      <c r="DH368" s="18"/>
      <c r="DI368" s="18"/>
      <c r="DJ368" s="18"/>
      <c r="DK368" s="18"/>
      <c r="DL368" s="18"/>
      <c r="DM368" s="18"/>
      <c r="DN368" s="18"/>
      <c r="DO368" s="14">
        <f>SUM(DJ368:DN368)</f>
        <v>0</v>
      </c>
      <c r="DP368" s="18"/>
      <c r="DQ368" s="14"/>
      <c r="DR368" s="14"/>
      <c r="DS368" s="18"/>
      <c r="DT368" s="36"/>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27">
        <v>43694</v>
      </c>
      <c r="HZ368" s="18"/>
      <c r="IA368" s="18"/>
      <c r="IB368" s="18"/>
      <c r="IC368" s="18"/>
      <c r="ID368" s="18"/>
      <c r="IE368" s="18"/>
      <c r="IF368" s="18"/>
      <c r="IG368" s="18"/>
      <c r="IH368" s="18"/>
      <c r="II368" s="18"/>
      <c r="IJ368" s="14">
        <v>10767.05</v>
      </c>
      <c r="IK368" s="18"/>
      <c r="IP368" s="4"/>
      <c r="IW368" s="18"/>
      <c r="IX368" s="18"/>
      <c r="IY368" s="18"/>
      <c r="JB368" s="18"/>
      <c r="JC368" s="18"/>
    </row>
    <row r="369" spans="1:263" ht="15" customHeight="1">
      <c r="A369" s="19">
        <v>102022108</v>
      </c>
      <c r="B369" t="s">
        <v>1168</v>
      </c>
      <c r="D369" s="1">
        <v>2025</v>
      </c>
      <c r="J369" t="s">
        <v>311</v>
      </c>
      <c r="K369" t="s">
        <v>1186</v>
      </c>
      <c r="L369" t="s">
        <v>3083</v>
      </c>
      <c r="AG369" s="248"/>
      <c r="AJ369" s="18" t="s">
        <v>328</v>
      </c>
      <c r="AL369" t="s">
        <v>386</v>
      </c>
      <c r="AO369" t="s">
        <v>773</v>
      </c>
      <c r="AP369" s="1" t="s">
        <v>258</v>
      </c>
      <c r="AQ369" s="3" t="s">
        <v>386</v>
      </c>
      <c r="AR369" s="3" t="s">
        <v>260</v>
      </c>
      <c r="AS369" s="1"/>
      <c r="AT369" s="1"/>
      <c r="AU369" s="1"/>
      <c r="AV369" s="1"/>
      <c r="AW369" s="1"/>
      <c r="AX369" s="2"/>
      <c r="AY369" s="116"/>
      <c r="AZ369" s="115"/>
      <c r="BA369" s="2"/>
      <c r="BB369" s="2"/>
      <c r="BC369" s="2"/>
      <c r="BD369" s="2"/>
      <c r="BE369" s="2"/>
      <c r="BF369" s="2"/>
      <c r="BG369" s="20"/>
      <c r="BH369" s="22"/>
      <c r="BI369" s="22"/>
      <c r="BJ369" s="14"/>
      <c r="BK369" s="22"/>
      <c r="BL369" s="14"/>
      <c r="BM369" s="14"/>
      <c r="BN369" s="14"/>
      <c r="BO369" s="17"/>
      <c r="BP369" s="23"/>
      <c r="BQ369" s="14"/>
      <c r="BR369" s="14"/>
      <c r="BS369" s="14"/>
      <c r="BT369" s="14"/>
      <c r="BU369" s="17"/>
      <c r="BV369" s="23"/>
      <c r="BW369" s="14"/>
      <c r="BX369" s="14"/>
      <c r="BY369" s="14"/>
      <c r="BZ369" s="14"/>
      <c r="CA369" s="17"/>
      <c r="CB369" s="23"/>
      <c r="CC369" s="14"/>
      <c r="CD369" s="14"/>
      <c r="CE369" s="14"/>
      <c r="CF369" s="14"/>
      <c r="CG369" s="17"/>
      <c r="CH369" s="23"/>
      <c r="CI369" s="14"/>
      <c r="CJ369" s="14"/>
      <c r="CK369" s="14"/>
      <c r="CL369" s="14"/>
      <c r="CM369" s="17"/>
      <c r="CN369" s="23"/>
      <c r="CO369" s="14"/>
      <c r="CP369" s="14"/>
      <c r="CQ369" s="14"/>
      <c r="CR369" s="14"/>
      <c r="CS369" s="14"/>
      <c r="CT369" s="47"/>
      <c r="CU369" s="14"/>
      <c r="CV369" s="32"/>
      <c r="CW369" s="14"/>
      <c r="CX369" s="4"/>
      <c r="CY369" s="14"/>
      <c r="CZ369" s="4"/>
      <c r="DE369" s="14"/>
      <c r="DF369" s="24"/>
      <c r="DG369" s="4"/>
      <c r="DH369" s="4"/>
      <c r="DI369" s="25"/>
      <c r="DJ369" s="35">
        <v>1</v>
      </c>
      <c r="IC369" s="4"/>
    </row>
    <row r="370" spans="1:263" ht="15" customHeight="1">
      <c r="A370" s="2">
        <v>102018093</v>
      </c>
      <c r="B370" s="4" t="s">
        <v>1280</v>
      </c>
      <c r="C370" s="4"/>
      <c r="D370" s="4"/>
      <c r="E370" s="3"/>
      <c r="F370" s="2"/>
      <c r="G370" s="2"/>
      <c r="H370" s="2"/>
      <c r="J370" t="s">
        <v>305</v>
      </c>
      <c r="K370" t="s">
        <v>695</v>
      </c>
      <c r="L370" t="s">
        <v>673</v>
      </c>
      <c r="M370" t="s">
        <v>537</v>
      </c>
      <c r="O370" s="1"/>
      <c r="P370" t="s">
        <v>695</v>
      </c>
      <c r="Q370" t="s">
        <v>766</v>
      </c>
      <c r="R370" t="s">
        <v>426</v>
      </c>
      <c r="T370" s="1"/>
      <c r="AH370" s="4"/>
      <c r="AJ370" s="4"/>
      <c r="AK370" s="4"/>
      <c r="AO370" s="4"/>
      <c r="AP370" s="5"/>
      <c r="AS370" s="5"/>
      <c r="AT370" s="5"/>
      <c r="AU370" s="1"/>
      <c r="AV370" s="1"/>
      <c r="AW370" s="1"/>
      <c r="AX370" s="1"/>
      <c r="AY370" s="1"/>
      <c r="AZ370" s="1"/>
      <c r="BA370" s="1"/>
      <c r="BB370" s="1"/>
      <c r="BC370" s="1"/>
      <c r="BD370" s="1"/>
      <c r="BE370" s="1"/>
      <c r="BF370" s="1"/>
      <c r="BG370" s="5"/>
      <c r="BH370" s="16"/>
      <c r="BI370" s="16"/>
      <c r="BK370" s="4"/>
      <c r="BL370" s="4"/>
      <c r="BM370" s="6"/>
      <c r="BN370" s="7"/>
      <c r="BO370" s="4"/>
      <c r="BP370" s="4"/>
      <c r="BQ370" s="4"/>
      <c r="BR370" s="4"/>
      <c r="BS370" s="6"/>
      <c r="BT370" s="7"/>
      <c r="BU370" s="4"/>
      <c r="BV370" s="4"/>
      <c r="BW370" s="4"/>
      <c r="BX370" s="4"/>
      <c r="BY370" s="6"/>
      <c r="BZ370" s="7"/>
      <c r="CA370" s="4"/>
      <c r="CB370" s="4"/>
      <c r="CC370" s="4"/>
      <c r="CD370" s="4"/>
      <c r="CE370" s="6"/>
      <c r="CF370" s="7"/>
      <c r="CG370" s="4"/>
      <c r="CH370" s="4"/>
      <c r="CI370" s="4"/>
      <c r="CJ370" s="4"/>
      <c r="CK370" s="6"/>
      <c r="CL370" s="7"/>
      <c r="CM370" s="4"/>
      <c r="CN370" s="4"/>
      <c r="CO370" s="4"/>
      <c r="CP370" s="4"/>
      <c r="CQ370" s="6"/>
      <c r="CR370" s="7"/>
      <c r="CS370" s="4"/>
      <c r="CT370" s="4"/>
      <c r="CU370" s="4"/>
      <c r="CV370" s="4"/>
      <c r="CW370" s="6"/>
      <c r="CX370" s="7"/>
      <c r="CY370" s="4"/>
      <c r="CZ370" s="4"/>
      <c r="DA370" s="4"/>
      <c r="DB370" s="4"/>
      <c r="DC370" s="6"/>
      <c r="DD370" s="7"/>
      <c r="DE370" s="4"/>
      <c r="DF370" s="4"/>
      <c r="DG370" s="14"/>
      <c r="DH370" s="14"/>
      <c r="DI370" s="4"/>
      <c r="DJ370" s="3"/>
      <c r="DK370" s="4"/>
      <c r="DL370" s="234"/>
      <c r="DM370" s="4"/>
      <c r="DN370" s="4"/>
      <c r="DO370" s="4"/>
      <c r="DP370" s="4"/>
      <c r="DQ370" s="4"/>
      <c r="DR370" s="4"/>
      <c r="DS370" s="7"/>
      <c r="DT370" s="8"/>
      <c r="DU370" s="4"/>
      <c r="DV370" s="8"/>
      <c r="DW370" s="4"/>
      <c r="DX370" s="4"/>
      <c r="EG370" s="11"/>
      <c r="EM370" s="11"/>
      <c r="EN370" s="11"/>
      <c r="EO370" s="4"/>
      <c r="EP370" s="4"/>
      <c r="EQ370" s="4"/>
      <c r="ER370" s="4"/>
      <c r="ES370" s="4"/>
      <c r="ET370" s="4"/>
      <c r="EU370" s="4"/>
      <c r="EV370" s="4"/>
      <c r="EW370" s="4"/>
      <c r="EX370" s="4"/>
      <c r="EY370" s="4"/>
      <c r="EZ370" s="4"/>
      <c r="FA370" s="4"/>
      <c r="FB370" s="4"/>
      <c r="FF370" s="18"/>
      <c r="FG370" s="9"/>
      <c r="FP370" s="9"/>
      <c r="FZ370" s="10"/>
      <c r="GJ370" s="10"/>
      <c r="GY370" s="9"/>
      <c r="IK370" s="4"/>
    </row>
    <row r="371" spans="1:263" ht="15" customHeight="1">
      <c r="A371" s="19">
        <v>102023113</v>
      </c>
      <c r="B371" s="18" t="s">
        <v>4367</v>
      </c>
      <c r="D371" s="1"/>
      <c r="E371" s="3"/>
      <c r="F371" s="3"/>
      <c r="J371" s="18" t="s">
        <v>554</v>
      </c>
      <c r="K371" s="18" t="s">
        <v>4435</v>
      </c>
      <c r="L371" s="18" t="s">
        <v>4436</v>
      </c>
      <c r="M371" s="18"/>
      <c r="N371" s="18" t="s">
        <v>341</v>
      </c>
      <c r="O371" s="19"/>
      <c r="P371" s="18" t="s">
        <v>4435</v>
      </c>
      <c r="Q371" s="18" t="s">
        <v>2664</v>
      </c>
      <c r="R371" s="18" t="s">
        <v>403</v>
      </c>
      <c r="S371" s="18"/>
      <c r="AG371" s="43"/>
      <c r="AJ371" s="18" t="s">
        <v>328</v>
      </c>
      <c r="AL371" s="18" t="s">
        <v>386</v>
      </c>
      <c r="AM371"/>
      <c r="AN371"/>
      <c r="AO371" s="18" t="s">
        <v>4437</v>
      </c>
      <c r="AP371" s="3" t="s">
        <v>258</v>
      </c>
      <c r="AQ371" s="18" t="s">
        <v>386</v>
      </c>
      <c r="AR371" s="18" t="s">
        <v>260</v>
      </c>
      <c r="AX371" s="1"/>
      <c r="AY371" s="1"/>
      <c r="AZ371" s="1"/>
      <c r="BA371" s="1"/>
      <c r="BB371" s="1"/>
      <c r="BC371" s="2"/>
      <c r="BD371" s="116"/>
      <c r="BE371" s="115"/>
      <c r="BF371" s="2"/>
      <c r="BG371" s="2"/>
      <c r="BH371" s="2"/>
      <c r="BI371" s="2"/>
      <c r="BJ371" s="2"/>
      <c r="BK371" s="2"/>
      <c r="BL371" s="20">
        <f ca="1">SUM(EB371)+220</f>
        <v>585.548</v>
      </c>
      <c r="BM371" s="22">
        <f ca="1">PMT(10%/12,12,BL371,0,0)</f>
        <v>-51.478971935757656</v>
      </c>
      <c r="BN371" s="22">
        <f ca="1">SUM(BM371*-1)</f>
        <v>51.478971935757656</v>
      </c>
      <c r="BO371" s="14">
        <f>SUM(EJ371*0.0052)/12</f>
        <v>13</v>
      </c>
      <c r="BP371" s="22">
        <f ca="1">SUM(BN371+BO371)</f>
        <v>64.478971935757656</v>
      </c>
      <c r="BQ371" s="14"/>
      <c r="BR371" s="14">
        <f>SUM(BQ371*0.1)</f>
        <v>0</v>
      </c>
      <c r="BS371" s="14">
        <f ca="1">SUM(BT371*BU371)</f>
        <v>0</v>
      </c>
      <c r="BT371" s="17">
        <f>SUM((BQ371+BR371)*0.00833333333333333)</f>
        <v>0</v>
      </c>
      <c r="BU371" s="23">
        <f ca="1">MONTH(TODAY())+49</f>
        <v>53</v>
      </c>
      <c r="BV371" s="14">
        <f ca="1">SUM(BQ371,BR371,BS371)</f>
        <v>0</v>
      </c>
      <c r="BW371" s="14"/>
      <c r="BX371" s="14">
        <f>SUM(BW371*0.1)</f>
        <v>0</v>
      </c>
      <c r="BY371" s="14">
        <f ca="1">SUM(BZ371*CA371)</f>
        <v>0</v>
      </c>
      <c r="BZ371" s="17">
        <f>SUM((BW371+BX371)*0.00833333333333333)</f>
        <v>0</v>
      </c>
      <c r="CA371" s="23">
        <f ca="1">MONTH(TODAY())+37</f>
        <v>41</v>
      </c>
      <c r="CB371" s="14">
        <f ca="1">SUM(BW371,BX371,BY371)</f>
        <v>0</v>
      </c>
      <c r="CC371" s="14">
        <v>0</v>
      </c>
      <c r="CD371" s="14">
        <f>SUM(CC371*0.1)</f>
        <v>0</v>
      </c>
      <c r="CE371" s="14">
        <f ca="1">SUM(CF371*CG371)</f>
        <v>0</v>
      </c>
      <c r="CF371" s="17">
        <f>SUM((CC371+CD371)*0.00833333333333333)</f>
        <v>0</v>
      </c>
      <c r="CG371" s="23">
        <f ca="1">MONTH(TODAY())+25</f>
        <v>29</v>
      </c>
      <c r="CH371" s="14">
        <f ca="1">SUM(CC371,CD371,CE371)</f>
        <v>0</v>
      </c>
      <c r="CI371" s="14">
        <f>SUM(EG371*0.0052)</f>
        <v>114.39999999999999</v>
      </c>
      <c r="CJ371" s="14">
        <f>SUM(CI371*0.1)</f>
        <v>11.44</v>
      </c>
      <c r="CK371" s="14">
        <f ca="1">SUM(CL371*CM371)</f>
        <v>17.827333333333325</v>
      </c>
      <c r="CL371" s="17">
        <f>SUM((CI371+CJ371)*0.00833333333333333)</f>
        <v>1.0486666666666662</v>
      </c>
      <c r="CM371" s="23">
        <f ca="1">MONTH(TODAY())+13</f>
        <v>17</v>
      </c>
      <c r="CN371" s="14">
        <f ca="1">SUM(CI371,CJ371,CK371)</f>
        <v>143.66733333333332</v>
      </c>
      <c r="CO371" s="14">
        <f>SUM(EG371*0.0052)/2</f>
        <v>57.199999999999996</v>
      </c>
      <c r="CP371" s="14">
        <f>SUM(CO371*0.1)</f>
        <v>5.72</v>
      </c>
      <c r="CQ371" s="14">
        <f ca="1">SUM(CR371*CS371)</f>
        <v>4.7189999999999976</v>
      </c>
      <c r="CR371" s="17">
        <f>SUM((CO371+CP371)*0.00833333333333333)</f>
        <v>0.5243333333333331</v>
      </c>
      <c r="CS371" s="23">
        <f ca="1">MONTH(TODAY())+5</f>
        <v>9</v>
      </c>
      <c r="CT371" s="23">
        <f ca="1">SUM(CO371,CP371,CQ371)</f>
        <v>67.638999999999996</v>
      </c>
      <c r="CU371" s="14">
        <f>SUM(EG371*0.0052)/2</f>
        <v>57.199999999999996</v>
      </c>
      <c r="CV371" s="14">
        <f>SUM(CU371*0.1)</f>
        <v>5.72</v>
      </c>
      <c r="CW371" s="14">
        <f ca="1">SUM(CX371*CY371)</f>
        <v>2.6216666666666653</v>
      </c>
      <c r="CX371" s="17">
        <f>SUM((CU371+CV371)*0.00833333333333333)</f>
        <v>0.5243333333333331</v>
      </c>
      <c r="CY371" s="23">
        <f ca="1">MONTH(TODAY())+1</f>
        <v>5</v>
      </c>
      <c r="CZ371" s="23">
        <f ca="1">SUM(CU371,CV371,CW371)</f>
        <v>65.541666666666657</v>
      </c>
      <c r="DA371" s="14">
        <f>SUM(EJ371*0.0045)/2</f>
        <v>67.5</v>
      </c>
      <c r="DB371" s="14">
        <v>0</v>
      </c>
      <c r="DC371" s="14">
        <v>0</v>
      </c>
      <c r="DD371" s="17">
        <f>SUM((DA371+DB371)*0.00833333333333333)</f>
        <v>0.56249999999999978</v>
      </c>
      <c r="DE371" s="23">
        <f ca="1">MONTH(TODAY())-5</f>
        <v>-1</v>
      </c>
      <c r="DF371" s="23">
        <f>SUM(DA371,DB371,DC371)</f>
        <v>67.5</v>
      </c>
      <c r="DG371" s="14">
        <v>0</v>
      </c>
      <c r="DH371" s="14">
        <v>0</v>
      </c>
      <c r="DI371" s="14">
        <v>0</v>
      </c>
      <c r="DJ371" s="17">
        <f>SUM((DG371+DH371)*0.00833333333333333)</f>
        <v>0</v>
      </c>
      <c r="DK371" s="23">
        <f ca="1">MONTH(TODAY())+1</f>
        <v>5</v>
      </c>
      <c r="DL371" s="23">
        <f>SUM(DG371,DH371,DI371)</f>
        <v>0</v>
      </c>
      <c r="DM371" s="14">
        <f>SUM( BQ371, BW371, CC371, CI371, CO371,CU371,DA371,DG371)</f>
        <v>296.29999999999995</v>
      </c>
      <c r="DN371" s="14">
        <f>SUM(BR371,BX371,CD371,CJ371, CP371,CV371,DB371,DH371)</f>
        <v>22.88</v>
      </c>
      <c r="DO371" s="14">
        <f ca="1">SUM(BS371,BY371,CE371,CK371, CQ371,CW371,DC371,DI371)</f>
        <v>25.167999999999989</v>
      </c>
      <c r="DP371" s="25">
        <f ca="1">SUM(DM371:DO371)</f>
        <v>344.34799999999996</v>
      </c>
      <c r="DQ371" s="47">
        <f ca="1">SUM(DP371/EG371)</f>
        <v>1.5652181818181815E-2</v>
      </c>
      <c r="DR371" s="14">
        <v>20</v>
      </c>
      <c r="DS371" s="32">
        <f>COUNTIF(DX371, "*")+COUNTIF(AO371, "*")+COUNTIF(AJ371, "*")+COUNTIF(AA371, "*")+COUNTIF(EY371, "*")+COUNTIF(FE371, "*")+COUNTIF(FK371, "*")+COUNTIF(FO371, "*")+COUNTIF(FV371, "*")+COUNTIF(AT371, "*")+COUNTIF(GE371, "*")+COUNTIF(GP371, "*")+COUNTIF(HA371, "*")+COUNTIF(HI371, "*")+COUNTIF(HQ371, "*")+COUNTIF(HY371, "*")+COUNTIF(IG371, "*")</f>
        <v>2</v>
      </c>
      <c r="DT371" s="14">
        <f>DS371*0.6</f>
        <v>1.2</v>
      </c>
      <c r="DU371" s="4"/>
      <c r="DV371" s="4"/>
      <c r="DW371" s="4"/>
      <c r="DX371" s="4"/>
      <c r="DZ371" s="4"/>
      <c r="EA371" s="14">
        <f>SUM(DV371:DZ371)</f>
        <v>0</v>
      </c>
      <c r="EB371" s="14">
        <f ca="1">SUM(DP371,DR371,EA371, DU371, DT371,GB371)</f>
        <v>365.54799999999994</v>
      </c>
      <c r="EC371" s="24" t="s">
        <v>3879</v>
      </c>
      <c r="ED371" s="130">
        <v>0.56999999999999995</v>
      </c>
      <c r="EE371" s="14">
        <v>22000</v>
      </c>
      <c r="EF371" s="14">
        <v>0</v>
      </c>
      <c r="EG371" s="14">
        <v>22000</v>
      </c>
      <c r="EH371" s="14">
        <v>30000</v>
      </c>
      <c r="EI371" s="14">
        <v>0</v>
      </c>
      <c r="EJ371" s="14">
        <f>SUM(EH371+EI371)</f>
        <v>30000</v>
      </c>
      <c r="IM371" s="9"/>
      <c r="IX371" s="14">
        <f ca="1">SUM(IN371-EB371-GB371-IV371)</f>
        <v>-365.54799999999994</v>
      </c>
      <c r="IY371" s="9"/>
      <c r="IZ371" s="9"/>
      <c r="JA371" s="9"/>
      <c r="JB371" s="9"/>
      <c r="JC371" s="9"/>
    </row>
    <row r="372" spans="1:263" ht="15" customHeight="1">
      <c r="A372" s="2">
        <v>102017084</v>
      </c>
      <c r="B372" t="s">
        <v>1023</v>
      </c>
      <c r="J372" t="s">
        <v>305</v>
      </c>
      <c r="K372" t="s">
        <v>1020</v>
      </c>
      <c r="L372" t="s">
        <v>926</v>
      </c>
      <c r="N372" s="1"/>
      <c r="O372" s="4"/>
      <c r="P372" t="s">
        <v>1020</v>
      </c>
      <c r="Q372" t="s">
        <v>1021</v>
      </c>
      <c r="R372" t="s">
        <v>469</v>
      </c>
      <c r="T372" s="1"/>
      <c r="AE372" s="1"/>
      <c r="AJ372" s="4"/>
      <c r="AK372" s="18"/>
      <c r="AL372" s="4"/>
      <c r="AM372" s="34"/>
      <c r="AP372" s="13"/>
      <c r="AQ372" s="63"/>
      <c r="AR372" s="34"/>
      <c r="AS372" s="13"/>
      <c r="AT372" s="13"/>
      <c r="AU372" s="1"/>
      <c r="AV372" s="1"/>
      <c r="AW372" s="1"/>
      <c r="AX372" s="1"/>
      <c r="AY372" s="1"/>
      <c r="AZ372" s="15"/>
      <c r="BA372" s="1"/>
      <c r="BB372" s="1"/>
      <c r="BC372" s="1"/>
      <c r="BD372" s="1"/>
      <c r="BE372" s="1"/>
      <c r="BF372" s="1"/>
      <c r="BG372" s="5"/>
      <c r="BH372" s="16"/>
      <c r="BI372" s="16"/>
      <c r="BK372" s="4"/>
      <c r="BL372" s="4"/>
      <c r="BM372" s="6"/>
      <c r="BN372" s="7"/>
      <c r="BO372" s="4"/>
      <c r="BQ372" s="4"/>
      <c r="BR372" s="4"/>
      <c r="BS372" s="6"/>
      <c r="BT372" s="7"/>
      <c r="BU372" s="4"/>
      <c r="BV372" s="4"/>
      <c r="BW372" s="4"/>
      <c r="BX372" s="4"/>
      <c r="BY372" s="6"/>
      <c r="BZ372" s="7"/>
      <c r="CA372" s="4"/>
      <c r="CC372" s="4"/>
      <c r="CD372" s="4"/>
      <c r="CE372" s="6"/>
      <c r="CF372" s="7"/>
      <c r="CG372" s="4"/>
      <c r="CH372" s="4"/>
      <c r="CI372" s="4"/>
      <c r="CJ372" s="4"/>
      <c r="CK372" s="6"/>
      <c r="CL372" s="7"/>
      <c r="CM372" s="4"/>
      <c r="CN372" s="4"/>
      <c r="CO372" s="4"/>
      <c r="CP372" s="4"/>
      <c r="CQ372" s="6"/>
      <c r="CR372" s="7"/>
      <c r="CS372" s="4"/>
      <c r="CT372" s="4"/>
      <c r="CU372" s="4"/>
      <c r="CV372" s="4"/>
      <c r="CW372" s="6"/>
      <c r="CX372" s="7"/>
      <c r="CY372" s="4"/>
      <c r="CZ372" s="4"/>
      <c r="DA372" s="4"/>
      <c r="DB372" s="4"/>
      <c r="DC372" s="6"/>
      <c r="DD372" s="7"/>
      <c r="DE372" s="4"/>
      <c r="DF372" s="4"/>
      <c r="DG372" s="4"/>
      <c r="DH372" s="4"/>
      <c r="DI372" s="6"/>
      <c r="DJ372" s="7"/>
      <c r="DK372" s="4"/>
      <c r="DL372" s="4"/>
      <c r="DM372" s="4"/>
      <c r="DN372" s="4"/>
      <c r="DO372" s="4"/>
      <c r="DP372" s="4"/>
      <c r="DQ372" s="3"/>
      <c r="DR372" s="4"/>
      <c r="DS372" s="4"/>
      <c r="DT372" s="4"/>
      <c r="DU372" s="4"/>
      <c r="DV372" s="4"/>
      <c r="DW372" s="4"/>
      <c r="DX372" s="4"/>
      <c r="DY372" s="4"/>
      <c r="DZ372" s="4"/>
      <c r="EA372" s="4"/>
      <c r="EB372" s="4"/>
      <c r="EC372" s="4"/>
      <c r="ED372" s="4"/>
      <c r="EM372" s="11"/>
      <c r="ES372" s="11"/>
      <c r="ET372" s="11"/>
      <c r="EU372" s="4"/>
      <c r="EV372" s="4"/>
      <c r="EW372" s="4"/>
      <c r="EX372" s="4"/>
      <c r="EY372" s="4"/>
      <c r="EZ372" s="4"/>
      <c r="FA372" s="4"/>
      <c r="FB372" s="4"/>
      <c r="FC372" s="4"/>
      <c r="FD372" s="4"/>
      <c r="FE372" s="4"/>
      <c r="FF372" s="4"/>
      <c r="FG372" s="4"/>
      <c r="FH372" s="4"/>
      <c r="FL372" s="9"/>
      <c r="FU372" s="9"/>
      <c r="GE372" s="10"/>
      <c r="GO372" s="10"/>
      <c r="HD372" s="9"/>
      <c r="IO372" s="4"/>
    </row>
    <row r="373" spans="1:263" ht="15" customHeight="1">
      <c r="A373" s="19">
        <v>102021057</v>
      </c>
      <c r="B373" s="18" t="s">
        <v>2089</v>
      </c>
      <c r="C373" s="18"/>
      <c r="D373" s="13">
        <v>2022</v>
      </c>
      <c r="E373" s="18"/>
      <c r="F373" s="18"/>
      <c r="G373" s="18">
        <v>210001508</v>
      </c>
      <c r="H373" s="18"/>
      <c r="I373" s="18"/>
      <c r="J373" s="18" t="s">
        <v>311</v>
      </c>
      <c r="K373" s="18" t="s">
        <v>1020</v>
      </c>
      <c r="L373" s="18" t="s">
        <v>1355</v>
      </c>
      <c r="M373" s="18" t="s">
        <v>256</v>
      </c>
      <c r="N373" s="18"/>
      <c r="O373" s="18"/>
      <c r="P373" s="18"/>
      <c r="Q373" s="18"/>
      <c r="R373" s="18"/>
      <c r="S373" s="18"/>
      <c r="T373" s="18"/>
      <c r="U373" s="18"/>
      <c r="V373" s="18"/>
      <c r="W373" s="18"/>
      <c r="X373" s="18"/>
      <c r="Y373" s="18"/>
      <c r="Z373" s="18"/>
      <c r="AA373" s="18"/>
      <c r="AB373" s="18"/>
      <c r="AC373" s="18"/>
      <c r="AD373" s="18"/>
      <c r="AE373" s="18"/>
      <c r="AF373" s="18"/>
      <c r="AG373" s="24"/>
      <c r="AH373" s="18"/>
      <c r="AI373" s="18"/>
      <c r="AJ373" s="18" t="s">
        <v>328</v>
      </c>
      <c r="AK373" s="18"/>
      <c r="AL373" s="18" t="s">
        <v>386</v>
      </c>
      <c r="AM373" s="18"/>
      <c r="AN373" s="18"/>
      <c r="AO373" s="24" t="s">
        <v>1003</v>
      </c>
      <c r="AP373" s="13" t="s">
        <v>258</v>
      </c>
      <c r="AQ373" s="24" t="s">
        <v>386</v>
      </c>
      <c r="AR373" s="18" t="s">
        <v>260</v>
      </c>
      <c r="AS373" s="18"/>
      <c r="AT373" s="13"/>
      <c r="AU373" s="13"/>
      <c r="AV373" s="13"/>
      <c r="AW373" s="13"/>
      <c r="AX373" s="19"/>
      <c r="AY373" s="115"/>
      <c r="AZ373" s="114"/>
      <c r="BA373" s="19"/>
      <c r="BB373" s="19"/>
      <c r="BC373" s="19"/>
      <c r="BD373" s="19"/>
      <c r="BE373" s="19"/>
      <c r="BF373" s="19"/>
      <c r="BG373" s="20"/>
      <c r="BH373" s="22"/>
      <c r="BI373" s="22"/>
      <c r="BJ373" s="14"/>
      <c r="BK373" s="22"/>
      <c r="BL373" s="14"/>
      <c r="BM373" s="14"/>
      <c r="BN373" s="14"/>
      <c r="BO373" s="17"/>
      <c r="BP373" s="23"/>
      <c r="BQ373" s="14"/>
      <c r="BR373" s="14"/>
      <c r="BS373" s="14"/>
      <c r="BT373" s="14"/>
      <c r="BU373" s="17"/>
      <c r="BV373" s="23"/>
      <c r="BW373" s="14"/>
      <c r="BX373" s="14"/>
      <c r="BY373" s="14"/>
      <c r="BZ373" s="14"/>
      <c r="CA373" s="17"/>
      <c r="CB373" s="23"/>
      <c r="CC373" s="14"/>
      <c r="CD373" s="14"/>
      <c r="CE373" s="14"/>
      <c r="CF373" s="14"/>
      <c r="CG373" s="17"/>
      <c r="CH373" s="23"/>
      <c r="CI373" s="14"/>
      <c r="CJ373" s="14"/>
      <c r="CK373" s="14"/>
      <c r="CL373" s="14"/>
      <c r="CM373" s="17"/>
      <c r="CN373" s="23"/>
      <c r="CO373" s="14"/>
      <c r="CP373" s="14"/>
      <c r="CQ373" s="14"/>
      <c r="CR373" s="14"/>
      <c r="CS373" s="14"/>
      <c r="CT373" s="47"/>
      <c r="CU373" s="14"/>
      <c r="CV373" s="32"/>
      <c r="CW373" s="14"/>
      <c r="CX373" s="14"/>
      <c r="CY373" s="14"/>
      <c r="CZ373" s="14"/>
      <c r="DA373" s="14"/>
      <c r="DB373" s="14"/>
      <c r="DC373" s="23"/>
      <c r="DD373" s="25"/>
      <c r="DE373" s="14"/>
      <c r="DF373" s="24"/>
      <c r="DG373" s="25"/>
      <c r="DH373" s="25"/>
      <c r="DI373" s="25"/>
      <c r="DJ373" s="36">
        <v>1</v>
      </c>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t="s">
        <v>2280</v>
      </c>
      <c r="FI373" s="18" t="s">
        <v>375</v>
      </c>
      <c r="FJ373" s="18" t="s">
        <v>376</v>
      </c>
      <c r="FK373" s="18"/>
      <c r="FL373" s="18" t="s">
        <v>377</v>
      </c>
      <c r="FM373" s="18" t="s">
        <v>275</v>
      </c>
      <c r="FN373" s="27">
        <v>38747</v>
      </c>
      <c r="FO373" s="18" t="s">
        <v>2281</v>
      </c>
      <c r="FP373" s="18"/>
      <c r="FQ373" s="18"/>
      <c r="FR373" s="18"/>
      <c r="FS373" s="18" t="s">
        <v>379</v>
      </c>
      <c r="FT373" s="18" t="s">
        <v>380</v>
      </c>
      <c r="FU373" s="18" t="s">
        <v>381</v>
      </c>
      <c r="FV373" s="18"/>
      <c r="FW373" s="18" t="s">
        <v>267</v>
      </c>
      <c r="FX373" s="18" t="s">
        <v>268</v>
      </c>
      <c r="FY373" s="27">
        <v>38747</v>
      </c>
      <c r="FZ373" s="18" t="s">
        <v>2281</v>
      </c>
      <c r="GA373" s="18"/>
      <c r="GB373" s="18"/>
      <c r="GC373" s="18"/>
      <c r="GD373" s="18" t="s">
        <v>2283</v>
      </c>
      <c r="GE373" s="18" t="s">
        <v>2282</v>
      </c>
      <c r="GF373" s="18" t="s">
        <v>2284</v>
      </c>
      <c r="GG373" s="18"/>
      <c r="GH373" s="18" t="s">
        <v>2285</v>
      </c>
      <c r="GI373" s="18" t="s">
        <v>285</v>
      </c>
      <c r="GJ373" s="27">
        <v>38834</v>
      </c>
      <c r="GK373" s="18" t="s">
        <v>2286</v>
      </c>
      <c r="GL373" s="18" t="s">
        <v>382</v>
      </c>
      <c r="GM373" s="18" t="s">
        <v>383</v>
      </c>
      <c r="GN373" s="18" t="s">
        <v>384</v>
      </c>
      <c r="GO373" s="18" t="s">
        <v>385</v>
      </c>
      <c r="GP373" s="18" t="s">
        <v>386</v>
      </c>
      <c r="GQ373" s="18" t="s">
        <v>260</v>
      </c>
      <c r="GR373" s="27">
        <v>38894</v>
      </c>
      <c r="GS373" s="18" t="s">
        <v>2287</v>
      </c>
      <c r="GT373" s="18" t="s">
        <v>382</v>
      </c>
      <c r="GU373" s="18" t="s">
        <v>383</v>
      </c>
      <c r="GV373" s="18" t="s">
        <v>384</v>
      </c>
      <c r="GW373" s="18" t="s">
        <v>385</v>
      </c>
      <c r="GX373" s="18" t="s">
        <v>386</v>
      </c>
      <c r="GY373" s="18" t="s">
        <v>260</v>
      </c>
      <c r="GZ373" s="27">
        <v>38973</v>
      </c>
      <c r="HA373" s="18" t="s">
        <v>2288</v>
      </c>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4"/>
      <c r="ID373" s="18"/>
      <c r="IE373" s="18"/>
      <c r="IF373" s="18"/>
      <c r="IG373" s="18"/>
      <c r="IH373" s="18"/>
      <c r="IL373" s="18"/>
      <c r="IM373" s="18"/>
      <c r="IN373" s="14"/>
      <c r="IO373" s="27">
        <v>44434</v>
      </c>
      <c r="IP373" s="18"/>
      <c r="IQ373" s="18"/>
      <c r="IR373" s="18"/>
      <c r="IS373" s="18"/>
      <c r="IT373" s="18"/>
      <c r="IU373" s="18"/>
      <c r="IV373" s="18"/>
      <c r="IW373" s="18"/>
      <c r="IX373" s="18"/>
      <c r="IY373" s="18"/>
    </row>
    <row r="374" spans="1:263" ht="15" customHeight="1">
      <c r="A374" s="19">
        <v>102021058</v>
      </c>
      <c r="B374" s="18" t="s">
        <v>2088</v>
      </c>
      <c r="C374" s="18"/>
      <c r="D374" s="13"/>
      <c r="E374" s="24" t="s">
        <v>4969</v>
      </c>
      <c r="F374" s="18">
        <v>230000751</v>
      </c>
      <c r="G374" s="24"/>
      <c r="H374" s="18"/>
      <c r="I374" s="18"/>
      <c r="J374" s="18" t="s">
        <v>311</v>
      </c>
      <c r="K374" s="18" t="s">
        <v>1020</v>
      </c>
      <c r="L374" s="18" t="s">
        <v>1355</v>
      </c>
      <c r="M374" s="18" t="s">
        <v>256</v>
      </c>
      <c r="N374" s="18" t="s">
        <v>341</v>
      </c>
      <c r="O374" s="24"/>
      <c r="P374" s="18"/>
      <c r="Q374" s="18"/>
      <c r="R374" s="18"/>
      <c r="S374" s="18"/>
      <c r="T374" s="18"/>
      <c r="U374" s="18"/>
      <c r="V374" s="18"/>
      <c r="W374" s="18"/>
      <c r="X374" s="18"/>
      <c r="Y374" s="18"/>
      <c r="Z374" s="18"/>
      <c r="AA374" s="18"/>
      <c r="AB374" s="18"/>
      <c r="AC374" s="18"/>
      <c r="AD374" s="18"/>
      <c r="AE374" s="18"/>
      <c r="AF374" s="18"/>
      <c r="AG374" s="26"/>
      <c r="AH374" s="18"/>
      <c r="AI374" s="18"/>
      <c r="AJ374" s="18"/>
      <c r="AK374" s="18"/>
      <c r="AL374" s="18"/>
      <c r="AM374" s="18"/>
      <c r="AN374" s="18"/>
      <c r="AO374" s="18" t="s">
        <v>1003</v>
      </c>
      <c r="AP374" s="24" t="s">
        <v>258</v>
      </c>
      <c r="AQ374" s="18" t="s">
        <v>386</v>
      </c>
      <c r="AR374" s="18" t="s">
        <v>260</v>
      </c>
      <c r="AS374" s="18"/>
      <c r="AT374" s="18"/>
      <c r="AU374" s="18"/>
      <c r="AV374" s="18"/>
      <c r="AW374" s="18"/>
      <c r="AX374" s="13"/>
      <c r="AY374" s="13" t="s">
        <v>258</v>
      </c>
      <c r="AZ374" s="13"/>
      <c r="BA374" s="13"/>
      <c r="BB374" s="13"/>
      <c r="BC374" s="19"/>
      <c r="BD374" s="115"/>
      <c r="BE374" s="114"/>
      <c r="BF374" s="19"/>
      <c r="BG374" s="19"/>
      <c r="BH374" s="19"/>
      <c r="BI374" s="19"/>
      <c r="BJ374" s="21">
        <v>45163</v>
      </c>
      <c r="BK374" s="2" t="s">
        <v>319</v>
      </c>
      <c r="BL374" s="20">
        <f ca="1">SUM(EB374)+220</f>
        <v>4814.4699208333332</v>
      </c>
      <c r="BM374" s="22">
        <f ca="1">PMT(10%/12,12,BL374,0,0)</f>
        <v>-423.26839463225656</v>
      </c>
      <c r="BN374" s="22">
        <f ca="1">SUM(BM374*-1)</f>
        <v>423.26839463225656</v>
      </c>
      <c r="BO374" s="14">
        <f>SUM(EJ374*0.0052)/12</f>
        <v>52.736666666666657</v>
      </c>
      <c r="BP374" s="22">
        <f ca="1">SUM(BN374+BO374)</f>
        <v>476.00506129892324</v>
      </c>
      <c r="BQ374" s="14">
        <v>0</v>
      </c>
      <c r="BR374" s="14">
        <f>SUM(BQ374*0.1)</f>
        <v>0</v>
      </c>
      <c r="BS374" s="14">
        <f ca="1">SUM(BT374*BU374)</f>
        <v>0</v>
      </c>
      <c r="BT374" s="17">
        <f>SUM((BQ374+BR374)*0.00833333333333333)</f>
        <v>0</v>
      </c>
      <c r="BU374" s="23">
        <f ca="1">MONTH(TODAY())+49</f>
        <v>53</v>
      </c>
      <c r="BV374" s="14">
        <f ca="1">SUM(BQ374,BR374,BS374)</f>
        <v>0</v>
      </c>
      <c r="BW374" s="14">
        <v>0</v>
      </c>
      <c r="BX374" s="14">
        <f>SUM(BW374*0.1)</f>
        <v>0</v>
      </c>
      <c r="BY374" s="14">
        <f ca="1">SUM(BZ374*CA374)</f>
        <v>0</v>
      </c>
      <c r="BZ374" s="17">
        <f>SUM((BW374+BX374)*0.00833333333333333)</f>
        <v>0</v>
      </c>
      <c r="CA374" s="23">
        <f ca="1">MONTH(TODAY())+37</f>
        <v>41</v>
      </c>
      <c r="CB374" s="14">
        <f ca="1">SUM(BW374,BX374,BY374)</f>
        <v>0</v>
      </c>
      <c r="CC374" s="14">
        <v>180.04</v>
      </c>
      <c r="CD374" s="14">
        <f>SUM(CC374*0.1)</f>
        <v>18.004000000000001</v>
      </c>
      <c r="CE374" s="14">
        <f ca="1">SUM(CF374*CG374)</f>
        <v>47.860633333333311</v>
      </c>
      <c r="CF374" s="17">
        <f>SUM((CC374+CD374)*0.00833333333333333)</f>
        <v>1.6503666666666659</v>
      </c>
      <c r="CG374" s="23">
        <f ca="1">MONTH(TODAY())+25</f>
        <v>29</v>
      </c>
      <c r="CH374" s="14">
        <f ca="1">SUM(CC374,CD374,CE374)</f>
        <v>245.90463333333329</v>
      </c>
      <c r="CI374" s="14">
        <f>SUM(EG374*0.0052)</f>
        <v>427.44</v>
      </c>
      <c r="CJ374" s="14">
        <f>SUM(CI374*0.1)</f>
        <v>42.744</v>
      </c>
      <c r="CK374" s="14">
        <f ca="1">SUM(CL374*CM374)</f>
        <v>66.609399999999965</v>
      </c>
      <c r="CL374" s="17">
        <f>SUM((CI374+CJ374)*0.00833333333333333)</f>
        <v>3.9181999999999979</v>
      </c>
      <c r="CM374" s="23">
        <f ca="1">MONTH(TODAY())+13</f>
        <v>17</v>
      </c>
      <c r="CN374" s="14">
        <f ca="1">SUM(CI374,CJ374,CK374)</f>
        <v>536.79339999999991</v>
      </c>
      <c r="CO374" s="14">
        <f>SUM(EG374*0.0052)/2-106.86</f>
        <v>106.86</v>
      </c>
      <c r="CP374" s="14">
        <f>SUM(CO374*0.1)</f>
        <v>10.686</v>
      </c>
      <c r="CQ374" s="14">
        <f ca="1">SUM(CR374*CS374)</f>
        <v>8.8159499999999955</v>
      </c>
      <c r="CR374" s="17">
        <f>SUM((CO374+CP374)*0.00833333333333333)</f>
        <v>0.97954999999999948</v>
      </c>
      <c r="CS374" s="23">
        <f ca="1">MONTH(TODAY())+5</f>
        <v>9</v>
      </c>
      <c r="CT374" s="23">
        <f ca="1">SUM(CO374,CP374,CQ374)</f>
        <v>126.36194999999999</v>
      </c>
      <c r="CU374" s="14">
        <f>SUM(EG374*0.0052)/2</f>
        <v>213.72</v>
      </c>
      <c r="CV374" s="14">
        <f>SUM(CU374*0.1)</f>
        <v>21.372</v>
      </c>
      <c r="CW374" s="14">
        <f ca="1">SUM(CX374*CY374)</f>
        <v>9.7954999999999952</v>
      </c>
      <c r="CX374" s="17">
        <f>SUM((CU374+CV374)*0.00833333333333333)</f>
        <v>1.959099999999999</v>
      </c>
      <c r="CY374" s="23">
        <f ca="1">MONTH(TODAY())+1</f>
        <v>5</v>
      </c>
      <c r="CZ374" s="23">
        <f ca="1">SUM(CU374,CV374,CW374)</f>
        <v>244.88749999999999</v>
      </c>
      <c r="DA374" s="14">
        <f>SUM(EJ374*0.0045)/2</f>
        <v>273.82499999999999</v>
      </c>
      <c r="DB374" s="14">
        <f>SUM(DA374*0.1)</f>
        <v>27.3825</v>
      </c>
      <c r="DC374" s="14">
        <f ca="1">SUM(DD374*DE374)</f>
        <v>-2.5100624999999988</v>
      </c>
      <c r="DD374" s="17">
        <f>SUM((DA374+DB374)*0.00833333333333333)</f>
        <v>2.5100624999999988</v>
      </c>
      <c r="DE374" s="23">
        <f ca="1">MONTH(TODAY())-5</f>
        <v>-1</v>
      </c>
      <c r="DF374" s="23">
        <f ca="1">SUM(DA374,DB374,DC374)</f>
        <v>298.69743749999998</v>
      </c>
      <c r="DG374" s="14">
        <f>SUM(EJ374*0.0045)/2</f>
        <v>273.82499999999999</v>
      </c>
      <c r="DH374" s="14">
        <v>0</v>
      </c>
      <c r="DI374" s="14">
        <v>0</v>
      </c>
      <c r="DJ374" s="17">
        <f>SUM((DG374+DH374)*0.00833333333333333)</f>
        <v>2.281874999999999</v>
      </c>
      <c r="DK374" s="23">
        <f ca="1">MONTH(TODAY())+1</f>
        <v>5</v>
      </c>
      <c r="DL374" s="14">
        <f>SUM(DG374,DH374,DI374)</f>
        <v>273.82499999999999</v>
      </c>
      <c r="DM374" s="14">
        <f>SUM( BQ374, BW374, CC374, CI374, CO374,CU374,DA374,DG374)</f>
        <v>1475.71</v>
      </c>
      <c r="DN374" s="14">
        <f>SUM(BR374,BX374,CD374,CJ374, CP374,CV374,DB374,DH374)</f>
        <v>120.1885</v>
      </c>
      <c r="DO374" s="14">
        <f ca="1">SUM(BS374,BY374,CE374,CK374, CQ374,CW374,DC374,DI374)</f>
        <v>130.57142083333326</v>
      </c>
      <c r="DP374" s="25">
        <f ca="1">SUM(DM374:DO374)</f>
        <v>1726.4699208333332</v>
      </c>
      <c r="DQ374" s="47">
        <f ca="1">SUM(DP374/EG374)</f>
        <v>2.1003283708434711E-2</v>
      </c>
      <c r="DR374" s="14">
        <f>19.5+19.5+19.5+97.5+58.5+156+58.5+19.5+195+58.5+200+60+40+60+40+60+60+100+40+40+40+20+40+40</f>
        <v>1542</v>
      </c>
      <c r="DS374" s="32">
        <f>COUNTIF(DX374, "*")+COUNTIF(AO374, "*")+COUNTIF(AJ374, "*")+COUNTIF(AA374, "*")+COUNTIF(EY374, "*")+COUNTIF(FE374, "*")+COUNTIF(FK374, "*")+COUNTIF(FO374, "*")+COUNTIF(FV374, "*")+COUNTIF(AT374, "*")+COUNTIF(GE374, "*")+COUNTIF(GP374, "*")+COUNTIF(HA374, "*")+COUNTIF(HI374, "*")+COUNTIF(HQ374, "*")+COUNTIF(HY374, "*")</f>
        <v>7</v>
      </c>
      <c r="DT374" s="14">
        <f>0.5+31.85+7.14+30+55.17</f>
        <v>124.66000000000001</v>
      </c>
      <c r="DU374" s="14">
        <v>350</v>
      </c>
      <c r="DV374" s="14">
        <f>45.62+50.23+246.49</f>
        <v>342.34000000000003</v>
      </c>
      <c r="DW374" s="14"/>
      <c r="DX374" s="4">
        <v>99</v>
      </c>
      <c r="DY374" s="14">
        <v>0</v>
      </c>
      <c r="DZ374" s="4">
        <v>410</v>
      </c>
      <c r="EA374" s="14">
        <f>SUM(DV374:DZ374)</f>
        <v>851.34</v>
      </c>
      <c r="EB374" s="14">
        <f ca="1">SUM(DP374,DR374,EA374, DU374, DT374,GB374)</f>
        <v>4594.4699208333332</v>
      </c>
      <c r="EC374" s="24" t="s">
        <v>4920</v>
      </c>
      <c r="ED374" s="23">
        <v>1</v>
      </c>
      <c r="EE374" s="14">
        <v>20000</v>
      </c>
      <c r="EF374" s="14">
        <v>62200</v>
      </c>
      <c r="EG374" s="14">
        <f>SUM(EE374+EF374)</f>
        <v>82200</v>
      </c>
      <c r="EH374" s="14">
        <v>35000</v>
      </c>
      <c r="EI374" s="14">
        <v>86700</v>
      </c>
      <c r="EJ374" s="14">
        <f>SUM(EH374+EI374)</f>
        <v>121700</v>
      </c>
      <c r="EK374" s="18" t="s">
        <v>4114</v>
      </c>
      <c r="EL374" s="18" t="s">
        <v>4115</v>
      </c>
      <c r="EM374" s="18" t="s">
        <v>4116</v>
      </c>
      <c r="EN374" s="18" t="s">
        <v>4117</v>
      </c>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4"/>
      <c r="GC374" s="18" t="s">
        <v>2280</v>
      </c>
      <c r="GD374" s="18" t="s">
        <v>375</v>
      </c>
      <c r="GE374" s="18" t="s">
        <v>376</v>
      </c>
      <c r="GF374" s="18"/>
      <c r="GG374" s="18" t="s">
        <v>377</v>
      </c>
      <c r="GH374" s="18" t="s">
        <v>275</v>
      </c>
      <c r="GI374" s="27">
        <v>38747</v>
      </c>
      <c r="GJ374" s="18" t="s">
        <v>2281</v>
      </c>
      <c r="GK374" s="18"/>
      <c r="GL374" s="18"/>
      <c r="GM374" s="18"/>
      <c r="GN374" s="18" t="s">
        <v>379</v>
      </c>
      <c r="GO374" s="18" t="s">
        <v>380</v>
      </c>
      <c r="GP374" s="18" t="s">
        <v>381</v>
      </c>
      <c r="GQ374" s="18"/>
      <c r="GR374" s="18" t="s">
        <v>267</v>
      </c>
      <c r="GS374" s="18" t="s">
        <v>268</v>
      </c>
      <c r="GT374" s="27">
        <v>38747</v>
      </c>
      <c r="GU374" s="18" t="s">
        <v>2281</v>
      </c>
      <c r="GV374" s="18"/>
      <c r="GW374" s="18"/>
      <c r="GX374" s="18"/>
      <c r="GY374" s="18" t="s">
        <v>2283</v>
      </c>
      <c r="GZ374" s="18" t="s">
        <v>2282</v>
      </c>
      <c r="HA374" s="18" t="s">
        <v>2284</v>
      </c>
      <c r="HB374" s="18"/>
      <c r="HC374" s="18" t="s">
        <v>2285</v>
      </c>
      <c r="HD374" s="18" t="s">
        <v>285</v>
      </c>
      <c r="HE374" s="27">
        <v>38834</v>
      </c>
      <c r="HF374" s="18" t="s">
        <v>2286</v>
      </c>
      <c r="HG374" s="18" t="s">
        <v>382</v>
      </c>
      <c r="HH374" s="18" t="s">
        <v>383</v>
      </c>
      <c r="HI374" s="18" t="s">
        <v>384</v>
      </c>
      <c r="HJ374" s="18" t="s">
        <v>385</v>
      </c>
      <c r="HK374" s="18" t="s">
        <v>386</v>
      </c>
      <c r="HL374" s="18" t="s">
        <v>260</v>
      </c>
      <c r="HM374" s="27">
        <v>38894</v>
      </c>
      <c r="HN374" s="18" t="s">
        <v>2287</v>
      </c>
      <c r="HO374" s="18" t="s">
        <v>382</v>
      </c>
      <c r="HP374" s="18" t="s">
        <v>383</v>
      </c>
      <c r="HQ374" s="18" t="s">
        <v>384</v>
      </c>
      <c r="HR374" s="18" t="s">
        <v>385</v>
      </c>
      <c r="HS374" s="18" t="s">
        <v>386</v>
      </c>
      <c r="HT374" s="18" t="s">
        <v>260</v>
      </c>
      <c r="HU374" s="27">
        <v>38973</v>
      </c>
      <c r="HV374" s="18" t="s">
        <v>2288</v>
      </c>
      <c r="HW374" s="18" t="s">
        <v>4120</v>
      </c>
      <c r="HX374" s="18" t="s">
        <v>4119</v>
      </c>
      <c r="HY374" s="18" t="s">
        <v>4121</v>
      </c>
      <c r="HZ374" s="18"/>
      <c r="IA374" s="18" t="s">
        <v>3476</v>
      </c>
      <c r="IB374" s="18" t="s">
        <v>496</v>
      </c>
      <c r="IC374" s="27">
        <v>44781</v>
      </c>
      <c r="ID374" s="18" t="s">
        <v>4118</v>
      </c>
      <c r="IE374" s="9">
        <v>45227</v>
      </c>
      <c r="IF374" s="18"/>
      <c r="IG374" s="18"/>
      <c r="IH374" s="18"/>
      <c r="II374" s="18"/>
      <c r="IJ374" s="18"/>
      <c r="IK374" s="18"/>
      <c r="IL374" s="18"/>
      <c r="IM374" s="18" t="s">
        <v>4987</v>
      </c>
      <c r="IN374" s="14">
        <v>1867.95</v>
      </c>
      <c r="IO374" s="18"/>
      <c r="IP374" s="14">
        <f ca="1">SUM(IF374-EB374-GB374-IN374)</f>
        <v>-6462.419920833333</v>
      </c>
      <c r="IQ374" s="27">
        <v>45180</v>
      </c>
      <c r="IR374" s="27"/>
      <c r="IS374" s="27"/>
      <c r="IT374" s="27"/>
      <c r="IU374" s="27"/>
    </row>
    <row r="375" spans="1:263" ht="15" customHeight="1">
      <c r="A375" s="19">
        <v>102022206</v>
      </c>
      <c r="B375" t="s">
        <v>3890</v>
      </c>
      <c r="D375" s="1">
        <v>2025</v>
      </c>
      <c r="E375" s="3"/>
      <c r="F375" s="3"/>
      <c r="J375" t="s">
        <v>554</v>
      </c>
      <c r="K375" t="s">
        <v>3277</v>
      </c>
      <c r="L375" t="s">
        <v>1054</v>
      </c>
      <c r="P375" t="s">
        <v>3277</v>
      </c>
      <c r="Q375" t="s">
        <v>3278</v>
      </c>
      <c r="AD375" t="s">
        <v>3891</v>
      </c>
      <c r="AE375" t="s">
        <v>253</v>
      </c>
      <c r="AF375" t="s">
        <v>3892</v>
      </c>
      <c r="AG375" s="43" t="s">
        <v>3893</v>
      </c>
      <c r="AH375" s="31" t="s">
        <v>3894</v>
      </c>
      <c r="AJ375" t="s">
        <v>328</v>
      </c>
      <c r="AL375" t="s">
        <v>386</v>
      </c>
      <c r="AM375"/>
      <c r="AN375"/>
      <c r="AO375" s="3" t="s">
        <v>3279</v>
      </c>
      <c r="AP375" s="3" t="s">
        <v>258</v>
      </c>
      <c r="AQ375" t="s">
        <v>386</v>
      </c>
      <c r="AR375" t="s">
        <v>260</v>
      </c>
      <c r="AS375" s="1"/>
      <c r="AT375" s="1"/>
      <c r="AU375" s="1"/>
      <c r="AV375" s="1"/>
      <c r="AW375" s="1"/>
      <c r="AX375" s="2"/>
      <c r="AY375" s="116"/>
      <c r="AZ375" s="115"/>
      <c r="BA375" s="2"/>
      <c r="BB375" s="2"/>
      <c r="BC375" s="2"/>
      <c r="BD375" s="2"/>
      <c r="BE375" s="2"/>
      <c r="BF375" s="2"/>
      <c r="BG375" s="20">
        <f ca="1">SUM(CZ375)+214.5</f>
        <v>1505.3627666666666</v>
      </c>
      <c r="BH375" s="22">
        <f ca="1">PMT(10%/12,12,BG375,0,0)</f>
        <v>-132.34530323452191</v>
      </c>
      <c r="BI375" s="22">
        <f ca="1">SUM(BH375*-1)</f>
        <v>132.34530323452191</v>
      </c>
      <c r="BJ375" s="14">
        <f>SUM(DJ375*0.0052)/12</f>
        <v>0.69333333333333336</v>
      </c>
      <c r="BK375" s="22">
        <f ca="1">SUM(BI375+BJ375)</f>
        <v>133.03863656785524</v>
      </c>
      <c r="BL375" s="14"/>
      <c r="BM375" s="14">
        <f>SUM(BL375*0.1)</f>
        <v>0</v>
      </c>
      <c r="BN375" s="14">
        <f ca="1">SUM(BO375*BP375)</f>
        <v>0</v>
      </c>
      <c r="BO375" s="17">
        <f>SUM((BL375+BM375)*0.00833333333333333)</f>
        <v>0</v>
      </c>
      <c r="BP375" s="23">
        <f ca="1">MONTH(TODAY())+49</f>
        <v>53</v>
      </c>
      <c r="BQ375" s="14">
        <f ca="1">SUM(BL375,BM375,BN375)</f>
        <v>0</v>
      </c>
      <c r="BR375" s="14"/>
      <c r="BS375" s="14">
        <f>SUM(BR375*0.1)</f>
        <v>0</v>
      </c>
      <c r="BT375" s="14">
        <f ca="1">SUM(BU375*BV375)</f>
        <v>0</v>
      </c>
      <c r="BU375" s="17">
        <f>SUM((BR375+BS375)*0.00833333333333333)</f>
        <v>0</v>
      </c>
      <c r="BV375" s="23">
        <f ca="1">MONTH(TODAY())+37</f>
        <v>41</v>
      </c>
      <c r="BW375" s="14">
        <f ca="1">SUM(BR375,BS375,BT375)</f>
        <v>0</v>
      </c>
      <c r="BX375" s="14"/>
      <c r="BY375" s="14">
        <f>SUM(BX375*0.1)</f>
        <v>0</v>
      </c>
      <c r="BZ375" s="14">
        <f ca="1">SUM(CA375*CB375)</f>
        <v>0</v>
      </c>
      <c r="CA375" s="17">
        <f>SUM((BX375+BY375)*0.00833333333333333)</f>
        <v>0</v>
      </c>
      <c r="CB375" s="23">
        <f ca="1">MONTH(TODAY())+25</f>
        <v>29</v>
      </c>
      <c r="CC375" s="14">
        <f ca="1">SUM(BX375,BY375,BZ375)</f>
        <v>0</v>
      </c>
      <c r="CD375" s="14">
        <f>SUM(DJ375*0.0052)-6.86+109.29</f>
        <v>110.75</v>
      </c>
      <c r="CE375" s="14">
        <f>SUM(CD375*0.1)</f>
        <v>11.075000000000001</v>
      </c>
      <c r="CF375" s="14">
        <f>SUM(CG375*CH375)</f>
        <v>20.304166666666656</v>
      </c>
      <c r="CG375" s="17">
        <f>SUM((CD375+CE375)*0.00833333333333333)</f>
        <v>1.0152083333333328</v>
      </c>
      <c r="CH375" s="23">
        <v>20</v>
      </c>
      <c r="CI375" s="14">
        <f>SUM(CD375,CE375,CF375)</f>
        <v>142.12916666666666</v>
      </c>
      <c r="CJ375" s="14">
        <f>SUM(DJ375*0.0052)+629.72</f>
        <v>638.04000000000008</v>
      </c>
      <c r="CK375" s="14">
        <f>SUM(CJ375*0.1)</f>
        <v>63.804000000000009</v>
      </c>
      <c r="CL375" s="14">
        <f>SUM(CM375*CN375)</f>
        <v>46.789599999999986</v>
      </c>
      <c r="CM375" s="17">
        <f>SUM((CJ375+CK375)*0.00833333333333333)</f>
        <v>5.8486999999999982</v>
      </c>
      <c r="CN375" s="23">
        <v>8</v>
      </c>
      <c r="CO375" s="14">
        <f>SUM(CJ375,CK375,CL375)</f>
        <v>748.6336</v>
      </c>
      <c r="CP375" s="14">
        <f>SUM(DJ375*0.0052)/2+2.08+314.86</f>
        <v>321.10000000000002</v>
      </c>
      <c r="CQ375" s="14">
        <f>SUM(BL375, BR375, BX375, CD375, CJ375, CP375)</f>
        <v>1069.8900000000001</v>
      </c>
      <c r="CR375" s="14">
        <f>SUM(BM375, BS375,BY375,CE375,CK375)</f>
        <v>74.879000000000005</v>
      </c>
      <c r="CS375" s="14">
        <f ca="1">SUM(BN375, BT375,BZ375,CF375,CL375)</f>
        <v>67.093766666666639</v>
      </c>
      <c r="CT375" s="14">
        <f ca="1">SUM(CQ375:CS375)</f>
        <v>1211.8627666666666</v>
      </c>
      <c r="CU375" s="47">
        <f ca="1">SUM(CT375/DJ375)</f>
        <v>0.75741422916666667</v>
      </c>
      <c r="CV375" s="14">
        <f>19.5+58.5</f>
        <v>78</v>
      </c>
      <c r="CW375" s="32">
        <f>COUNTIF(DC375, "*")+COUNTIF(AO375, "*")+COUNTIF(AJ375, "*")+COUNTIF(AA375, "*")+COUNTIF(DZ375, "*")+COUNTIF(EF375, "*")+COUNTIF(EL375, "*")+COUNTIF(EP375, "*")+COUNTIF(EW375, "*")+COUNTIF(FD375, "*")+COUNTIF(FK375, "*")+COUNTIF(FV375, "*")+COUNTIF(GG375, "*")+COUNTIF(GO375, "*")+COUNTIF(GW375, "*")+COUNTIF(HE375, "*")+COUNTIF(HM375, "*")</f>
        <v>2</v>
      </c>
      <c r="CX375" s="14">
        <f>CW375*0.5</f>
        <v>1</v>
      </c>
      <c r="CY375" s="4"/>
      <c r="CZ375" s="14">
        <f ca="1">SUM(CT375,CV375,DF375, CY375, CX375,FH375)</f>
        <v>1290.8627666666666</v>
      </c>
      <c r="DA375" s="4"/>
      <c r="DB375" s="4"/>
      <c r="DF375" s="14">
        <f>SUM(DA375:DE375)</f>
        <v>0</v>
      </c>
      <c r="DG375" s="24" t="s">
        <v>2773</v>
      </c>
      <c r="DH375" s="4">
        <f>800+800</f>
        <v>1600</v>
      </c>
      <c r="DI375" s="4">
        <v>0</v>
      </c>
      <c r="DJ375" s="25">
        <f>SUM(DH375+DI375)</f>
        <v>1600</v>
      </c>
      <c r="DK375" s="35">
        <v>0.16</v>
      </c>
      <c r="ID375" s="4"/>
    </row>
    <row r="376" spans="1:263" ht="15" customHeight="1">
      <c r="A376" s="19">
        <v>102017094</v>
      </c>
      <c r="B376" s="18" t="s">
        <v>1048</v>
      </c>
      <c r="C376" s="18"/>
      <c r="D376" s="18"/>
      <c r="E376" s="18" t="s">
        <v>1049</v>
      </c>
      <c r="F376" s="19">
        <v>180002429</v>
      </c>
      <c r="G376" s="19"/>
      <c r="H376" s="19"/>
      <c r="I376" s="18"/>
      <c r="J376" s="18" t="s">
        <v>305</v>
      </c>
      <c r="K376" s="18" t="s">
        <v>1050</v>
      </c>
      <c r="L376" s="18" t="s">
        <v>944</v>
      </c>
      <c r="M376" s="18" t="s">
        <v>392</v>
      </c>
      <c r="N376" s="18"/>
      <c r="O376" s="13" t="s">
        <v>258</v>
      </c>
      <c r="P376" s="18" t="s">
        <v>1050</v>
      </c>
      <c r="Q376" s="18" t="s">
        <v>1051</v>
      </c>
      <c r="R376" s="18" t="s">
        <v>428</v>
      </c>
      <c r="S376" s="18"/>
      <c r="T376" s="13"/>
      <c r="U376" s="18"/>
      <c r="V376" s="18"/>
      <c r="AD376" s="1"/>
      <c r="AF376" s="3"/>
      <c r="AI376" s="4"/>
      <c r="AJ376" s="18"/>
      <c r="AK376" s="4"/>
      <c r="AL376" s="4"/>
      <c r="AQ376" s="34"/>
      <c r="AR376" s="24"/>
      <c r="AS376" s="1"/>
      <c r="AT376" s="1"/>
      <c r="AU376" s="1"/>
      <c r="AV376" s="1"/>
      <c r="AW376" s="1"/>
      <c r="AX376" s="1"/>
      <c r="AY376" s="1"/>
      <c r="AZ376" s="1"/>
      <c r="BA376" s="1"/>
      <c r="BB376" s="1"/>
      <c r="BC376" s="1"/>
      <c r="BD376" s="5"/>
      <c r="BE376" s="16"/>
      <c r="BF376" s="16"/>
      <c r="BH376" s="4"/>
      <c r="BI376" s="4"/>
      <c r="BJ376" s="6"/>
      <c r="BK376" s="7"/>
      <c r="BL376" s="4"/>
      <c r="BN376" s="4"/>
      <c r="BO376" s="4"/>
      <c r="BP376" s="6"/>
      <c r="BQ376" s="7"/>
      <c r="BR376" s="4"/>
      <c r="BS376" s="4"/>
      <c r="BT376" s="4"/>
      <c r="BU376" s="4"/>
      <c r="BV376" s="6"/>
      <c r="BW376" s="7"/>
      <c r="BX376" s="4"/>
      <c r="BZ376" s="4"/>
      <c r="CA376" s="4"/>
      <c r="CB376" s="6"/>
      <c r="CC376" s="7"/>
      <c r="CD376" s="4"/>
      <c r="CE376" s="4"/>
      <c r="CF376" s="4"/>
      <c r="CG376" s="4"/>
      <c r="CH376" s="6"/>
      <c r="CI376" s="7"/>
      <c r="CJ376" s="4"/>
      <c r="CK376" s="4"/>
      <c r="CL376" s="4"/>
      <c r="CM376" s="4"/>
      <c r="CN376" s="6"/>
      <c r="CO376" s="7"/>
      <c r="CP376" s="4"/>
      <c r="CQ376" s="4"/>
      <c r="CR376" s="4"/>
      <c r="CS376" s="4"/>
      <c r="CT376" s="6"/>
      <c r="CU376" s="7"/>
      <c r="CV376" s="4"/>
      <c r="CW376" s="4"/>
      <c r="CX376" s="4"/>
      <c r="CY376" s="4"/>
      <c r="CZ376" s="6"/>
      <c r="DA376" s="7"/>
      <c r="DB376" s="4"/>
      <c r="DC376" s="4"/>
      <c r="DD376" s="4"/>
      <c r="DE376" s="4"/>
      <c r="DF376" s="6"/>
      <c r="DG376" s="7"/>
      <c r="DH376" s="4"/>
      <c r="DI376" s="4"/>
      <c r="DJ376" s="4"/>
      <c r="DK376" s="4"/>
      <c r="DL376" s="4"/>
      <c r="DM376" s="3"/>
      <c r="DN376" s="4"/>
      <c r="DO376" s="4"/>
      <c r="DP376" s="4"/>
      <c r="DQ376" s="4"/>
      <c r="DR376" s="4"/>
      <c r="DS376" s="4"/>
      <c r="DT376" s="4"/>
      <c r="DU376" s="4"/>
      <c r="DV376" s="4"/>
      <c r="DW376" s="4"/>
      <c r="DX376" s="4"/>
      <c r="DY376" s="4"/>
      <c r="DZ376" s="4"/>
      <c r="EA376" s="4"/>
      <c r="EB376" s="4"/>
      <c r="EC376" s="4"/>
      <c r="ED376" s="4"/>
      <c r="EE376" s="4"/>
      <c r="FL376" s="9"/>
      <c r="FM376" s="10"/>
      <c r="FT376" s="10"/>
      <c r="GF376" s="9"/>
      <c r="IR376" s="4"/>
      <c r="IS376" s="4"/>
      <c r="IT376" s="27"/>
    </row>
    <row r="377" spans="1:263" ht="15" customHeight="1">
      <c r="A377" s="19">
        <v>102021082</v>
      </c>
      <c r="B377" s="18" t="s">
        <v>2580</v>
      </c>
      <c r="C377" s="18"/>
      <c r="D377" s="13">
        <v>2023</v>
      </c>
      <c r="E377" s="24"/>
      <c r="F377" s="18"/>
      <c r="G377" s="24"/>
      <c r="H377" s="18"/>
      <c r="I377" s="18"/>
      <c r="J377" s="18" t="s">
        <v>311</v>
      </c>
      <c r="K377" s="18" t="s">
        <v>1125</v>
      </c>
      <c r="L377" s="18" t="s">
        <v>2581</v>
      </c>
      <c r="M377" s="18" t="s">
        <v>354</v>
      </c>
      <c r="N377" s="18"/>
      <c r="O377" s="24"/>
      <c r="P377" s="18"/>
      <c r="Q377" s="18"/>
      <c r="R377" s="18"/>
      <c r="S377" s="18"/>
      <c r="T377" s="18"/>
      <c r="U377" s="18"/>
      <c r="V377" s="18"/>
      <c r="W377" s="18"/>
      <c r="X377" s="18"/>
      <c r="Y377" s="18"/>
      <c r="Z377" s="18"/>
      <c r="AA377" s="18"/>
      <c r="AB377" s="18"/>
      <c r="AC377" s="18"/>
      <c r="AD377" s="18"/>
      <c r="AE377" s="18"/>
      <c r="AF377" s="18"/>
      <c r="AG377" s="26"/>
      <c r="AH377" s="18"/>
      <c r="AI377" s="18"/>
      <c r="AJ377" s="18" t="s">
        <v>328</v>
      </c>
      <c r="AK377" s="18"/>
      <c r="AL377" s="18" t="s">
        <v>386</v>
      </c>
      <c r="AM377" s="18"/>
      <c r="AN377" s="18"/>
      <c r="AO377" s="18" t="s">
        <v>2582</v>
      </c>
      <c r="AP377" s="24" t="s">
        <v>258</v>
      </c>
      <c r="AQ377" s="18" t="s">
        <v>2583</v>
      </c>
      <c r="AR377" s="18" t="s">
        <v>2584</v>
      </c>
      <c r="AS377" s="18"/>
      <c r="AT377" s="18"/>
      <c r="AU377" s="18"/>
      <c r="AV377" s="18"/>
      <c r="AW377" s="18"/>
      <c r="AX377" s="13"/>
      <c r="AY377" s="13"/>
      <c r="AZ377" s="13"/>
      <c r="BA377" s="13"/>
      <c r="BB377" s="13"/>
      <c r="BC377" s="19"/>
      <c r="BD377" s="115">
        <v>45060</v>
      </c>
      <c r="BE377" s="114">
        <v>45176</v>
      </c>
      <c r="BF377" s="19"/>
      <c r="BG377" s="19"/>
      <c r="BH377" s="19"/>
      <c r="BI377" s="19"/>
      <c r="BJ377" s="19"/>
      <c r="BK377" s="19"/>
      <c r="BL377" s="20">
        <f ca="1">SUM(EB377)+220</f>
        <v>1315.9683375</v>
      </c>
      <c r="BM377" s="22">
        <f ca="1">PMT(10%/12,12,BL377,0,0)</f>
        <v>-115.6945239579132</v>
      </c>
      <c r="BN377" s="22">
        <f ca="1">SUM(BM377*-1)</f>
        <v>115.6945239579132</v>
      </c>
      <c r="BO377" s="14">
        <f>SUM(EJ377*0.0052)/12</f>
        <v>1.0833333333333333</v>
      </c>
      <c r="BP377" s="22">
        <f ca="1">SUM(BN377+BO377)</f>
        <v>116.77785729124653</v>
      </c>
      <c r="BQ377" s="14"/>
      <c r="BR377" s="14">
        <f>SUM(BQ377*0.1)</f>
        <v>0</v>
      </c>
      <c r="BS377" s="14">
        <f ca="1">SUM(BT377*BU377)</f>
        <v>0</v>
      </c>
      <c r="BT377" s="17">
        <f>SUM((BQ377+BR377)*0.00833333333333333)</f>
        <v>0</v>
      </c>
      <c r="BU377" s="23">
        <f ca="1">MONTH(TODAY())+49</f>
        <v>53</v>
      </c>
      <c r="BV377" s="14">
        <f ca="1">SUM(BQ377,BR377,BS377)</f>
        <v>0</v>
      </c>
      <c r="BW377" s="14">
        <f>SUM(EG377*0.0052)</f>
        <v>10.92</v>
      </c>
      <c r="BX377" s="14">
        <f>SUM(BW377*0.1)</f>
        <v>1.0920000000000001</v>
      </c>
      <c r="BY377" s="14">
        <f ca="1">SUM(BZ377*CA377)</f>
        <v>4.104099999999999</v>
      </c>
      <c r="BZ377" s="17">
        <f>SUM((BW377+BX377)*0.00833333333333333)</f>
        <v>0.10009999999999997</v>
      </c>
      <c r="CA377" s="23">
        <f ca="1">MONTH(TODAY())+37</f>
        <v>41</v>
      </c>
      <c r="CB377" s="14">
        <f ca="1">SUM(BW377,BX377,BY377)</f>
        <v>16.116099999999999</v>
      </c>
      <c r="CC377" s="14">
        <f>SUM(EG377*0.0052)</f>
        <v>10.92</v>
      </c>
      <c r="CD377" s="14">
        <f>SUM(CC377*0.1)</f>
        <v>1.0920000000000001</v>
      </c>
      <c r="CE377" s="14">
        <f ca="1">SUM(CF377*CG377)</f>
        <v>2.9028999999999989</v>
      </c>
      <c r="CF377" s="17">
        <f>SUM((CC377+CD377)*0.00833333333333333)</f>
        <v>0.10009999999999997</v>
      </c>
      <c r="CG377" s="23">
        <f ca="1">MONTH(TODAY())+25</f>
        <v>29</v>
      </c>
      <c r="CH377" s="14">
        <f ca="1">SUM(CC377,CD377,CE377)</f>
        <v>14.914899999999999</v>
      </c>
      <c r="CI377" s="14">
        <f>SUM(EG377*0.0052)</f>
        <v>10.92</v>
      </c>
      <c r="CJ377" s="14">
        <f>SUM(CI377*0.1)</f>
        <v>1.0920000000000001</v>
      </c>
      <c r="CK377" s="14">
        <f ca="1">SUM(CL377*CM377)</f>
        <v>1.7016999999999993</v>
      </c>
      <c r="CL377" s="17">
        <f>SUM((CI377+CJ377)*0.00833333333333333)</f>
        <v>0.10009999999999997</v>
      </c>
      <c r="CM377" s="23">
        <f ca="1">MONTH(TODAY())+13</f>
        <v>17</v>
      </c>
      <c r="CN377" s="14">
        <f ca="1">SUM(CI377,CJ377,CK377)</f>
        <v>13.713699999999999</v>
      </c>
      <c r="CO377" s="14">
        <f>SUM(EG377*0.0052)/2</f>
        <v>5.46</v>
      </c>
      <c r="CP377" s="14">
        <f>SUM(CO377*0.1)</f>
        <v>0.54600000000000004</v>
      </c>
      <c r="CQ377" s="14">
        <f ca="1">SUM(CR377*CS377)</f>
        <v>0.45044999999999985</v>
      </c>
      <c r="CR377" s="17">
        <f>SUM((CO377+CP377)*0.00833333333333333)</f>
        <v>5.0049999999999983E-2</v>
      </c>
      <c r="CS377" s="23">
        <f ca="1">MONTH(TODAY())+5</f>
        <v>9</v>
      </c>
      <c r="CT377" s="23">
        <f ca="1">SUM(CO377,CP377,CQ377)</f>
        <v>6.4564500000000002</v>
      </c>
      <c r="CU377" s="14">
        <f>SUM(EG377*0.0052)/2</f>
        <v>5.46</v>
      </c>
      <c r="CV377" s="14">
        <f>SUM(CU377*0.1)</f>
        <v>0.54600000000000004</v>
      </c>
      <c r="CW377" s="14">
        <f ca="1">SUM(CX377*CY377)</f>
        <v>0.25024999999999992</v>
      </c>
      <c r="CX377" s="17">
        <f>SUM((CU377+CV377)*0.00833333333333333)</f>
        <v>5.0049999999999983E-2</v>
      </c>
      <c r="CY377" s="23">
        <f ca="1">MONTH(TODAY())+1</f>
        <v>5</v>
      </c>
      <c r="CZ377" s="23">
        <f ca="1">SUM(CU377,CV377,CW377)</f>
        <v>6.2562500000000005</v>
      </c>
      <c r="DA377" s="14">
        <f>SUM(EJ377*0.0045)/2</f>
        <v>5.625</v>
      </c>
      <c r="DB377" s="14">
        <f>SUM(DA377*0.1)</f>
        <v>0.5625</v>
      </c>
      <c r="DC377" s="14">
        <f ca="1">SUM(DD377*DE377)</f>
        <v>-5.1562499999999976E-2</v>
      </c>
      <c r="DD377" s="17">
        <f>SUM((DA377+DB377)*0.00833333333333333)</f>
        <v>5.1562499999999976E-2</v>
      </c>
      <c r="DE377" s="23">
        <f ca="1">MONTH(TODAY())-5</f>
        <v>-1</v>
      </c>
      <c r="DF377" s="23">
        <f ca="1">SUM(DA377,DB377,DC377)</f>
        <v>6.1359374999999998</v>
      </c>
      <c r="DG377" s="14">
        <f>SUM(EJ377*0.0045)/2</f>
        <v>5.625</v>
      </c>
      <c r="DH377" s="14">
        <v>0</v>
      </c>
      <c r="DI377" s="14">
        <v>0</v>
      </c>
      <c r="DJ377" s="17">
        <f>SUM((DG377+DH377)*0.00833333333333333)</f>
        <v>4.6874999999999979E-2</v>
      </c>
      <c r="DK377" s="23">
        <f ca="1">MONTH(TODAY())+1</f>
        <v>5</v>
      </c>
      <c r="DL377" s="14">
        <f>SUM(DG377,DH377,DI377)</f>
        <v>5.625</v>
      </c>
      <c r="DM377" s="14">
        <f>SUM( BQ377, BW377, CC377, CI377, CO377,CU377,DA377,DG377)</f>
        <v>54.93</v>
      </c>
      <c r="DN377" s="14">
        <f>SUM(BR377,BX377,CD377,CJ377, CP377,CV377,DB377,DH377)</f>
        <v>4.9305000000000003</v>
      </c>
      <c r="DO377" s="14">
        <f ca="1">SUM(BS377,BY377,CE377,CK377, CQ377,CW377,DC377,DI377)</f>
        <v>9.3578374999999969</v>
      </c>
      <c r="DP377" s="25">
        <f ca="1">SUM(DM377:DO377)</f>
        <v>69.218337500000004</v>
      </c>
      <c r="DQ377" s="47">
        <f ca="1">SUM(DP377/EG377)</f>
        <v>3.2961113095238095E-2</v>
      </c>
      <c r="DR377" s="14">
        <f>19.5+10+200+40+40+20+40+40+40+40</f>
        <v>489.5</v>
      </c>
      <c r="DS377" s="32">
        <f>COUNTIF(DX377, "*")+COUNTIF(AO377, "*")+COUNTIF(AJ377, "*")+COUNTIF(AA377, "*")+COUNTIF(EY377, "*")+COUNTIF(FE377, "*")+COUNTIF(FK377, "*")+COUNTIF(FO377, "*")+COUNTIF(FV377, "*")+COUNTIF(AT377, "*")+COUNTIF(GE377, "*")+COUNTIF(GP377, "*")+COUNTIF(HA377, "*")+COUNTIF(HI377, "*")+COUNTIF(HQ377, "*")+COUNTIF(HY377, "*")</f>
        <v>3</v>
      </c>
      <c r="DT377" s="14">
        <f>1.06+36.76+55.17</f>
        <v>92.990000000000009</v>
      </c>
      <c r="DU377" s="14">
        <v>250</v>
      </c>
      <c r="DV377" s="4">
        <f>36.76+157.5</f>
        <v>194.26</v>
      </c>
      <c r="DW377" s="14"/>
      <c r="DX377" s="14"/>
      <c r="DY377" s="18"/>
      <c r="DZ377" s="14"/>
      <c r="EA377" s="14">
        <f>SUM(DV377:DZ377)</f>
        <v>194.26</v>
      </c>
      <c r="EB377" s="14">
        <f ca="1">SUM(DP377,DR377,EA377, DU377, DT377,GB377)</f>
        <v>1095.9683375</v>
      </c>
      <c r="EC377" s="24" t="s">
        <v>2770</v>
      </c>
      <c r="ED377" s="23">
        <v>0.41</v>
      </c>
      <c r="EE377" s="14">
        <v>2100</v>
      </c>
      <c r="EF377" s="14">
        <v>0</v>
      </c>
      <c r="EG377" s="14">
        <f>SUM(EE377+EF377)</f>
        <v>2100</v>
      </c>
      <c r="EH377" s="14">
        <v>2500</v>
      </c>
      <c r="EI377" s="14">
        <v>0</v>
      </c>
      <c r="EJ377" s="14">
        <f>SUM(EH377+EI377)</f>
        <v>2500</v>
      </c>
      <c r="EK377" s="18" t="s">
        <v>4958</v>
      </c>
      <c r="EL377" s="18" t="s">
        <v>4959</v>
      </c>
      <c r="EM377" s="18" t="s">
        <v>4960</v>
      </c>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4"/>
      <c r="GD377" s="18" t="s">
        <v>4961</v>
      </c>
      <c r="GE377" s="18" t="s">
        <v>4962</v>
      </c>
      <c r="GF377" s="18"/>
      <c r="GG377" s="18" t="s">
        <v>4963</v>
      </c>
      <c r="GH377" s="18"/>
      <c r="GI377" s="27">
        <v>40336</v>
      </c>
      <c r="GJ377" s="18" t="s">
        <v>4964</v>
      </c>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9">
        <v>45227</v>
      </c>
      <c r="IF377" s="18"/>
      <c r="IG377" s="18"/>
      <c r="IH377" s="18"/>
      <c r="II377" s="18"/>
      <c r="IJ377" s="18"/>
      <c r="IK377" s="18"/>
      <c r="IL377" s="18"/>
      <c r="IM377" s="18"/>
      <c r="IN377" s="18"/>
      <c r="IO377" s="18"/>
      <c r="IP377" s="14">
        <f ca="1">SUM(IF377-EB377-GB377-IN377)</f>
        <v>-1095.9683375</v>
      </c>
      <c r="IQ377" s="27"/>
      <c r="IR377" s="27"/>
      <c r="IS377" s="27"/>
      <c r="IT377" s="27"/>
      <c r="IU377" s="27"/>
    </row>
    <row r="378" spans="1:263" ht="15" customHeight="1">
      <c r="A378" s="253">
        <v>102021051</v>
      </c>
      <c r="B378" s="240" t="s">
        <v>2072</v>
      </c>
      <c r="C378" s="240"/>
      <c r="D378" s="240"/>
      <c r="E378" s="240" t="s">
        <v>2466</v>
      </c>
      <c r="F378" s="240">
        <v>210002678</v>
      </c>
      <c r="G378" s="240"/>
      <c r="H378" s="240"/>
      <c r="I378" s="240"/>
      <c r="J378" s="240" t="s">
        <v>253</v>
      </c>
      <c r="K378" s="240" t="s">
        <v>2073</v>
      </c>
      <c r="L378" s="240" t="s">
        <v>2074</v>
      </c>
      <c r="M378" s="240" t="s">
        <v>403</v>
      </c>
      <c r="N378" s="240"/>
      <c r="O378" s="240" t="s">
        <v>258</v>
      </c>
      <c r="P378" s="240"/>
      <c r="Q378" s="240"/>
      <c r="R378" s="240"/>
      <c r="S378" s="240"/>
      <c r="T378" s="240"/>
      <c r="U378" s="240"/>
      <c r="V378" s="240"/>
      <c r="W378" s="240"/>
      <c r="X378" s="240"/>
      <c r="Y378" s="240"/>
      <c r="Z378" s="240"/>
      <c r="AA378" s="240"/>
      <c r="AB378" s="240"/>
      <c r="AC378" s="240"/>
      <c r="AD378" s="240" t="s">
        <v>2526</v>
      </c>
      <c r="AE378" s="240" t="s">
        <v>253</v>
      </c>
      <c r="AF378" s="240" t="s">
        <v>419</v>
      </c>
      <c r="AG378" s="258" t="s">
        <v>2527</v>
      </c>
      <c r="AH378" s="240" t="s">
        <v>2528</v>
      </c>
      <c r="AI378" s="240" t="s">
        <v>267</v>
      </c>
      <c r="AJ378" s="240"/>
      <c r="AK378" s="240"/>
      <c r="AL378" s="240"/>
      <c r="AM378" s="256"/>
      <c r="AN378" s="256"/>
      <c r="AO378" s="240" t="s">
        <v>2175</v>
      </c>
      <c r="AP378" s="257" t="s">
        <v>258</v>
      </c>
      <c r="AQ378" s="256" t="s">
        <v>386</v>
      </c>
      <c r="AR378" s="256" t="s">
        <v>260</v>
      </c>
      <c r="AS378" s="257"/>
      <c r="AT378" s="257"/>
      <c r="AU378" s="257"/>
      <c r="AV378" s="257"/>
      <c r="AW378" s="257"/>
      <c r="AX378" s="259"/>
      <c r="AY378" s="259"/>
      <c r="AZ378" s="259"/>
      <c r="BA378" s="259"/>
      <c r="BB378" s="253"/>
      <c r="BC378" s="259"/>
      <c r="BD378" s="259"/>
      <c r="BE378" s="48"/>
      <c r="BF378" s="19"/>
      <c r="BG378" s="255"/>
      <c r="BH378" s="260"/>
      <c r="BI378" s="260"/>
      <c r="BJ378" s="254"/>
      <c r="BK378" s="260"/>
      <c r="BL378" s="254"/>
      <c r="BM378" s="254"/>
      <c r="BN378" s="254"/>
      <c r="BO378" s="261"/>
      <c r="BP378" s="262"/>
      <c r="BQ378" s="254"/>
      <c r="BR378" s="254"/>
      <c r="BS378" s="254"/>
      <c r="BT378" s="254"/>
      <c r="BU378" s="261"/>
      <c r="BV378" s="262"/>
      <c r="BW378" s="254"/>
      <c r="BX378" s="254"/>
      <c r="BY378" s="254"/>
      <c r="BZ378" s="254"/>
      <c r="CA378" s="261"/>
      <c r="CB378" s="262"/>
      <c r="CC378" s="254"/>
      <c r="CD378" s="254"/>
      <c r="CE378" s="14"/>
      <c r="CF378" s="254"/>
      <c r="CG378" s="261"/>
      <c r="CH378" s="262"/>
      <c r="CI378" s="254"/>
      <c r="CJ378" s="254"/>
      <c r="CK378" s="254"/>
      <c r="CL378" s="254"/>
      <c r="CM378" s="261"/>
      <c r="CN378" s="262"/>
      <c r="CO378" s="254"/>
      <c r="CP378" s="254"/>
      <c r="CQ378" s="254"/>
      <c r="CR378" s="254"/>
      <c r="CS378" s="261"/>
      <c r="CT378" s="262"/>
      <c r="CU378" s="14"/>
      <c r="CV378" s="14"/>
      <c r="CW378" s="14"/>
      <c r="CX378" s="14"/>
      <c r="CY378" s="14"/>
      <c r="CZ378" s="14"/>
      <c r="DA378" s="14"/>
      <c r="DB378" s="14"/>
      <c r="DC378" s="14"/>
      <c r="DD378" s="14"/>
      <c r="DE378" s="14"/>
      <c r="DF378" s="263"/>
      <c r="DG378" s="254"/>
      <c r="DH378" s="264"/>
      <c r="DI378" s="254"/>
      <c r="DJ378" s="254">
        <f>150+100</f>
        <v>250</v>
      </c>
      <c r="DK378" s="254">
        <f>SUM(DE378,DG378,DQ378, DJ378, DI378,FS378)</f>
        <v>1307.8699999999999</v>
      </c>
      <c r="DL378" s="254">
        <f>45.62+699</f>
        <v>744.62</v>
      </c>
      <c r="DM378" s="254">
        <f>93.75+135</f>
        <v>228.75</v>
      </c>
      <c r="DN378" s="254">
        <v>84.5</v>
      </c>
      <c r="DO378" s="262"/>
      <c r="DP378" s="265"/>
      <c r="DQ378" s="254">
        <f>SUM(DL378:DP378)</f>
        <v>1057.8699999999999</v>
      </c>
      <c r="DR378" s="256" t="s">
        <v>1997</v>
      </c>
      <c r="DS378" s="265">
        <v>22000</v>
      </c>
      <c r="DT378" s="265">
        <v>79100</v>
      </c>
      <c r="DU378" s="265">
        <f>SUM(DS378+DT378)</f>
        <v>101100</v>
      </c>
      <c r="DV378" s="266">
        <v>0.6</v>
      </c>
      <c r="DW378" s="240" t="s">
        <v>2379</v>
      </c>
      <c r="DX378" s="240" t="s">
        <v>2380</v>
      </c>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t="s">
        <v>2378</v>
      </c>
      <c r="FA378" s="240" t="s">
        <v>2376</v>
      </c>
      <c r="FB378" s="240"/>
      <c r="FC378" s="240" t="s">
        <v>2377</v>
      </c>
      <c r="FD378" s="240" t="s">
        <v>275</v>
      </c>
      <c r="FE378" s="267">
        <v>30889</v>
      </c>
      <c r="FF378" s="240" t="s">
        <v>2441</v>
      </c>
      <c r="FG378" s="240" t="s">
        <v>2442</v>
      </c>
      <c r="FH378" s="240" t="s">
        <v>2443</v>
      </c>
      <c r="FI378" s="240" t="s">
        <v>1873</v>
      </c>
      <c r="FJ378" s="240" t="s">
        <v>1750</v>
      </c>
      <c r="FK378" s="240" t="s">
        <v>275</v>
      </c>
      <c r="FL378" s="267">
        <v>30889</v>
      </c>
      <c r="FM378" s="240" t="s">
        <v>2441</v>
      </c>
      <c r="FN378" s="240"/>
      <c r="FO378" s="240"/>
      <c r="FP378" s="240"/>
      <c r="FQ378" s="240"/>
      <c r="FR378" s="240"/>
      <c r="FS378" s="240"/>
      <c r="FT378" s="240"/>
      <c r="FU378" s="240"/>
      <c r="FV378" s="240"/>
      <c r="FW378" s="240"/>
      <c r="FX378" s="240"/>
      <c r="FY378" s="240"/>
      <c r="FZ378" s="240"/>
      <c r="GA378" s="240"/>
      <c r="GB378" s="240"/>
      <c r="GC378" s="240"/>
      <c r="GD378" s="240"/>
      <c r="GE378" s="240"/>
      <c r="GF378" s="240"/>
      <c r="GG378" s="240"/>
      <c r="GH378" s="240"/>
      <c r="GI378" s="240"/>
      <c r="GJ378" s="240"/>
      <c r="GK378" s="240"/>
      <c r="GL378" s="240"/>
      <c r="GM378" s="240"/>
      <c r="GN378" s="240"/>
      <c r="GO378" s="240"/>
      <c r="GP378" s="240"/>
      <c r="GQ378" s="240"/>
      <c r="GR378" s="240"/>
      <c r="GS378" s="240"/>
      <c r="GT378" s="240"/>
      <c r="GU378" s="240"/>
      <c r="GV378" s="240"/>
      <c r="GW378" s="240"/>
      <c r="GX378" s="240"/>
      <c r="GY378" s="240"/>
      <c r="GZ378" s="240"/>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0"/>
      <c r="HW378" s="240"/>
      <c r="HX378" s="240"/>
      <c r="HY378" s="240"/>
      <c r="HZ378" s="240"/>
      <c r="IA378" s="240"/>
      <c r="IB378" s="240"/>
      <c r="IC378" s="240"/>
      <c r="ID378" s="240"/>
      <c r="IE378" s="240"/>
      <c r="IF378" s="240"/>
      <c r="IG378" s="240"/>
      <c r="IH378" s="240"/>
      <c r="II378" s="240"/>
      <c r="IJ378" s="240"/>
      <c r="IK378" s="240"/>
      <c r="IL378" s="18"/>
      <c r="IM378" s="18"/>
      <c r="IN378" s="14"/>
      <c r="IO378" s="27">
        <v>44349</v>
      </c>
      <c r="IP378" s="18"/>
      <c r="IQ378" s="18"/>
      <c r="IR378" s="18"/>
      <c r="IS378" s="18"/>
    </row>
    <row r="379" spans="1:263" ht="15" customHeight="1">
      <c r="A379" s="19">
        <v>102021051</v>
      </c>
      <c r="B379" s="18" t="s">
        <v>2072</v>
      </c>
      <c r="C379" s="13"/>
      <c r="D379" s="18"/>
      <c r="E379" s="18" t="s">
        <v>2466</v>
      </c>
      <c r="F379" s="18">
        <v>210002678</v>
      </c>
      <c r="G379" s="24"/>
      <c r="H379" s="18"/>
      <c r="I379" s="18"/>
      <c r="J379" s="18" t="s">
        <v>253</v>
      </c>
      <c r="K379" s="18" t="s">
        <v>2073</v>
      </c>
      <c r="L379" s="18" t="s">
        <v>2074</v>
      </c>
      <c r="M379" s="18" t="s">
        <v>403</v>
      </c>
      <c r="N379" s="18"/>
      <c r="O379" s="24" t="s">
        <v>258</v>
      </c>
      <c r="P379" s="18"/>
      <c r="Q379" s="18"/>
      <c r="R379" s="18"/>
      <c r="S379" s="18"/>
      <c r="T379" s="18"/>
      <c r="U379" s="18"/>
      <c r="V379" s="18"/>
      <c r="W379" s="18"/>
      <c r="X379" s="18"/>
      <c r="Y379" s="18"/>
      <c r="Z379" s="18"/>
      <c r="AA379" s="18"/>
      <c r="AB379" s="18"/>
      <c r="AC379" s="18"/>
      <c r="AD379" s="18"/>
      <c r="AE379" s="18"/>
      <c r="AF379" s="18"/>
      <c r="AG379" s="37"/>
      <c r="AH379" s="18"/>
      <c r="AI379" s="18"/>
      <c r="AJ379" s="18"/>
      <c r="AK379" s="18"/>
      <c r="AL379" s="18"/>
      <c r="AM379" s="18"/>
      <c r="AN379" s="18"/>
      <c r="AO379" s="18" t="s">
        <v>2175</v>
      </c>
      <c r="AP379" s="24" t="s">
        <v>258</v>
      </c>
      <c r="AQ379" s="24" t="s">
        <v>386</v>
      </c>
      <c r="AR379" s="18" t="s">
        <v>260</v>
      </c>
      <c r="AS379" s="18"/>
      <c r="AT379" s="18"/>
      <c r="AU379" s="18"/>
      <c r="AV379" s="18"/>
      <c r="AW379" s="18"/>
      <c r="AX379" s="13"/>
      <c r="AY379" s="13"/>
      <c r="AZ379" s="13" t="s">
        <v>258</v>
      </c>
      <c r="BA379" s="13" t="s">
        <v>258</v>
      </c>
      <c r="BB379" s="13" t="s">
        <v>258</v>
      </c>
      <c r="BC379" s="48">
        <v>44294</v>
      </c>
      <c r="BD379" s="48"/>
      <c r="BE379" s="48"/>
      <c r="BF379" s="48"/>
      <c r="BG379" s="19"/>
      <c r="BH379" s="48"/>
      <c r="BI379" s="48"/>
      <c r="BJ379" s="48"/>
      <c r="BK379" s="19"/>
      <c r="BL379" s="20">
        <f>SUM(EB379)+220</f>
        <v>220</v>
      </c>
      <c r="BM379" s="22"/>
      <c r="BN379" s="22"/>
      <c r="BO379" s="14">
        <f>SUM(EJ379*0.0052)/12</f>
        <v>58.543333333333329</v>
      </c>
      <c r="BP379" s="22"/>
      <c r="BQ379" s="14"/>
      <c r="BR379" s="14"/>
      <c r="BS379" s="14"/>
      <c r="BT379" s="17"/>
      <c r="BU379" s="23"/>
      <c r="BV379" s="14"/>
      <c r="BW379" s="14"/>
      <c r="BX379" s="14"/>
      <c r="BY379" s="14"/>
      <c r="BZ379" s="17"/>
      <c r="CA379" s="23"/>
      <c r="CB379" s="14"/>
      <c r="CC379" s="14"/>
      <c r="CD379" s="14"/>
      <c r="CE379" s="14"/>
      <c r="CF379" s="17"/>
      <c r="CG379" s="23"/>
      <c r="CH379" s="14"/>
      <c r="CI379" s="14"/>
      <c r="CJ379" s="14"/>
      <c r="CK379" s="14"/>
      <c r="CL379" s="17"/>
      <c r="CM379" s="23"/>
      <c r="CN379" s="14"/>
      <c r="CO379" s="14"/>
      <c r="CP379" s="14"/>
      <c r="CQ379" s="14"/>
      <c r="CR379" s="17"/>
      <c r="CS379" s="23">
        <f ca="1">MONTH(TODAY())+5</f>
        <v>9</v>
      </c>
      <c r="CT379" s="23">
        <f>SUM(CO379,CP379,CQ379)</f>
        <v>0</v>
      </c>
      <c r="CU379" s="14">
        <f>SUM(EG379*0.0052)/2</f>
        <v>262.86</v>
      </c>
      <c r="CV379" s="14">
        <f>SUM(CU379*0.1)</f>
        <v>26.286000000000001</v>
      </c>
      <c r="CW379" s="14">
        <f ca="1">SUM(CX379*CY379)</f>
        <v>12.047749999999995</v>
      </c>
      <c r="CX379" s="17">
        <f>SUM((CU379+CV379)*0.00833333333333333)</f>
        <v>2.409549999999999</v>
      </c>
      <c r="CY379" s="23">
        <f ca="1">MONTH(TODAY())+1</f>
        <v>5</v>
      </c>
      <c r="CZ379" s="14"/>
      <c r="DA379" s="14">
        <f>SUM(EJ379*0.0045)/2</f>
        <v>303.97499999999997</v>
      </c>
      <c r="DB379" s="14">
        <v>0</v>
      </c>
      <c r="DC379" s="14">
        <v>0</v>
      </c>
      <c r="DD379" s="17">
        <f>SUM((DA379+DB379)*0.00833333333333333)</f>
        <v>2.5331249999999987</v>
      </c>
      <c r="DE379" s="23">
        <f ca="1">MONTH(TODAY())-5</f>
        <v>-1</v>
      </c>
      <c r="DF379" s="23">
        <f>SUM(DA379,DB379,DC379)</f>
        <v>303.97499999999997</v>
      </c>
      <c r="DG379" s="14">
        <v>0</v>
      </c>
      <c r="DH379" s="14">
        <v>0</v>
      </c>
      <c r="DI379" s="14">
        <v>0</v>
      </c>
      <c r="DJ379" s="17">
        <f>SUM((DG379+DH379)*0.00833333333333333)</f>
        <v>0</v>
      </c>
      <c r="DK379" s="23">
        <f ca="1">MONTH(TODAY())+1</f>
        <v>5</v>
      </c>
      <c r="DL379" s="23">
        <f>SUM(DG379,DH379,DI379)</f>
        <v>0</v>
      </c>
      <c r="DM379" s="14">
        <f>SUM( BQ379, BW379, CC379, CI379, CO379,CU379,DA379,DG379)</f>
        <v>566.83500000000004</v>
      </c>
      <c r="DN379" s="14">
        <f>SUM(BR379,BX379,CD379,CJ379, CP379,CV379,DB379,DH379)</f>
        <v>26.286000000000001</v>
      </c>
      <c r="DO379" s="14">
        <f ca="1">SUM(BS379,BY379,CE379,CK379, CQ379,CW379,DC379,DI379)</f>
        <v>12.047749999999995</v>
      </c>
      <c r="DP379" s="25"/>
      <c r="DQ379" s="14"/>
      <c r="DR379" s="47"/>
      <c r="DS379" s="14"/>
      <c r="DT379" s="32"/>
      <c r="DU379" s="14"/>
      <c r="DV379" s="14"/>
      <c r="DW379" s="14"/>
      <c r="DX379" s="14"/>
      <c r="DY379" s="14"/>
      <c r="DZ379" s="14"/>
      <c r="EA379" s="25"/>
      <c r="EB379" s="14"/>
      <c r="EC379" s="14"/>
      <c r="ED379" s="23">
        <v>0.6</v>
      </c>
      <c r="EE379" s="14">
        <v>22000</v>
      </c>
      <c r="EF379" s="14">
        <v>79100</v>
      </c>
      <c r="EG379" s="14">
        <v>101100</v>
      </c>
      <c r="EH379" s="14">
        <v>30000</v>
      </c>
      <c r="EI379" s="14">
        <v>105100</v>
      </c>
      <c r="EJ379" s="14">
        <f>SUM(EH379+EI379)</f>
        <v>135100</v>
      </c>
      <c r="EK379" s="18" t="s">
        <v>2379</v>
      </c>
      <c r="EL379" s="18" t="s">
        <v>2380</v>
      </c>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27"/>
      <c r="FT379" s="18"/>
      <c r="FU379" s="18"/>
      <c r="FV379" s="18"/>
      <c r="FW379" s="18"/>
      <c r="FX379" s="18"/>
      <c r="FY379" s="18"/>
      <c r="FZ379" s="27"/>
      <c r="GA379" s="18"/>
      <c r="GB379" s="18"/>
      <c r="GC379" s="14"/>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27"/>
      <c r="IN379" s="27"/>
      <c r="IO379" s="18"/>
      <c r="IP379" s="14"/>
      <c r="IQ379" s="18"/>
      <c r="IR379" s="18"/>
      <c r="IS379" s="18"/>
      <c r="IT379" s="18"/>
      <c r="IU379" s="18"/>
      <c r="IV379" s="18"/>
      <c r="IW379" s="18"/>
      <c r="IX379" s="14">
        <f>SUM(IN379-EB379-GB379-IV379)</f>
        <v>0</v>
      </c>
      <c r="IY379" s="27">
        <v>44468</v>
      </c>
      <c r="IZ379" s="27">
        <v>44488</v>
      </c>
      <c r="JA379" s="27">
        <v>44504</v>
      </c>
      <c r="JB379" s="27">
        <v>44505</v>
      </c>
      <c r="JC379" s="27">
        <v>44593</v>
      </c>
    </row>
    <row r="380" spans="1:263" ht="15" customHeight="1">
      <c r="A380" s="2">
        <v>102023014</v>
      </c>
      <c r="B380" t="s">
        <v>4019</v>
      </c>
      <c r="K380" t="s">
        <v>4072</v>
      </c>
      <c r="O380" s="25">
        <f ca="1">SUM(DB380:DD380)</f>
        <v>3923.4862333333326</v>
      </c>
      <c r="P380" s="3"/>
      <c r="AA380" t="s">
        <v>4073</v>
      </c>
      <c r="AB380" t="s">
        <v>4074</v>
      </c>
      <c r="AC380" t="s">
        <v>2705</v>
      </c>
      <c r="AD380" t="s">
        <v>2269</v>
      </c>
      <c r="AG380"/>
      <c r="AK380" s="18" t="s">
        <v>4091</v>
      </c>
      <c r="AL380" t="s">
        <v>258</v>
      </c>
      <c r="AM380" t="s">
        <v>386</v>
      </c>
      <c r="AN380" t="s">
        <v>260</v>
      </c>
      <c r="AP380" t="s">
        <v>4092</v>
      </c>
      <c r="AR380" t="s">
        <v>290</v>
      </c>
      <c r="AY380" s="1"/>
      <c r="AZ380" s="1"/>
      <c r="BA380" s="1"/>
      <c r="BB380" s="1"/>
      <c r="BC380" s="1"/>
      <c r="BD380" s="2"/>
      <c r="BE380" s="116"/>
      <c r="BF380" s="115"/>
      <c r="BG380" s="2"/>
      <c r="BH380" s="2"/>
      <c r="BI380" s="2"/>
      <c r="BJ380" s="2"/>
      <c r="BK380" s="2"/>
      <c r="BL380" s="2"/>
      <c r="BM380" s="20">
        <f ca="1">SUM(DP380)+220</f>
        <v>4165.2862333333323</v>
      </c>
      <c r="BN380" s="22">
        <f ca="1">PMT(10%/12,12,BM380,0,0)</f>
        <v>-366.19483477044469</v>
      </c>
      <c r="BO380" s="22">
        <f ca="1">SUM(BN380*-1)</f>
        <v>366.19483477044469</v>
      </c>
      <c r="BP380" s="14">
        <f>SUM(DX380*0.0052)/12</f>
        <v>139.14333333333335</v>
      </c>
      <c r="BQ380" s="22">
        <f ca="1">SUM(BO380+BP380)</f>
        <v>505.338168103778</v>
      </c>
      <c r="BR380" s="14"/>
      <c r="BS380" s="14">
        <f>SUM(BR380*0.1)</f>
        <v>0</v>
      </c>
      <c r="BT380" s="14">
        <f ca="1">SUM(BU380*BV380)</f>
        <v>0</v>
      </c>
      <c r="BU380" s="17">
        <f>SUM((BR380+BS380)*0.00833333333333333)</f>
        <v>0</v>
      </c>
      <c r="BV380" s="23">
        <f ca="1">MONTH(TODAY())+49</f>
        <v>53</v>
      </c>
      <c r="BW380" s="14">
        <f ca="1">SUM(BR380,BS380,BT380)</f>
        <v>0</v>
      </c>
      <c r="BX380" s="14"/>
      <c r="BY380" s="14">
        <f>SUM(BX380*0.1)</f>
        <v>0</v>
      </c>
      <c r="BZ380" s="14">
        <f ca="1">SUM(CA380*CB380)</f>
        <v>0</v>
      </c>
      <c r="CA380" s="17">
        <f>SUM((BX380+BY380)*0.00833333333333333)</f>
        <v>0</v>
      </c>
      <c r="CB380" s="23">
        <f ca="1">MONTH(TODAY())+37</f>
        <v>41</v>
      </c>
      <c r="CC380" s="14">
        <f ca="1">SUM(BX380,BY380,BZ380)</f>
        <v>0</v>
      </c>
      <c r="CD380" s="14">
        <f>SUM(DU380*0.0052)</f>
        <v>1036.3599999999999</v>
      </c>
      <c r="CE380" s="14">
        <f>SUM(CD380*0.1)</f>
        <v>103.636</v>
      </c>
      <c r="CF380" s="14">
        <f ca="1">SUM(CG380*CH380)</f>
        <v>275.49903333333322</v>
      </c>
      <c r="CG380" s="17">
        <f>SUM((CD380+CE380)*0.00833333333333333)</f>
        <v>9.499966666666662</v>
      </c>
      <c r="CH380" s="23">
        <f ca="1">MONTH(TODAY())+25</f>
        <v>29</v>
      </c>
      <c r="CI380" s="14">
        <f ca="1">SUM(CD380,CE380,CF380)</f>
        <v>1415.4950333333331</v>
      </c>
      <c r="CJ380" s="14">
        <f>SUM(DU380*0.0052)</f>
        <v>1036.3599999999999</v>
      </c>
      <c r="CK380" s="14">
        <f>SUM(CJ380*0.1)</f>
        <v>103.636</v>
      </c>
      <c r="CL380" s="14">
        <f ca="1">SUM(CM380*CN380)</f>
        <v>161.49943333333326</v>
      </c>
      <c r="CM380" s="17">
        <f>SUM((CJ380+CK380)*0.00833333333333333)</f>
        <v>9.499966666666662</v>
      </c>
      <c r="CN380" s="23">
        <f ca="1">MONTH(TODAY())+13</f>
        <v>17</v>
      </c>
      <c r="CO380" s="14">
        <f ca="1">SUM(CJ380,CK380,CL380)</f>
        <v>1301.495433333333</v>
      </c>
      <c r="CP380" s="14">
        <f>SUM(DU380*0.0052)/2</f>
        <v>518.17999999999995</v>
      </c>
      <c r="CQ380" s="14">
        <f>SUM(CP380*0.1)</f>
        <v>51.817999999999998</v>
      </c>
      <c r="CR380" s="14">
        <f ca="1">SUM(CS380*CT380)</f>
        <v>42.749849999999981</v>
      </c>
      <c r="CS380" s="17">
        <f>SUM((CP380+CQ380)*0.00833333333333333)</f>
        <v>4.749983333333331</v>
      </c>
      <c r="CT380" s="23">
        <f ca="1">MONTH(TODAY())+5</f>
        <v>9</v>
      </c>
      <c r="CU380" s="23">
        <f ca="1">SUM(CP380,CQ380,CR380)</f>
        <v>612.74784999999997</v>
      </c>
      <c r="CV380" s="14">
        <f>SUM(DU380*0.0052)/2</f>
        <v>518.17999999999995</v>
      </c>
      <c r="CW380" s="14">
        <f>SUM(CV380*0.1)</f>
        <v>51.817999999999998</v>
      </c>
      <c r="CX380" s="14">
        <f ca="1">SUM(CY380*CZ380)</f>
        <v>23.749916666666657</v>
      </c>
      <c r="CY380" s="17">
        <f>SUM((CV380+CW380)*0.00833333333333333)</f>
        <v>4.749983333333331</v>
      </c>
      <c r="CZ380" s="23">
        <f ca="1">MONTH(TODAY())+1</f>
        <v>5</v>
      </c>
      <c r="DA380" s="23">
        <f ca="1">SUM(CV380,CW380,CX380)</f>
        <v>593.74791666666658</v>
      </c>
      <c r="DB380" s="14">
        <f>SUM( BR380, BX380, CD380, CJ380, CP380,CV380)</f>
        <v>3109.0799999999995</v>
      </c>
      <c r="DC380" s="14">
        <f>SUM(BS380,BY380,CE380,CK380, CQ380,CW380)</f>
        <v>310.90799999999996</v>
      </c>
      <c r="DD380" s="14">
        <f ca="1">SUM(BT380,BZ380,CF380,CL380, CR380,CX380)</f>
        <v>503.49823333333308</v>
      </c>
      <c r="DE380" s="47">
        <f ca="1">SUM(O380/DU380)</f>
        <v>1.968633333333333E-2</v>
      </c>
      <c r="DF380" s="14">
        <v>20</v>
      </c>
      <c r="DG380" s="32">
        <f>COUNTIF(DL380, "*")+COUNTIF(AP380, "*")+COUNTIF(AK380, "*")+COUNTIF(AB380, "*")+COUNTIF(EM380, "*")+COUNTIF(ES380, "*")+COUNTIF(EY380, "*")+COUNTIF(FC380, "*")+COUNTIF(FJ380, "*")+COUNTIF(AU380, "*")+COUNTIF(FS380, "*")+COUNTIF(GD380, "*")+COUNTIF(GO380, "*")+COUNTIF(GW380, "*")+COUNTIF(HE380, "*")+COUNTIF(HM380, "*")+COUNTIF(HU380, "*")</f>
        <v>3</v>
      </c>
      <c r="DH380" s="14">
        <f>DG380*0.6</f>
        <v>1.7999999999999998</v>
      </c>
      <c r="DI380" s="4"/>
      <c r="DJ380" s="4"/>
      <c r="DK380" s="4"/>
      <c r="DL380" s="4"/>
      <c r="DN380" s="4"/>
      <c r="DO380" s="14">
        <f>SUM(DJ380:DN380)</f>
        <v>0</v>
      </c>
      <c r="DP380" s="14">
        <f ca="1">SUM(O380,DF380,DO380, DI380, DH380,FP380)</f>
        <v>3945.2862333333328</v>
      </c>
      <c r="DQ380" s="24" t="s">
        <v>3974</v>
      </c>
      <c r="DR380" s="7">
        <v>0.7</v>
      </c>
      <c r="DS380" s="4">
        <v>24000</v>
      </c>
      <c r="DT380" s="4">
        <v>175300</v>
      </c>
      <c r="DU380" s="14">
        <f>SUM(DS380+DT380)</f>
        <v>199300</v>
      </c>
      <c r="DV380" s="14">
        <v>33000</v>
      </c>
      <c r="DW380" s="14">
        <v>288100</v>
      </c>
      <c r="DX380" s="14">
        <f>SUM(DV380+DW380)</f>
        <v>321100</v>
      </c>
      <c r="IA380" s="9"/>
      <c r="IL380" s="14">
        <f ca="1">SUM(IB380-DP380-FP380-IJ380)</f>
        <v>-3945.2862333333328</v>
      </c>
      <c r="IM380" s="9"/>
      <c r="IN380" s="9"/>
      <c r="IO380" s="9"/>
      <c r="IP380" s="9"/>
      <c r="IQ380" s="9"/>
    </row>
    <row r="381" spans="1:263" ht="15" customHeight="1">
      <c r="A381" s="2">
        <v>102017049</v>
      </c>
      <c r="B381" t="s">
        <v>916</v>
      </c>
      <c r="J381" t="s">
        <v>253</v>
      </c>
      <c r="K381" t="s">
        <v>632</v>
      </c>
      <c r="L381" t="s">
        <v>917</v>
      </c>
      <c r="M381" t="s">
        <v>392</v>
      </c>
      <c r="O381" s="1"/>
      <c r="T381" s="1"/>
      <c r="AE381" s="1"/>
      <c r="AJ381" s="4"/>
      <c r="AK381" s="4"/>
      <c r="AL381" s="4"/>
      <c r="AM381" s="34"/>
      <c r="AP381" s="13"/>
      <c r="AR381" s="34"/>
      <c r="AS381" s="5"/>
      <c r="AT381" s="13"/>
      <c r="AU381" s="1"/>
      <c r="AV381" s="1"/>
      <c r="AW381" s="1"/>
      <c r="AX381" s="1"/>
      <c r="AY381" s="1"/>
      <c r="AZ381" s="1"/>
      <c r="BA381" s="1"/>
      <c r="BB381" s="1"/>
      <c r="BC381" s="1"/>
      <c r="BD381" s="1"/>
      <c r="BE381" s="1"/>
      <c r="BF381" s="1"/>
      <c r="BG381" s="5"/>
      <c r="BH381" s="16"/>
      <c r="BI381" s="16"/>
      <c r="BK381" s="4"/>
      <c r="BL381" s="4"/>
      <c r="BM381" s="6"/>
      <c r="BN381" s="7"/>
      <c r="BO381" s="4"/>
      <c r="BQ381" s="4"/>
      <c r="BR381" s="4"/>
      <c r="BS381" s="6"/>
      <c r="BT381" s="7"/>
      <c r="BU381" s="4"/>
      <c r="BV381" s="4"/>
      <c r="BW381" s="4"/>
      <c r="BX381" s="4"/>
      <c r="BY381" s="6"/>
      <c r="BZ381" s="7"/>
      <c r="CA381" s="4"/>
      <c r="CC381" s="4"/>
      <c r="CD381" s="4"/>
      <c r="CE381" s="6"/>
      <c r="CF381" s="7"/>
      <c r="CG381" s="4"/>
      <c r="CH381" s="4"/>
      <c r="CI381" s="4"/>
      <c r="CJ381" s="4"/>
      <c r="CK381" s="6"/>
      <c r="CL381" s="7"/>
      <c r="CM381" s="4"/>
      <c r="CN381" s="4"/>
      <c r="CO381" s="4"/>
      <c r="CP381" s="4"/>
      <c r="CQ381" s="6"/>
      <c r="CR381" s="7"/>
      <c r="CS381" s="4"/>
      <c r="CT381" s="4"/>
      <c r="CU381" s="4"/>
      <c r="CV381" s="4"/>
      <c r="CW381" s="6"/>
      <c r="CX381" s="7"/>
      <c r="CY381" s="4"/>
      <c r="CZ381" s="4"/>
      <c r="DA381" s="4"/>
      <c r="DB381" s="4"/>
      <c r="DC381" s="6"/>
      <c r="DD381" s="23"/>
      <c r="DE381" s="4"/>
      <c r="DF381" s="4"/>
      <c r="DG381" s="4"/>
      <c r="DH381" s="4"/>
      <c r="DI381" s="6"/>
      <c r="DJ381" s="7"/>
      <c r="DK381" s="4"/>
      <c r="DL381" s="4"/>
      <c r="DM381" s="4"/>
      <c r="DN381" s="4"/>
      <c r="DO381" s="4"/>
      <c r="DP381" s="3"/>
      <c r="DQ381" s="4"/>
      <c r="DR381" s="4"/>
      <c r="DS381" s="4"/>
      <c r="DT381" s="4"/>
      <c r="DU381" s="4"/>
      <c r="DV381" s="4"/>
      <c r="DW381" s="4"/>
      <c r="DX381" s="4"/>
      <c r="DY381" s="4"/>
      <c r="DZ381" s="4"/>
      <c r="EA381" s="4"/>
      <c r="EB381" s="4"/>
      <c r="EC381" s="4"/>
      <c r="ED381" s="4"/>
      <c r="EE381" s="4"/>
      <c r="EF381" s="4"/>
      <c r="EG381" s="4"/>
      <c r="EH381" s="4"/>
      <c r="EI381" s="4"/>
      <c r="FQ381" s="9"/>
      <c r="FR381" s="10"/>
      <c r="FY381" s="10"/>
      <c r="GK381" s="9"/>
    </row>
    <row r="382" spans="1:263" ht="15" customHeight="1">
      <c r="A382" s="19">
        <v>102023035</v>
      </c>
      <c r="B382" s="18" t="s">
        <v>4277</v>
      </c>
      <c r="D382" s="1"/>
      <c r="E382" s="3"/>
      <c r="F382" s="3"/>
      <c r="J382" s="18" t="s">
        <v>554</v>
      </c>
      <c r="K382" s="18" t="s">
        <v>4276</v>
      </c>
      <c r="L382" s="130" t="s">
        <v>764</v>
      </c>
      <c r="M382" s="130" t="s">
        <v>537</v>
      </c>
      <c r="N382" s="18"/>
      <c r="O382" s="252"/>
      <c r="P382" s="130" t="s">
        <v>4276</v>
      </c>
      <c r="Q382" s="130" t="s">
        <v>420</v>
      </c>
      <c r="R382" s="130" t="s">
        <v>256</v>
      </c>
      <c r="S382" s="130"/>
      <c r="AG382" s="43"/>
      <c r="AJ382" s="18" t="s">
        <v>328</v>
      </c>
      <c r="AK382" s="18"/>
      <c r="AL382" s="18" t="s">
        <v>386</v>
      </c>
      <c r="AM382" s="18"/>
      <c r="AN382" s="18"/>
      <c r="AO382" s="18" t="s">
        <v>4275</v>
      </c>
      <c r="AP382" s="18" t="s">
        <v>258</v>
      </c>
      <c r="AQ382" s="18" t="s">
        <v>386</v>
      </c>
      <c r="AR382" s="18" t="s">
        <v>260</v>
      </c>
      <c r="AX382" s="1"/>
      <c r="AY382" s="1"/>
      <c r="AZ382" s="1"/>
      <c r="BA382" s="1"/>
      <c r="BB382" s="1"/>
      <c r="BC382" s="2"/>
      <c r="BD382" s="116"/>
      <c r="BE382" s="115"/>
      <c r="BF382" s="2"/>
      <c r="BG382" s="2"/>
      <c r="BH382" s="2"/>
      <c r="BI382" s="2"/>
      <c r="BJ382" s="2"/>
      <c r="BK382" s="2"/>
      <c r="BL382" s="20">
        <f ca="1">SUM(DP382)+220</f>
        <v>744.56000000000006</v>
      </c>
      <c r="BM382" s="22">
        <f ca="1">PMT(10%/12,12,BL382,0,0)</f>
        <v>-65.458652995975953</v>
      </c>
      <c r="BN382" s="22">
        <f ca="1">SUM(BM382*-1)</f>
        <v>65.458652995975953</v>
      </c>
      <c r="BO382" s="25">
        <f>SUM(DX382*0.0052)/12</f>
        <v>22.966666666666665</v>
      </c>
      <c r="BP382" s="22">
        <f ca="1">SUM(BN382+BO382)</f>
        <v>88.425319662642622</v>
      </c>
      <c r="BQ382" s="25"/>
      <c r="BR382" s="25">
        <f>SUM(BQ382*0.1)</f>
        <v>0</v>
      </c>
      <c r="BS382" s="25">
        <f ca="1">SUM(BT382*BU382)</f>
        <v>0</v>
      </c>
      <c r="BT382" s="128">
        <f>SUM((BQ382+BR382)*0.00833333333333333)</f>
        <v>0</v>
      </c>
      <c r="BU382" s="36">
        <f ca="1">MONTH(TODAY())+49</f>
        <v>53</v>
      </c>
      <c r="BV382" s="25">
        <f ca="1">SUM(BQ382,BR382,BS382)</f>
        <v>0</v>
      </c>
      <c r="BW382" s="25"/>
      <c r="BX382" s="25">
        <f>SUM(BW382*0.1)</f>
        <v>0</v>
      </c>
      <c r="BY382" s="25">
        <f ca="1">SUM(BZ382*CA382)</f>
        <v>0</v>
      </c>
      <c r="BZ382" s="128">
        <f>SUM((BW382+BX382)*0.00833333333333333)</f>
        <v>0</v>
      </c>
      <c r="CA382" s="36">
        <f ca="1">MONTH(TODAY())+37</f>
        <v>41</v>
      </c>
      <c r="CB382" s="25">
        <f ca="1">SUM(BW382,BX382,BY382)</f>
        <v>0</v>
      </c>
      <c r="CC382" s="25">
        <v>0</v>
      </c>
      <c r="CD382" s="25">
        <f>SUM(CC382*0.1)</f>
        <v>0</v>
      </c>
      <c r="CE382" s="25">
        <f ca="1">SUM(CF382*CG382)</f>
        <v>0</v>
      </c>
      <c r="CF382" s="128">
        <f>SUM((CC382+CD382)*0.00833333333333333)</f>
        <v>0</v>
      </c>
      <c r="CG382" s="36">
        <f ca="1">MONTH(TODAY())+25</f>
        <v>29</v>
      </c>
      <c r="CH382" s="25">
        <f ca="1">SUM(CC382,CD382,CE382)</f>
        <v>0</v>
      </c>
      <c r="CI382" s="25">
        <f>SUM(DU382*0.0052)</f>
        <v>208</v>
      </c>
      <c r="CJ382" s="25">
        <f>SUM(CI382*0.1)</f>
        <v>20.8</v>
      </c>
      <c r="CK382" s="25">
        <f ca="1">SUM(CL382*CM382)</f>
        <v>32.41333333333332</v>
      </c>
      <c r="CL382" s="128">
        <f>SUM((CI382+CJ382)*0.00833333333333333)</f>
        <v>1.9066666666666658</v>
      </c>
      <c r="CM382" s="36">
        <f ca="1">MONTH(TODAY())+13</f>
        <v>17</v>
      </c>
      <c r="CN382" s="25">
        <f ca="1">SUM(CI382,CJ382,CK382)</f>
        <v>261.21333333333331</v>
      </c>
      <c r="CO382" s="25">
        <f>SUM(DU382*0.0052)/2</f>
        <v>104</v>
      </c>
      <c r="CP382" s="25">
        <f>SUM(CO382*0.1)</f>
        <v>10.4</v>
      </c>
      <c r="CQ382" s="25">
        <f ca="1">SUM(CR382*CS382)</f>
        <v>8.5799999999999965</v>
      </c>
      <c r="CR382" s="128">
        <f>SUM((CO382+CP382)*0.00833333333333333)</f>
        <v>0.95333333333333292</v>
      </c>
      <c r="CS382" s="36">
        <f ca="1">MONTH(TODAY())+5</f>
        <v>9</v>
      </c>
      <c r="CT382" s="36">
        <f ca="1">SUM(CO382,CP382,CQ382)</f>
        <v>122.98</v>
      </c>
      <c r="CU382" s="25">
        <f>SUM(DU382*0.0052)/2</f>
        <v>104</v>
      </c>
      <c r="CV382" s="25">
        <f>SUM(CU382*0.1)</f>
        <v>10.4</v>
      </c>
      <c r="CW382" s="25">
        <f ca="1">SUM(CX382*CY382)</f>
        <v>4.7666666666666648</v>
      </c>
      <c r="CX382" s="128">
        <f>SUM((CU382+CV382)*0.00833333333333333)</f>
        <v>0.95333333333333292</v>
      </c>
      <c r="CY382" s="36">
        <f ca="1">MONTH(TODAY())+1</f>
        <v>5</v>
      </c>
      <c r="CZ382" s="36">
        <f ca="1">SUM(CU382,CV382,CW382)</f>
        <v>119.16666666666667</v>
      </c>
      <c r="DA382" s="25">
        <f>SUM( BQ382, BW382, CC382, CI382, CO382,CU382)</f>
        <v>416</v>
      </c>
      <c r="DB382" s="25">
        <f>SUM(BR382,BX382,CD382,CJ382, CP382,CV382)</f>
        <v>41.6</v>
      </c>
      <c r="DC382" s="25">
        <f ca="1">SUM(BS382,BY382,CE382,CK382, CQ382,CW382)</f>
        <v>45.759999999999984</v>
      </c>
      <c r="DD382" s="25">
        <f ca="1">SUM(DA382:DC382)</f>
        <v>503.36</v>
      </c>
      <c r="DE382" s="129">
        <f ca="1">SUM(DD382/DU382)</f>
        <v>1.2584E-2</v>
      </c>
      <c r="DF382" s="25">
        <v>20</v>
      </c>
      <c r="DG382" s="146">
        <f>COUNTIF(DL382, "*")+COUNTIF(AO382, "*")+COUNTIF(AJ382, "*")+COUNTIF(AA382, "*")+COUNTIF(EM382, "*")+COUNTIF(ES382, "*")+COUNTIF(EY382, "*")+COUNTIF(FC382, "*")+COUNTIF(FJ382, "*")+COUNTIF(AT382, "*")+COUNTIF(FS382, "*")+COUNTIF(GD382, "*")+COUNTIF(GO382, "*")+COUNTIF(GW382, "*")+COUNTIF(HE382, "*")+COUNTIF(HM382, "*")+COUNTIF(HU382, "*")</f>
        <v>2</v>
      </c>
      <c r="DH382" s="25">
        <f>DG382*0.6</f>
        <v>1.2</v>
      </c>
      <c r="DI382" s="8"/>
      <c r="DJ382" s="8"/>
      <c r="DK382" s="8"/>
      <c r="DL382" s="8"/>
      <c r="DM382" s="2"/>
      <c r="DN382" s="8"/>
      <c r="DO382" s="25">
        <f>SUM(DJ382:DN382)</f>
        <v>0</v>
      </c>
      <c r="DP382" s="25">
        <f ca="1">SUM(DD382,DF382,DO382, DI382, DH382,FP382)</f>
        <v>524.56000000000006</v>
      </c>
      <c r="DQ382" s="18" t="s">
        <v>3879</v>
      </c>
      <c r="DR382" s="130">
        <v>4</v>
      </c>
      <c r="DS382" s="14">
        <v>40000</v>
      </c>
      <c r="DT382" s="14">
        <v>0</v>
      </c>
      <c r="DU382" s="14">
        <v>40000</v>
      </c>
      <c r="DV382" s="14">
        <v>53000</v>
      </c>
      <c r="DW382" s="14">
        <v>0</v>
      </c>
      <c r="DX382" s="14">
        <f>SUM(DV382:DW382)</f>
        <v>53000</v>
      </c>
      <c r="IA382" s="9"/>
      <c r="IL382" s="14">
        <f ca="1">SUM(IB382-DP382-FP382-IJ382)</f>
        <v>-524.56000000000006</v>
      </c>
      <c r="IM382" s="9"/>
      <c r="IN382" s="9"/>
      <c r="IO382" s="9"/>
      <c r="IP382" s="9"/>
      <c r="IQ382" s="9"/>
    </row>
    <row r="383" spans="1:263" s="18" customFormat="1" ht="15" customHeight="1">
      <c r="A383" s="2">
        <v>102023004</v>
      </c>
      <c r="B383" t="s">
        <v>4027</v>
      </c>
      <c r="C383"/>
      <c r="D383"/>
      <c r="E383"/>
      <c r="F383"/>
      <c r="G383"/>
      <c r="H383"/>
      <c r="I383"/>
      <c r="J383" t="s">
        <v>311</v>
      </c>
      <c r="K383" t="s">
        <v>1186</v>
      </c>
      <c r="L383" t="s">
        <v>392</v>
      </c>
      <c r="M383" t="s">
        <v>1139</v>
      </c>
      <c r="N383"/>
      <c r="O383" s="3"/>
      <c r="P383"/>
      <c r="Q383"/>
      <c r="R383"/>
      <c r="S383"/>
      <c r="T383"/>
      <c r="U383"/>
      <c r="V383"/>
      <c r="W383"/>
      <c r="X383"/>
      <c r="Y383"/>
      <c r="Z383"/>
      <c r="AA383"/>
      <c r="AB383"/>
      <c r="AC383"/>
      <c r="AD383"/>
      <c r="AE383"/>
      <c r="AF383"/>
      <c r="AG383"/>
      <c r="AH383"/>
      <c r="AI383"/>
      <c r="AJ383" s="18" t="s">
        <v>1153</v>
      </c>
      <c r="AK383" t="s">
        <v>258</v>
      </c>
      <c r="AL383" t="s">
        <v>386</v>
      </c>
      <c r="AM383" t="s">
        <v>260</v>
      </c>
      <c r="AN383"/>
      <c r="AO383" t="s">
        <v>1300</v>
      </c>
      <c r="AP383" s="3" t="s">
        <v>258</v>
      </c>
      <c r="AQ383" t="s">
        <v>386</v>
      </c>
      <c r="AR383" t="s">
        <v>260</v>
      </c>
      <c r="AS383"/>
      <c r="AT383"/>
      <c r="AU383"/>
      <c r="AV383"/>
      <c r="AW383"/>
      <c r="AX383" s="1"/>
      <c r="AY383" s="1"/>
      <c r="AZ383" s="1"/>
      <c r="BA383" s="1"/>
      <c r="BB383" s="1"/>
      <c r="BC383" s="2"/>
      <c r="BD383" s="116"/>
      <c r="BE383" s="115"/>
      <c r="BF383" s="2"/>
      <c r="BG383" s="2"/>
      <c r="BH383" s="2"/>
      <c r="BI383" s="2"/>
      <c r="BJ383" s="2"/>
      <c r="BK383" s="2"/>
      <c r="BL383" s="20">
        <f ca="1">SUM(EB383)+220</f>
        <v>8976.1407999999992</v>
      </c>
      <c r="BM383" s="22">
        <f ca="1">PMT(10%/12,12,BL383,0,0)</f>
        <v>-789.1453823334881</v>
      </c>
      <c r="BN383" s="22">
        <f ca="1">SUM(BM383*-1)</f>
        <v>789.1453823334881</v>
      </c>
      <c r="BO383" s="14">
        <f>SUM(EJ383*0.0052)/12</f>
        <v>189.97333333333333</v>
      </c>
      <c r="BP383" s="22">
        <f ca="1">SUM(BN383+BO383)</f>
        <v>979.11871566682146</v>
      </c>
      <c r="BQ383" s="14"/>
      <c r="BR383" s="14">
        <f>SUM(BQ383*0.1)</f>
        <v>0</v>
      </c>
      <c r="BS383" s="14">
        <f ca="1">SUM(BT383*BU383)</f>
        <v>0</v>
      </c>
      <c r="BT383" s="17">
        <f>SUM((BQ383+BR383)*0.00833333333333333)</f>
        <v>0</v>
      </c>
      <c r="BU383" s="23">
        <f ca="1">MONTH(TODAY())+49</f>
        <v>53</v>
      </c>
      <c r="BV383" s="14">
        <f ca="1">SUM(BQ383,BR383,BS383)</f>
        <v>0</v>
      </c>
      <c r="BW383" s="14"/>
      <c r="BX383" s="14">
        <f>SUM(BW383*0.1)</f>
        <v>0</v>
      </c>
      <c r="BY383" s="14">
        <f ca="1">SUM(BZ383*CA383)</f>
        <v>0</v>
      </c>
      <c r="BZ383" s="17">
        <f>SUM((BW383+BX383)*0.00833333333333333)</f>
        <v>0</v>
      </c>
      <c r="CA383" s="23">
        <f ca="1">MONTH(TODAY())+37</f>
        <v>41</v>
      </c>
      <c r="CB383" s="14">
        <f ca="1">SUM(BW383,BX383,BY383)</f>
        <v>0</v>
      </c>
      <c r="CC383" s="14">
        <f>SUM(EG383*0.0052)</f>
        <v>2046.7199999999998</v>
      </c>
      <c r="CD383" s="14">
        <f>SUM(CC383*0.1)</f>
        <v>204.672</v>
      </c>
      <c r="CE383" s="14">
        <f ca="1">SUM(CF383*CG383)</f>
        <v>544.08639999999968</v>
      </c>
      <c r="CF383" s="17">
        <f>SUM((CC383+CD383)*0.00833333333333333)</f>
        <v>18.761599999999991</v>
      </c>
      <c r="CG383" s="23">
        <f ca="1">MONTH(TODAY())+25</f>
        <v>29</v>
      </c>
      <c r="CH383" s="14">
        <f ca="1">SUM(CC383,CD383,CE383)</f>
        <v>2795.4783999999995</v>
      </c>
      <c r="CI383" s="14">
        <f>SUM(EG383*0.0052)</f>
        <v>2046.7199999999998</v>
      </c>
      <c r="CJ383" s="14">
        <f>SUM(CI383*0.1)</f>
        <v>204.672</v>
      </c>
      <c r="CK383" s="14">
        <f ca="1">SUM(CL383*CM383)</f>
        <v>318.94719999999984</v>
      </c>
      <c r="CL383" s="17">
        <f>SUM((CI383+CJ383)*0.00833333333333333)</f>
        <v>18.761599999999991</v>
      </c>
      <c r="CM383" s="23">
        <f ca="1">MONTH(TODAY())+13</f>
        <v>17</v>
      </c>
      <c r="CN383" s="14">
        <f ca="1">SUM(CI383,CJ383,CK383)</f>
        <v>2570.3391999999994</v>
      </c>
      <c r="CO383" s="14">
        <f>SUM(EG383*0.0052)/2</f>
        <v>1023.3599999999999</v>
      </c>
      <c r="CP383" s="14">
        <f>SUM(CO383*0.1)</f>
        <v>102.336</v>
      </c>
      <c r="CQ383" s="14">
        <f ca="1">SUM(CR383*CS383)</f>
        <v>84.427199999999957</v>
      </c>
      <c r="CR383" s="17">
        <f>SUM((CO383+CP383)*0.00833333333333333)</f>
        <v>9.3807999999999954</v>
      </c>
      <c r="CS383" s="23">
        <f ca="1">MONTH(TODAY())+5</f>
        <v>9</v>
      </c>
      <c r="CT383" s="23">
        <f ca="1">SUM(CO383,CP383,CQ383)</f>
        <v>1210.1231999999998</v>
      </c>
      <c r="CU383" s="14">
        <f>SUM(EG383*0.0052)/2</f>
        <v>1023.3599999999999</v>
      </c>
      <c r="CV383" s="14">
        <f>SUM(CU383*0.1)</f>
        <v>102.336</v>
      </c>
      <c r="CW383" s="14">
        <f ca="1">SUM(CX383*CY383)</f>
        <v>46.903999999999975</v>
      </c>
      <c r="CX383" s="17">
        <f>SUM((CU383+CV383)*0.00833333333333333)</f>
        <v>9.3807999999999954</v>
      </c>
      <c r="CY383" s="23">
        <f ca="1">MONTH(TODAY())+1</f>
        <v>5</v>
      </c>
      <c r="CZ383" s="23">
        <f ca="1">SUM(CU383,CV383,CW383)</f>
        <v>1172.5999999999999</v>
      </c>
      <c r="DA383" s="14">
        <f>SUM(EJ383*0.0045)/2</f>
        <v>986.4</v>
      </c>
      <c r="DB383" s="14">
        <v>0</v>
      </c>
      <c r="DC383" s="14">
        <v>0</v>
      </c>
      <c r="DD383" s="17">
        <f>SUM((DA383+DB383)*0.00833333333333333)</f>
        <v>8.2199999999999971</v>
      </c>
      <c r="DE383" s="23">
        <f ca="1">MONTH(TODAY())-5</f>
        <v>-1</v>
      </c>
      <c r="DF383" s="23">
        <f>SUM(DA383,DB383,DC383)</f>
        <v>986.4</v>
      </c>
      <c r="DG383" s="14">
        <v>0</v>
      </c>
      <c r="DH383" s="14">
        <v>0</v>
      </c>
      <c r="DI383" s="14">
        <v>0</v>
      </c>
      <c r="DJ383" s="17">
        <f>SUM((DG383+DH383)*0.00833333333333333)</f>
        <v>0</v>
      </c>
      <c r="DK383" s="23">
        <f ca="1">MONTH(TODAY())+1</f>
        <v>5</v>
      </c>
      <c r="DL383" s="23">
        <f>SUM(DG383,DH383,DI383)</f>
        <v>0</v>
      </c>
      <c r="DM383" s="14">
        <f>SUM( BQ383, BW383, CC383, CI383, CO383,CU383,DA383,DG383)</f>
        <v>7126.5599999999986</v>
      </c>
      <c r="DN383" s="14">
        <f>SUM(BR383,BX383,CD383,CJ383, CP383,CV383,DB383,DH383)</f>
        <v>614.01599999999996</v>
      </c>
      <c r="DO383" s="14">
        <f ca="1">SUM(BS383,BY383,CE383,CK383, CQ383,CW383,DC383,DI383)</f>
        <v>994.36479999999949</v>
      </c>
      <c r="DP383" s="25">
        <f ca="1">SUM(DM383:DO383)</f>
        <v>8734.9407999999985</v>
      </c>
      <c r="DQ383" s="47">
        <f ca="1">SUM(DP383/EG383)</f>
        <v>2.2192430894308939E-2</v>
      </c>
      <c r="DR383" s="14">
        <v>20</v>
      </c>
      <c r="DS383" s="32">
        <f>COUNTIF(DX383, "*")+COUNTIF(AO383, "*")+COUNTIF(AJ383, "*")+COUNTIF(AA383, "*")+COUNTIF(EY383, "*")+COUNTIF(FE383, "*")+COUNTIF(FK383, "*")+COUNTIF(FO383, "*")+COUNTIF(FV383, "*")+COUNTIF(AT383, "*")+COUNTIF(GE383, "*")+COUNTIF(GP383, "*")+COUNTIF(HA383, "*")+COUNTIF(HI383, "*")+COUNTIF(HQ383, "*")+COUNTIF(HY383, "*")+COUNTIF(IG383, "*")</f>
        <v>2</v>
      </c>
      <c r="DT383" s="14">
        <f>DS383*0.6</f>
        <v>1.2</v>
      </c>
      <c r="DU383" s="4"/>
      <c r="DV383" s="4"/>
      <c r="DW383" s="4"/>
      <c r="DX383" s="4"/>
      <c r="DY383"/>
      <c r="DZ383" s="4"/>
      <c r="EA383" s="14">
        <f>SUM(DV383:DZ383)</f>
        <v>0</v>
      </c>
      <c r="EB383" s="14">
        <f ca="1">SUM(DP383,DR383,EA383, DU383, DT383,GB383)</f>
        <v>8756.1407999999992</v>
      </c>
      <c r="EC383" s="24" t="s">
        <v>3974</v>
      </c>
      <c r="ED383" s="7">
        <v>33.46</v>
      </c>
      <c r="EE383" s="4">
        <v>171100</v>
      </c>
      <c r="EF383" s="4">
        <v>222500</v>
      </c>
      <c r="EG383" s="14">
        <f>SUM(EE383+EF383)</f>
        <v>393600</v>
      </c>
      <c r="EH383" s="14">
        <v>171200</v>
      </c>
      <c r="EI383" s="14">
        <v>267200</v>
      </c>
      <c r="EJ383" s="14">
        <f>SUM(EH383+EI383)</f>
        <v>438400</v>
      </c>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s="9"/>
      <c r="IN383"/>
      <c r="IO383"/>
      <c r="IP383"/>
      <c r="IQ383"/>
      <c r="IR383"/>
      <c r="IS383"/>
      <c r="IT383"/>
      <c r="IU383"/>
      <c r="IV383"/>
      <c r="IW383"/>
      <c r="IX383" s="14">
        <f ca="1">SUM(IN383-EB383-GB383-IV383)</f>
        <v>-8756.1407999999992</v>
      </c>
      <c r="IY383" s="9"/>
      <c r="IZ383" s="9"/>
      <c r="JA383" s="9"/>
      <c r="JB383" s="9"/>
      <c r="JC383" s="9"/>
    </row>
    <row r="384" spans="1:263" ht="15" customHeight="1">
      <c r="A384" s="2">
        <v>102017110</v>
      </c>
      <c r="B384" t="s">
        <v>1091</v>
      </c>
      <c r="K384" t="s">
        <v>1092</v>
      </c>
      <c r="O384" s="1"/>
      <c r="T384" s="1"/>
      <c r="AJ384" s="4"/>
      <c r="AK384" s="11"/>
      <c r="AL384" s="4"/>
      <c r="AM384" s="34"/>
      <c r="AO384" s="4"/>
      <c r="AP384" s="5"/>
      <c r="AQ384" s="34"/>
      <c r="AR384" s="34"/>
      <c r="AS384" s="29"/>
      <c r="AT384" s="1"/>
      <c r="AU384" s="1"/>
      <c r="AV384" s="1"/>
      <c r="AW384" s="1"/>
      <c r="AX384" s="1"/>
      <c r="AY384" s="1"/>
      <c r="AZ384" s="1"/>
      <c r="BA384" s="1"/>
      <c r="BB384" s="1"/>
      <c r="BC384" s="1"/>
      <c r="BD384" s="1"/>
      <c r="BE384" s="5"/>
      <c r="BF384" s="16"/>
      <c r="BG384" s="16"/>
      <c r="BI384" s="4"/>
      <c r="BJ384" s="4"/>
      <c r="BK384" s="6"/>
      <c r="BL384" s="7"/>
      <c r="BM384" s="4"/>
      <c r="BO384" s="4"/>
      <c r="BP384" s="4"/>
      <c r="BQ384" s="6"/>
      <c r="BR384" s="7"/>
      <c r="BS384" s="4"/>
      <c r="BT384" s="4"/>
      <c r="BU384" s="4"/>
      <c r="BV384" s="4"/>
      <c r="BW384" s="6"/>
      <c r="BX384" s="7"/>
      <c r="BY384" s="4"/>
      <c r="CA384" s="4"/>
      <c r="CB384" s="4"/>
      <c r="CC384" s="6"/>
      <c r="CD384" s="7"/>
      <c r="CE384" s="4"/>
      <c r="CF384" s="4"/>
      <c r="CG384" s="4"/>
      <c r="CH384" s="4"/>
      <c r="CI384" s="6"/>
      <c r="CJ384" s="7"/>
      <c r="CK384" s="4"/>
      <c r="CL384" s="4"/>
      <c r="CM384" s="14"/>
      <c r="CN384" s="14"/>
      <c r="CO384" s="17"/>
      <c r="CP384" s="7"/>
      <c r="CQ384" s="4"/>
      <c r="CR384" s="4"/>
      <c r="CS384" s="4"/>
      <c r="CT384" s="4"/>
      <c r="CU384" s="6"/>
      <c r="CV384" s="7"/>
      <c r="CW384" s="4"/>
      <c r="CX384" s="4"/>
      <c r="CY384" s="4"/>
      <c r="CZ384" s="4"/>
      <c r="DA384" s="6"/>
      <c r="DB384" s="7"/>
      <c r="DC384" s="4"/>
      <c r="DD384" s="4"/>
      <c r="DE384" s="4"/>
      <c r="DF384" s="4"/>
      <c r="DG384" s="6"/>
      <c r="DH384" s="7"/>
      <c r="DI384" s="4"/>
      <c r="DJ384" s="4"/>
      <c r="DK384" s="4"/>
      <c r="DL384" s="4"/>
      <c r="DM384" s="4"/>
      <c r="DO384" s="4"/>
      <c r="DQ384" s="4"/>
      <c r="DR384" s="4"/>
      <c r="DS384" s="4"/>
      <c r="DT384" s="4"/>
      <c r="DU384" s="4"/>
      <c r="DV384" s="4"/>
      <c r="DW384" s="4"/>
      <c r="DX384" s="4"/>
      <c r="DY384" s="4"/>
      <c r="DZ384" s="4"/>
      <c r="EA384" s="4"/>
      <c r="EB384" s="4"/>
      <c r="EC384" s="4"/>
      <c r="ED384" s="4"/>
      <c r="EH384" s="4"/>
      <c r="EI384" s="4"/>
      <c r="EJ384" s="4"/>
      <c r="EK384" s="4"/>
      <c r="EL384" s="4"/>
      <c r="EM384" s="4"/>
      <c r="EN384" s="4"/>
      <c r="EO384" s="4"/>
      <c r="EP384" s="4"/>
      <c r="EQ384" s="4"/>
      <c r="ER384" s="4"/>
      <c r="ES384" s="4"/>
      <c r="FN384" s="9"/>
      <c r="FO384" s="10"/>
      <c r="FV384" s="10"/>
      <c r="GH384" s="9"/>
      <c r="IV384" s="18"/>
    </row>
    <row r="385" spans="1:263" ht="15" customHeight="1">
      <c r="A385" s="19">
        <v>102022132</v>
      </c>
      <c r="B385" t="s">
        <v>2847</v>
      </c>
      <c r="D385" s="1"/>
      <c r="J385" t="s">
        <v>554</v>
      </c>
      <c r="K385" t="s">
        <v>3101</v>
      </c>
      <c r="L385" t="s">
        <v>2087</v>
      </c>
      <c r="M385" t="s">
        <v>396</v>
      </c>
      <c r="P385" t="s">
        <v>3101</v>
      </c>
      <c r="Q385" t="s">
        <v>619</v>
      </c>
      <c r="R385" t="s">
        <v>326</v>
      </c>
      <c r="AM385"/>
      <c r="AN385"/>
      <c r="AO385" s="3" t="s">
        <v>3102</v>
      </c>
      <c r="AP385" s="3" t="s">
        <v>258</v>
      </c>
      <c r="AQ385" s="3" t="s">
        <v>267</v>
      </c>
      <c r="AR385" t="s">
        <v>268</v>
      </c>
      <c r="AT385" s="1"/>
      <c r="AU385" s="1"/>
      <c r="AV385" s="1"/>
      <c r="AW385" s="1"/>
      <c r="AX385" s="2"/>
      <c r="AY385" s="2"/>
      <c r="AZ385" s="70"/>
      <c r="BA385" s="2"/>
      <c r="BB385" s="2"/>
      <c r="BC385" s="2"/>
      <c r="BD385" s="2"/>
      <c r="BE385" s="2"/>
      <c r="BF385" s="2"/>
      <c r="BG385" s="20"/>
      <c r="BH385" s="22"/>
      <c r="BI385" s="22"/>
      <c r="BJ385" s="14"/>
      <c r="BK385" s="22"/>
      <c r="BL385" s="14"/>
      <c r="BM385" s="14"/>
      <c r="BN385" s="14"/>
      <c r="BO385" s="17"/>
      <c r="BP385" s="23"/>
      <c r="BQ385" s="14"/>
      <c r="BR385" s="14"/>
      <c r="BS385" s="14"/>
      <c r="BT385" s="14"/>
      <c r="BU385" s="17"/>
      <c r="BV385" s="23"/>
      <c r="BW385" s="14"/>
      <c r="BX385" s="14"/>
      <c r="BY385" s="14"/>
      <c r="BZ385" s="14"/>
      <c r="CA385" s="17"/>
      <c r="CB385" s="23"/>
      <c r="CC385" s="14"/>
      <c r="CD385" s="14"/>
      <c r="CE385" s="14"/>
      <c r="CF385" s="14"/>
      <c r="CG385" s="17"/>
      <c r="CH385" s="23"/>
      <c r="CI385" s="14"/>
      <c r="CJ385" s="14"/>
      <c r="CK385" s="14"/>
      <c r="CL385" s="14"/>
      <c r="CM385" s="17"/>
      <c r="CN385" s="23"/>
      <c r="CO385" s="14"/>
      <c r="CP385" s="14"/>
      <c r="CQ385" s="14"/>
      <c r="CR385" s="14"/>
      <c r="CS385" s="14"/>
      <c r="CT385" s="47"/>
      <c r="CU385" s="14"/>
      <c r="CV385" s="32"/>
      <c r="CW385" s="14"/>
      <c r="CY385" s="14"/>
      <c r="DE385" s="14"/>
      <c r="DF385" s="24"/>
      <c r="DG385" s="4"/>
      <c r="DH385" s="4"/>
      <c r="DI385" s="25"/>
      <c r="DJ385" s="35">
        <v>2</v>
      </c>
      <c r="IC385" s="4"/>
      <c r="IZ385" s="18"/>
      <c r="JA385" s="18"/>
      <c r="JB385" s="18"/>
      <c r="JC385" s="18"/>
    </row>
    <row r="386" spans="1:263" ht="15" customHeight="1">
      <c r="A386" s="19">
        <v>102021001</v>
      </c>
      <c r="B386" s="18" t="s">
        <v>1998</v>
      </c>
      <c r="C386" s="18"/>
      <c r="D386" s="13"/>
      <c r="E386" s="24" t="s">
        <v>2467</v>
      </c>
      <c r="F386" s="24">
        <v>210002687</v>
      </c>
      <c r="G386">
        <v>210005830</v>
      </c>
      <c r="H386" s="18"/>
      <c r="I386" s="18"/>
      <c r="J386" s="18" t="s">
        <v>554</v>
      </c>
      <c r="K386" s="18" t="s">
        <v>894</v>
      </c>
      <c r="L386" s="18" t="s">
        <v>1355</v>
      </c>
      <c r="M386" s="18"/>
      <c r="N386" s="18"/>
      <c r="O386" s="18"/>
      <c r="P386" s="18" t="s">
        <v>894</v>
      </c>
      <c r="Q386" s="18" t="s">
        <v>2000</v>
      </c>
      <c r="R386" s="18"/>
      <c r="S386" s="18"/>
      <c r="T386" s="18"/>
      <c r="U386" s="18"/>
      <c r="V386" s="18"/>
      <c r="W386" s="18"/>
      <c r="X386" s="18"/>
      <c r="Y386" s="18"/>
      <c r="Z386" s="18"/>
      <c r="AA386" s="18"/>
      <c r="AB386" s="18"/>
      <c r="AC386" s="18"/>
      <c r="AD386" s="18"/>
      <c r="AE386" s="18"/>
      <c r="AF386" s="18"/>
      <c r="AG386" s="26" t="s">
        <v>2487</v>
      </c>
      <c r="AH386" s="18"/>
      <c r="AI386" s="18"/>
      <c r="AJ386" s="18" t="s">
        <v>2124</v>
      </c>
      <c r="AK386" s="18" t="s">
        <v>258</v>
      </c>
      <c r="AL386" s="18" t="s">
        <v>386</v>
      </c>
      <c r="AM386" s="18" t="s">
        <v>260</v>
      </c>
      <c r="AN386" s="18"/>
      <c r="AO386" s="24" t="s">
        <v>2125</v>
      </c>
      <c r="AP386" s="24" t="s">
        <v>258</v>
      </c>
      <c r="AQ386" s="18" t="s">
        <v>2126</v>
      </c>
      <c r="AR386" s="18"/>
      <c r="AS386" s="13"/>
      <c r="AT386" s="13"/>
      <c r="AU386" s="13" t="s">
        <v>258</v>
      </c>
      <c r="AV386" s="13" t="s">
        <v>258</v>
      </c>
      <c r="AW386" s="13" t="s">
        <v>258</v>
      </c>
      <c r="AX386" s="48">
        <v>44294</v>
      </c>
      <c r="AY386" s="114">
        <v>44262</v>
      </c>
      <c r="AZ386" s="114">
        <v>44242</v>
      </c>
      <c r="BA386" s="48">
        <v>44330</v>
      </c>
      <c r="BB386" s="19" t="s">
        <v>318</v>
      </c>
      <c r="BC386" s="48">
        <v>44316</v>
      </c>
      <c r="BD386" s="48">
        <v>44323</v>
      </c>
      <c r="BE386" s="48">
        <v>44785</v>
      </c>
      <c r="BF386" s="19" t="s">
        <v>319</v>
      </c>
      <c r="BG386" s="20">
        <f ca="1">SUM(DK386)+214.5</f>
        <v>4663.8308083333332</v>
      </c>
      <c r="BH386" s="22">
        <f ca="1">PMT(10%/12,12,BG386,0,0)</f>
        <v>-410.0248234052778</v>
      </c>
      <c r="BI386" s="22">
        <f ca="1">SUM(BH386*-1)</f>
        <v>410.0248234052778</v>
      </c>
      <c r="BJ386" s="14">
        <f>SUM(DU386*0.0052)/12</f>
        <v>27.56</v>
      </c>
      <c r="BK386" s="22">
        <f ca="1">SUM(BI386+BJ386)</f>
        <v>437.5848234052778</v>
      </c>
      <c r="BL386" s="14"/>
      <c r="BM386" s="14">
        <f>SUM(BL386*0.1)</f>
        <v>0</v>
      </c>
      <c r="BN386" s="14">
        <f ca="1">SUM(BO386*BP386)</f>
        <v>0</v>
      </c>
      <c r="BO386" s="17">
        <f>SUM((BL386+BM386)*0.00833333333333333)</f>
        <v>0</v>
      </c>
      <c r="BP386" s="23">
        <f ca="1">MONTH(TODAY())+49</f>
        <v>53</v>
      </c>
      <c r="BQ386" s="14">
        <f ca="1">SUM(BL386,BM386,BN386)</f>
        <v>0</v>
      </c>
      <c r="BR386" s="14">
        <v>0</v>
      </c>
      <c r="BS386" s="14">
        <f>SUM(BR386*0.1)</f>
        <v>0</v>
      </c>
      <c r="BT386" s="14">
        <f ca="1">SUM(BU386*BV386)</f>
        <v>0</v>
      </c>
      <c r="BU386" s="17">
        <f>SUM((BR386+BS386)*0.00833333333333333)</f>
        <v>0</v>
      </c>
      <c r="BV386" s="23">
        <f ca="1">MONTH(TODAY())+37</f>
        <v>41</v>
      </c>
      <c r="BW386" s="14">
        <f ca="1">SUM(BR386,BS386,BT386)</f>
        <v>0</v>
      </c>
      <c r="BX386" s="14">
        <v>68.349999999999994</v>
      </c>
      <c r="BY386" s="14">
        <f>SUM(BX386*0.1)</f>
        <v>6.835</v>
      </c>
      <c r="BZ386" s="14">
        <f ca="1">SUM(CA386*CB386)</f>
        <v>18.169708333333325</v>
      </c>
      <c r="CA386" s="17">
        <f>SUM((BX386+BY386)*0.00833333333333333)</f>
        <v>0.62654166666666633</v>
      </c>
      <c r="CB386" s="23">
        <f ca="1">MONTH(TODAY())+25</f>
        <v>29</v>
      </c>
      <c r="CC386" s="14">
        <f ca="1">SUM(BX386,BY386,BZ386)</f>
        <v>93.354708333333321</v>
      </c>
      <c r="CD386" s="14">
        <f>SUM(DU386*0.0052)</f>
        <v>330.71999999999997</v>
      </c>
      <c r="CE386" s="14">
        <f>SUM(CD386*0.1)</f>
        <v>33.071999999999996</v>
      </c>
      <c r="CF386" s="14">
        <f ca="1">SUM(CG386*CH386)</f>
        <v>51.53719999999997</v>
      </c>
      <c r="CG386" s="17">
        <f>SUM((CD386+CE386)*0.00833333333333333)</f>
        <v>3.0315999999999983</v>
      </c>
      <c r="CH386" s="23">
        <f ca="1">MONTH(TODAY())+13</f>
        <v>17</v>
      </c>
      <c r="CI386" s="14">
        <f ca="1">SUM(CD386,CE386,CF386)</f>
        <v>415.32919999999996</v>
      </c>
      <c r="CJ386" s="14">
        <f>SUM(DU386*0.0052)-27.56-27.56-27.56</f>
        <v>248.03999999999996</v>
      </c>
      <c r="CK386" s="14">
        <f>SUM(CJ386*0.1)</f>
        <v>24.803999999999998</v>
      </c>
      <c r="CL386" s="14">
        <f ca="1">SUM(CM386*CN386)</f>
        <v>11.368499999999992</v>
      </c>
      <c r="CM386" s="17">
        <f>SUM((CJ386+CK386)*0.00833333333333333)</f>
        <v>2.2736999999999985</v>
      </c>
      <c r="CN386" s="23">
        <f ca="1">MONTH(TODAY())+1</f>
        <v>5</v>
      </c>
      <c r="CO386" s="14">
        <f ca="1">SUM(CJ386,CK386,CL386)</f>
        <v>284.21249999999992</v>
      </c>
      <c r="CP386" s="14">
        <f>SUM(DU386*0.0052)/2</f>
        <v>165.35999999999999</v>
      </c>
      <c r="CQ386" s="14">
        <f>SUM(CP386*0.1)</f>
        <v>16.535999999999998</v>
      </c>
      <c r="CR386" s="14">
        <f ca="1">SUM(CS386*CT386)</f>
        <v>-3.0315999999999983</v>
      </c>
      <c r="CS386" s="17">
        <f>SUM((CP386+CQ386)*0.00833333333333333)</f>
        <v>1.5157999999999991</v>
      </c>
      <c r="CT386" s="23">
        <f ca="1">MONTH(TODAY())-6</f>
        <v>-2</v>
      </c>
      <c r="CU386" s="23">
        <f ca="1">SUM(CP386,CQ386,CR386)</f>
        <v>178.86439999999999</v>
      </c>
      <c r="CV386" s="14">
        <f>SUM(DU386*0.0052)/2</f>
        <v>165.35999999999999</v>
      </c>
      <c r="CW386" s="14">
        <v>0</v>
      </c>
      <c r="CX386" s="14">
        <v>0</v>
      </c>
      <c r="CY386" s="17">
        <f>SUM((CV386+CW386)*0.00833333333333333)</f>
        <v>1.3779999999999992</v>
      </c>
      <c r="CZ386" s="23">
        <f ca="1">MONTH(TODAY())-6</f>
        <v>-2</v>
      </c>
      <c r="DA386" s="23">
        <f>SUM(CV386,CW386,CX386)</f>
        <v>165.35999999999999</v>
      </c>
      <c r="DB386" s="14">
        <f>SUM(BL386, BR386, BX386, CD386, CJ386, CP386,CV386)</f>
        <v>977.82999999999993</v>
      </c>
      <c r="DC386" s="14">
        <f>SUM(BM386, BS386,BY386,CE386,CK386, CQ386,CW386)</f>
        <v>81.247</v>
      </c>
      <c r="DD386" s="14">
        <f ca="1">SUM(BN386, BT386,BZ386,CF386,CL386, CR386,CX386)</f>
        <v>78.043808333333303</v>
      </c>
      <c r="DE386" s="14">
        <f ca="1">SUM(DB386:DD386)</f>
        <v>1137.1208083333333</v>
      </c>
      <c r="DF386" s="47">
        <f ca="1">SUM(DE386/DU386)</f>
        <v>1.7879257992662476E-2</v>
      </c>
      <c r="DG386" s="14">
        <f>39+195+19.5+195+39+58.5+39+156+58.5+58.5+39+39+97.5+97.5</f>
        <v>1131</v>
      </c>
      <c r="DH386" s="32">
        <f>COUNTIF(DN386, "*")+COUNTIF(AO386, "*")+COUNTIF(AJ386, "*")+COUNTIF(AA386, "*")+COUNTIF(EK386, "*")+COUNTIF(EQ386, "*")+COUNTIF(EW386, "*")+COUNTIF(FA386, "*")+COUNTIF(FH386, "*")+COUNTIF(FO386, "*")+COUNTIF(FV386, "*")+COUNTIF(GG386, "*")+COUNTIF(GR386, "*")+COUNTIF(GZ386, "*")+COUNTIF(HH386, "*")+COUNTIF(HP386, "*")+COUNTIF(HX386, "*")</f>
        <v>2</v>
      </c>
      <c r="DI386" s="14">
        <f>1+12.74+2.4+6.66+28+28</f>
        <v>78.8</v>
      </c>
      <c r="DJ386" s="14">
        <v>300</v>
      </c>
      <c r="DK386" s="14">
        <f ca="1">SUM(DE386,DG386,DQ386, DJ386, DI386,FS386)</f>
        <v>4449.3308083333332</v>
      </c>
      <c r="DL386" s="14">
        <f>47.51+699</f>
        <v>746.51</v>
      </c>
      <c r="DM386" s="14">
        <f>93.75+122.5</f>
        <v>216.25</v>
      </c>
      <c r="DN386" s="14">
        <v>100.25</v>
      </c>
      <c r="DO386" s="14">
        <f>SUM(DU386*0.004)</f>
        <v>254.4</v>
      </c>
      <c r="DP386" s="25">
        <v>485</v>
      </c>
      <c r="DQ386" s="14">
        <f>SUM(DL386:DP386)</f>
        <v>1802.41</v>
      </c>
      <c r="DR386" s="24" t="s">
        <v>3907</v>
      </c>
      <c r="DS386" s="25">
        <v>34600</v>
      </c>
      <c r="DT386" s="25">
        <v>29000</v>
      </c>
      <c r="DU386" s="25">
        <f>SUM(DS386+DT386)</f>
        <v>63600</v>
      </c>
      <c r="DV386" s="36">
        <v>3.91</v>
      </c>
      <c r="DW386" s="18" t="s">
        <v>2438</v>
      </c>
      <c r="DX386" s="18" t="s">
        <v>2439</v>
      </c>
      <c r="DY386" s="18" t="s">
        <v>2335</v>
      </c>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9">
        <v>44863</v>
      </c>
      <c r="IE386" s="18"/>
      <c r="IF386" s="18"/>
      <c r="IG386" s="18"/>
      <c r="IH386" s="18"/>
      <c r="II386" s="18"/>
      <c r="IJ386" s="18"/>
      <c r="IK386" s="18"/>
      <c r="IL386" s="18"/>
      <c r="IM386" s="18"/>
      <c r="IN386" s="18"/>
      <c r="IO386" s="14"/>
      <c r="IP386" s="27">
        <v>44795</v>
      </c>
      <c r="IQ386" s="18"/>
      <c r="IR386" s="18"/>
      <c r="IS386" s="18"/>
      <c r="IT386" s="18"/>
    </row>
    <row r="387" spans="1:263" ht="15" customHeight="1">
      <c r="A387" s="19">
        <v>102023061</v>
      </c>
      <c r="B387" s="18" t="s">
        <v>4203</v>
      </c>
      <c r="D387" s="1"/>
      <c r="E387" s="3"/>
      <c r="F387" s="3"/>
      <c r="G387" s="3"/>
      <c r="J387" s="18" t="s">
        <v>434</v>
      </c>
      <c r="K387" s="18" t="s">
        <v>2934</v>
      </c>
      <c r="L387" s="18" t="s">
        <v>1166</v>
      </c>
      <c r="M387" s="18"/>
      <c r="N387" s="18"/>
      <c r="O387" s="24"/>
      <c r="P387" s="18" t="s">
        <v>419</v>
      </c>
      <c r="Q387" s="18" t="s">
        <v>4202</v>
      </c>
      <c r="R387" s="18"/>
      <c r="S387" s="18"/>
      <c r="AG387" s="43"/>
      <c r="AJ387" s="18"/>
      <c r="AK387" s="18"/>
      <c r="AL387" s="18"/>
      <c r="AM387" s="18"/>
      <c r="AN387" s="18"/>
      <c r="AO387" s="18" t="s">
        <v>4201</v>
      </c>
      <c r="AP387" s="18" t="s">
        <v>258</v>
      </c>
      <c r="AQ387" s="18" t="s">
        <v>386</v>
      </c>
      <c r="AR387" s="18" t="s">
        <v>260</v>
      </c>
      <c r="AX387" s="1"/>
      <c r="AY387" s="1"/>
      <c r="AZ387" s="1"/>
      <c r="BA387" s="1"/>
      <c r="BB387" s="1"/>
      <c r="BC387" s="2"/>
      <c r="BD387" s="115">
        <v>45060</v>
      </c>
      <c r="BE387" s="115">
        <v>45056</v>
      </c>
      <c r="BF387" s="2"/>
      <c r="BG387" s="2"/>
      <c r="BH387" s="2"/>
      <c r="BI387" s="2"/>
      <c r="BJ387" s="2"/>
      <c r="BK387" s="2"/>
      <c r="BL387" s="20">
        <f ca="1">SUM(EB387)+220</f>
        <v>1114.1959999999999</v>
      </c>
      <c r="BM387" s="22">
        <f ca="1">PMT(10%/12,12,BL387,0,0)</f>
        <v>-97.955529888127771</v>
      </c>
      <c r="BN387" s="22">
        <f ca="1">SUM(BM387*-1)</f>
        <v>97.955529888127771</v>
      </c>
      <c r="BO387" s="14">
        <f>SUM(EJ387*0.0052)/12</f>
        <v>13.433333333333332</v>
      </c>
      <c r="BP387" s="22">
        <f ca="1">SUM(BN387+BO387)</f>
        <v>111.38886322146111</v>
      </c>
      <c r="BQ387" s="14"/>
      <c r="BR387" s="14">
        <f>SUM(BQ387*0.1)</f>
        <v>0</v>
      </c>
      <c r="BS387" s="14">
        <f ca="1">SUM(BT387*BU387)</f>
        <v>0</v>
      </c>
      <c r="BT387" s="17">
        <f>SUM((BQ387+BR387)*0.00833333333333333)</f>
        <v>0</v>
      </c>
      <c r="BU387" s="23">
        <f ca="1">MONTH(TODAY())+49</f>
        <v>53</v>
      </c>
      <c r="BV387" s="14">
        <f ca="1">SUM(BQ387,BR387,BS387)</f>
        <v>0</v>
      </c>
      <c r="BW387" s="14"/>
      <c r="BX387" s="14">
        <f>SUM(BW387*0.1)</f>
        <v>0</v>
      </c>
      <c r="BY387" s="14">
        <f ca="1">SUM(BZ387*CA387)</f>
        <v>0</v>
      </c>
      <c r="BZ387" s="17">
        <f>SUM((BW387+BX387)*0.00833333333333333)</f>
        <v>0</v>
      </c>
      <c r="CA387" s="23">
        <f ca="1">MONTH(TODAY())+37</f>
        <v>41</v>
      </c>
      <c r="CB387" s="14">
        <f ca="1">SUM(BW387,BX387,BY387)</f>
        <v>0</v>
      </c>
      <c r="CC387" s="14">
        <v>0</v>
      </c>
      <c r="CD387" s="14">
        <f>SUM(CC387*0.1)</f>
        <v>0</v>
      </c>
      <c r="CE387" s="14">
        <f ca="1">SUM(CF387*CG387)</f>
        <v>0</v>
      </c>
      <c r="CF387" s="17">
        <f>SUM((CC387+CD387)*0.00833333333333333)</f>
        <v>0</v>
      </c>
      <c r="CG387" s="23">
        <f ca="1">MONTH(TODAY())+25</f>
        <v>29</v>
      </c>
      <c r="CH387" s="14">
        <f ca="1">SUM(CC387,CD387,CE387)</f>
        <v>0</v>
      </c>
      <c r="CI387" s="14">
        <f>SUM(EG387*0.0052)</f>
        <v>150.79999999999998</v>
      </c>
      <c r="CJ387" s="14">
        <f>SUM(CI387*0.1)</f>
        <v>15.079999999999998</v>
      </c>
      <c r="CK387" s="14">
        <f ca="1">SUM(CL387*CM387)</f>
        <v>23.499666666666656</v>
      </c>
      <c r="CL387" s="17">
        <f>SUM((CI387+CJ387)*0.00833333333333333)</f>
        <v>1.3823333333333327</v>
      </c>
      <c r="CM387" s="23">
        <f ca="1">MONTH(TODAY())+13</f>
        <v>17</v>
      </c>
      <c r="CN387" s="14">
        <f ca="1">SUM(CI387,CJ387,CK387)</f>
        <v>189.37966666666665</v>
      </c>
      <c r="CO387" s="14">
        <f>SUM(EG387*0.0052)/2</f>
        <v>75.399999999999991</v>
      </c>
      <c r="CP387" s="14">
        <f>SUM(CO387*0.1)</f>
        <v>7.5399999999999991</v>
      </c>
      <c r="CQ387" s="14">
        <f ca="1">SUM(CR387*CS387)</f>
        <v>6.2204999999999977</v>
      </c>
      <c r="CR387" s="17">
        <f>SUM((CO387+CP387)*0.00833333333333333)</f>
        <v>0.69116666666666637</v>
      </c>
      <c r="CS387" s="23">
        <f ca="1">MONTH(TODAY())+5</f>
        <v>9</v>
      </c>
      <c r="CT387" s="23">
        <f ca="1">SUM(CO387,CP387,CQ387)</f>
        <v>89.160499999999999</v>
      </c>
      <c r="CU387" s="14">
        <f>SUM(EG387*0.0052)/2</f>
        <v>75.399999999999991</v>
      </c>
      <c r="CV387" s="14">
        <f>SUM(CU387*0.1)</f>
        <v>7.5399999999999991</v>
      </c>
      <c r="CW387" s="14">
        <f ca="1">SUM(CX387*CY387)</f>
        <v>3.4558333333333318</v>
      </c>
      <c r="CX387" s="17">
        <f>SUM((CU387+CV387)*0.00833333333333333)</f>
        <v>0.69116666666666637</v>
      </c>
      <c r="CY387" s="23">
        <f ca="1">MONTH(TODAY())+1</f>
        <v>5</v>
      </c>
      <c r="CZ387" s="23">
        <f ca="1">SUM(CU387,CV387,CW387)</f>
        <v>86.395833333333329</v>
      </c>
      <c r="DA387" s="14">
        <f>SUM(EJ387*0.0045)/2</f>
        <v>69.75</v>
      </c>
      <c r="DB387" s="14">
        <v>0</v>
      </c>
      <c r="DC387" s="14">
        <v>0</v>
      </c>
      <c r="DD387" s="17">
        <f>SUM((DA387+DB387)*0.00833333333333333)</f>
        <v>0.58124999999999971</v>
      </c>
      <c r="DE387" s="23">
        <f ca="1">MONTH(TODAY())-5</f>
        <v>-1</v>
      </c>
      <c r="DF387" s="23">
        <f>SUM(DA387,DB387,DC387)</f>
        <v>69.75</v>
      </c>
      <c r="DG387" s="14">
        <v>0</v>
      </c>
      <c r="DH387" s="14">
        <v>0</v>
      </c>
      <c r="DI387" s="14">
        <v>0</v>
      </c>
      <c r="DJ387" s="17">
        <f>SUM((DG387+DH387)*0.00833333333333333)</f>
        <v>0</v>
      </c>
      <c r="DK387" s="23">
        <f ca="1">MONTH(TODAY())+1</f>
        <v>5</v>
      </c>
      <c r="DL387" s="23">
        <f>SUM(DG387,DH387,DI387)</f>
        <v>0</v>
      </c>
      <c r="DM387" s="14">
        <f>SUM( BQ387, BW387, CC387, CI387, CO387,CU387,DA387,DG387)</f>
        <v>371.34999999999997</v>
      </c>
      <c r="DN387" s="14">
        <f>SUM(BR387,BX387,CD387,CJ387, CP387,CV387,DB387,DH387)</f>
        <v>30.159999999999997</v>
      </c>
      <c r="DO387" s="14">
        <f ca="1">SUM(BS387,BY387,CE387,CK387, CQ387,CW387,DC387,DI387)</f>
        <v>33.175999999999988</v>
      </c>
      <c r="DP387" s="25">
        <f ca="1">SUM(DM387:DO387)</f>
        <v>434.68599999999998</v>
      </c>
      <c r="DQ387" s="47">
        <f ca="1">SUM(DP387/EG387)</f>
        <v>1.4989172413793102E-2</v>
      </c>
      <c r="DR387" s="14">
        <f>20+200</f>
        <v>220</v>
      </c>
      <c r="DS387" s="32">
        <v>7</v>
      </c>
      <c r="DT387" s="14">
        <f>0.6+DS387*7.45</f>
        <v>52.75</v>
      </c>
      <c r="DU387" s="4">
        <v>150</v>
      </c>
      <c r="DV387" s="4">
        <v>36.76</v>
      </c>
      <c r="DW387" s="4"/>
      <c r="DX387" s="4"/>
      <c r="DZ387" s="4"/>
      <c r="EA387" s="14">
        <f>SUM(DV387:DZ387)</f>
        <v>36.76</v>
      </c>
      <c r="EB387" s="14">
        <f ca="1">SUM(DP387,DR387,EA387, DU387, DT387,GB387)</f>
        <v>894.19599999999991</v>
      </c>
      <c r="EC387" s="24" t="s">
        <v>3879</v>
      </c>
      <c r="ED387" s="130">
        <v>1</v>
      </c>
      <c r="EE387" s="14">
        <v>20000</v>
      </c>
      <c r="EF387" s="14">
        <v>9000</v>
      </c>
      <c r="EG387" s="14">
        <v>29000</v>
      </c>
      <c r="EH387" s="14">
        <v>22000</v>
      </c>
      <c r="EI387" s="14">
        <v>9000</v>
      </c>
      <c r="EJ387" s="14">
        <f>SUM(EH387+EI387)</f>
        <v>31000</v>
      </c>
      <c r="EK387" t="s">
        <v>4819</v>
      </c>
      <c r="EL387" t="s">
        <v>4820</v>
      </c>
      <c r="EM387" t="s">
        <v>4821</v>
      </c>
      <c r="EN387" t="s">
        <v>4822</v>
      </c>
      <c r="EW387" t="s">
        <v>4823</v>
      </c>
      <c r="EY387" t="s">
        <v>4824</v>
      </c>
      <c r="FA387" t="s">
        <v>4825</v>
      </c>
      <c r="FC387" t="s">
        <v>4826</v>
      </c>
      <c r="FE387" t="s">
        <v>4827</v>
      </c>
      <c r="FG387" t="s">
        <v>3003</v>
      </c>
      <c r="FI387" t="s">
        <v>4828</v>
      </c>
      <c r="FJ387" t="s">
        <v>4829</v>
      </c>
      <c r="FL387" t="s">
        <v>4830</v>
      </c>
      <c r="FM387" t="s">
        <v>4831</v>
      </c>
      <c r="FN387" t="s">
        <v>4832</v>
      </c>
      <c r="FO387" t="s">
        <v>4833</v>
      </c>
      <c r="FQ387" t="s">
        <v>267</v>
      </c>
      <c r="FR387" t="s">
        <v>268</v>
      </c>
      <c r="FU387" t="s">
        <v>4834</v>
      </c>
      <c r="FV387" t="s">
        <v>4201</v>
      </c>
      <c r="FX387" t="s">
        <v>386</v>
      </c>
      <c r="FY387" t="s">
        <v>260</v>
      </c>
      <c r="GC387" t="s">
        <v>439</v>
      </c>
      <c r="GD387" t="s">
        <v>1530</v>
      </c>
      <c r="GE387" t="s">
        <v>4768</v>
      </c>
      <c r="GF387" t="s">
        <v>440</v>
      </c>
      <c r="GG387" t="s">
        <v>274</v>
      </c>
      <c r="GH387" t="s">
        <v>275</v>
      </c>
      <c r="GI387" s="9">
        <v>43556</v>
      </c>
      <c r="GJ387" t="s">
        <v>4835</v>
      </c>
      <c r="IM387" s="9"/>
      <c r="IX387" s="14">
        <f ca="1">SUM(IN387-EB387-GB387-IV387)</f>
        <v>-894.19599999999991</v>
      </c>
      <c r="IY387" s="9"/>
      <c r="IZ387" s="9"/>
      <c r="JA387" s="9"/>
      <c r="JB387" s="9"/>
      <c r="JC387" s="9"/>
    </row>
    <row r="388" spans="1:263" ht="15" customHeight="1">
      <c r="A388" s="19">
        <v>102022105</v>
      </c>
      <c r="B388" t="s">
        <v>2846</v>
      </c>
      <c r="D388" s="1"/>
      <c r="E388" s="3"/>
      <c r="F388" s="3"/>
      <c r="J388" t="s">
        <v>311</v>
      </c>
      <c r="K388" t="s">
        <v>1186</v>
      </c>
      <c r="L388" t="s">
        <v>3083</v>
      </c>
      <c r="AG388" s="43"/>
      <c r="AJ388" t="s">
        <v>3100</v>
      </c>
      <c r="AK388" t="s">
        <v>258</v>
      </c>
      <c r="AL388" t="s">
        <v>386</v>
      </c>
      <c r="AM388" t="s">
        <v>260</v>
      </c>
      <c r="AN388"/>
      <c r="AO388" s="3" t="s">
        <v>773</v>
      </c>
      <c r="AP388" s="3" t="s">
        <v>258</v>
      </c>
      <c r="AQ388" t="s">
        <v>386</v>
      </c>
      <c r="AR388" t="s">
        <v>260</v>
      </c>
      <c r="AS388" s="1"/>
      <c r="AT388" s="1"/>
      <c r="AU388" s="1"/>
      <c r="AV388" s="1"/>
      <c r="AW388" s="1"/>
      <c r="AX388" s="2"/>
      <c r="AY388" s="116"/>
      <c r="AZ388" s="115"/>
      <c r="BA388" s="2"/>
      <c r="BB388" s="2"/>
      <c r="BC388" s="2"/>
      <c r="BD388" s="2"/>
      <c r="BE388" s="2"/>
      <c r="BF388" s="2"/>
      <c r="BG388" s="20">
        <f ca="1">SUM(CY388)+58.5+58.5</f>
        <v>989.22706666666659</v>
      </c>
      <c r="BH388" s="22">
        <f ca="1">PMT(10%/12,12,BG388,0,0)</f>
        <v>-86.968775237939838</v>
      </c>
      <c r="BI388" s="22">
        <f ca="1">SUM(BH388*-1)</f>
        <v>86.968775237939838</v>
      </c>
      <c r="BJ388" s="14">
        <f>SUM(DI388*0.0052)/12</f>
        <v>29.553333333333331</v>
      </c>
      <c r="BK388" s="22">
        <f ca="1">SUM(BI388+BJ388)</f>
        <v>116.52210857127317</v>
      </c>
      <c r="BL388" s="14"/>
      <c r="BM388" s="14">
        <f>SUM(BL388*0.1)</f>
        <v>0</v>
      </c>
      <c r="BN388" s="14">
        <f ca="1">SUM(BO388*BP388)</f>
        <v>0</v>
      </c>
      <c r="BO388" s="17">
        <f>SUM((BL388+BM388)*0.00833333333333333)</f>
        <v>0</v>
      </c>
      <c r="BP388" s="23">
        <f ca="1">MONTH(TODAY())+49</f>
        <v>53</v>
      </c>
      <c r="BQ388" s="14">
        <f ca="1">SUM(BL388,BM388,BN388)</f>
        <v>0</v>
      </c>
      <c r="BR388" s="14"/>
      <c r="BS388" s="14">
        <f>SUM(BR388*0.1)</f>
        <v>0</v>
      </c>
      <c r="BT388" s="14">
        <f ca="1">SUM(BU388*BV388)</f>
        <v>0</v>
      </c>
      <c r="BU388" s="17">
        <f>SUM((BR388+BS388)*0.00833333333333333)</f>
        <v>0</v>
      </c>
      <c r="BV388" s="23">
        <f ca="1">MONTH(TODAY())+37</f>
        <v>41</v>
      </c>
      <c r="BW388" s="14">
        <f ca="1">SUM(BR388,BS388,BT388)</f>
        <v>0</v>
      </c>
      <c r="BX388" s="14"/>
      <c r="BY388" s="14">
        <f>SUM(BX388*0.1)</f>
        <v>0</v>
      </c>
      <c r="BZ388" s="14">
        <f ca="1">SUM(CA388*CB388)</f>
        <v>0</v>
      </c>
      <c r="CA388" s="17">
        <f>SUM((BX388+BY388)*0.00833333333333333)</f>
        <v>0</v>
      </c>
      <c r="CB388" s="23">
        <f ca="1">MONTH(TODAY())+25</f>
        <v>29</v>
      </c>
      <c r="CC388" s="14">
        <f ca="1">SUM(BX388,BY388,BZ388)</f>
        <v>0</v>
      </c>
      <c r="CD388" s="14">
        <f>SUM(DI388*0.0052)</f>
        <v>354.64</v>
      </c>
      <c r="CE388" s="14">
        <f>SUM(CD388*0.1)</f>
        <v>35.463999999999999</v>
      </c>
      <c r="CF388" s="14">
        <f ca="1">SUM(CG388*CH388)</f>
        <v>55.264733333333311</v>
      </c>
      <c r="CG388" s="17">
        <f>SUM((CD388+CE388)*0.00833333333333333)</f>
        <v>3.2508666666666652</v>
      </c>
      <c r="CH388" s="23">
        <f ca="1">MONTH(TODAY())+13</f>
        <v>17</v>
      </c>
      <c r="CI388" s="14">
        <f ca="1">SUM(CD388,CE388,CF388)</f>
        <v>445.3687333333333</v>
      </c>
      <c r="CJ388" s="14">
        <f>SUM(DI388*0.0052)</f>
        <v>354.64</v>
      </c>
      <c r="CK388" s="14">
        <f>SUM(CJ388*0.1)</f>
        <v>35.463999999999999</v>
      </c>
      <c r="CL388" s="14">
        <f ca="1">SUM(CM388*CN388)</f>
        <v>16.254333333333328</v>
      </c>
      <c r="CM388" s="17">
        <f>SUM((CJ388+CK388)*0.00833333333333333)</f>
        <v>3.2508666666666652</v>
      </c>
      <c r="CN388" s="23">
        <f ca="1">MONTH(TODAY())+1</f>
        <v>5</v>
      </c>
      <c r="CO388" s="14">
        <f ca="1">SUM(CJ388,CK388,CL388)</f>
        <v>406.35833333333329</v>
      </c>
      <c r="CP388" s="14">
        <f>SUM(BL388, BR388,BX388,CD388,CJ388)</f>
        <v>709.28</v>
      </c>
      <c r="CQ388" s="14">
        <f>SUM(BM388, BS388,BY388,CE388,CK388)</f>
        <v>70.927999999999997</v>
      </c>
      <c r="CR388" s="14">
        <f ca="1">SUM(BN388, BT388,BZ388,CF388,CL388)</f>
        <v>71.519066666666646</v>
      </c>
      <c r="CS388" s="14">
        <f ca="1">SUM(CP388:CR388)</f>
        <v>851.72706666666659</v>
      </c>
      <c r="CT388" s="47">
        <f ca="1">SUM(CS388/DI388)</f>
        <v>1.2488666666666665E-2</v>
      </c>
      <c r="CU388" s="14">
        <v>19.5</v>
      </c>
      <c r="CV388" s="32">
        <f>COUNTIF(DB388, "*")+COUNTIF(AO388, "*")+COUNTIF(AJ388, "*")+COUNTIF(AA388, "*")+COUNTIF(DY388, "*")+COUNTIF(EE388, "*")+COUNTIF(EK388, "*")+COUNTIF(EO388, "*")+COUNTIF(EV388, "*")+COUNTIF(FC388, "*")+COUNTIF(FJ388, "*")+COUNTIF(FU388, "*")+COUNTIF(GF388, "*")+COUNTIF(GN388, "*")+COUNTIF(GV388, "*")+COUNTIF(HD388, "*")+COUNTIF(HL388, "*")</f>
        <v>2</v>
      </c>
      <c r="CW388" s="14">
        <f>CV388*0.5</f>
        <v>1</v>
      </c>
      <c r="CX388" s="4"/>
      <c r="CY388" s="14">
        <f ca="1">SUM(CS388,CU388,DE388, CX388, CW388,FG388)</f>
        <v>872.22706666666659</v>
      </c>
      <c r="CZ388" s="4"/>
      <c r="DE388" s="14">
        <f>SUM(CZ388:DD388)</f>
        <v>0</v>
      </c>
      <c r="DF388" s="24" t="s">
        <v>2773</v>
      </c>
      <c r="DG388" s="4">
        <v>20000</v>
      </c>
      <c r="DH388" s="4">
        <v>48200</v>
      </c>
      <c r="DI388" s="25">
        <f>SUM(DG388+DH388)</f>
        <v>68200</v>
      </c>
      <c r="DJ388" s="35">
        <v>1</v>
      </c>
      <c r="IC388" s="4"/>
    </row>
    <row r="389" spans="1:263" ht="15" customHeight="1">
      <c r="A389" s="2">
        <v>102024177</v>
      </c>
      <c r="B389" t="s">
        <v>5578</v>
      </c>
      <c r="D389" s="1"/>
      <c r="E389" s="3"/>
      <c r="G389" s="3"/>
      <c r="J389" t="s">
        <v>311</v>
      </c>
      <c r="K389" t="s">
        <v>5579</v>
      </c>
      <c r="L389" t="s">
        <v>1392</v>
      </c>
      <c r="M389" t="s">
        <v>5580</v>
      </c>
      <c r="O389" s="3"/>
      <c r="AG389" s="43"/>
      <c r="AJ389" s="18" t="s">
        <v>328</v>
      </c>
      <c r="AK389" s="1"/>
      <c r="AL389" t="s">
        <v>386</v>
      </c>
      <c r="AM389"/>
      <c r="AN389"/>
      <c r="AO389" t="s">
        <v>5581</v>
      </c>
      <c r="AP389" s="1" t="s">
        <v>258</v>
      </c>
      <c r="AQ389" t="s">
        <v>386</v>
      </c>
      <c r="AR389" t="s">
        <v>260</v>
      </c>
      <c r="AS389" s="10"/>
      <c r="AT389" s="10"/>
      <c r="AU389" s="10"/>
      <c r="AV389" s="10"/>
      <c r="AW389" s="10"/>
      <c r="AX389" s="1"/>
      <c r="AY389" s="1"/>
      <c r="AZ389" s="1"/>
      <c r="BA389" s="1"/>
      <c r="BB389" s="1"/>
      <c r="BC389" s="2"/>
      <c r="BD389" s="115">
        <v>45415</v>
      </c>
      <c r="BE389" s="144"/>
      <c r="BF389" s="2"/>
      <c r="BG389" s="2"/>
      <c r="BH389" s="2"/>
      <c r="BI389" s="2"/>
      <c r="BJ389" s="2"/>
      <c r="BK389" s="2"/>
      <c r="BL389" s="20">
        <f ca="1">SUM(EH389)+220</f>
        <v>343.03901666666667</v>
      </c>
      <c r="BM389" s="22">
        <f ca="1">PMT(10%/12,12,BL389,0,0)</f>
        <v>-30.158579504760048</v>
      </c>
      <c r="BN389" s="22">
        <f ca="1">SUM(BM389*-1)</f>
        <v>30.158579504760048</v>
      </c>
      <c r="BO389" s="14">
        <f>SUM(EP389*0.0052)/12</f>
        <v>3.3366666666666664</v>
      </c>
      <c r="BP389" s="22">
        <f ca="1">SUM(BN389+BO389)</f>
        <v>33.495246171426714</v>
      </c>
      <c r="BQ389" s="14"/>
      <c r="BR389" s="14">
        <f>SUM(BQ389*0.1)</f>
        <v>0</v>
      </c>
      <c r="BS389" s="14">
        <f ca="1">SUM(BT389*BU389)</f>
        <v>0</v>
      </c>
      <c r="BT389" s="17">
        <f>SUM((BQ389+BR389)*0.00833333333333333)</f>
        <v>0</v>
      </c>
      <c r="BU389" s="23">
        <f ca="1">MONTH(TODAY())+49</f>
        <v>53</v>
      </c>
      <c r="BV389" s="14">
        <f ca="1">SUM(BQ389,BR389,BS389)</f>
        <v>0</v>
      </c>
      <c r="BW389" s="14">
        <v>0</v>
      </c>
      <c r="BX389" s="14">
        <f>SUM(BW389*0.1)</f>
        <v>0</v>
      </c>
      <c r="BY389" s="14">
        <f ca="1">SUM(BZ389*CA389)</f>
        <v>0</v>
      </c>
      <c r="BZ389" s="17">
        <f>SUM((BW389+BX389)*0.00833333333333333)</f>
        <v>0</v>
      </c>
      <c r="CA389" s="23">
        <f ca="1">MONTH(TODAY())+37</f>
        <v>41</v>
      </c>
      <c r="CB389" s="14">
        <f ca="1">SUM(BW389,BX389,BY389)</f>
        <v>0</v>
      </c>
      <c r="CC389" s="14">
        <v>0</v>
      </c>
      <c r="CD389" s="14">
        <f>SUM(CC389*0.1)</f>
        <v>0</v>
      </c>
      <c r="CE389" s="14">
        <f ca="1">SUM(CF389*CG389)</f>
        <v>0</v>
      </c>
      <c r="CF389" s="17">
        <f>SUM((CC389+CD389)*0.00833333333333333)</f>
        <v>0</v>
      </c>
      <c r="CG389" s="23">
        <f ca="1">MONTH(TODAY())+25</f>
        <v>29</v>
      </c>
      <c r="CH389" s="14">
        <f ca="1">SUM(CC389,CD389,CE389)</f>
        <v>0</v>
      </c>
      <c r="CI389" s="14">
        <v>0</v>
      </c>
      <c r="CJ389" s="14">
        <f>SUM(CI389*0.1)</f>
        <v>0</v>
      </c>
      <c r="CK389" s="14">
        <f ca="1">SUM(CL389*CM389)</f>
        <v>0</v>
      </c>
      <c r="CL389" s="17">
        <f>SUM((CI389+CJ389)*0.00833333333333333)</f>
        <v>0</v>
      </c>
      <c r="CM389" s="23">
        <f ca="1">MONTH(TODAY())+17</f>
        <v>21</v>
      </c>
      <c r="CN389" s="23">
        <f ca="1">SUM(CI389,CJ389,CK389)</f>
        <v>0</v>
      </c>
      <c r="CO389" s="14">
        <f>SUM(EM389*0.0052)/2-14.36</f>
        <v>5.66</v>
      </c>
      <c r="CP389" s="14">
        <f>SUM(CO389*0.1)</f>
        <v>0.56600000000000006</v>
      </c>
      <c r="CQ389" s="14">
        <f ca="1">SUM(CR389*CS389)</f>
        <v>0.88201666666666623</v>
      </c>
      <c r="CR389" s="17">
        <f>SUM((CO389+CP389)*0.00833333333333333)</f>
        <v>5.1883333333333309E-2</v>
      </c>
      <c r="CS389" s="23">
        <f ca="1">MONTH(TODAY())+13</f>
        <v>17</v>
      </c>
      <c r="CT389" s="23">
        <f ca="1">SUM(CO389,CP389,CQ389)</f>
        <v>7.108016666666666</v>
      </c>
      <c r="CU389" s="14">
        <f>SUM(EP389*0.0045)/2</f>
        <v>17.324999999999999</v>
      </c>
      <c r="CV389" s="14">
        <f>SUM(CU389*0.1)</f>
        <v>1.7324999999999999</v>
      </c>
      <c r="CW389" s="14">
        <f ca="1">SUM(CX389*CY389)</f>
        <v>1.7469374999999991</v>
      </c>
      <c r="CX389" s="17">
        <f>SUM((CU389+CV389)*0.00833333333333333)</f>
        <v>0.15881249999999991</v>
      </c>
      <c r="CY389" s="23">
        <f ca="1">MONTH(TODAY())+7</f>
        <v>11</v>
      </c>
      <c r="CZ389" s="23">
        <f ca="1">SUM(CU389,CV389,CW389)</f>
        <v>20.804437499999995</v>
      </c>
      <c r="DA389" s="14">
        <f>SUM(EP389*0.0045)/2</f>
        <v>17.324999999999999</v>
      </c>
      <c r="DB389" s="14">
        <f>SUM(DA389*0.1)</f>
        <v>1.7324999999999999</v>
      </c>
      <c r="DC389" s="14">
        <f ca="1">SUM(DD389*DE389)</f>
        <v>0.79406249999999956</v>
      </c>
      <c r="DD389" s="17">
        <f>SUM((DA389+DB389)*0.00833333333333333)</f>
        <v>0.15881249999999991</v>
      </c>
      <c r="DE389" s="23">
        <f ca="1">MONTH(TODAY())+1</f>
        <v>5</v>
      </c>
      <c r="DF389" s="14">
        <f ca="1">SUM(DA389,DB389,DC389)</f>
        <v>19.851562499999996</v>
      </c>
      <c r="DG389" s="14">
        <f>SUM(EP389*0.0045)/2</f>
        <v>17.324999999999999</v>
      </c>
      <c r="DH389" s="14">
        <f>0</f>
        <v>0</v>
      </c>
      <c r="DI389" s="14">
        <f>0</f>
        <v>0</v>
      </c>
      <c r="DJ389" s="17">
        <f>SUM((DG389+DH389)*0.00833333333333333)</f>
        <v>0.14437499999999992</v>
      </c>
      <c r="DK389" s="23">
        <f ca="1">MONTH(TODAY())+7</f>
        <v>11</v>
      </c>
      <c r="DL389" s="23">
        <f>SUM(DG389,DH389,DI389)</f>
        <v>17.324999999999999</v>
      </c>
      <c r="DM389" s="14">
        <f>0</f>
        <v>0</v>
      </c>
      <c r="DN389" s="14">
        <f>0</f>
        <v>0</v>
      </c>
      <c r="DO389" s="14">
        <f ca="1">SUM(DP389*DQ389)</f>
        <v>0</v>
      </c>
      <c r="DP389" s="17">
        <f>SUM((DM389+DN389)*0.00833333333333333)</f>
        <v>0</v>
      </c>
      <c r="DQ389" s="23">
        <f ca="1">MONTH(TODAY())+1</f>
        <v>5</v>
      </c>
      <c r="DR389" s="14">
        <f ca="1">SUM(DM389,DN389,DO389)</f>
        <v>0</v>
      </c>
      <c r="DS389" s="14">
        <f>SUM(BQ389, BW389, CC389, CI389,CO389,CU389,DA389,DG389,DM389)</f>
        <v>57.635000000000005</v>
      </c>
      <c r="DT389" s="14">
        <f>SUM(BR389,BX389,CD389, CJ389,CP389,CV389,DB389,DH389,DN389)</f>
        <v>4.0309999999999997</v>
      </c>
      <c r="DU389" s="14">
        <f ca="1">SUM(BS389,BY389,CE389, CK389,CQ389,CW389,DC389,DI389,DO389)</f>
        <v>3.423016666666665</v>
      </c>
      <c r="DV389" s="25">
        <f ca="1">SUM(DS389:DU389)</f>
        <v>65.089016666666666</v>
      </c>
      <c r="DW389" s="47">
        <f ca="1">SUM(DV389/EM389)</f>
        <v>8.4531190476190479E-3</v>
      </c>
      <c r="DX389" s="14">
        <f>20+10</f>
        <v>30</v>
      </c>
      <c r="DY389" s="32">
        <f>COUNTIF(AO389, "*")+COUNTIF(AJ389, "*")+COUNTIF(AA389, "*")+COUNTIF(FA389, "*")+COUNTIF(FG389, "*")+COUNTIF(FM389, "*")+COUNTIF(FQ389, "*")+COUNTIF(FX389, "*")+COUNTIF(AT389, "*")+COUNTIF(GG389, "*")+COUNTIF(GR389, "*")+COUNTIF(HC389, "*")+COUNTIF(HK389, "*")+COUNTIF(HS389, "*")+COUNTIF(IA389, "*")</f>
        <v>2</v>
      </c>
      <c r="DZ389" s="14">
        <f>DY389*0.64</f>
        <v>1.28</v>
      </c>
      <c r="EA389" s="4"/>
      <c r="EB389" s="4">
        <v>26.67</v>
      </c>
      <c r="EC389" s="4"/>
      <c r="ED389" s="4"/>
      <c r="EF389" s="4"/>
      <c r="EG389" s="14">
        <f>SUM(EB389:EF389)</f>
        <v>26.67</v>
      </c>
      <c r="EH389" s="14">
        <f ca="1">SUM(DV389,DX389,EG389, EA389, DZ389,GD389)</f>
        <v>123.03901666666667</v>
      </c>
      <c r="EI389" s="24" t="s">
        <v>4935</v>
      </c>
      <c r="EJ389" s="23">
        <v>1.92</v>
      </c>
      <c r="EK389" s="14">
        <v>7700</v>
      </c>
      <c r="EL389" s="14">
        <v>0</v>
      </c>
      <c r="EM389" s="14">
        <f>SUM(EK389+EL389)</f>
        <v>7700</v>
      </c>
      <c r="EN389" s="14">
        <v>7700</v>
      </c>
      <c r="EO389" s="14">
        <v>0</v>
      </c>
      <c r="EP389" s="14">
        <f>SUM(EN389+EO389)</f>
        <v>7700</v>
      </c>
      <c r="EQ389" s="10"/>
      <c r="ER389" s="10"/>
      <c r="ES389" s="10"/>
      <c r="ET389" s="10"/>
      <c r="EU389" s="10"/>
      <c r="EV389" s="10"/>
      <c r="EW389" s="10"/>
      <c r="EX389" s="10"/>
      <c r="GD389" s="4"/>
      <c r="IE389" s="9"/>
      <c r="IN389" s="4"/>
      <c r="IO389" s="4"/>
      <c r="IP389" s="4"/>
      <c r="IQ389" s="9"/>
      <c r="IR389" s="9"/>
      <c r="IS389" s="9"/>
      <c r="IT389" s="9"/>
      <c r="IU389" s="9"/>
    </row>
    <row r="390" spans="1:263" ht="15" customHeight="1">
      <c r="A390" s="19">
        <v>102023044</v>
      </c>
      <c r="B390" s="18" t="s">
        <v>4250</v>
      </c>
      <c r="D390" s="1"/>
      <c r="E390" s="3"/>
      <c r="F390" s="3"/>
      <c r="J390" s="18" t="s">
        <v>311</v>
      </c>
      <c r="K390" s="18" t="s">
        <v>4249</v>
      </c>
      <c r="L390" s="130" t="s">
        <v>565</v>
      </c>
      <c r="M390" s="130" t="s">
        <v>598</v>
      </c>
      <c r="N390" s="18"/>
      <c r="O390" s="252"/>
      <c r="P390" s="130"/>
      <c r="Q390" s="130"/>
      <c r="R390" s="130"/>
      <c r="S390" s="130"/>
      <c r="AG390" s="43"/>
      <c r="AJ390" s="18" t="s">
        <v>4248</v>
      </c>
      <c r="AK390" s="18" t="s">
        <v>258</v>
      </c>
      <c r="AL390" s="18" t="s">
        <v>386</v>
      </c>
      <c r="AM390" s="18"/>
      <c r="AN390" s="18"/>
      <c r="AO390" s="18" t="s">
        <v>4247</v>
      </c>
      <c r="AP390" s="18" t="s">
        <v>258</v>
      </c>
      <c r="AQ390" s="18" t="s">
        <v>267</v>
      </c>
      <c r="AR390" s="18" t="s">
        <v>268</v>
      </c>
      <c r="AX390" s="1"/>
      <c r="AY390" s="1"/>
      <c r="AZ390" s="1"/>
      <c r="BA390" s="1"/>
      <c r="BB390" s="1"/>
      <c r="BC390" s="2"/>
      <c r="BD390" s="116"/>
      <c r="BE390" s="115"/>
      <c r="BF390" s="2"/>
      <c r="BG390" s="2"/>
      <c r="BH390" s="2"/>
      <c r="BI390" s="2"/>
      <c r="BJ390" s="2"/>
      <c r="BK390" s="2"/>
      <c r="BL390" s="20">
        <f ca="1">SUM(DP390)+220</f>
        <v>1117.0463999999999</v>
      </c>
      <c r="BM390" s="22">
        <f ca="1">PMT(10%/12,12,BL390,0,0)</f>
        <v>-98.206125333088195</v>
      </c>
      <c r="BN390" s="22">
        <f ca="1">SUM(BM390*-1)</f>
        <v>98.206125333088195</v>
      </c>
      <c r="BO390" s="25">
        <f>SUM(DX390*0.0052)/12</f>
        <v>37.266666666666666</v>
      </c>
      <c r="BP390" s="22">
        <f ca="1">SUM(BN390+BO390)</f>
        <v>135.47279199975486</v>
      </c>
      <c r="BQ390" s="14"/>
      <c r="BR390" s="14">
        <f>SUM(BQ390*0.1)</f>
        <v>0</v>
      </c>
      <c r="BS390" s="14">
        <f ca="1">SUM(BT390*BU390)</f>
        <v>0</v>
      </c>
      <c r="BT390" s="17">
        <f>SUM((BQ390+BR390)*0.00833333333333333)</f>
        <v>0</v>
      </c>
      <c r="BU390" s="23">
        <f ca="1">MONTH(TODAY())+49</f>
        <v>53</v>
      </c>
      <c r="BV390" s="14">
        <f ca="1">SUM(BQ390,BR390,BS390)</f>
        <v>0</v>
      </c>
      <c r="BW390" s="14"/>
      <c r="BX390" s="14">
        <f>SUM(BW390*0.1)</f>
        <v>0</v>
      </c>
      <c r="BY390" s="14">
        <f ca="1">SUM(BZ390*CA390)</f>
        <v>0</v>
      </c>
      <c r="BZ390" s="17">
        <f>SUM((BW390+BX390)*0.00833333333333333)</f>
        <v>0</v>
      </c>
      <c r="CA390" s="23">
        <f ca="1">MONTH(TODAY())+37</f>
        <v>41</v>
      </c>
      <c r="CB390" s="14">
        <f ca="1">SUM(BW390,BX390,BY390)</f>
        <v>0</v>
      </c>
      <c r="CC390" s="14">
        <v>0</v>
      </c>
      <c r="CD390" s="14">
        <f>SUM(CC390*0.1)</f>
        <v>0</v>
      </c>
      <c r="CE390" s="14">
        <f ca="1">SUM(CF390*CG390)</f>
        <v>0</v>
      </c>
      <c r="CF390" s="17">
        <f>SUM((CC390+CD390)*0.00833333333333333)</f>
        <v>0</v>
      </c>
      <c r="CG390" s="23">
        <f ca="1">MONTH(TODAY())+25</f>
        <v>29</v>
      </c>
      <c r="CH390" s="14">
        <f ca="1">SUM(CC390,CD390,CE390)</f>
        <v>0</v>
      </c>
      <c r="CI390" s="14">
        <f>SUM(DU390*0.0052)</f>
        <v>361.91999999999996</v>
      </c>
      <c r="CJ390" s="14">
        <f>SUM(CI390*0.1)</f>
        <v>36.192</v>
      </c>
      <c r="CK390" s="14">
        <f ca="1">SUM(CL390*CM390)</f>
        <v>56.399199999999972</v>
      </c>
      <c r="CL390" s="17">
        <f>SUM((CI390+CJ390)*0.00833333333333333)</f>
        <v>3.3175999999999983</v>
      </c>
      <c r="CM390" s="23">
        <f ca="1">MONTH(TODAY())+13</f>
        <v>17</v>
      </c>
      <c r="CN390" s="14">
        <f ca="1">SUM(CI390,CJ390,CK390)</f>
        <v>454.51119999999992</v>
      </c>
      <c r="CO390" s="14">
        <f>SUM(DU390*0.0052)/2</f>
        <v>180.95999999999998</v>
      </c>
      <c r="CP390" s="14">
        <f>SUM(CO390*0.1)</f>
        <v>18.096</v>
      </c>
      <c r="CQ390" s="14">
        <f ca="1">SUM(CR390*CS390)</f>
        <v>14.929199999999993</v>
      </c>
      <c r="CR390" s="17">
        <f>SUM((CO390+CP390)*0.00833333333333333)</f>
        <v>1.6587999999999992</v>
      </c>
      <c r="CS390" s="23">
        <f ca="1">MONTH(TODAY())+5</f>
        <v>9</v>
      </c>
      <c r="CT390" s="23">
        <f ca="1">SUM(CO390,CP390,CQ390)</f>
        <v>213.98519999999996</v>
      </c>
      <c r="CU390" s="14">
        <f>SUM(DU390*0.0052)/2</f>
        <v>180.95999999999998</v>
      </c>
      <c r="CV390" s="14">
        <f>SUM(CU390*0.1)</f>
        <v>18.096</v>
      </c>
      <c r="CW390" s="14">
        <f ca="1">SUM(CX390*CY390)</f>
        <v>8.2939999999999952</v>
      </c>
      <c r="CX390" s="17">
        <f>SUM((CU390+CV390)*0.00833333333333333)</f>
        <v>1.6587999999999992</v>
      </c>
      <c r="CY390" s="23">
        <f ca="1">MONTH(TODAY())+1</f>
        <v>5</v>
      </c>
      <c r="CZ390" s="23">
        <f ca="1">SUM(CU390,CV390,CW390)</f>
        <v>207.34999999999997</v>
      </c>
      <c r="DA390" s="14">
        <f>SUM( BQ390, BW390, CC390, CI390, CO390,CU390)</f>
        <v>723.83999999999992</v>
      </c>
      <c r="DB390" s="14">
        <f>SUM(BR390,BX390,CD390,CJ390, CP390,CV390)</f>
        <v>72.384</v>
      </c>
      <c r="DC390" s="14">
        <f ca="1">SUM(BS390,BY390,CE390,CK390, CQ390,CW390)</f>
        <v>79.622399999999956</v>
      </c>
      <c r="DD390" s="25">
        <f ca="1">SUM(DA390:DC390)</f>
        <v>875.8463999999999</v>
      </c>
      <c r="DE390" s="47">
        <f ca="1">SUM(DD390/DU390)</f>
        <v>1.2583999999999998E-2</v>
      </c>
      <c r="DF390" s="14">
        <v>20</v>
      </c>
      <c r="DG390" s="32">
        <f>COUNTIF(DL390, "*")+COUNTIF(AO390, "*")+COUNTIF(AJ390, "*")+COUNTIF(AA390, "*")+COUNTIF(EM390, "*")+COUNTIF(ES390, "*")+COUNTIF(EY390, "*")+COUNTIF(FC390, "*")+COUNTIF(FJ390, "*")+COUNTIF(AT390, "*")+COUNTIF(FS390, "*")+COUNTIF(GD390, "*")+COUNTIF(GO390, "*")+COUNTIF(GW390, "*")+COUNTIF(HE390, "*")+COUNTIF(HM390, "*")+COUNTIF(HU390, "*")</f>
        <v>2</v>
      </c>
      <c r="DH390" s="14">
        <f>DG390*0.6</f>
        <v>1.2</v>
      </c>
      <c r="DI390" s="4"/>
      <c r="DJ390" s="4"/>
      <c r="DK390" s="4"/>
      <c r="DL390" s="4"/>
      <c r="DN390" s="4"/>
      <c r="DO390" s="14">
        <f>SUM(DJ390:DN390)</f>
        <v>0</v>
      </c>
      <c r="DP390" s="14">
        <f ca="1">SUM(DD390,DF390,DO390, DI390, DH390,FP390)</f>
        <v>897.04639999999995</v>
      </c>
      <c r="DQ390" s="18" t="s">
        <v>3879</v>
      </c>
      <c r="DR390" s="130">
        <v>2.68</v>
      </c>
      <c r="DS390" s="14">
        <v>28400</v>
      </c>
      <c r="DT390" s="14">
        <v>41200</v>
      </c>
      <c r="DU390" s="14">
        <v>69600</v>
      </c>
      <c r="DV390" s="14">
        <v>30400</v>
      </c>
      <c r="DW390" s="14">
        <v>55600</v>
      </c>
      <c r="DX390" s="14">
        <f>SUM(DV390+DW390)</f>
        <v>86000</v>
      </c>
      <c r="IA390" s="9"/>
      <c r="IL390" s="14">
        <f ca="1">SUM(IB390-DP390-FP390-IJ390)</f>
        <v>-897.04639999999995</v>
      </c>
      <c r="IM390" s="9"/>
      <c r="IN390" s="9"/>
      <c r="IO390" s="9"/>
      <c r="IP390" s="9"/>
      <c r="IQ390" s="9"/>
    </row>
    <row r="391" spans="1:263" ht="15" customHeight="1">
      <c r="A391" s="19">
        <v>102021046</v>
      </c>
      <c r="B391" t="s">
        <v>2099</v>
      </c>
      <c r="F391" t="s">
        <v>2465</v>
      </c>
      <c r="G391">
        <v>210002681</v>
      </c>
      <c r="J391" t="s">
        <v>311</v>
      </c>
      <c r="K391" t="s">
        <v>2041</v>
      </c>
      <c r="L391" t="s">
        <v>2042</v>
      </c>
      <c r="AF391" s="3"/>
      <c r="AG391" s="272"/>
      <c r="AI391" s="3" t="s">
        <v>2170</v>
      </c>
      <c r="AJ391" s="3" t="s">
        <v>258</v>
      </c>
      <c r="AK391" s="3" t="s">
        <v>386</v>
      </c>
      <c r="AL391" s="3"/>
      <c r="AM391"/>
      <c r="AN391" s="1" t="s">
        <v>2488</v>
      </c>
      <c r="AO391" s="1" t="s">
        <v>258</v>
      </c>
      <c r="AP391" s="3" t="s">
        <v>386</v>
      </c>
      <c r="AQ391"/>
      <c r="AR391"/>
      <c r="AT391" s="18"/>
      <c r="AU391" s="18"/>
      <c r="AV391" s="18"/>
      <c r="AW391" s="48"/>
      <c r="AX391" s="70"/>
      <c r="AY391" s="70"/>
      <c r="AZ391" s="48"/>
      <c r="BA391" s="19"/>
      <c r="BB391" s="48"/>
      <c r="BC391" s="48"/>
      <c r="BD391" s="2"/>
      <c r="BE391" s="2"/>
      <c r="BF391" s="20"/>
      <c r="BG391" s="22"/>
      <c r="BH391" s="22"/>
      <c r="BI391" s="14"/>
      <c r="BJ391" s="22"/>
      <c r="BK391" s="14"/>
      <c r="BL391" s="14"/>
      <c r="BM391" s="14"/>
      <c r="BN391" s="17"/>
      <c r="BO391" s="23"/>
      <c r="BP391" s="14"/>
      <c r="BQ391" s="14"/>
      <c r="BR391" s="14"/>
      <c r="BS391" s="14"/>
      <c r="BT391" s="17"/>
      <c r="BU391" s="23"/>
      <c r="BV391" s="14"/>
      <c r="BW391" s="14"/>
      <c r="BX391" s="14"/>
      <c r="BY391" s="14"/>
      <c r="BZ391" s="17"/>
      <c r="CA391" s="23"/>
      <c r="CB391" s="14"/>
      <c r="CC391" s="14"/>
      <c r="CD391" s="14"/>
      <c r="CE391" s="14"/>
      <c r="CF391" s="17"/>
      <c r="CG391" s="23"/>
      <c r="CH391" s="14"/>
      <c r="CI391" s="14"/>
      <c r="CJ391" s="14"/>
      <c r="CK391" s="14"/>
      <c r="CL391" s="17"/>
      <c r="CM391" s="23"/>
      <c r="CN391" s="14"/>
      <c r="CO391" s="14"/>
      <c r="CP391" s="14"/>
      <c r="CQ391" s="14"/>
      <c r="CR391" s="17"/>
      <c r="CS391" s="23"/>
      <c r="CT391" s="14"/>
      <c r="CU391" s="14"/>
      <c r="CV391" s="14"/>
      <c r="CW391" s="14"/>
      <c r="CX391" s="17"/>
      <c r="CY391" s="23"/>
      <c r="CZ391" s="14"/>
      <c r="DA391" s="14"/>
      <c r="DB391" s="14"/>
      <c r="DC391" s="14"/>
      <c r="DD391" s="17"/>
      <c r="DE391" s="23"/>
      <c r="DF391" s="14"/>
      <c r="DG391" s="14"/>
      <c r="DH391" s="14">
        <f>SUM(BL391, BR391, BX391, CD391, CJ391, CP391,CV391,DB391)</f>
        <v>0</v>
      </c>
      <c r="DI391" s="14">
        <f>SUM(BM391, BS391, BY391, CE391, CK391, CQ391,CW391,DC391)</f>
        <v>0</v>
      </c>
      <c r="DJ391" s="14">
        <f>SUM(DG391:DI391)</f>
        <v>0</v>
      </c>
      <c r="DK391" s="47">
        <f>SUM(DJ391/DZ391)</f>
        <v>0</v>
      </c>
      <c r="DL391" s="14">
        <f>39+97.5+97.5+58.5+58.5</f>
        <v>351</v>
      </c>
      <c r="DM391" s="32">
        <f>COUNTIF(DS391, "*")+COUNTIF(AN391, "*")+COUNTIF(AI391, "*")+COUNTIF(AA391, "*")+COUNTIF(EP391, "*")+COUNTIF(EV391, "*")+COUNTIF(FB391, "*")+COUNTIF(FF391, "*")+COUNTIF(FM391, "*")+COUNTIF(FU391, "*")+COUNTIF(GB391, "*")+COUNTIF(GM391, "*")+COUNTIF(GX391, "*")+COUNTIF(HF391, "*")+COUNTIF(HN391, "*")+COUNTIF(HV391, "*")+COUNTIF(ID391, "*")</f>
        <v>4</v>
      </c>
      <c r="DN391" s="14">
        <f>DM391*0.5+DM391*6.36+7.85</f>
        <v>35.29</v>
      </c>
      <c r="DO391" s="14">
        <v>75</v>
      </c>
      <c r="DP391" s="14">
        <f>SUM(DJ391,DL391,DV391, DO391, DN391,FY391)</f>
        <v>1301.55</v>
      </c>
      <c r="DQ391" s="14">
        <v>93.75</v>
      </c>
      <c r="DR391" s="14">
        <f>47.51+699</f>
        <v>746.51</v>
      </c>
      <c r="DS391" s="14"/>
      <c r="DT391" s="23"/>
      <c r="DU391" s="25"/>
      <c r="DV391" s="14">
        <f>SUM(DQ391:DU391)</f>
        <v>840.26</v>
      </c>
      <c r="DW391" s="24" t="s">
        <v>1997</v>
      </c>
      <c r="DX391" s="25">
        <v>30000</v>
      </c>
      <c r="DY391" s="25">
        <v>43800</v>
      </c>
      <c r="DZ391" s="25">
        <f>SUM(DX391+DY391)</f>
        <v>73800</v>
      </c>
      <c r="EA391" s="36">
        <v>3</v>
      </c>
      <c r="EB391" s="18" t="s">
        <v>2310</v>
      </c>
      <c r="EC391" t="s">
        <v>2311</v>
      </c>
      <c r="FE391" t="s">
        <v>2312</v>
      </c>
      <c r="FF391" t="s">
        <v>1287</v>
      </c>
      <c r="FH391" t="s">
        <v>290</v>
      </c>
      <c r="FI391" t="s">
        <v>260</v>
      </c>
      <c r="FJ391" s="9">
        <v>40330</v>
      </c>
      <c r="FK391" t="s">
        <v>2313</v>
      </c>
      <c r="FZ391" t="s">
        <v>2314</v>
      </c>
      <c r="GA391" t="s">
        <v>1813</v>
      </c>
      <c r="GB391" t="s">
        <v>1812</v>
      </c>
      <c r="GC391" t="s">
        <v>799</v>
      </c>
      <c r="GD391" t="s">
        <v>800</v>
      </c>
      <c r="GE391" t="s">
        <v>285</v>
      </c>
      <c r="GF391" s="9">
        <v>41774</v>
      </c>
      <c r="GG391" t="s">
        <v>2315</v>
      </c>
      <c r="GH391" t="s">
        <v>2316</v>
      </c>
      <c r="GI391" t="s">
        <v>2317</v>
      </c>
      <c r="GJ391" t="s">
        <v>2318</v>
      </c>
      <c r="IJ391" s="18"/>
      <c r="IK391" s="18"/>
      <c r="IL391" s="18"/>
      <c r="IM391" s="14"/>
      <c r="IN391" s="14"/>
      <c r="IO391" s="27">
        <v>44333</v>
      </c>
      <c r="IP391" s="18"/>
      <c r="IQ391" s="18"/>
      <c r="IR391" s="18"/>
      <c r="IS391" s="18"/>
      <c r="IT391" s="18"/>
      <c r="IU391" s="18"/>
      <c r="IV391" s="18"/>
      <c r="IW391" s="18"/>
      <c r="IX391" s="18"/>
    </row>
    <row r="392" spans="1:263" s="240" customFormat="1" ht="15" customHeight="1">
      <c r="A392" s="19">
        <v>102023135</v>
      </c>
      <c r="B392" s="18" t="s">
        <v>4353</v>
      </c>
      <c r="C392"/>
      <c r="D392" s="1" t="s">
        <v>4526</v>
      </c>
      <c r="E392" s="3"/>
      <c r="F392" s="3"/>
      <c r="G392"/>
      <c r="H392"/>
      <c r="I392"/>
      <c r="J392" s="18" t="s">
        <v>554</v>
      </c>
      <c r="K392" s="18" t="s">
        <v>4479</v>
      </c>
      <c r="L392" s="130" t="s">
        <v>891</v>
      </c>
      <c r="M392" s="130" t="s">
        <v>396</v>
      </c>
      <c r="N392" s="130"/>
      <c r="O392" s="288"/>
      <c r="P392" s="130" t="s">
        <v>4479</v>
      </c>
      <c r="Q392" s="130" t="s">
        <v>797</v>
      </c>
      <c r="R392" s="130" t="s">
        <v>357</v>
      </c>
      <c r="S392" s="130"/>
      <c r="T392"/>
      <c r="U392"/>
      <c r="V392"/>
      <c r="W392"/>
      <c r="X392"/>
      <c r="Y392"/>
      <c r="Z392"/>
      <c r="AA392"/>
      <c r="AB392"/>
      <c r="AC392"/>
      <c r="AD392"/>
      <c r="AE392"/>
      <c r="AF392"/>
      <c r="AG392" s="43"/>
      <c r="AH392"/>
      <c r="AI392"/>
      <c r="AJ392" s="18"/>
      <c r="AK392"/>
      <c r="AL392"/>
      <c r="AM392"/>
      <c r="AN392"/>
      <c r="AO392" s="18" t="s">
        <v>4480</v>
      </c>
      <c r="AP392" s="3" t="s">
        <v>258</v>
      </c>
      <c r="AQ392" s="18" t="s">
        <v>386</v>
      </c>
      <c r="AR392" t="s">
        <v>260</v>
      </c>
      <c r="AS392"/>
      <c r="AT392"/>
      <c r="AU392"/>
      <c r="AV392"/>
      <c r="AW392"/>
      <c r="AX392" s="1"/>
      <c r="AY392" s="1"/>
      <c r="AZ392" s="1"/>
      <c r="BA392" s="1"/>
      <c r="BB392" s="1"/>
      <c r="BC392" s="2"/>
      <c r="BD392" s="116"/>
      <c r="BE392" s="115"/>
      <c r="BF392" s="2"/>
      <c r="BG392" s="2"/>
      <c r="BH392" s="2"/>
      <c r="BI392" s="2"/>
      <c r="BJ392" s="2"/>
      <c r="BK392" s="2"/>
      <c r="BL392" s="20">
        <f ca="1">SUM(DP392)+220</f>
        <v>611.82799999999997</v>
      </c>
      <c r="BM392" s="22">
        <f t="shared" ref="BM392:BM401" ca="1" si="38">PMT(10%/12,12,BL392,0,0)</f>
        <v>-53.789401452162309</v>
      </c>
      <c r="BN392" s="22">
        <f t="shared" ref="BN392:BN401" ca="1" si="39">SUM(BM392*-1)</f>
        <v>53.789401452162309</v>
      </c>
      <c r="BO392" s="14">
        <f>SUM(DX392*0.0052)/12</f>
        <v>13.866666666666667</v>
      </c>
      <c r="BP392" s="22">
        <f t="shared" ref="BP392:BP401" ca="1" si="40">SUM(BN392+BO392)</f>
        <v>67.656068118828983</v>
      </c>
      <c r="BQ392" s="14"/>
      <c r="BR392" s="14">
        <f t="shared" ref="BR392:BR401" si="41">SUM(BQ392*0.1)</f>
        <v>0</v>
      </c>
      <c r="BS392" s="14">
        <f t="shared" ref="BS392:BS401" ca="1" si="42">SUM(BT392*BU392)</f>
        <v>0</v>
      </c>
      <c r="BT392" s="17">
        <f t="shared" ref="BT392:BT401" si="43">SUM((BQ392+BR392)*0.00833333333333333)</f>
        <v>0</v>
      </c>
      <c r="BU392" s="23">
        <f ca="1">MONTH(TODAY())+49</f>
        <v>53</v>
      </c>
      <c r="BV392" s="14">
        <f t="shared" ref="BV392:BV401" ca="1" si="44">SUM(BQ392,BR392,BS392)</f>
        <v>0</v>
      </c>
      <c r="BW392" s="14"/>
      <c r="BX392" s="14">
        <f t="shared" ref="BX392:BX401" si="45">SUM(BW392*0.1)</f>
        <v>0</v>
      </c>
      <c r="BY392" s="14">
        <f t="shared" ref="BY392:BY401" ca="1" si="46">SUM(BZ392*CA392)</f>
        <v>0</v>
      </c>
      <c r="BZ392" s="17">
        <f t="shared" ref="BZ392:BZ401" si="47">SUM((BW392+BX392)*0.00833333333333333)</f>
        <v>0</v>
      </c>
      <c r="CA392" s="23">
        <f ca="1">MONTH(TODAY())+37</f>
        <v>41</v>
      </c>
      <c r="CB392" s="14">
        <f t="shared" ref="CB392:CB401" ca="1" si="48">SUM(BW392,BX392,BY392)</f>
        <v>0</v>
      </c>
      <c r="CC392" s="14">
        <v>0</v>
      </c>
      <c r="CD392" s="14">
        <f t="shared" ref="CD392:CD401" si="49">SUM(CC392*0.1)</f>
        <v>0</v>
      </c>
      <c r="CE392" s="14">
        <f t="shared" ref="CE392:CE401" ca="1" si="50">SUM(CF392*CG392)</f>
        <v>0</v>
      </c>
      <c r="CF392" s="17">
        <f t="shared" ref="CF392:CF401" si="51">SUM((CC392+CD392)*0.00833333333333333)</f>
        <v>0</v>
      </c>
      <c r="CG392" s="23">
        <f ca="1">MONTH(TODAY())+25</f>
        <v>29</v>
      </c>
      <c r="CH392" s="14">
        <f t="shared" ref="CH392:CH401" ca="1" si="52">SUM(CC392,CD392,CE392)</f>
        <v>0</v>
      </c>
      <c r="CI392" s="14">
        <f>SUM(DU392*0.0052)</f>
        <v>153.4</v>
      </c>
      <c r="CJ392" s="14">
        <f t="shared" ref="CJ392:CJ401" si="53">SUM(CI392*0.1)</f>
        <v>15.340000000000002</v>
      </c>
      <c r="CK392" s="14">
        <f t="shared" ref="CK392:CK401" ca="1" si="54">SUM(CL392*CM392)</f>
        <v>23.904833333333325</v>
      </c>
      <c r="CL392" s="17">
        <f t="shared" ref="CL392:CL401" si="55">SUM((CI392+CJ392)*0.00833333333333333)</f>
        <v>1.4061666666666661</v>
      </c>
      <c r="CM392" s="23">
        <f ca="1">MONTH(TODAY())+13</f>
        <v>17</v>
      </c>
      <c r="CN392" s="14">
        <f t="shared" ref="CN392:CN401" ca="1" si="56">SUM(CI392,CJ392,CK392)</f>
        <v>192.64483333333334</v>
      </c>
      <c r="CO392" s="14">
        <f>SUM(DU392*0.0052)/2</f>
        <v>76.7</v>
      </c>
      <c r="CP392" s="14">
        <f t="shared" ref="CP392:CP401" si="57">SUM(CO392*0.1)</f>
        <v>7.6700000000000008</v>
      </c>
      <c r="CQ392" s="14">
        <f t="shared" ref="CQ392:CQ401" ca="1" si="58">SUM(CR392*CS392)</f>
        <v>6.3277499999999973</v>
      </c>
      <c r="CR392" s="17">
        <f t="shared" ref="CR392:CR401" si="59">SUM((CO392+CP392)*0.00833333333333333)</f>
        <v>0.70308333333333306</v>
      </c>
      <c r="CS392" s="23">
        <f ca="1">MONTH(TODAY())+5</f>
        <v>9</v>
      </c>
      <c r="CT392" s="23">
        <f t="shared" ref="CT392:CT401" ca="1" si="60">SUM(CO392,CP392,CQ392)</f>
        <v>90.697749999999999</v>
      </c>
      <c r="CU392" s="14">
        <f>SUM(DU392*0.0052)/2</f>
        <v>76.7</v>
      </c>
      <c r="CV392" s="14">
        <f t="shared" ref="CV392:CV401" si="61">SUM(CU392*0.1)</f>
        <v>7.6700000000000008</v>
      </c>
      <c r="CW392" s="14">
        <f t="shared" ref="CW392:CW401" ca="1" si="62">SUM(CX392*CY392)</f>
        <v>3.5154166666666651</v>
      </c>
      <c r="CX392" s="17">
        <f t="shared" ref="CX392:CX401" si="63">SUM((CU392+CV392)*0.00833333333333333)</f>
        <v>0.70308333333333306</v>
      </c>
      <c r="CY392" s="23">
        <f ca="1">MONTH(TODAY())+1</f>
        <v>5</v>
      </c>
      <c r="CZ392" s="23">
        <f t="shared" ref="CZ392:CZ401" ca="1" si="64">SUM(CU392,CV392,CW392)</f>
        <v>87.885416666666671</v>
      </c>
      <c r="DA392" s="14">
        <f>SUM( BQ392, BW392, CC392, CI392, CO392,CU392)</f>
        <v>306.8</v>
      </c>
      <c r="DB392" s="14">
        <f>SUM(BR392,BX392,CD392,CJ392, CP392,CV392)</f>
        <v>30.680000000000003</v>
      </c>
      <c r="DC392" s="14">
        <f ca="1">SUM(BS392,BY392,CE392,CK392, CQ392,CW392)</f>
        <v>33.74799999999999</v>
      </c>
      <c r="DD392" s="25">
        <f ca="1">SUM(DA392:DC392)</f>
        <v>371.22800000000001</v>
      </c>
      <c r="DE392" s="47">
        <f ca="1">SUM(DD392/DU392)</f>
        <v>1.2584E-2</v>
      </c>
      <c r="DF392" s="14">
        <v>20</v>
      </c>
      <c r="DG392" s="32">
        <f>COUNTIF(DL392, "*")+COUNTIF(AO392, "*")+COUNTIF(AJ392, "*")+COUNTIF(AA392, "*")+COUNTIF(EM392, "*")+COUNTIF(ES392, "*")+COUNTIF(EY392, "*")+COUNTIF(FC392, "*")+COUNTIF(FJ392, "*")+COUNTIF(AT392, "*")+COUNTIF(FS392, "*")+COUNTIF(GD392, "*")+COUNTIF(GO392, "*")+COUNTIF(GW392, "*")+COUNTIF(HE392, "*")+COUNTIF(HM392, "*")+COUNTIF(HU392, "*")</f>
        <v>1</v>
      </c>
      <c r="DH392" s="14">
        <f>DG392*0.6</f>
        <v>0.6</v>
      </c>
      <c r="DI392" s="4"/>
      <c r="DJ392" s="4"/>
      <c r="DK392" s="4"/>
      <c r="DL392" s="4"/>
      <c r="DM392"/>
      <c r="DN392" s="4"/>
      <c r="DO392" s="14">
        <f>SUM(DJ392:DN392)</f>
        <v>0</v>
      </c>
      <c r="DP392" s="14">
        <f ca="1">SUM(DD392,DF392,DO392, DI392, DH392,FP392)</f>
        <v>391.82800000000003</v>
      </c>
      <c r="DQ392" s="24" t="s">
        <v>3879</v>
      </c>
      <c r="DR392" s="130">
        <v>1.5</v>
      </c>
      <c r="DS392" s="14">
        <v>22500</v>
      </c>
      <c r="DT392" s="14">
        <v>7000</v>
      </c>
      <c r="DU392" s="14">
        <v>29500</v>
      </c>
      <c r="DV392" s="14">
        <v>24500</v>
      </c>
      <c r="DW392" s="14">
        <v>7500</v>
      </c>
      <c r="DX392" s="14">
        <f>SUM(DV392+DW392)</f>
        <v>32000</v>
      </c>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s="9"/>
      <c r="IB392"/>
      <c r="IC392"/>
      <c r="ID392"/>
      <c r="IE392"/>
      <c r="IF392"/>
      <c r="IG392"/>
      <c r="IH392"/>
      <c r="II392"/>
      <c r="IJ392"/>
      <c r="IK392"/>
      <c r="IL392" s="14">
        <f ca="1">SUM(IB392-DP392-FP392-IJ392)</f>
        <v>-391.82800000000003</v>
      </c>
      <c r="IM392" s="9"/>
      <c r="IN392" s="9"/>
      <c r="IO392" s="9"/>
      <c r="IP392" s="9"/>
      <c r="IQ392" s="9"/>
      <c r="IR392"/>
      <c r="IS392"/>
      <c r="IT392"/>
      <c r="IU392"/>
      <c r="IV392"/>
      <c r="IW392"/>
      <c r="IX392"/>
      <c r="IY392"/>
      <c r="IZ392"/>
      <c r="JA392"/>
      <c r="JB392"/>
      <c r="JC392"/>
    </row>
    <row r="393" spans="1:263" s="18" customFormat="1" ht="15" customHeight="1">
      <c r="A393">
        <v>102024137</v>
      </c>
      <c r="B393" t="s">
        <v>5474</v>
      </c>
      <c r="C393" s="10"/>
      <c r="D393" s="161"/>
      <c r="E393" s="147" t="s">
        <v>5887</v>
      </c>
      <c r="F393" s="160">
        <v>240003189</v>
      </c>
      <c r="G393" s="147"/>
      <c r="H393" s="10"/>
      <c r="I393" s="10"/>
      <c r="J393" s="10" t="s">
        <v>253</v>
      </c>
      <c r="K393" s="10" t="s">
        <v>5475</v>
      </c>
      <c r="L393" s="10" t="s">
        <v>5476</v>
      </c>
      <c r="M393" s="10" t="s">
        <v>256</v>
      </c>
      <c r="N393" s="10"/>
      <c r="O393" s="147"/>
      <c r="P393" s="10"/>
      <c r="Q393" s="10"/>
      <c r="R393" s="10"/>
      <c r="S393" s="10"/>
      <c r="T393" s="10"/>
      <c r="U393" s="10"/>
      <c r="V393" s="10"/>
      <c r="W393" s="10"/>
      <c r="X393" s="10"/>
      <c r="Y393" s="10"/>
      <c r="Z393" s="10"/>
      <c r="AA393" s="10"/>
      <c r="AB393" s="10"/>
      <c r="AC393" s="10"/>
      <c r="AD393" s="10"/>
      <c r="AE393" s="10"/>
      <c r="AF393" s="10"/>
      <c r="AG393" s="141"/>
      <c r="AH393" s="10"/>
      <c r="AI393" s="10"/>
      <c r="AJ393" s="18" t="s">
        <v>328</v>
      </c>
      <c r="AK393" s="1"/>
      <c r="AL393" t="s">
        <v>386</v>
      </c>
      <c r="AM393"/>
      <c r="AN393"/>
      <c r="AO393" t="s">
        <v>5477</v>
      </c>
      <c r="AP393" s="1" t="s">
        <v>258</v>
      </c>
      <c r="AQ393" s="18" t="s">
        <v>267</v>
      </c>
      <c r="AR393" t="s">
        <v>260</v>
      </c>
      <c r="AS393"/>
      <c r="AT393"/>
      <c r="AU393"/>
      <c r="AV393"/>
      <c r="AW393" s="1"/>
      <c r="AX393"/>
      <c r="AY393" s="1" t="s">
        <v>258</v>
      </c>
      <c r="AZ393" s="1"/>
      <c r="BA393" s="1"/>
      <c r="BB393" s="1"/>
      <c r="BC393" s="70">
        <v>45474</v>
      </c>
      <c r="BD393" s="115">
        <v>45408</v>
      </c>
      <c r="BE393" s="144">
        <v>45432</v>
      </c>
      <c r="BF393" s="70"/>
      <c r="BG393" s="2"/>
      <c r="BH393" s="70"/>
      <c r="BI393" s="70"/>
      <c r="BJ393" s="70">
        <v>45545</v>
      </c>
      <c r="BK393" s="70" t="s">
        <v>5895</v>
      </c>
      <c r="BL393" s="20">
        <f ca="1">SUM(EH393)+220</f>
        <v>2161.9643916666664</v>
      </c>
      <c r="BM393" s="22">
        <f t="shared" ca="1" si="38"/>
        <v>-190.07101765306294</v>
      </c>
      <c r="BN393" s="22">
        <f t="shared" ca="1" si="39"/>
        <v>190.07101765306294</v>
      </c>
      <c r="BO393" s="14">
        <f>SUM(EP393*0.0052)/12</f>
        <v>22.88</v>
      </c>
      <c r="BP393" s="22">
        <f t="shared" ca="1" si="40"/>
        <v>212.95101765306293</v>
      </c>
      <c r="BQ393" s="14"/>
      <c r="BR393" s="14">
        <f t="shared" si="41"/>
        <v>0</v>
      </c>
      <c r="BS393" s="14">
        <f t="shared" ca="1" si="42"/>
        <v>0</v>
      </c>
      <c r="BT393" s="17">
        <f t="shared" si="43"/>
        <v>0</v>
      </c>
      <c r="BU393" s="23">
        <f ca="1">MONTH(TODAY())+49</f>
        <v>53</v>
      </c>
      <c r="BV393" s="14">
        <f t="shared" ca="1" si="44"/>
        <v>0</v>
      </c>
      <c r="BW393" s="14">
        <v>0</v>
      </c>
      <c r="BX393" s="14">
        <f t="shared" si="45"/>
        <v>0</v>
      </c>
      <c r="BY393" s="14">
        <f t="shared" ca="1" si="46"/>
        <v>0</v>
      </c>
      <c r="BZ393" s="17">
        <f t="shared" si="47"/>
        <v>0</v>
      </c>
      <c r="CA393" s="23">
        <f ca="1">MONTH(TODAY())+37</f>
        <v>41</v>
      </c>
      <c r="CB393" s="14">
        <f t="shared" ca="1" si="48"/>
        <v>0</v>
      </c>
      <c r="CC393" s="14">
        <v>0</v>
      </c>
      <c r="CD393" s="14">
        <f t="shared" si="49"/>
        <v>0</v>
      </c>
      <c r="CE393" s="14">
        <f t="shared" ca="1" si="50"/>
        <v>0</v>
      </c>
      <c r="CF393" s="17">
        <f t="shared" si="51"/>
        <v>0</v>
      </c>
      <c r="CG393" s="23">
        <f ca="1">MONTH(TODAY())+25</f>
        <v>29</v>
      </c>
      <c r="CH393" s="14">
        <f t="shared" ca="1" si="52"/>
        <v>0</v>
      </c>
      <c r="CI393" s="14">
        <f>SUM(EM393*0.0052)/2-83.27</f>
        <v>48.809999999999988</v>
      </c>
      <c r="CJ393" s="14">
        <f t="shared" si="53"/>
        <v>4.8809999999999993</v>
      </c>
      <c r="CK393" s="14">
        <f t="shared" ca="1" si="54"/>
        <v>9.395924999999993</v>
      </c>
      <c r="CL393" s="17">
        <f t="shared" si="55"/>
        <v>0.44742499999999968</v>
      </c>
      <c r="CM393" s="23">
        <f ca="1">MONTH(TODAY())+17</f>
        <v>21</v>
      </c>
      <c r="CN393" s="23">
        <f t="shared" ca="1" si="56"/>
        <v>63.086924999999979</v>
      </c>
      <c r="CO393" s="14">
        <f>SUM(EM393*0.0052)/2</f>
        <v>132.07999999999998</v>
      </c>
      <c r="CP393" s="14">
        <f t="shared" si="57"/>
        <v>13.207999999999998</v>
      </c>
      <c r="CQ393" s="14">
        <f t="shared" ca="1" si="58"/>
        <v>20.582466666666658</v>
      </c>
      <c r="CR393" s="17">
        <f t="shared" si="59"/>
        <v>1.2107333333333328</v>
      </c>
      <c r="CS393" s="23">
        <f ca="1">MONTH(TODAY())+13</f>
        <v>17</v>
      </c>
      <c r="CT393" s="14">
        <f t="shared" ca="1" si="60"/>
        <v>165.87046666666663</v>
      </c>
      <c r="CU393" s="14">
        <f>SUM(EP393*0.0045)/2</f>
        <v>118.8</v>
      </c>
      <c r="CV393" s="14">
        <f t="shared" si="61"/>
        <v>11.88</v>
      </c>
      <c r="CW393" s="14">
        <f t="shared" ca="1" si="62"/>
        <v>11.978999999999996</v>
      </c>
      <c r="CX393" s="17">
        <f t="shared" si="63"/>
        <v>1.0889999999999995</v>
      </c>
      <c r="CY393" s="23">
        <f ca="1">MONTH(TODAY())+7</f>
        <v>11</v>
      </c>
      <c r="CZ393" s="14">
        <f t="shared" ca="1" si="64"/>
        <v>142.65899999999999</v>
      </c>
      <c r="DA393" s="14">
        <f>SUM(EP393*0.0045)/2</f>
        <v>118.8</v>
      </c>
      <c r="DB393" s="14">
        <f t="shared" ref="DB393:DB401" si="65">SUM(DA393*0.1)</f>
        <v>11.88</v>
      </c>
      <c r="DC393" s="14">
        <f t="shared" ref="DC393:DC401" ca="1" si="66">SUM(DD393*DE393)</f>
        <v>5.4449999999999976</v>
      </c>
      <c r="DD393" s="17">
        <f t="shared" ref="DD393:DD401" si="67">SUM((DA393+DB393)*0.00833333333333333)</f>
        <v>1.0889999999999995</v>
      </c>
      <c r="DE393" s="23">
        <f ca="1">MONTH(TODAY())+1</f>
        <v>5</v>
      </c>
      <c r="DF393" s="14">
        <f t="shared" ref="DF393:DF401" ca="1" si="68">SUM(DA393,DB393,DC393)</f>
        <v>136.125</v>
      </c>
      <c r="DG393" s="14">
        <f>SUM(EP393*0.0045)/2</f>
        <v>118.8</v>
      </c>
      <c r="DH393" s="14">
        <f t="shared" ref="DH393:DH401" si="69">SUM(DG393*0.1)</f>
        <v>11.88</v>
      </c>
      <c r="DI393" s="14">
        <f t="shared" ref="DI393:DI401" ca="1" si="70">SUM(DJ393*DK393)</f>
        <v>-3.2669999999999986</v>
      </c>
      <c r="DJ393" s="17">
        <f t="shared" ref="DJ393:DJ401" si="71">SUM((DG393+DH393)*0.00833333333333333)</f>
        <v>1.0889999999999995</v>
      </c>
      <c r="DK393" s="23">
        <f ca="1">MONTH(TODAY())-7</f>
        <v>-3</v>
      </c>
      <c r="DL393" s="14">
        <f t="shared" ref="DL393:DL401" ca="1" si="72">SUM(DG393,DH393,DI393)</f>
        <v>127.41300000000001</v>
      </c>
      <c r="DM393" s="14">
        <f>0</f>
        <v>0</v>
      </c>
      <c r="DN393" s="14">
        <f>0</f>
        <v>0</v>
      </c>
      <c r="DO393" s="14">
        <f ca="1">SUM(DP393*DQ393)</f>
        <v>0</v>
      </c>
      <c r="DP393" s="17">
        <f>SUM((DM393+DN393)*0.00833333333333333)</f>
        <v>0</v>
      </c>
      <c r="DQ393" s="23">
        <f ca="1">MONTH(TODAY())+1</f>
        <v>5</v>
      </c>
      <c r="DR393" s="14">
        <f ca="1">SUM(DM393,DN393,DO393)</f>
        <v>0</v>
      </c>
      <c r="DS393" s="14">
        <f>SUM(BQ393, BW393, CC393, CI393,CO393,CU393,DA393,DG393,DM393)</f>
        <v>537.29</v>
      </c>
      <c r="DT393" s="14">
        <f>SUM(BR393,BX393,CD393, CJ393,CP393,CV393,DB393,DH393,DN393)</f>
        <v>53.729000000000006</v>
      </c>
      <c r="DU393" s="14">
        <f ca="1">SUM(BS393,BY393,CE393, CK393,CQ393,CW393,DC393,DI393,DO393)</f>
        <v>44.135391666666656</v>
      </c>
      <c r="DV393" s="25">
        <f ca="1">SUM(DS393:DU393)</f>
        <v>635.1543916666667</v>
      </c>
      <c r="DW393" s="47">
        <f ca="1">SUM(DV393/EM393)</f>
        <v>1.2503039206036745E-2</v>
      </c>
      <c r="DX393" s="14">
        <f>510+40+40</f>
        <v>590</v>
      </c>
      <c r="DY393" s="32">
        <f>COUNTIF(AO393, "*")+COUNTIF(AJ393, "*")+COUNTIF(AA393, "*")+COUNTIF(FA393, "*")+COUNTIF(FG393, "*")+COUNTIF(FM393, "*")+COUNTIF(FQ393, "*")+COUNTIF(FX393, "*")+COUNTIF(AT393, "*")+COUNTIF(GG393, "*")+COUNTIF(GR393, "*")+COUNTIF(HC393, "*")+COUNTIF(HK393, "*")+COUNTIF(HS393, "*")+COUNTIF(IA393, "*")</f>
        <v>2</v>
      </c>
      <c r="DZ393" s="14">
        <f>1.28+DY393*8</f>
        <v>17.28</v>
      </c>
      <c r="EA393" s="4">
        <v>32.53</v>
      </c>
      <c r="EB393" s="4">
        <v>258.5</v>
      </c>
      <c r="EC393" s="4"/>
      <c r="ED393" s="4"/>
      <c r="EE393" s="4"/>
      <c r="EF393" s="4">
        <v>150</v>
      </c>
      <c r="EG393" s="14">
        <f>SUM(EA393:EF393)</f>
        <v>441.03</v>
      </c>
      <c r="EH393" s="14">
        <f ca="1">SUM(DV393,DX393,EG393, EB393, DZ393,GD393)</f>
        <v>1941.9643916666666</v>
      </c>
      <c r="EI393" s="24" t="s">
        <v>4935</v>
      </c>
      <c r="EJ393" s="23">
        <v>9</v>
      </c>
      <c r="EK393" s="14">
        <v>50800</v>
      </c>
      <c r="EL393" s="14">
        <v>0</v>
      </c>
      <c r="EM393" s="14">
        <f>SUM(EK393+EL393)</f>
        <v>50800</v>
      </c>
      <c r="EN393" s="14">
        <v>52800</v>
      </c>
      <c r="EO393" s="14">
        <v>0</v>
      </c>
      <c r="EP393" s="14">
        <f>SUM(EN393+EO393)</f>
        <v>52800</v>
      </c>
      <c r="EQ393" s="10" t="s">
        <v>5697</v>
      </c>
      <c r="ER393" s="10" t="s">
        <v>5696</v>
      </c>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9"/>
      <c r="FV393" s="10"/>
      <c r="FW393" s="10"/>
      <c r="FX393" s="10"/>
      <c r="FY393" s="10"/>
      <c r="FZ393" s="10"/>
      <c r="GA393" s="10"/>
      <c r="GB393" s="9"/>
      <c r="GC393" s="10"/>
      <c r="GD393" s="10"/>
      <c r="GE393" s="10"/>
      <c r="GF393" s="10"/>
      <c r="GG393" s="10"/>
      <c r="GH393" s="10"/>
      <c r="GI393" s="10"/>
      <c r="GJ393" s="10"/>
      <c r="GK393" s="9"/>
      <c r="GL393" s="10"/>
      <c r="GM393" s="10"/>
      <c r="GN393" s="10"/>
      <c r="GO393" s="10"/>
      <c r="GP393" s="10"/>
      <c r="GQ393" s="10"/>
      <c r="GR393" s="10"/>
      <c r="GS393" s="10"/>
      <c r="GT393" s="10"/>
      <c r="GU393" s="10"/>
      <c r="GV393" s="9"/>
      <c r="GW393" s="10"/>
      <c r="GX393" s="10"/>
      <c r="GY393" s="10"/>
      <c r="GZ393" s="10"/>
      <c r="HA393" s="10"/>
      <c r="HB393" s="10"/>
      <c r="HC393" s="10"/>
      <c r="HD393" s="10"/>
      <c r="HE393" s="10"/>
      <c r="HF393" s="10"/>
      <c r="HG393" s="9"/>
      <c r="HH393" s="10"/>
      <c r="HI393" s="10"/>
      <c r="HJ393" s="10"/>
      <c r="HK393" s="10"/>
      <c r="HL393" s="10"/>
      <c r="HM393" s="10"/>
      <c r="HN393" s="10"/>
      <c r="HO393" s="9"/>
      <c r="HP393" s="10"/>
      <c r="HQ393" s="10"/>
      <c r="HR393" s="10"/>
      <c r="HS393" s="10"/>
      <c r="HT393" s="10"/>
      <c r="HU393" s="10"/>
      <c r="HV393" s="10"/>
      <c r="HW393" s="9"/>
      <c r="HX393" s="10"/>
      <c r="HY393" s="10"/>
      <c r="HZ393" s="10"/>
      <c r="IA393" s="10"/>
      <c r="IB393" s="10"/>
      <c r="IC393" s="10"/>
      <c r="ID393" s="10"/>
      <c r="IE393" s="9"/>
      <c r="IF393" s="4"/>
      <c r="IG393" s="4"/>
      <c r="IH393" s="10"/>
      <c r="II393" s="10"/>
      <c r="IJ393" s="10"/>
      <c r="IK393" s="10"/>
      <c r="IL393" s="4"/>
      <c r="IM393" s="4"/>
      <c r="IN393" s="4"/>
      <c r="IO393" s="4"/>
      <c r="IP393" s="4"/>
      <c r="IQ393" s="9"/>
      <c r="IR393" s="9"/>
      <c r="IS393" s="9"/>
      <c r="IT393" s="9"/>
      <c r="IU393" s="9"/>
      <c r="IV393" t="s">
        <v>5913</v>
      </c>
      <c r="IW393"/>
      <c r="IX393"/>
      <c r="IY393"/>
      <c r="IZ393"/>
      <c r="JA393"/>
      <c r="JB393"/>
      <c r="JC393"/>
    </row>
    <row r="394" spans="1:263" ht="15" customHeight="1">
      <c r="A394" s="2">
        <v>102024100</v>
      </c>
      <c r="B394" t="s">
        <v>5406</v>
      </c>
      <c r="D394" s="1">
        <v>2026</v>
      </c>
      <c r="E394" s="3"/>
      <c r="G394" s="3"/>
      <c r="J394" t="s">
        <v>554</v>
      </c>
      <c r="K394" t="s">
        <v>4146</v>
      </c>
      <c r="L394" t="s">
        <v>5407</v>
      </c>
      <c r="O394" s="3"/>
      <c r="P394" t="s">
        <v>4146</v>
      </c>
      <c r="Q394" t="s">
        <v>502</v>
      </c>
      <c r="R394" t="s">
        <v>598</v>
      </c>
      <c r="AG394" s="43"/>
      <c r="AJ394" s="18" t="s">
        <v>328</v>
      </c>
      <c r="AK394" s="1"/>
      <c r="AL394" t="s">
        <v>386</v>
      </c>
      <c r="AM394"/>
      <c r="AN394"/>
      <c r="AO394" t="s">
        <v>5408</v>
      </c>
      <c r="AP394" s="1" t="s">
        <v>258</v>
      </c>
      <c r="AQ394" s="18" t="s">
        <v>386</v>
      </c>
      <c r="AR394" t="s">
        <v>260</v>
      </c>
      <c r="AS394" s="10"/>
      <c r="AT394" s="10"/>
      <c r="AU394" s="10"/>
      <c r="AV394" s="10"/>
      <c r="AW394" s="1"/>
      <c r="AY394" s="1"/>
      <c r="AZ394" s="1"/>
      <c r="BA394" s="1"/>
      <c r="BB394" s="1"/>
      <c r="BC394" s="2"/>
      <c r="BD394" s="116"/>
      <c r="BE394" s="115"/>
      <c r="BF394" s="2"/>
      <c r="BG394" s="2"/>
      <c r="BH394" s="2"/>
      <c r="BI394" s="2"/>
      <c r="BJ394" s="2"/>
      <c r="BK394" s="2"/>
      <c r="BL394" s="20">
        <f t="shared" ref="BL394:BL401" ca="1" si="73">SUM(EB394)+220</f>
        <v>348.42073333333332</v>
      </c>
      <c r="BM394" s="22">
        <f t="shared" ca="1" si="38"/>
        <v>-30.631717900330575</v>
      </c>
      <c r="BN394" s="22">
        <f t="shared" ca="1" si="39"/>
        <v>30.631717900330575</v>
      </c>
      <c r="BO394" s="14">
        <f t="shared" ref="BO394:BO401" si="74">SUM(EJ394*0.0052)/12</f>
        <v>4.1166666666666663</v>
      </c>
      <c r="BP394" s="22">
        <f t="shared" ca="1" si="40"/>
        <v>34.748384566997238</v>
      </c>
      <c r="BQ394" s="14"/>
      <c r="BR394" s="14">
        <f t="shared" si="41"/>
        <v>0</v>
      </c>
      <c r="BS394" s="14">
        <f t="shared" ca="1" si="42"/>
        <v>0</v>
      </c>
      <c r="BT394" s="17">
        <f t="shared" si="43"/>
        <v>0</v>
      </c>
      <c r="BU394" s="23">
        <f t="shared" ref="BU394:BU401" ca="1" si="75">MONTH(TODAY())+61</f>
        <v>65</v>
      </c>
      <c r="BV394" s="14">
        <f t="shared" ca="1" si="44"/>
        <v>0</v>
      </c>
      <c r="BW394" s="14"/>
      <c r="BX394" s="14">
        <f t="shared" si="45"/>
        <v>0</v>
      </c>
      <c r="BY394" s="14">
        <f t="shared" ca="1" si="46"/>
        <v>0</v>
      </c>
      <c r="BZ394" s="17">
        <f t="shared" si="47"/>
        <v>0</v>
      </c>
      <c r="CA394" s="23">
        <f t="shared" ref="CA394:CA401" ca="1" si="76">MONTH(TODAY())+49</f>
        <v>53</v>
      </c>
      <c r="CB394" s="14">
        <f t="shared" ca="1" si="48"/>
        <v>0</v>
      </c>
      <c r="CC394" s="14">
        <v>0</v>
      </c>
      <c r="CD394" s="14">
        <f t="shared" si="49"/>
        <v>0</v>
      </c>
      <c r="CE394" s="14">
        <f t="shared" ca="1" si="50"/>
        <v>0</v>
      </c>
      <c r="CF394" s="17">
        <f t="shared" si="51"/>
        <v>0</v>
      </c>
      <c r="CG394" s="23">
        <f t="shared" ref="CG394:CG401" ca="1" si="77">MONTH(TODAY())+37</f>
        <v>41</v>
      </c>
      <c r="CH394" s="14">
        <f t="shared" ca="1" si="52"/>
        <v>0</v>
      </c>
      <c r="CI394" s="14">
        <v>0</v>
      </c>
      <c r="CJ394" s="14">
        <f t="shared" si="53"/>
        <v>0</v>
      </c>
      <c r="CK394" s="14">
        <f t="shared" ca="1" si="54"/>
        <v>0</v>
      </c>
      <c r="CL394" s="17">
        <f t="shared" si="55"/>
        <v>0</v>
      </c>
      <c r="CM394" s="23">
        <f t="shared" ref="CM394:CM401" ca="1" si="78">MONTH(TODAY())+25</f>
        <v>29</v>
      </c>
      <c r="CN394" s="14">
        <f t="shared" ca="1" si="56"/>
        <v>0</v>
      </c>
      <c r="CO394" s="14">
        <f t="shared" ref="CO394:CO401" si="79">SUM(EG394*0.0052)/2</f>
        <v>22.36</v>
      </c>
      <c r="CP394" s="14">
        <f t="shared" si="57"/>
        <v>2.2360000000000002</v>
      </c>
      <c r="CQ394" s="14">
        <f t="shared" ca="1" si="58"/>
        <v>4.3042999999999978</v>
      </c>
      <c r="CR394" s="17">
        <f t="shared" si="59"/>
        <v>0.20496666666666657</v>
      </c>
      <c r="CS394" s="23">
        <f t="shared" ref="CS394:CS401" ca="1" si="80">MONTH(TODAY())+17</f>
        <v>21</v>
      </c>
      <c r="CT394" s="23">
        <f t="shared" ca="1" si="60"/>
        <v>28.900299999999998</v>
      </c>
      <c r="CU394" s="14">
        <f t="shared" ref="CU394:CU401" si="81">SUM(EG394*0.0052)/2</f>
        <v>22.36</v>
      </c>
      <c r="CV394" s="14">
        <f t="shared" si="61"/>
        <v>2.2360000000000002</v>
      </c>
      <c r="CW394" s="14">
        <f t="shared" ca="1" si="62"/>
        <v>3.4844333333333317</v>
      </c>
      <c r="CX394" s="17">
        <f t="shared" si="63"/>
        <v>0.20496666666666657</v>
      </c>
      <c r="CY394" s="23">
        <f t="shared" ref="CY394:CY401" ca="1" si="82">MONTH(TODAY())+13</f>
        <v>17</v>
      </c>
      <c r="CZ394" s="23">
        <f t="shared" ca="1" si="64"/>
        <v>28.080433333333332</v>
      </c>
      <c r="DA394" s="14">
        <f t="shared" ref="DA394:DA401" si="83">SUM(EJ394*0.0045)/2</f>
        <v>21.375</v>
      </c>
      <c r="DB394" s="14">
        <f t="shared" si="65"/>
        <v>2.1375000000000002</v>
      </c>
      <c r="DC394" s="14">
        <f t="shared" ca="1" si="66"/>
        <v>2.1553124999999991</v>
      </c>
      <c r="DD394" s="17">
        <f t="shared" si="67"/>
        <v>0.1959374999999999</v>
      </c>
      <c r="DE394" s="23">
        <f t="shared" ref="DE394:DE401" ca="1" si="84">MONTH(TODAY())+7</f>
        <v>11</v>
      </c>
      <c r="DF394" s="23">
        <f t="shared" ca="1" si="68"/>
        <v>25.667812499999997</v>
      </c>
      <c r="DG394" s="14">
        <f t="shared" ref="DG394:DG401" si="85">SUM(EJ394*0.0045)/2</f>
        <v>21.375</v>
      </c>
      <c r="DH394" s="14">
        <f t="shared" si="69"/>
        <v>2.1375000000000002</v>
      </c>
      <c r="DI394" s="14">
        <f t="shared" ca="1" si="70"/>
        <v>0.97968749999999949</v>
      </c>
      <c r="DJ394" s="17">
        <f t="shared" si="71"/>
        <v>0.1959374999999999</v>
      </c>
      <c r="DK394" s="23">
        <f t="shared" ref="DK394:DK401" ca="1" si="86">MONTH(TODAY())+1</f>
        <v>5</v>
      </c>
      <c r="DL394" s="14">
        <f t="shared" ca="1" si="72"/>
        <v>24.4921875</v>
      </c>
      <c r="DM394" s="14">
        <f t="shared" ref="DM394:DM401" si="87">SUM( BQ394, BW394, CC394, CI394, CO394,CU394,DA394,DG394)</f>
        <v>87.47</v>
      </c>
      <c r="DN394" s="14">
        <f t="shared" ref="DN394:DO401" si="88">SUM(BR394,BX394,CD394,CJ394, CP394,CV394,DB394,DH394)</f>
        <v>8.7469999999999999</v>
      </c>
      <c r="DO394" s="14">
        <f t="shared" ca="1" si="88"/>
        <v>10.923733333333328</v>
      </c>
      <c r="DP394" s="25">
        <f t="shared" ref="DP394:DP401" ca="1" si="89">SUM(DM394:DO394)</f>
        <v>107.14073333333333</v>
      </c>
      <c r="DQ394" s="47">
        <f t="shared" ref="DQ394:DQ401" ca="1" si="90">SUM(DP394/EG394)</f>
        <v>1.245822480620155E-2</v>
      </c>
      <c r="DR394" s="14">
        <f>20</f>
        <v>20</v>
      </c>
      <c r="DS394" s="32">
        <f t="shared" ref="DS394:DS401" si="91">COUNTIF(AO394, "*")+COUNTIF(AJ394, "*")+COUNTIF(AA394, "*")+COUNTIF(EU394, "*")+COUNTIF(FA394, "*")+COUNTIF(FG394, "*")+COUNTIF(FK394, "*")+COUNTIF(FR394, "*")+COUNTIF(AS394, "*")+COUNTIF(GA394, "*")+COUNTIF(GL394, "*")+COUNTIF(GW394, "*")+COUNTIF(HE394, "*")+COUNTIF(HM394, "*")+COUNTIF(HU394, "*")</f>
        <v>2</v>
      </c>
      <c r="DT394" s="14">
        <f t="shared" ref="DT394:DT401" si="92">DS394*0.64</f>
        <v>1.28</v>
      </c>
      <c r="DU394" s="4"/>
      <c r="DV394" s="4"/>
      <c r="DW394" s="4"/>
      <c r="DX394" s="4"/>
      <c r="DZ394" s="4"/>
      <c r="EA394" s="14">
        <f t="shared" ref="EA394:EA401" si="93">SUM(DV394:DZ394)</f>
        <v>0</v>
      </c>
      <c r="EB394" s="14">
        <f t="shared" ref="EB394:EB401" ca="1" si="94">SUM(DP394,DR394,EA394, DU394, DT394,FX394)</f>
        <v>128.42073333333332</v>
      </c>
      <c r="EC394" s="24" t="s">
        <v>4935</v>
      </c>
      <c r="ED394" s="23">
        <v>0.54</v>
      </c>
      <c r="EE394" s="14">
        <v>8600</v>
      </c>
      <c r="EF394" s="14">
        <v>0</v>
      </c>
      <c r="EG394" s="14">
        <f t="shared" ref="EG394:EG401" si="95">SUM(EE394+EF394)</f>
        <v>8600</v>
      </c>
      <c r="EH394" s="14">
        <v>9500</v>
      </c>
      <c r="EI394" s="14">
        <v>0</v>
      </c>
      <c r="EJ394" s="14">
        <f t="shared" ref="EJ394:EJ401" si="96">SUM(EH394+EI394)</f>
        <v>9500</v>
      </c>
      <c r="EK394" s="10"/>
      <c r="EL394" s="10"/>
      <c r="EM394" s="10"/>
      <c r="EN394" s="10"/>
      <c r="EO394" s="10"/>
      <c r="EP394" s="10"/>
      <c r="EQ394" s="10"/>
      <c r="ER394" s="10"/>
      <c r="FX394" s="4"/>
      <c r="HY394" s="9"/>
      <c r="IJ394" s="4"/>
      <c r="IK394" s="4"/>
      <c r="IL394" s="4"/>
      <c r="IM394" s="9"/>
      <c r="IN394" s="9"/>
      <c r="IO394" s="9"/>
      <c r="IP394" s="9"/>
      <c r="IQ394" s="9"/>
    </row>
    <row r="395" spans="1:263" ht="15" customHeight="1">
      <c r="A395" s="2">
        <v>102024101</v>
      </c>
      <c r="B395" t="s">
        <v>5409</v>
      </c>
      <c r="D395" s="1">
        <v>2026</v>
      </c>
      <c r="E395" s="3"/>
      <c r="G395" s="3"/>
      <c r="J395" t="s">
        <v>554</v>
      </c>
      <c r="K395" t="s">
        <v>4146</v>
      </c>
      <c r="L395" t="s">
        <v>5407</v>
      </c>
      <c r="O395" s="3"/>
      <c r="P395" t="s">
        <v>4146</v>
      </c>
      <c r="Q395" t="s">
        <v>502</v>
      </c>
      <c r="R395" t="s">
        <v>598</v>
      </c>
      <c r="AG395" s="43"/>
      <c r="AJ395" s="18" t="s">
        <v>328</v>
      </c>
      <c r="AK395" s="1"/>
      <c r="AL395" t="s">
        <v>386</v>
      </c>
      <c r="AM395"/>
      <c r="AN395"/>
      <c r="AO395" t="s">
        <v>5408</v>
      </c>
      <c r="AP395" s="1" t="s">
        <v>258</v>
      </c>
      <c r="AQ395" s="18" t="s">
        <v>386</v>
      </c>
      <c r="AR395" t="s">
        <v>260</v>
      </c>
      <c r="AS395" s="10"/>
      <c r="AT395" s="10"/>
      <c r="AU395" s="10"/>
      <c r="AV395" s="10"/>
      <c r="AW395" s="1"/>
      <c r="AY395" s="1"/>
      <c r="AZ395" s="1"/>
      <c r="BA395" s="1"/>
      <c r="BB395" s="1"/>
      <c r="BC395" s="2"/>
      <c r="BD395" s="116"/>
      <c r="BE395" s="115"/>
      <c r="BF395" s="2"/>
      <c r="BG395" s="2"/>
      <c r="BH395" s="2"/>
      <c r="BI395" s="2"/>
      <c r="BJ395" s="2"/>
      <c r="BK395" s="2"/>
      <c r="BL395" s="20">
        <f t="shared" ca="1" si="73"/>
        <v>262.71019999999999</v>
      </c>
      <c r="BM395" s="22">
        <f t="shared" ca="1" si="38"/>
        <v>-23.096400317373266</v>
      </c>
      <c r="BN395" s="22">
        <f t="shared" ca="1" si="39"/>
        <v>23.096400317373266</v>
      </c>
      <c r="BO395" s="14">
        <f t="shared" si="74"/>
        <v>0.77999999999999992</v>
      </c>
      <c r="BP395" s="22">
        <f t="shared" ca="1" si="40"/>
        <v>23.876400317373268</v>
      </c>
      <c r="BQ395" s="14"/>
      <c r="BR395" s="14">
        <f t="shared" si="41"/>
        <v>0</v>
      </c>
      <c r="BS395" s="14">
        <f t="shared" ca="1" si="42"/>
        <v>0</v>
      </c>
      <c r="BT395" s="17">
        <f t="shared" si="43"/>
        <v>0</v>
      </c>
      <c r="BU395" s="23">
        <f t="shared" ca="1" si="75"/>
        <v>65</v>
      </c>
      <c r="BV395" s="14">
        <f t="shared" ca="1" si="44"/>
        <v>0</v>
      </c>
      <c r="BW395" s="14"/>
      <c r="BX395" s="14">
        <f t="shared" si="45"/>
        <v>0</v>
      </c>
      <c r="BY395" s="14">
        <f t="shared" ca="1" si="46"/>
        <v>0</v>
      </c>
      <c r="BZ395" s="17">
        <f t="shared" si="47"/>
        <v>0</v>
      </c>
      <c r="CA395" s="23">
        <f t="shared" ca="1" si="76"/>
        <v>53</v>
      </c>
      <c r="CB395" s="14">
        <f t="shared" ca="1" si="48"/>
        <v>0</v>
      </c>
      <c r="CC395" s="14">
        <v>0</v>
      </c>
      <c r="CD395" s="14">
        <f t="shared" si="49"/>
        <v>0</v>
      </c>
      <c r="CE395" s="14">
        <f t="shared" ca="1" si="50"/>
        <v>0</v>
      </c>
      <c r="CF395" s="17">
        <f t="shared" si="51"/>
        <v>0</v>
      </c>
      <c r="CG395" s="23">
        <f t="shared" ca="1" si="77"/>
        <v>41</v>
      </c>
      <c r="CH395" s="14">
        <f t="shared" ca="1" si="52"/>
        <v>0</v>
      </c>
      <c r="CI395" s="14">
        <v>0</v>
      </c>
      <c r="CJ395" s="14">
        <f t="shared" si="53"/>
        <v>0</v>
      </c>
      <c r="CK395" s="14">
        <f t="shared" ca="1" si="54"/>
        <v>0</v>
      </c>
      <c r="CL395" s="17">
        <f t="shared" si="55"/>
        <v>0</v>
      </c>
      <c r="CM395" s="23">
        <f t="shared" ca="1" si="78"/>
        <v>29</v>
      </c>
      <c r="CN395" s="14">
        <f t="shared" ca="1" si="56"/>
        <v>0</v>
      </c>
      <c r="CO395" s="14">
        <f t="shared" si="79"/>
        <v>4.68</v>
      </c>
      <c r="CP395" s="14">
        <f t="shared" si="57"/>
        <v>0.46799999999999997</v>
      </c>
      <c r="CQ395" s="14">
        <f t="shared" ca="1" si="58"/>
        <v>0.90089999999999959</v>
      </c>
      <c r="CR395" s="17">
        <f t="shared" si="59"/>
        <v>4.289999999999998E-2</v>
      </c>
      <c r="CS395" s="23">
        <f t="shared" ca="1" si="80"/>
        <v>21</v>
      </c>
      <c r="CT395" s="23">
        <f t="shared" ca="1" si="60"/>
        <v>6.0488999999999997</v>
      </c>
      <c r="CU395" s="14">
        <f t="shared" si="81"/>
        <v>4.68</v>
      </c>
      <c r="CV395" s="14">
        <f t="shared" si="61"/>
        <v>0.46799999999999997</v>
      </c>
      <c r="CW395" s="14">
        <f t="shared" ca="1" si="62"/>
        <v>0.72929999999999962</v>
      </c>
      <c r="CX395" s="17">
        <f t="shared" si="63"/>
        <v>4.289999999999998E-2</v>
      </c>
      <c r="CY395" s="23">
        <f t="shared" ca="1" si="82"/>
        <v>17</v>
      </c>
      <c r="CZ395" s="23">
        <f t="shared" ca="1" si="64"/>
        <v>5.8772999999999991</v>
      </c>
      <c r="DA395" s="14">
        <f t="shared" si="83"/>
        <v>4.05</v>
      </c>
      <c r="DB395" s="14">
        <f t="shared" si="65"/>
        <v>0.40500000000000003</v>
      </c>
      <c r="DC395" s="14">
        <f t="shared" ca="1" si="66"/>
        <v>0.40837499999999982</v>
      </c>
      <c r="DD395" s="17">
        <f t="shared" si="67"/>
        <v>3.7124999999999984E-2</v>
      </c>
      <c r="DE395" s="23">
        <f t="shared" ca="1" si="84"/>
        <v>11</v>
      </c>
      <c r="DF395" s="23">
        <f t="shared" ca="1" si="68"/>
        <v>4.8633749999999996</v>
      </c>
      <c r="DG395" s="14">
        <f t="shared" si="85"/>
        <v>4.05</v>
      </c>
      <c r="DH395" s="14">
        <f t="shared" si="69"/>
        <v>0.40500000000000003</v>
      </c>
      <c r="DI395" s="14">
        <f t="shared" ca="1" si="70"/>
        <v>0.18562499999999993</v>
      </c>
      <c r="DJ395" s="17">
        <f t="shared" si="71"/>
        <v>3.7124999999999984E-2</v>
      </c>
      <c r="DK395" s="23">
        <f t="shared" ca="1" si="86"/>
        <v>5</v>
      </c>
      <c r="DL395" s="14">
        <f t="shared" ca="1" si="72"/>
        <v>4.640625</v>
      </c>
      <c r="DM395" s="14">
        <f t="shared" si="87"/>
        <v>17.46</v>
      </c>
      <c r="DN395" s="14">
        <f t="shared" si="88"/>
        <v>1.746</v>
      </c>
      <c r="DO395" s="14">
        <f t="shared" ca="1" si="88"/>
        <v>2.2241999999999988</v>
      </c>
      <c r="DP395" s="25">
        <f t="shared" ca="1" si="89"/>
        <v>21.430199999999999</v>
      </c>
      <c r="DQ395" s="47">
        <f t="shared" ca="1" si="90"/>
        <v>1.1905666666666667E-2</v>
      </c>
      <c r="DR395" s="14">
        <f>20</f>
        <v>20</v>
      </c>
      <c r="DS395" s="32">
        <f t="shared" si="91"/>
        <v>2</v>
      </c>
      <c r="DT395" s="14">
        <f t="shared" si="92"/>
        <v>1.28</v>
      </c>
      <c r="DU395" s="4"/>
      <c r="DV395" s="4"/>
      <c r="DW395" s="4"/>
      <c r="DX395" s="4"/>
      <c r="DZ395" s="4"/>
      <c r="EA395" s="14">
        <f t="shared" si="93"/>
        <v>0</v>
      </c>
      <c r="EB395" s="14">
        <f t="shared" ca="1" si="94"/>
        <v>42.7102</v>
      </c>
      <c r="EC395" s="24" t="s">
        <v>4935</v>
      </c>
      <c r="ED395" s="23">
        <v>0.36</v>
      </c>
      <c r="EE395" s="14">
        <v>1800</v>
      </c>
      <c r="EF395" s="14">
        <v>0</v>
      </c>
      <c r="EG395" s="14">
        <f t="shared" si="95"/>
        <v>1800</v>
      </c>
      <c r="EH395" s="14">
        <v>1800</v>
      </c>
      <c r="EI395" s="14">
        <v>0</v>
      </c>
      <c r="EJ395" s="14">
        <f t="shared" si="96"/>
        <v>1800</v>
      </c>
      <c r="EK395" s="10"/>
      <c r="EL395" s="10"/>
      <c r="EM395" s="10"/>
      <c r="EN395" s="10"/>
      <c r="EO395" s="10"/>
      <c r="EP395" s="10"/>
      <c r="EQ395" s="10"/>
      <c r="ER395" s="10"/>
      <c r="FX395" s="4"/>
      <c r="HY395" s="9"/>
      <c r="IJ395" s="4"/>
      <c r="IK395" s="4"/>
      <c r="IL395" s="4"/>
      <c r="IM395" s="9"/>
      <c r="IN395" s="9"/>
      <c r="IO395" s="9"/>
      <c r="IP395" s="9"/>
      <c r="IQ395" s="9"/>
    </row>
    <row r="396" spans="1:263" ht="15" customHeight="1">
      <c r="A396" s="2">
        <v>102024102</v>
      </c>
      <c r="B396" t="s">
        <v>5410</v>
      </c>
      <c r="D396" s="1">
        <v>2026</v>
      </c>
      <c r="E396" s="3"/>
      <c r="G396" s="3"/>
      <c r="J396" t="s">
        <v>554</v>
      </c>
      <c r="K396" t="s">
        <v>4146</v>
      </c>
      <c r="L396" t="s">
        <v>5407</v>
      </c>
      <c r="O396" s="3"/>
      <c r="P396" t="s">
        <v>4146</v>
      </c>
      <c r="Q396" t="s">
        <v>502</v>
      </c>
      <c r="R396" t="s">
        <v>598</v>
      </c>
      <c r="AG396" s="43"/>
      <c r="AJ396" s="18" t="s">
        <v>328</v>
      </c>
      <c r="AK396" s="1"/>
      <c r="AL396" t="s">
        <v>386</v>
      </c>
      <c r="AM396"/>
      <c r="AN396"/>
      <c r="AO396" t="s">
        <v>5408</v>
      </c>
      <c r="AP396" s="1" t="s">
        <v>258</v>
      </c>
      <c r="AQ396" s="18" t="s">
        <v>386</v>
      </c>
      <c r="AR396" t="s">
        <v>260</v>
      </c>
      <c r="AS396" s="10"/>
      <c r="AT396" s="10"/>
      <c r="AU396" s="10"/>
      <c r="AV396" s="10"/>
      <c r="AW396" s="1"/>
      <c r="AY396" s="1"/>
      <c r="AZ396" s="1"/>
      <c r="BA396" s="1"/>
      <c r="BB396" s="1"/>
      <c r="BC396" s="2"/>
      <c r="BD396" s="116"/>
      <c r="BE396" s="115"/>
      <c r="BF396" s="2"/>
      <c r="BG396" s="2"/>
      <c r="BH396" s="2"/>
      <c r="BI396" s="2"/>
      <c r="BJ396" s="2"/>
      <c r="BK396" s="2"/>
      <c r="BL396" s="20">
        <f t="shared" ca="1" si="73"/>
        <v>273.42529999999999</v>
      </c>
      <c r="BM396" s="22">
        <f t="shared" ca="1" si="38"/>
        <v>-24.038427840631542</v>
      </c>
      <c r="BN396" s="22">
        <f t="shared" ca="1" si="39"/>
        <v>24.038427840631542</v>
      </c>
      <c r="BO396" s="14">
        <f t="shared" si="74"/>
        <v>1.17</v>
      </c>
      <c r="BP396" s="22">
        <f t="shared" ca="1" si="40"/>
        <v>25.208427840631543</v>
      </c>
      <c r="BQ396" s="14"/>
      <c r="BR396" s="14">
        <f t="shared" si="41"/>
        <v>0</v>
      </c>
      <c r="BS396" s="14">
        <f t="shared" ca="1" si="42"/>
        <v>0</v>
      </c>
      <c r="BT396" s="17">
        <f t="shared" si="43"/>
        <v>0</v>
      </c>
      <c r="BU396" s="23">
        <f t="shared" ca="1" si="75"/>
        <v>65</v>
      </c>
      <c r="BV396" s="14">
        <f t="shared" ca="1" si="44"/>
        <v>0</v>
      </c>
      <c r="BW396" s="14"/>
      <c r="BX396" s="14">
        <f t="shared" si="45"/>
        <v>0</v>
      </c>
      <c r="BY396" s="14">
        <f t="shared" ca="1" si="46"/>
        <v>0</v>
      </c>
      <c r="BZ396" s="17">
        <f t="shared" si="47"/>
        <v>0</v>
      </c>
      <c r="CA396" s="23">
        <f t="shared" ca="1" si="76"/>
        <v>53</v>
      </c>
      <c r="CB396" s="14">
        <f t="shared" ca="1" si="48"/>
        <v>0</v>
      </c>
      <c r="CC396" s="14">
        <v>0</v>
      </c>
      <c r="CD396" s="14">
        <f t="shared" si="49"/>
        <v>0</v>
      </c>
      <c r="CE396" s="14">
        <f t="shared" ca="1" si="50"/>
        <v>0</v>
      </c>
      <c r="CF396" s="17">
        <f t="shared" si="51"/>
        <v>0</v>
      </c>
      <c r="CG396" s="23">
        <f t="shared" ca="1" si="77"/>
        <v>41</v>
      </c>
      <c r="CH396" s="14">
        <f t="shared" ca="1" si="52"/>
        <v>0</v>
      </c>
      <c r="CI396" s="14">
        <v>0</v>
      </c>
      <c r="CJ396" s="14">
        <f t="shared" si="53"/>
        <v>0</v>
      </c>
      <c r="CK396" s="14">
        <f t="shared" ca="1" si="54"/>
        <v>0</v>
      </c>
      <c r="CL396" s="17">
        <f t="shared" si="55"/>
        <v>0</v>
      </c>
      <c r="CM396" s="23">
        <f t="shared" ca="1" si="78"/>
        <v>29</v>
      </c>
      <c r="CN396" s="14">
        <f t="shared" ca="1" si="56"/>
        <v>0</v>
      </c>
      <c r="CO396" s="14">
        <f t="shared" si="79"/>
        <v>7.02</v>
      </c>
      <c r="CP396" s="14">
        <f t="shared" si="57"/>
        <v>0.70199999999999996</v>
      </c>
      <c r="CQ396" s="14">
        <f t="shared" ca="1" si="58"/>
        <v>1.3513499999999992</v>
      </c>
      <c r="CR396" s="17">
        <f t="shared" si="59"/>
        <v>6.4349999999999963E-2</v>
      </c>
      <c r="CS396" s="23">
        <f t="shared" ca="1" si="80"/>
        <v>21</v>
      </c>
      <c r="CT396" s="23">
        <f t="shared" ca="1" si="60"/>
        <v>9.0733499999999978</v>
      </c>
      <c r="CU396" s="14">
        <f t="shared" si="81"/>
        <v>7.02</v>
      </c>
      <c r="CV396" s="14">
        <f t="shared" si="61"/>
        <v>0.70199999999999996</v>
      </c>
      <c r="CW396" s="14">
        <f t="shared" ca="1" si="62"/>
        <v>1.0939499999999993</v>
      </c>
      <c r="CX396" s="17">
        <f t="shared" si="63"/>
        <v>6.4349999999999963E-2</v>
      </c>
      <c r="CY396" s="23">
        <f t="shared" ca="1" si="82"/>
        <v>17</v>
      </c>
      <c r="CZ396" s="23">
        <f t="shared" ca="1" si="64"/>
        <v>8.8159499999999991</v>
      </c>
      <c r="DA396" s="14">
        <f t="shared" si="83"/>
        <v>6.0749999999999993</v>
      </c>
      <c r="DB396" s="14">
        <f t="shared" si="65"/>
        <v>0.60749999999999993</v>
      </c>
      <c r="DC396" s="14">
        <f t="shared" ca="1" si="66"/>
        <v>0.61256249999999968</v>
      </c>
      <c r="DD396" s="17">
        <f t="shared" si="67"/>
        <v>5.5687499999999966E-2</v>
      </c>
      <c r="DE396" s="23">
        <f t="shared" ca="1" si="84"/>
        <v>11</v>
      </c>
      <c r="DF396" s="23">
        <f t="shared" ca="1" si="68"/>
        <v>7.2950624999999985</v>
      </c>
      <c r="DG396" s="14">
        <f t="shared" si="85"/>
        <v>6.0749999999999993</v>
      </c>
      <c r="DH396" s="14">
        <f t="shared" si="69"/>
        <v>0.60749999999999993</v>
      </c>
      <c r="DI396" s="14">
        <f t="shared" ca="1" si="70"/>
        <v>0.27843749999999984</v>
      </c>
      <c r="DJ396" s="17">
        <f t="shared" si="71"/>
        <v>5.5687499999999966E-2</v>
      </c>
      <c r="DK396" s="23">
        <f t="shared" ca="1" si="86"/>
        <v>5</v>
      </c>
      <c r="DL396" s="14">
        <f t="shared" ca="1" si="72"/>
        <v>6.9609374999999991</v>
      </c>
      <c r="DM396" s="14">
        <f t="shared" si="87"/>
        <v>26.189999999999998</v>
      </c>
      <c r="DN396" s="14">
        <f t="shared" si="88"/>
        <v>2.6189999999999998</v>
      </c>
      <c r="DO396" s="14">
        <f t="shared" ca="1" si="88"/>
        <v>3.3362999999999983</v>
      </c>
      <c r="DP396" s="25">
        <f t="shared" ca="1" si="89"/>
        <v>32.145299999999999</v>
      </c>
      <c r="DQ396" s="47">
        <f t="shared" ca="1" si="90"/>
        <v>1.1905666666666667E-2</v>
      </c>
      <c r="DR396" s="14">
        <f>20</f>
        <v>20</v>
      </c>
      <c r="DS396" s="32">
        <f t="shared" si="91"/>
        <v>2</v>
      </c>
      <c r="DT396" s="14">
        <f t="shared" si="92"/>
        <v>1.28</v>
      </c>
      <c r="DU396" s="4"/>
      <c r="DV396" s="4"/>
      <c r="DW396" s="4"/>
      <c r="DX396" s="4"/>
      <c r="DZ396" s="4"/>
      <c r="EA396" s="14">
        <f t="shared" si="93"/>
        <v>0</v>
      </c>
      <c r="EB396" s="14">
        <f t="shared" ca="1" si="94"/>
        <v>53.4253</v>
      </c>
      <c r="EC396" s="24" t="s">
        <v>4935</v>
      </c>
      <c r="ED396" s="23">
        <v>0.68</v>
      </c>
      <c r="EE396" s="14">
        <v>2700</v>
      </c>
      <c r="EF396" s="14">
        <v>0</v>
      </c>
      <c r="EG396" s="14">
        <f t="shared" si="95"/>
        <v>2700</v>
      </c>
      <c r="EH396" s="14">
        <v>2700</v>
      </c>
      <c r="EI396" s="14">
        <v>0</v>
      </c>
      <c r="EJ396" s="14">
        <f t="shared" si="96"/>
        <v>2700</v>
      </c>
      <c r="EK396" s="10"/>
      <c r="EL396" s="10"/>
      <c r="EM396" s="10"/>
      <c r="EN396" s="10"/>
      <c r="EO396" s="10"/>
      <c r="EP396" s="10"/>
      <c r="EQ396" s="10"/>
      <c r="ER396" s="10"/>
      <c r="FX396" s="4"/>
      <c r="HY396" s="9"/>
      <c r="IJ396" s="4"/>
      <c r="IK396" s="4"/>
      <c r="IL396" s="4"/>
      <c r="IM396" s="9"/>
      <c r="IN396" s="9"/>
      <c r="IO396" s="9"/>
      <c r="IP396" s="9"/>
      <c r="IQ396" s="9"/>
    </row>
    <row r="397" spans="1:263" ht="15" customHeight="1">
      <c r="A397" s="2">
        <v>102024103</v>
      </c>
      <c r="B397" t="s">
        <v>5411</v>
      </c>
      <c r="D397" s="1">
        <v>2026</v>
      </c>
      <c r="E397" s="3"/>
      <c r="G397" s="3"/>
      <c r="J397" t="s">
        <v>554</v>
      </c>
      <c r="K397" t="s">
        <v>4146</v>
      </c>
      <c r="L397" t="s">
        <v>5407</v>
      </c>
      <c r="O397" s="3"/>
      <c r="P397" t="s">
        <v>4146</v>
      </c>
      <c r="Q397" t="s">
        <v>502</v>
      </c>
      <c r="R397" t="s">
        <v>598</v>
      </c>
      <c r="AG397" s="43"/>
      <c r="AJ397" s="18" t="s">
        <v>328</v>
      </c>
      <c r="AK397" s="1"/>
      <c r="AL397" t="s">
        <v>386</v>
      </c>
      <c r="AM397"/>
      <c r="AN397"/>
      <c r="AO397" t="s">
        <v>5408</v>
      </c>
      <c r="AP397" s="1" t="s">
        <v>258</v>
      </c>
      <c r="AQ397" s="18" t="s">
        <v>386</v>
      </c>
      <c r="AR397" t="s">
        <v>260</v>
      </c>
      <c r="AS397" s="10"/>
      <c r="AT397" s="10"/>
      <c r="AU397" s="10"/>
      <c r="AV397" s="10"/>
      <c r="AW397" s="1"/>
      <c r="AY397" s="1"/>
      <c r="AZ397" s="1"/>
      <c r="BA397" s="1"/>
      <c r="BB397" s="1"/>
      <c r="BC397" s="2"/>
      <c r="BD397" s="116"/>
      <c r="BE397" s="115"/>
      <c r="BF397" s="2"/>
      <c r="BG397" s="2"/>
      <c r="BH397" s="2"/>
      <c r="BI397" s="2"/>
      <c r="BJ397" s="2"/>
      <c r="BK397" s="2"/>
      <c r="BL397" s="20">
        <f t="shared" ca="1" si="73"/>
        <v>271.04416666666668</v>
      </c>
      <c r="BM397" s="22">
        <f t="shared" ca="1" si="38"/>
        <v>-23.829088391018594</v>
      </c>
      <c r="BN397" s="22">
        <f t="shared" ca="1" si="39"/>
        <v>23.829088391018594</v>
      </c>
      <c r="BO397" s="14">
        <f t="shared" si="74"/>
        <v>1.0833333333333333</v>
      </c>
      <c r="BP397" s="22">
        <f t="shared" ca="1" si="40"/>
        <v>24.912421724351926</v>
      </c>
      <c r="BQ397" s="14"/>
      <c r="BR397" s="14">
        <f t="shared" si="41"/>
        <v>0</v>
      </c>
      <c r="BS397" s="14">
        <f t="shared" ca="1" si="42"/>
        <v>0</v>
      </c>
      <c r="BT397" s="17">
        <f t="shared" si="43"/>
        <v>0</v>
      </c>
      <c r="BU397" s="23">
        <f t="shared" ca="1" si="75"/>
        <v>65</v>
      </c>
      <c r="BV397" s="14">
        <f t="shared" ca="1" si="44"/>
        <v>0</v>
      </c>
      <c r="BW397" s="14"/>
      <c r="BX397" s="14">
        <f t="shared" si="45"/>
        <v>0</v>
      </c>
      <c r="BY397" s="14">
        <f t="shared" ca="1" si="46"/>
        <v>0</v>
      </c>
      <c r="BZ397" s="17">
        <f t="shared" si="47"/>
        <v>0</v>
      </c>
      <c r="CA397" s="23">
        <f t="shared" ca="1" si="76"/>
        <v>53</v>
      </c>
      <c r="CB397" s="14">
        <f t="shared" ca="1" si="48"/>
        <v>0</v>
      </c>
      <c r="CC397" s="14">
        <v>0</v>
      </c>
      <c r="CD397" s="14">
        <f t="shared" si="49"/>
        <v>0</v>
      </c>
      <c r="CE397" s="14">
        <f t="shared" ca="1" si="50"/>
        <v>0</v>
      </c>
      <c r="CF397" s="17">
        <f t="shared" si="51"/>
        <v>0</v>
      </c>
      <c r="CG397" s="23">
        <f t="shared" ca="1" si="77"/>
        <v>41</v>
      </c>
      <c r="CH397" s="14">
        <f t="shared" ca="1" si="52"/>
        <v>0</v>
      </c>
      <c r="CI397" s="14">
        <v>0</v>
      </c>
      <c r="CJ397" s="14">
        <f t="shared" si="53"/>
        <v>0</v>
      </c>
      <c r="CK397" s="14">
        <f t="shared" ca="1" si="54"/>
        <v>0</v>
      </c>
      <c r="CL397" s="17">
        <f t="shared" si="55"/>
        <v>0</v>
      </c>
      <c r="CM397" s="23">
        <f t="shared" ca="1" si="78"/>
        <v>29</v>
      </c>
      <c r="CN397" s="14">
        <f t="shared" ca="1" si="56"/>
        <v>0</v>
      </c>
      <c r="CO397" s="14">
        <f t="shared" si="79"/>
        <v>6.5</v>
      </c>
      <c r="CP397" s="14">
        <f t="shared" si="57"/>
        <v>0.65</v>
      </c>
      <c r="CQ397" s="14">
        <f t="shared" ca="1" si="58"/>
        <v>1.2512499999999995</v>
      </c>
      <c r="CR397" s="17">
        <f t="shared" si="59"/>
        <v>5.9583333333333308E-2</v>
      </c>
      <c r="CS397" s="23">
        <f t="shared" ca="1" si="80"/>
        <v>21</v>
      </c>
      <c r="CT397" s="23">
        <f t="shared" ca="1" si="60"/>
        <v>8.4012499999999992</v>
      </c>
      <c r="CU397" s="14">
        <f t="shared" si="81"/>
        <v>6.5</v>
      </c>
      <c r="CV397" s="14">
        <f t="shared" si="61"/>
        <v>0.65</v>
      </c>
      <c r="CW397" s="14">
        <f t="shared" ca="1" si="62"/>
        <v>1.0129166666666662</v>
      </c>
      <c r="CX397" s="17">
        <f t="shared" si="63"/>
        <v>5.9583333333333308E-2</v>
      </c>
      <c r="CY397" s="23">
        <f t="shared" ca="1" si="82"/>
        <v>17</v>
      </c>
      <c r="CZ397" s="23">
        <f t="shared" ca="1" si="64"/>
        <v>8.1629166666666659</v>
      </c>
      <c r="DA397" s="14">
        <f t="shared" si="83"/>
        <v>5.625</v>
      </c>
      <c r="DB397" s="14">
        <f t="shared" si="65"/>
        <v>0.5625</v>
      </c>
      <c r="DC397" s="14">
        <f t="shared" ca="1" si="66"/>
        <v>0.56718749999999973</v>
      </c>
      <c r="DD397" s="17">
        <f t="shared" si="67"/>
        <v>5.1562499999999976E-2</v>
      </c>
      <c r="DE397" s="23">
        <f t="shared" ca="1" si="84"/>
        <v>11</v>
      </c>
      <c r="DF397" s="23">
        <f t="shared" ca="1" si="68"/>
        <v>6.7546874999999993</v>
      </c>
      <c r="DG397" s="14">
        <f t="shared" si="85"/>
        <v>5.625</v>
      </c>
      <c r="DH397" s="14">
        <f t="shared" si="69"/>
        <v>0.5625</v>
      </c>
      <c r="DI397" s="14">
        <f t="shared" ca="1" si="70"/>
        <v>0.25781249999999989</v>
      </c>
      <c r="DJ397" s="17">
        <f t="shared" si="71"/>
        <v>5.1562499999999976E-2</v>
      </c>
      <c r="DK397" s="23">
        <f t="shared" ca="1" si="86"/>
        <v>5</v>
      </c>
      <c r="DL397" s="14">
        <f t="shared" ca="1" si="72"/>
        <v>6.4453125</v>
      </c>
      <c r="DM397" s="14">
        <f t="shared" si="87"/>
        <v>24.25</v>
      </c>
      <c r="DN397" s="14">
        <f t="shared" si="88"/>
        <v>2.4249999999999998</v>
      </c>
      <c r="DO397" s="14">
        <f t="shared" ca="1" si="88"/>
        <v>3.0891666666666655</v>
      </c>
      <c r="DP397" s="25">
        <f t="shared" ca="1" si="89"/>
        <v>29.764166666666668</v>
      </c>
      <c r="DQ397" s="47">
        <f t="shared" ca="1" si="90"/>
        <v>1.1905666666666667E-2</v>
      </c>
      <c r="DR397" s="14">
        <f>20</f>
        <v>20</v>
      </c>
      <c r="DS397" s="32">
        <f t="shared" si="91"/>
        <v>2</v>
      </c>
      <c r="DT397" s="14">
        <f t="shared" si="92"/>
        <v>1.28</v>
      </c>
      <c r="DU397" s="4"/>
      <c r="DV397" s="4"/>
      <c r="DW397" s="4"/>
      <c r="DX397" s="4"/>
      <c r="DZ397" s="4"/>
      <c r="EA397" s="14">
        <f t="shared" si="93"/>
        <v>0</v>
      </c>
      <c r="EB397" s="14">
        <f t="shared" ca="1" si="94"/>
        <v>51.044166666666669</v>
      </c>
      <c r="EC397" s="24" t="s">
        <v>4935</v>
      </c>
      <c r="ED397" s="23">
        <v>0.62</v>
      </c>
      <c r="EE397" s="14">
        <v>2500</v>
      </c>
      <c r="EF397" s="14">
        <v>0</v>
      </c>
      <c r="EG397" s="14">
        <f t="shared" si="95"/>
        <v>2500</v>
      </c>
      <c r="EH397" s="14">
        <v>2500</v>
      </c>
      <c r="EI397" s="14">
        <v>0</v>
      </c>
      <c r="EJ397" s="14">
        <f t="shared" si="96"/>
        <v>2500</v>
      </c>
      <c r="EK397" s="10"/>
      <c r="EL397" s="10"/>
      <c r="EM397" s="10"/>
      <c r="EN397" s="10"/>
      <c r="EO397" s="10"/>
      <c r="EP397" s="10"/>
      <c r="EQ397" s="10"/>
      <c r="ER397" s="10"/>
      <c r="FX397" s="4"/>
      <c r="HY397" s="9"/>
      <c r="IJ397" s="4"/>
      <c r="IK397" s="4"/>
      <c r="IL397" s="4"/>
      <c r="IM397" s="9"/>
      <c r="IN397" s="9"/>
      <c r="IO397" s="9"/>
      <c r="IP397" s="9"/>
      <c r="IQ397" s="9"/>
    </row>
    <row r="398" spans="1:263" ht="15" customHeight="1">
      <c r="A398" s="2">
        <v>102024104</v>
      </c>
      <c r="B398" t="s">
        <v>5412</v>
      </c>
      <c r="D398" s="1">
        <v>2026</v>
      </c>
      <c r="E398" s="3"/>
      <c r="G398" s="3"/>
      <c r="J398" t="s">
        <v>554</v>
      </c>
      <c r="K398" t="s">
        <v>4146</v>
      </c>
      <c r="L398" t="s">
        <v>5407</v>
      </c>
      <c r="O398" s="3"/>
      <c r="P398" t="s">
        <v>4146</v>
      </c>
      <c r="Q398" t="s">
        <v>502</v>
      </c>
      <c r="R398" t="s">
        <v>598</v>
      </c>
      <c r="AG398" s="43"/>
      <c r="AJ398" s="18" t="s">
        <v>328</v>
      </c>
      <c r="AK398" s="1"/>
      <c r="AL398" t="s">
        <v>386</v>
      </c>
      <c r="AM398"/>
      <c r="AN398"/>
      <c r="AO398" t="s">
        <v>5408</v>
      </c>
      <c r="AP398" s="1" t="s">
        <v>258</v>
      </c>
      <c r="AQ398" s="18" t="s">
        <v>386</v>
      </c>
      <c r="AR398" t="s">
        <v>260</v>
      </c>
      <c r="AS398" s="10"/>
      <c r="AT398" s="10"/>
      <c r="AU398" s="10"/>
      <c r="AV398" s="10"/>
      <c r="AW398" s="1"/>
      <c r="AY398" s="1"/>
      <c r="AZ398" s="1"/>
      <c r="BA398" s="1"/>
      <c r="BB398" s="1"/>
      <c r="BC398" s="2"/>
      <c r="BD398" s="116"/>
      <c r="BE398" s="115"/>
      <c r="BF398" s="2"/>
      <c r="BG398" s="2"/>
      <c r="BH398" s="2"/>
      <c r="BI398" s="2"/>
      <c r="BJ398" s="2"/>
      <c r="BK398" s="2"/>
      <c r="BL398" s="20">
        <f t="shared" ca="1" si="73"/>
        <v>265.09133333333335</v>
      </c>
      <c r="BM398" s="22">
        <f t="shared" ca="1" si="38"/>
        <v>-23.305739766986218</v>
      </c>
      <c r="BN398" s="22">
        <f t="shared" ca="1" si="39"/>
        <v>23.305739766986218</v>
      </c>
      <c r="BO398" s="14">
        <f t="shared" si="74"/>
        <v>0.8666666666666667</v>
      </c>
      <c r="BP398" s="22">
        <f t="shared" ca="1" si="40"/>
        <v>24.172406433652885</v>
      </c>
      <c r="BQ398" s="14"/>
      <c r="BR398" s="14">
        <f t="shared" si="41"/>
        <v>0</v>
      </c>
      <c r="BS398" s="14">
        <f t="shared" ca="1" si="42"/>
        <v>0</v>
      </c>
      <c r="BT398" s="17">
        <f t="shared" si="43"/>
        <v>0</v>
      </c>
      <c r="BU398" s="23">
        <f t="shared" ca="1" si="75"/>
        <v>65</v>
      </c>
      <c r="BV398" s="14">
        <f t="shared" ca="1" si="44"/>
        <v>0</v>
      </c>
      <c r="BW398" s="14"/>
      <c r="BX398" s="14">
        <f t="shared" si="45"/>
        <v>0</v>
      </c>
      <c r="BY398" s="14">
        <f t="shared" ca="1" si="46"/>
        <v>0</v>
      </c>
      <c r="BZ398" s="17">
        <f t="shared" si="47"/>
        <v>0</v>
      </c>
      <c r="CA398" s="23">
        <f t="shared" ca="1" si="76"/>
        <v>53</v>
      </c>
      <c r="CB398" s="14">
        <f t="shared" ca="1" si="48"/>
        <v>0</v>
      </c>
      <c r="CC398" s="14">
        <v>0</v>
      </c>
      <c r="CD398" s="14">
        <f t="shared" si="49"/>
        <v>0</v>
      </c>
      <c r="CE398" s="14">
        <f t="shared" ca="1" si="50"/>
        <v>0</v>
      </c>
      <c r="CF398" s="17">
        <f t="shared" si="51"/>
        <v>0</v>
      </c>
      <c r="CG398" s="23">
        <f t="shared" ca="1" si="77"/>
        <v>41</v>
      </c>
      <c r="CH398" s="14">
        <f t="shared" ca="1" si="52"/>
        <v>0</v>
      </c>
      <c r="CI398" s="14">
        <v>0</v>
      </c>
      <c r="CJ398" s="14">
        <f t="shared" si="53"/>
        <v>0</v>
      </c>
      <c r="CK398" s="14">
        <f t="shared" ca="1" si="54"/>
        <v>0</v>
      </c>
      <c r="CL398" s="17">
        <f t="shared" si="55"/>
        <v>0</v>
      </c>
      <c r="CM398" s="23">
        <f t="shared" ca="1" si="78"/>
        <v>29</v>
      </c>
      <c r="CN398" s="14">
        <f t="shared" ca="1" si="56"/>
        <v>0</v>
      </c>
      <c r="CO398" s="14">
        <f t="shared" si="79"/>
        <v>5.2</v>
      </c>
      <c r="CP398" s="14">
        <f t="shared" si="57"/>
        <v>0.52</v>
      </c>
      <c r="CQ398" s="14">
        <f t="shared" ca="1" si="58"/>
        <v>1.0009999999999997</v>
      </c>
      <c r="CR398" s="17">
        <f t="shared" si="59"/>
        <v>4.7666666666666649E-2</v>
      </c>
      <c r="CS398" s="23">
        <f t="shared" ca="1" si="80"/>
        <v>21</v>
      </c>
      <c r="CT398" s="23">
        <f t="shared" ca="1" si="60"/>
        <v>6.7210000000000001</v>
      </c>
      <c r="CU398" s="14">
        <f t="shared" si="81"/>
        <v>5.2</v>
      </c>
      <c r="CV398" s="14">
        <f t="shared" si="61"/>
        <v>0.52</v>
      </c>
      <c r="CW398" s="14">
        <f t="shared" ca="1" si="62"/>
        <v>0.81033333333333302</v>
      </c>
      <c r="CX398" s="17">
        <f t="shared" si="63"/>
        <v>4.7666666666666649E-2</v>
      </c>
      <c r="CY398" s="23">
        <f t="shared" ca="1" si="82"/>
        <v>17</v>
      </c>
      <c r="CZ398" s="23">
        <f t="shared" ca="1" si="64"/>
        <v>6.530333333333334</v>
      </c>
      <c r="DA398" s="14">
        <f t="shared" si="83"/>
        <v>4.5</v>
      </c>
      <c r="DB398" s="14">
        <f t="shared" si="65"/>
        <v>0.45</v>
      </c>
      <c r="DC398" s="14">
        <f t="shared" ca="1" si="66"/>
        <v>0.45374999999999976</v>
      </c>
      <c r="DD398" s="17">
        <f t="shared" si="67"/>
        <v>4.1249999999999981E-2</v>
      </c>
      <c r="DE398" s="23">
        <f t="shared" ca="1" si="84"/>
        <v>11</v>
      </c>
      <c r="DF398" s="23">
        <f t="shared" ca="1" si="68"/>
        <v>5.4037499999999996</v>
      </c>
      <c r="DG398" s="14">
        <f t="shared" si="85"/>
        <v>4.5</v>
      </c>
      <c r="DH398" s="14">
        <f t="shared" si="69"/>
        <v>0.45</v>
      </c>
      <c r="DI398" s="14">
        <f t="shared" ca="1" si="70"/>
        <v>0.20624999999999991</v>
      </c>
      <c r="DJ398" s="17">
        <f t="shared" si="71"/>
        <v>4.1249999999999981E-2</v>
      </c>
      <c r="DK398" s="23">
        <f t="shared" ca="1" si="86"/>
        <v>5</v>
      </c>
      <c r="DL398" s="14">
        <f t="shared" ca="1" si="72"/>
        <v>5.15625</v>
      </c>
      <c r="DM398" s="14">
        <f t="shared" si="87"/>
        <v>19.399999999999999</v>
      </c>
      <c r="DN398" s="14">
        <f t="shared" si="88"/>
        <v>1.94</v>
      </c>
      <c r="DO398" s="14">
        <f t="shared" ca="1" si="88"/>
        <v>2.4713333333333325</v>
      </c>
      <c r="DP398" s="25">
        <f t="shared" ca="1" si="89"/>
        <v>23.811333333333334</v>
      </c>
      <c r="DQ398" s="47">
        <f t="shared" ca="1" si="90"/>
        <v>1.1905666666666667E-2</v>
      </c>
      <c r="DR398" s="14">
        <f>20</f>
        <v>20</v>
      </c>
      <c r="DS398" s="32">
        <f t="shared" si="91"/>
        <v>2</v>
      </c>
      <c r="DT398" s="14">
        <f t="shared" si="92"/>
        <v>1.28</v>
      </c>
      <c r="DU398" s="4"/>
      <c r="DV398" s="4"/>
      <c r="DW398" s="4"/>
      <c r="DX398" s="4"/>
      <c r="DZ398" s="4"/>
      <c r="EA398" s="14">
        <f t="shared" si="93"/>
        <v>0</v>
      </c>
      <c r="EB398" s="14">
        <f t="shared" ca="1" si="94"/>
        <v>45.091333333333338</v>
      </c>
      <c r="EC398" s="24" t="s">
        <v>4935</v>
      </c>
      <c r="ED398" s="23">
        <v>0.5</v>
      </c>
      <c r="EE398" s="14">
        <v>2000</v>
      </c>
      <c r="EF398" s="14">
        <v>0</v>
      </c>
      <c r="EG398" s="14">
        <f t="shared" si="95"/>
        <v>2000</v>
      </c>
      <c r="EH398" s="14">
        <v>2000</v>
      </c>
      <c r="EI398" s="14">
        <v>0</v>
      </c>
      <c r="EJ398" s="14">
        <f t="shared" si="96"/>
        <v>2000</v>
      </c>
      <c r="EK398" s="10"/>
      <c r="EL398" s="10"/>
      <c r="EM398" s="10"/>
      <c r="EN398" s="10"/>
      <c r="EO398" s="10"/>
      <c r="EP398" s="10"/>
      <c r="EQ398" s="10"/>
      <c r="ER398" s="10"/>
      <c r="FX398" s="4"/>
      <c r="HY398" s="9"/>
      <c r="IJ398" s="4"/>
      <c r="IK398" s="4"/>
      <c r="IL398" s="4"/>
      <c r="IM398" s="9"/>
      <c r="IN398" s="9"/>
      <c r="IO398" s="9"/>
      <c r="IP398" s="9"/>
      <c r="IQ398" s="9"/>
    </row>
    <row r="399" spans="1:263" s="18" customFormat="1" ht="15" customHeight="1">
      <c r="A399" s="2">
        <v>102024105</v>
      </c>
      <c r="B399" t="s">
        <v>5413</v>
      </c>
      <c r="C399"/>
      <c r="D399" s="1">
        <v>2026</v>
      </c>
      <c r="E399" s="3"/>
      <c r="F399"/>
      <c r="G399" s="3"/>
      <c r="H399"/>
      <c r="I399"/>
      <c r="J399" t="s">
        <v>554</v>
      </c>
      <c r="K399" t="s">
        <v>4146</v>
      </c>
      <c r="L399" t="s">
        <v>5407</v>
      </c>
      <c r="M399"/>
      <c r="N399"/>
      <c r="O399" s="3"/>
      <c r="P399" t="s">
        <v>4146</v>
      </c>
      <c r="Q399" t="s">
        <v>502</v>
      </c>
      <c r="R399" t="s">
        <v>598</v>
      </c>
      <c r="S399"/>
      <c r="T399"/>
      <c r="U399"/>
      <c r="V399"/>
      <c r="W399"/>
      <c r="X399"/>
      <c r="Y399"/>
      <c r="Z399"/>
      <c r="AA399"/>
      <c r="AB399"/>
      <c r="AC399"/>
      <c r="AD399"/>
      <c r="AE399"/>
      <c r="AF399"/>
      <c r="AG399" s="43"/>
      <c r="AH399"/>
      <c r="AI399"/>
      <c r="AJ399" s="18" t="s">
        <v>328</v>
      </c>
      <c r="AK399" s="1"/>
      <c r="AL399" t="s">
        <v>386</v>
      </c>
      <c r="AM399"/>
      <c r="AN399"/>
      <c r="AO399" t="s">
        <v>5408</v>
      </c>
      <c r="AP399" s="1" t="s">
        <v>258</v>
      </c>
      <c r="AQ399" s="18" t="s">
        <v>386</v>
      </c>
      <c r="AR399" t="s">
        <v>260</v>
      </c>
      <c r="AS399" s="10"/>
      <c r="AT399" s="10"/>
      <c r="AU399" s="10"/>
      <c r="AV399" s="10"/>
      <c r="AW399" s="1"/>
      <c r="AX399"/>
      <c r="AY399" s="1"/>
      <c r="AZ399" s="1"/>
      <c r="BA399" s="1"/>
      <c r="BB399" s="1"/>
      <c r="BC399" s="2"/>
      <c r="BD399" s="116"/>
      <c r="BE399" s="115"/>
      <c r="BF399" s="2"/>
      <c r="BG399" s="2"/>
      <c r="BH399" s="2"/>
      <c r="BI399" s="2"/>
      <c r="BJ399" s="2"/>
      <c r="BK399" s="2"/>
      <c r="BL399" s="20">
        <f t="shared" ca="1" si="73"/>
        <v>265.09133333333335</v>
      </c>
      <c r="BM399" s="22">
        <f t="shared" ca="1" si="38"/>
        <v>-23.305739766986218</v>
      </c>
      <c r="BN399" s="22">
        <f t="shared" ca="1" si="39"/>
        <v>23.305739766986218</v>
      </c>
      <c r="BO399" s="14">
        <f t="shared" si="74"/>
        <v>0.8666666666666667</v>
      </c>
      <c r="BP399" s="22">
        <f t="shared" ca="1" si="40"/>
        <v>24.172406433652885</v>
      </c>
      <c r="BQ399" s="14"/>
      <c r="BR399" s="14">
        <f t="shared" si="41"/>
        <v>0</v>
      </c>
      <c r="BS399" s="14">
        <f t="shared" ca="1" si="42"/>
        <v>0</v>
      </c>
      <c r="BT399" s="17">
        <f t="shared" si="43"/>
        <v>0</v>
      </c>
      <c r="BU399" s="23">
        <f t="shared" ca="1" si="75"/>
        <v>65</v>
      </c>
      <c r="BV399" s="14">
        <f t="shared" ca="1" si="44"/>
        <v>0</v>
      </c>
      <c r="BW399" s="14"/>
      <c r="BX399" s="14">
        <f t="shared" si="45"/>
        <v>0</v>
      </c>
      <c r="BY399" s="14">
        <f t="shared" ca="1" si="46"/>
        <v>0</v>
      </c>
      <c r="BZ399" s="17">
        <f t="shared" si="47"/>
        <v>0</v>
      </c>
      <c r="CA399" s="23">
        <f t="shared" ca="1" si="76"/>
        <v>53</v>
      </c>
      <c r="CB399" s="14">
        <f t="shared" ca="1" si="48"/>
        <v>0</v>
      </c>
      <c r="CC399" s="14">
        <v>0</v>
      </c>
      <c r="CD399" s="14">
        <f t="shared" si="49"/>
        <v>0</v>
      </c>
      <c r="CE399" s="14">
        <f t="shared" ca="1" si="50"/>
        <v>0</v>
      </c>
      <c r="CF399" s="17">
        <f t="shared" si="51"/>
        <v>0</v>
      </c>
      <c r="CG399" s="23">
        <f t="shared" ca="1" si="77"/>
        <v>41</v>
      </c>
      <c r="CH399" s="14">
        <f t="shared" ca="1" si="52"/>
        <v>0</v>
      </c>
      <c r="CI399" s="14">
        <v>0</v>
      </c>
      <c r="CJ399" s="14">
        <f t="shared" si="53"/>
        <v>0</v>
      </c>
      <c r="CK399" s="14">
        <f t="shared" ca="1" si="54"/>
        <v>0</v>
      </c>
      <c r="CL399" s="17">
        <f t="shared" si="55"/>
        <v>0</v>
      </c>
      <c r="CM399" s="23">
        <f t="shared" ca="1" si="78"/>
        <v>29</v>
      </c>
      <c r="CN399" s="14">
        <f t="shared" ca="1" si="56"/>
        <v>0</v>
      </c>
      <c r="CO399" s="14">
        <f t="shared" si="79"/>
        <v>5.2</v>
      </c>
      <c r="CP399" s="14">
        <f t="shared" si="57"/>
        <v>0.52</v>
      </c>
      <c r="CQ399" s="14">
        <f t="shared" ca="1" si="58"/>
        <v>1.0009999999999997</v>
      </c>
      <c r="CR399" s="17">
        <f t="shared" si="59"/>
        <v>4.7666666666666649E-2</v>
      </c>
      <c r="CS399" s="23">
        <f t="shared" ca="1" si="80"/>
        <v>21</v>
      </c>
      <c r="CT399" s="23">
        <f t="shared" ca="1" si="60"/>
        <v>6.7210000000000001</v>
      </c>
      <c r="CU399" s="14">
        <f t="shared" si="81"/>
        <v>5.2</v>
      </c>
      <c r="CV399" s="14">
        <f t="shared" si="61"/>
        <v>0.52</v>
      </c>
      <c r="CW399" s="14">
        <f t="shared" ca="1" si="62"/>
        <v>0.81033333333333302</v>
      </c>
      <c r="CX399" s="17">
        <f t="shared" si="63"/>
        <v>4.7666666666666649E-2</v>
      </c>
      <c r="CY399" s="23">
        <f t="shared" ca="1" si="82"/>
        <v>17</v>
      </c>
      <c r="CZ399" s="23">
        <f t="shared" ca="1" si="64"/>
        <v>6.530333333333334</v>
      </c>
      <c r="DA399" s="14">
        <f t="shared" si="83"/>
        <v>4.5</v>
      </c>
      <c r="DB399" s="14">
        <f t="shared" si="65"/>
        <v>0.45</v>
      </c>
      <c r="DC399" s="14">
        <f t="shared" ca="1" si="66"/>
        <v>0.45374999999999976</v>
      </c>
      <c r="DD399" s="17">
        <f t="shared" si="67"/>
        <v>4.1249999999999981E-2</v>
      </c>
      <c r="DE399" s="23">
        <f t="shared" ca="1" si="84"/>
        <v>11</v>
      </c>
      <c r="DF399" s="23">
        <f t="shared" ca="1" si="68"/>
        <v>5.4037499999999996</v>
      </c>
      <c r="DG399" s="14">
        <f t="shared" si="85"/>
        <v>4.5</v>
      </c>
      <c r="DH399" s="14">
        <f t="shared" si="69"/>
        <v>0.45</v>
      </c>
      <c r="DI399" s="14">
        <f t="shared" ca="1" si="70"/>
        <v>0.20624999999999991</v>
      </c>
      <c r="DJ399" s="17">
        <f t="shared" si="71"/>
        <v>4.1249999999999981E-2</v>
      </c>
      <c r="DK399" s="23">
        <f t="shared" ca="1" si="86"/>
        <v>5</v>
      </c>
      <c r="DL399" s="14">
        <f t="shared" ca="1" si="72"/>
        <v>5.15625</v>
      </c>
      <c r="DM399" s="14">
        <f t="shared" si="87"/>
        <v>19.399999999999999</v>
      </c>
      <c r="DN399" s="14">
        <f t="shared" si="88"/>
        <v>1.94</v>
      </c>
      <c r="DO399" s="14">
        <f t="shared" ca="1" si="88"/>
        <v>2.4713333333333325</v>
      </c>
      <c r="DP399" s="25">
        <f t="shared" ca="1" si="89"/>
        <v>23.811333333333334</v>
      </c>
      <c r="DQ399" s="47">
        <f t="shared" ca="1" si="90"/>
        <v>1.1905666666666667E-2</v>
      </c>
      <c r="DR399" s="14">
        <f>20</f>
        <v>20</v>
      </c>
      <c r="DS399" s="32">
        <f t="shared" si="91"/>
        <v>2</v>
      </c>
      <c r="DT399" s="14">
        <f t="shared" si="92"/>
        <v>1.28</v>
      </c>
      <c r="DU399" s="4"/>
      <c r="DV399" s="4"/>
      <c r="DW399" s="4"/>
      <c r="DX399" s="4"/>
      <c r="DY399"/>
      <c r="DZ399" s="4"/>
      <c r="EA399" s="14">
        <f t="shared" si="93"/>
        <v>0</v>
      </c>
      <c r="EB399" s="14">
        <f t="shared" ca="1" si="94"/>
        <v>45.091333333333338</v>
      </c>
      <c r="EC399" s="24" t="s">
        <v>4935</v>
      </c>
      <c r="ED399" s="23">
        <v>0.5</v>
      </c>
      <c r="EE399" s="14">
        <v>2000</v>
      </c>
      <c r="EF399" s="14">
        <v>0</v>
      </c>
      <c r="EG399" s="14">
        <f t="shared" si="95"/>
        <v>2000</v>
      </c>
      <c r="EH399" s="14">
        <v>2000</v>
      </c>
      <c r="EI399" s="14">
        <v>0</v>
      </c>
      <c r="EJ399" s="14">
        <f t="shared" si="96"/>
        <v>2000</v>
      </c>
      <c r="EK399" s="10"/>
      <c r="EL399" s="10"/>
      <c r="EM399" s="10"/>
      <c r="EN399" s="10"/>
      <c r="EO399" s="10"/>
      <c r="EP399" s="10"/>
      <c r="EQ399" s="10"/>
      <c r="ER399" s="10"/>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s="4"/>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s="9"/>
      <c r="HZ399"/>
      <c r="IA399"/>
      <c r="IB399"/>
      <c r="IC399"/>
      <c r="ID399"/>
      <c r="IE399"/>
      <c r="IF399"/>
      <c r="IG399"/>
      <c r="IH399"/>
      <c r="II399"/>
      <c r="IJ399" s="4"/>
      <c r="IK399" s="4"/>
      <c r="IL399" s="4"/>
      <c r="IM399" s="9"/>
      <c r="IN399" s="9"/>
      <c r="IO399" s="9"/>
      <c r="IP399" s="9"/>
      <c r="IQ399" s="9"/>
      <c r="IR399"/>
      <c r="IS399"/>
      <c r="IT399"/>
      <c r="IU399"/>
      <c r="IV399"/>
      <c r="IW399"/>
      <c r="IX399"/>
      <c r="IY399"/>
      <c r="IZ399"/>
      <c r="JA399"/>
      <c r="JB399"/>
      <c r="JC399"/>
    </row>
    <row r="400" spans="1:263" s="247" customFormat="1" ht="15" customHeight="1">
      <c r="A400" s="2">
        <v>102024106</v>
      </c>
      <c r="B400" t="s">
        <v>5414</v>
      </c>
      <c r="C400"/>
      <c r="D400" s="1">
        <v>2026</v>
      </c>
      <c r="E400" s="3"/>
      <c r="F400"/>
      <c r="G400" s="3"/>
      <c r="H400"/>
      <c r="I400"/>
      <c r="J400" t="s">
        <v>554</v>
      </c>
      <c r="K400" t="s">
        <v>4146</v>
      </c>
      <c r="L400" t="s">
        <v>5407</v>
      </c>
      <c r="M400"/>
      <c r="N400"/>
      <c r="O400" s="3"/>
      <c r="P400" t="s">
        <v>4146</v>
      </c>
      <c r="Q400" t="s">
        <v>502</v>
      </c>
      <c r="R400" t="s">
        <v>598</v>
      </c>
      <c r="S400"/>
      <c r="T400"/>
      <c r="U400"/>
      <c r="V400"/>
      <c r="W400"/>
      <c r="X400"/>
      <c r="Y400"/>
      <c r="Z400"/>
      <c r="AA400"/>
      <c r="AB400"/>
      <c r="AC400"/>
      <c r="AD400"/>
      <c r="AE400"/>
      <c r="AF400"/>
      <c r="AG400" s="43"/>
      <c r="AH400"/>
      <c r="AI400"/>
      <c r="AJ400" s="18" t="s">
        <v>328</v>
      </c>
      <c r="AK400" s="1"/>
      <c r="AL400" t="s">
        <v>386</v>
      </c>
      <c r="AM400"/>
      <c r="AN400"/>
      <c r="AO400" t="s">
        <v>5408</v>
      </c>
      <c r="AP400" s="1" t="s">
        <v>258</v>
      </c>
      <c r="AQ400" s="18" t="s">
        <v>386</v>
      </c>
      <c r="AR400" t="s">
        <v>260</v>
      </c>
      <c r="AS400" s="10"/>
      <c r="AT400" s="10"/>
      <c r="AU400" s="10"/>
      <c r="AV400" s="10"/>
      <c r="AW400" s="1"/>
      <c r="AX400"/>
      <c r="AY400" s="1"/>
      <c r="AZ400" s="1"/>
      <c r="BA400" s="1"/>
      <c r="BB400" s="1"/>
      <c r="BC400" s="2"/>
      <c r="BD400" s="116"/>
      <c r="BE400" s="115"/>
      <c r="BF400" s="2"/>
      <c r="BG400" s="2"/>
      <c r="BH400" s="2"/>
      <c r="BI400" s="2"/>
      <c r="BJ400" s="2"/>
      <c r="BK400" s="2"/>
      <c r="BL400" s="20">
        <f t="shared" ca="1" si="73"/>
        <v>266.28190000000001</v>
      </c>
      <c r="BM400" s="22">
        <f t="shared" ca="1" si="38"/>
        <v>-23.410409491792691</v>
      </c>
      <c r="BN400" s="22">
        <f t="shared" ca="1" si="39"/>
        <v>23.410409491792691</v>
      </c>
      <c r="BO400" s="14">
        <f t="shared" si="74"/>
        <v>0.91</v>
      </c>
      <c r="BP400" s="22">
        <f t="shared" ca="1" si="40"/>
        <v>24.320409491792692</v>
      </c>
      <c r="BQ400" s="14"/>
      <c r="BR400" s="14">
        <f t="shared" si="41"/>
        <v>0</v>
      </c>
      <c r="BS400" s="14">
        <f t="shared" ca="1" si="42"/>
        <v>0</v>
      </c>
      <c r="BT400" s="17">
        <f t="shared" si="43"/>
        <v>0</v>
      </c>
      <c r="BU400" s="23">
        <f t="shared" ca="1" si="75"/>
        <v>65</v>
      </c>
      <c r="BV400" s="14">
        <f t="shared" ca="1" si="44"/>
        <v>0</v>
      </c>
      <c r="BW400" s="14"/>
      <c r="BX400" s="14">
        <f t="shared" si="45"/>
        <v>0</v>
      </c>
      <c r="BY400" s="14">
        <f t="shared" ca="1" si="46"/>
        <v>0</v>
      </c>
      <c r="BZ400" s="17">
        <f t="shared" si="47"/>
        <v>0</v>
      </c>
      <c r="CA400" s="23">
        <f t="shared" ca="1" si="76"/>
        <v>53</v>
      </c>
      <c r="CB400" s="14">
        <f t="shared" ca="1" si="48"/>
        <v>0</v>
      </c>
      <c r="CC400" s="14">
        <v>0</v>
      </c>
      <c r="CD400" s="14">
        <f t="shared" si="49"/>
        <v>0</v>
      </c>
      <c r="CE400" s="14">
        <f t="shared" ca="1" si="50"/>
        <v>0</v>
      </c>
      <c r="CF400" s="17">
        <f t="shared" si="51"/>
        <v>0</v>
      </c>
      <c r="CG400" s="23">
        <f t="shared" ca="1" si="77"/>
        <v>41</v>
      </c>
      <c r="CH400" s="14">
        <f t="shared" ca="1" si="52"/>
        <v>0</v>
      </c>
      <c r="CI400" s="14">
        <v>0</v>
      </c>
      <c r="CJ400" s="14">
        <f t="shared" si="53"/>
        <v>0</v>
      </c>
      <c r="CK400" s="14">
        <f t="shared" ca="1" si="54"/>
        <v>0</v>
      </c>
      <c r="CL400" s="17">
        <f t="shared" si="55"/>
        <v>0</v>
      </c>
      <c r="CM400" s="23">
        <f t="shared" ca="1" si="78"/>
        <v>29</v>
      </c>
      <c r="CN400" s="14">
        <f t="shared" ca="1" si="56"/>
        <v>0</v>
      </c>
      <c r="CO400" s="14">
        <f t="shared" si="79"/>
        <v>5.46</v>
      </c>
      <c r="CP400" s="14">
        <f t="shared" si="57"/>
        <v>0.54600000000000004</v>
      </c>
      <c r="CQ400" s="14">
        <f t="shared" ca="1" si="58"/>
        <v>1.0510499999999996</v>
      </c>
      <c r="CR400" s="17">
        <f t="shared" si="59"/>
        <v>5.0049999999999983E-2</v>
      </c>
      <c r="CS400" s="23">
        <f t="shared" ca="1" si="80"/>
        <v>21</v>
      </c>
      <c r="CT400" s="23">
        <f t="shared" ca="1" si="60"/>
        <v>7.0570500000000003</v>
      </c>
      <c r="CU400" s="14">
        <f t="shared" si="81"/>
        <v>5.46</v>
      </c>
      <c r="CV400" s="14">
        <f t="shared" si="61"/>
        <v>0.54600000000000004</v>
      </c>
      <c r="CW400" s="14">
        <f t="shared" ca="1" si="62"/>
        <v>0.85084999999999966</v>
      </c>
      <c r="CX400" s="17">
        <f t="shared" si="63"/>
        <v>5.0049999999999983E-2</v>
      </c>
      <c r="CY400" s="23">
        <f t="shared" ca="1" si="82"/>
        <v>17</v>
      </c>
      <c r="CZ400" s="23">
        <f t="shared" ca="1" si="64"/>
        <v>6.8568499999999997</v>
      </c>
      <c r="DA400" s="14">
        <f t="shared" si="83"/>
        <v>4.7249999999999996</v>
      </c>
      <c r="DB400" s="14">
        <f t="shared" si="65"/>
        <v>0.47249999999999998</v>
      </c>
      <c r="DC400" s="14">
        <f t="shared" ca="1" si="66"/>
        <v>0.47643749999999979</v>
      </c>
      <c r="DD400" s="17">
        <f t="shared" si="67"/>
        <v>4.3312499999999983E-2</v>
      </c>
      <c r="DE400" s="23">
        <f t="shared" ca="1" si="84"/>
        <v>11</v>
      </c>
      <c r="DF400" s="23">
        <f t="shared" ca="1" si="68"/>
        <v>5.6739374999999992</v>
      </c>
      <c r="DG400" s="14">
        <f t="shared" si="85"/>
        <v>4.7249999999999996</v>
      </c>
      <c r="DH400" s="14">
        <f t="shared" si="69"/>
        <v>0.47249999999999998</v>
      </c>
      <c r="DI400" s="14">
        <f t="shared" ca="1" si="70"/>
        <v>0.21656249999999991</v>
      </c>
      <c r="DJ400" s="17">
        <f t="shared" si="71"/>
        <v>4.3312499999999983E-2</v>
      </c>
      <c r="DK400" s="23">
        <f t="shared" ca="1" si="86"/>
        <v>5</v>
      </c>
      <c r="DL400" s="14">
        <f t="shared" ca="1" si="72"/>
        <v>5.4140625</v>
      </c>
      <c r="DM400" s="14">
        <f t="shared" si="87"/>
        <v>20.369999999999997</v>
      </c>
      <c r="DN400" s="14">
        <f t="shared" si="88"/>
        <v>2.0369999999999999</v>
      </c>
      <c r="DO400" s="14">
        <f t="shared" ca="1" si="88"/>
        <v>2.5948999999999987</v>
      </c>
      <c r="DP400" s="25">
        <f t="shared" ca="1" si="89"/>
        <v>25.001899999999996</v>
      </c>
      <c r="DQ400" s="47">
        <f t="shared" ca="1" si="90"/>
        <v>1.1905666666666665E-2</v>
      </c>
      <c r="DR400" s="14">
        <f>20</f>
        <v>20</v>
      </c>
      <c r="DS400" s="32">
        <f t="shared" si="91"/>
        <v>2</v>
      </c>
      <c r="DT400" s="14">
        <f t="shared" si="92"/>
        <v>1.28</v>
      </c>
      <c r="DU400" s="4"/>
      <c r="DV400" s="4"/>
      <c r="DW400" s="4"/>
      <c r="DX400" s="4"/>
      <c r="DY400"/>
      <c r="DZ400" s="4"/>
      <c r="EA400" s="14">
        <f t="shared" si="93"/>
        <v>0</v>
      </c>
      <c r="EB400" s="14">
        <f t="shared" ca="1" si="94"/>
        <v>46.281899999999993</v>
      </c>
      <c r="EC400" s="24" t="s">
        <v>4935</v>
      </c>
      <c r="ED400" s="23">
        <v>0.52</v>
      </c>
      <c r="EE400" s="14">
        <v>2100</v>
      </c>
      <c r="EF400" s="14">
        <v>0</v>
      </c>
      <c r="EG400" s="14">
        <f t="shared" si="95"/>
        <v>2100</v>
      </c>
      <c r="EH400" s="14">
        <v>2100</v>
      </c>
      <c r="EI400" s="14">
        <v>0</v>
      </c>
      <c r="EJ400" s="14">
        <f t="shared" si="96"/>
        <v>2100</v>
      </c>
      <c r="EK400" s="10"/>
      <c r="EL400" s="10"/>
      <c r="EM400" s="10"/>
      <c r="EN400" s="10"/>
      <c r="EO400" s="10"/>
      <c r="EP400" s="10"/>
      <c r="EQ400" s="10"/>
      <c r="ER400" s="1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s="4"/>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s="9"/>
      <c r="HZ400"/>
      <c r="IA400"/>
      <c r="IB400"/>
      <c r="IC400"/>
      <c r="ID400"/>
      <c r="IE400"/>
      <c r="IF400"/>
      <c r="IG400"/>
      <c r="IH400"/>
      <c r="II400"/>
      <c r="IJ400" s="4"/>
      <c r="IK400" s="4"/>
      <c r="IL400" s="4"/>
      <c r="IM400" s="9"/>
      <c r="IN400" s="9"/>
      <c r="IO400" s="9"/>
      <c r="IP400" s="9"/>
      <c r="IQ400" s="9"/>
      <c r="IR400"/>
      <c r="IS400"/>
      <c r="IT400"/>
      <c r="IU400"/>
      <c r="IV400"/>
      <c r="IW400"/>
      <c r="IX400"/>
      <c r="IY400"/>
      <c r="IZ400"/>
      <c r="JA400"/>
      <c r="JB400"/>
      <c r="JC400"/>
    </row>
    <row r="401" spans="1:263" ht="15" customHeight="1">
      <c r="A401" s="2">
        <v>102024107</v>
      </c>
      <c r="B401" t="s">
        <v>5415</v>
      </c>
      <c r="D401" s="1">
        <v>2026</v>
      </c>
      <c r="E401" s="3"/>
      <c r="G401" s="3"/>
      <c r="J401" t="s">
        <v>554</v>
      </c>
      <c r="K401" t="s">
        <v>4146</v>
      </c>
      <c r="L401" t="s">
        <v>5407</v>
      </c>
      <c r="O401" s="3"/>
      <c r="P401" t="s">
        <v>4146</v>
      </c>
      <c r="Q401" t="s">
        <v>502</v>
      </c>
      <c r="R401" t="s">
        <v>598</v>
      </c>
      <c r="AG401" s="43"/>
      <c r="AJ401" s="18" t="s">
        <v>328</v>
      </c>
      <c r="AK401" s="1"/>
      <c r="AL401" t="s">
        <v>386</v>
      </c>
      <c r="AM401"/>
      <c r="AN401"/>
      <c r="AO401" t="s">
        <v>5408</v>
      </c>
      <c r="AP401" s="1" t="s">
        <v>258</v>
      </c>
      <c r="AQ401" s="18" t="s">
        <v>386</v>
      </c>
      <c r="AR401" t="s">
        <v>260</v>
      </c>
      <c r="AS401" s="10"/>
      <c r="AT401" s="10"/>
      <c r="AU401" s="10"/>
      <c r="AV401" s="10"/>
      <c r="AW401" s="1"/>
      <c r="AY401" s="1"/>
      <c r="AZ401" s="1"/>
      <c r="BA401" s="1"/>
      <c r="BB401" s="1"/>
      <c r="BC401" s="2"/>
      <c r="BD401" s="116"/>
      <c r="BE401" s="115"/>
      <c r="BF401" s="2"/>
      <c r="BG401" s="2"/>
      <c r="BH401" s="2"/>
      <c r="BI401" s="2"/>
      <c r="BJ401" s="2"/>
      <c r="BK401" s="2"/>
      <c r="BL401" s="20">
        <f t="shared" ca="1" si="73"/>
        <v>247.23283333333333</v>
      </c>
      <c r="BM401" s="22">
        <f t="shared" ca="1" si="38"/>
        <v>-21.735693894889092</v>
      </c>
      <c r="BN401" s="22">
        <f t="shared" ca="1" si="39"/>
        <v>21.735693894889092</v>
      </c>
      <c r="BO401" s="14">
        <f t="shared" si="74"/>
        <v>0.21666666666666667</v>
      </c>
      <c r="BP401" s="22">
        <f t="shared" ca="1" si="40"/>
        <v>21.952360561555757</v>
      </c>
      <c r="BQ401" s="14"/>
      <c r="BR401" s="14">
        <f t="shared" si="41"/>
        <v>0</v>
      </c>
      <c r="BS401" s="14">
        <f t="shared" ca="1" si="42"/>
        <v>0</v>
      </c>
      <c r="BT401" s="17">
        <f t="shared" si="43"/>
        <v>0</v>
      </c>
      <c r="BU401" s="23">
        <f t="shared" ca="1" si="75"/>
        <v>65</v>
      </c>
      <c r="BV401" s="14">
        <f t="shared" ca="1" si="44"/>
        <v>0</v>
      </c>
      <c r="BW401" s="14"/>
      <c r="BX401" s="14">
        <f t="shared" si="45"/>
        <v>0</v>
      </c>
      <c r="BY401" s="14">
        <f t="shared" ca="1" si="46"/>
        <v>0</v>
      </c>
      <c r="BZ401" s="17">
        <f t="shared" si="47"/>
        <v>0</v>
      </c>
      <c r="CA401" s="23">
        <f t="shared" ca="1" si="76"/>
        <v>53</v>
      </c>
      <c r="CB401" s="14">
        <f t="shared" ca="1" si="48"/>
        <v>0</v>
      </c>
      <c r="CC401" s="14">
        <v>0</v>
      </c>
      <c r="CD401" s="14">
        <f t="shared" si="49"/>
        <v>0</v>
      </c>
      <c r="CE401" s="14">
        <f t="shared" ca="1" si="50"/>
        <v>0</v>
      </c>
      <c r="CF401" s="17">
        <f t="shared" si="51"/>
        <v>0</v>
      </c>
      <c r="CG401" s="23">
        <f t="shared" ca="1" si="77"/>
        <v>41</v>
      </c>
      <c r="CH401" s="14">
        <f t="shared" ca="1" si="52"/>
        <v>0</v>
      </c>
      <c r="CI401" s="14">
        <v>0</v>
      </c>
      <c r="CJ401" s="14">
        <f t="shared" si="53"/>
        <v>0</v>
      </c>
      <c r="CK401" s="14">
        <f t="shared" ca="1" si="54"/>
        <v>0</v>
      </c>
      <c r="CL401" s="17">
        <f t="shared" si="55"/>
        <v>0</v>
      </c>
      <c r="CM401" s="23">
        <f t="shared" ca="1" si="78"/>
        <v>29</v>
      </c>
      <c r="CN401" s="14">
        <f t="shared" ca="1" si="56"/>
        <v>0</v>
      </c>
      <c r="CO401" s="14">
        <f t="shared" si="79"/>
        <v>1.3</v>
      </c>
      <c r="CP401" s="14">
        <f t="shared" si="57"/>
        <v>0.13</v>
      </c>
      <c r="CQ401" s="14">
        <f t="shared" ca="1" si="58"/>
        <v>0.25024999999999992</v>
      </c>
      <c r="CR401" s="17">
        <f t="shared" si="59"/>
        <v>1.1916666666666662E-2</v>
      </c>
      <c r="CS401" s="23">
        <f t="shared" ca="1" si="80"/>
        <v>21</v>
      </c>
      <c r="CT401" s="23">
        <f t="shared" ca="1" si="60"/>
        <v>1.68025</v>
      </c>
      <c r="CU401" s="14">
        <f t="shared" si="81"/>
        <v>1.3</v>
      </c>
      <c r="CV401" s="14">
        <f t="shared" si="61"/>
        <v>0.13</v>
      </c>
      <c r="CW401" s="14">
        <f t="shared" ca="1" si="62"/>
        <v>0.20258333333333325</v>
      </c>
      <c r="CX401" s="17">
        <f t="shared" si="63"/>
        <v>1.1916666666666662E-2</v>
      </c>
      <c r="CY401" s="23">
        <f t="shared" ca="1" si="82"/>
        <v>17</v>
      </c>
      <c r="CZ401" s="23">
        <f t="shared" ca="1" si="64"/>
        <v>1.6325833333333335</v>
      </c>
      <c r="DA401" s="14">
        <f t="shared" si="83"/>
        <v>1.125</v>
      </c>
      <c r="DB401" s="14">
        <f t="shared" si="65"/>
        <v>0.1125</v>
      </c>
      <c r="DC401" s="14">
        <f t="shared" ca="1" si="66"/>
        <v>0.11343749999999994</v>
      </c>
      <c r="DD401" s="17">
        <f t="shared" si="67"/>
        <v>1.0312499999999995E-2</v>
      </c>
      <c r="DE401" s="23">
        <f t="shared" ca="1" si="84"/>
        <v>11</v>
      </c>
      <c r="DF401" s="23">
        <f t="shared" ca="1" si="68"/>
        <v>1.3509374999999999</v>
      </c>
      <c r="DG401" s="14">
        <f t="shared" si="85"/>
        <v>1.125</v>
      </c>
      <c r="DH401" s="14">
        <f t="shared" si="69"/>
        <v>0.1125</v>
      </c>
      <c r="DI401" s="14">
        <f t="shared" ca="1" si="70"/>
        <v>5.1562499999999976E-2</v>
      </c>
      <c r="DJ401" s="17">
        <f t="shared" si="71"/>
        <v>1.0312499999999995E-2</v>
      </c>
      <c r="DK401" s="23">
        <f t="shared" ca="1" si="86"/>
        <v>5</v>
      </c>
      <c r="DL401" s="14">
        <f t="shared" ca="1" si="72"/>
        <v>1.2890625</v>
      </c>
      <c r="DM401" s="14">
        <f t="shared" si="87"/>
        <v>4.8499999999999996</v>
      </c>
      <c r="DN401" s="14">
        <f t="shared" si="88"/>
        <v>0.48499999999999999</v>
      </c>
      <c r="DO401" s="14">
        <f t="shared" ca="1" si="88"/>
        <v>0.61783333333333312</v>
      </c>
      <c r="DP401" s="25">
        <f t="shared" ca="1" si="89"/>
        <v>5.9528333333333334</v>
      </c>
      <c r="DQ401" s="47">
        <f t="shared" ca="1" si="90"/>
        <v>1.1905666666666667E-2</v>
      </c>
      <c r="DR401" s="14">
        <f>20</f>
        <v>20</v>
      </c>
      <c r="DS401" s="32">
        <f t="shared" si="91"/>
        <v>2</v>
      </c>
      <c r="DT401" s="14">
        <f t="shared" si="92"/>
        <v>1.28</v>
      </c>
      <c r="DU401" s="4"/>
      <c r="DV401" s="4"/>
      <c r="DW401" s="4"/>
      <c r="DX401" s="4"/>
      <c r="DZ401" s="4"/>
      <c r="EA401" s="14">
        <f t="shared" si="93"/>
        <v>0</v>
      </c>
      <c r="EB401" s="14">
        <f t="shared" ca="1" si="94"/>
        <v>27.232833333333335</v>
      </c>
      <c r="EC401" s="24" t="s">
        <v>4935</v>
      </c>
      <c r="ED401" s="23">
        <v>0.11</v>
      </c>
      <c r="EE401" s="14">
        <v>500</v>
      </c>
      <c r="EF401" s="14">
        <v>0</v>
      </c>
      <c r="EG401" s="14">
        <f t="shared" si="95"/>
        <v>500</v>
      </c>
      <c r="EH401" s="14">
        <v>500</v>
      </c>
      <c r="EI401" s="14">
        <v>0</v>
      </c>
      <c r="EJ401" s="14">
        <f t="shared" si="96"/>
        <v>500</v>
      </c>
      <c r="EK401" s="10"/>
      <c r="EL401" s="10"/>
      <c r="EM401" s="10"/>
      <c r="EN401" s="10"/>
      <c r="EO401" s="10"/>
      <c r="EP401" s="10"/>
      <c r="EQ401" s="10"/>
      <c r="ER401" s="10"/>
      <c r="FX401" s="4"/>
      <c r="HY401" s="9"/>
      <c r="IJ401" s="4"/>
      <c r="IK401" s="4"/>
      <c r="IL401" s="4"/>
      <c r="IM401" s="9"/>
      <c r="IN401" s="9"/>
      <c r="IO401" s="9"/>
      <c r="IP401" s="9"/>
      <c r="IQ401" s="9"/>
    </row>
    <row r="402" spans="1:263" ht="15" customHeight="1">
      <c r="A402" s="19">
        <v>102022215</v>
      </c>
      <c r="B402" t="s">
        <v>2927</v>
      </c>
      <c r="D402" s="1">
        <v>2025</v>
      </c>
      <c r="J402" t="s">
        <v>311</v>
      </c>
      <c r="K402" t="s">
        <v>740</v>
      </c>
      <c r="L402" t="s">
        <v>3296</v>
      </c>
      <c r="M402" t="s">
        <v>357</v>
      </c>
      <c r="AJ402" t="s">
        <v>328</v>
      </c>
      <c r="AL402" t="s">
        <v>386</v>
      </c>
      <c r="AM402"/>
      <c r="AN402"/>
      <c r="AO402" s="3" t="s">
        <v>3295</v>
      </c>
      <c r="AP402" s="3" t="s">
        <v>258</v>
      </c>
      <c r="AQ402" t="s">
        <v>386</v>
      </c>
      <c r="AR402" t="s">
        <v>260</v>
      </c>
      <c r="AT402" s="1"/>
      <c r="AU402" s="1"/>
      <c r="AV402" s="1"/>
      <c r="AW402" s="1"/>
      <c r="AX402" s="2"/>
      <c r="AY402" s="2"/>
      <c r="AZ402" s="70"/>
      <c r="BA402" s="2"/>
      <c r="BB402" s="2"/>
      <c r="BC402" s="2"/>
      <c r="BD402" s="2"/>
      <c r="BE402" s="2"/>
      <c r="BF402" s="2"/>
      <c r="BG402" s="20"/>
      <c r="BH402" s="22"/>
      <c r="BI402" s="22"/>
      <c r="BJ402" s="14"/>
      <c r="BK402" s="22"/>
      <c r="BL402" s="14"/>
      <c r="BM402" s="14"/>
      <c r="BN402" s="14"/>
      <c r="BO402" s="17"/>
      <c r="BP402" s="23"/>
      <c r="BQ402" s="14"/>
      <c r="BR402" s="14"/>
      <c r="BS402" s="14"/>
      <c r="BT402" s="14"/>
      <c r="BU402" s="17"/>
      <c r="BV402" s="23"/>
      <c r="BW402" s="14"/>
      <c r="BX402" s="14"/>
      <c r="BY402" s="14"/>
      <c r="BZ402" s="14"/>
      <c r="CA402" s="17"/>
      <c r="CB402" s="23"/>
      <c r="CC402" s="14"/>
      <c r="CD402" s="14"/>
      <c r="CE402" s="14"/>
      <c r="CF402" s="14"/>
      <c r="CG402" s="17"/>
      <c r="CH402" s="23"/>
      <c r="CI402" s="14"/>
      <c r="CJ402" s="14"/>
      <c r="CK402" s="14"/>
      <c r="CL402" s="14"/>
      <c r="CM402" s="17"/>
      <c r="CN402" s="23"/>
      <c r="CO402" s="14"/>
      <c r="CP402" s="14"/>
      <c r="CQ402" s="14"/>
      <c r="CR402" s="14"/>
      <c r="CS402" s="14"/>
      <c r="CT402" s="47"/>
      <c r="CU402" s="14"/>
      <c r="CV402" s="32"/>
      <c r="CW402" s="14"/>
      <c r="CY402" s="14"/>
      <c r="DE402" s="14"/>
      <c r="DF402" s="24"/>
      <c r="DG402" s="4"/>
      <c r="DH402" s="4"/>
      <c r="DI402" s="25"/>
      <c r="DJ402" s="35">
        <f>0.08+0.08</f>
        <v>0.16</v>
      </c>
      <c r="IC402" s="4"/>
    </row>
    <row r="403" spans="1:263" s="18" customFormat="1" ht="15" customHeight="1">
      <c r="A403" s="2">
        <v>102024108</v>
      </c>
      <c r="B403" t="s">
        <v>5416</v>
      </c>
      <c r="C403"/>
      <c r="D403" s="1"/>
      <c r="E403" s="3"/>
      <c r="F403"/>
      <c r="G403" s="3"/>
      <c r="H403"/>
      <c r="I403"/>
      <c r="J403" t="s">
        <v>554</v>
      </c>
      <c r="K403" t="s">
        <v>4146</v>
      </c>
      <c r="L403" t="s">
        <v>5407</v>
      </c>
      <c r="M403"/>
      <c r="N403"/>
      <c r="O403" s="3"/>
      <c r="P403" t="s">
        <v>4146</v>
      </c>
      <c r="Q403" t="s">
        <v>502</v>
      </c>
      <c r="R403" t="s">
        <v>598</v>
      </c>
      <c r="S403"/>
      <c r="T403"/>
      <c r="U403"/>
      <c r="V403"/>
      <c r="W403"/>
      <c r="X403"/>
      <c r="Y403"/>
      <c r="Z403"/>
      <c r="AA403"/>
      <c r="AB403"/>
      <c r="AC403"/>
      <c r="AD403"/>
      <c r="AE403"/>
      <c r="AF403"/>
      <c r="AG403" s="43"/>
      <c r="AH403"/>
      <c r="AI403"/>
      <c r="AJ403" s="18" t="s">
        <v>328</v>
      </c>
      <c r="AK403" s="1"/>
      <c r="AL403" t="s">
        <v>386</v>
      </c>
      <c r="AM403"/>
      <c r="AN403"/>
      <c r="AO403" t="s">
        <v>5408</v>
      </c>
      <c r="AP403" s="1" t="s">
        <v>258</v>
      </c>
      <c r="AQ403" s="18" t="s">
        <v>386</v>
      </c>
      <c r="AR403" t="s">
        <v>260</v>
      </c>
      <c r="AS403" s="10"/>
      <c r="AT403" s="10"/>
      <c r="AU403" s="10"/>
      <c r="AV403" s="10"/>
      <c r="AW403" s="1"/>
      <c r="AX403"/>
      <c r="AY403" s="1"/>
      <c r="AZ403" s="1"/>
      <c r="BA403" s="1"/>
      <c r="BB403" s="1"/>
      <c r="BC403" s="2"/>
      <c r="BD403" s="116"/>
      <c r="BE403" s="115"/>
      <c r="BF403" s="2"/>
      <c r="BG403" s="2"/>
      <c r="BH403" s="2"/>
      <c r="BI403" s="2"/>
      <c r="BJ403" s="2"/>
      <c r="BK403" s="2"/>
      <c r="BL403" s="20">
        <f ca="1">SUM(EB403)+220</f>
        <v>324.61966666666666</v>
      </c>
      <c r="BM403" s="22">
        <f ca="1">PMT(10%/12,12,BL403,0,0)</f>
        <v>-28.539226007309974</v>
      </c>
      <c r="BN403" s="22">
        <f ca="1">SUM(BM403*-1)</f>
        <v>28.539226007309974</v>
      </c>
      <c r="BO403" s="14">
        <f>SUM(EJ403*0.0052)/12</f>
        <v>3.0333333333333332</v>
      </c>
      <c r="BP403" s="22">
        <f ca="1">SUM(BN403+BO403)</f>
        <v>31.572559340643309</v>
      </c>
      <c r="BQ403" s="14"/>
      <c r="BR403" s="14">
        <f>SUM(BQ403*0.1)</f>
        <v>0</v>
      </c>
      <c r="BS403" s="14">
        <f ca="1">SUM(BT403*BU403)</f>
        <v>0</v>
      </c>
      <c r="BT403" s="17">
        <f>SUM((BQ403+BR403)*0.00833333333333333)</f>
        <v>0</v>
      </c>
      <c r="BU403" s="23">
        <f ca="1">MONTH(TODAY())+61</f>
        <v>65</v>
      </c>
      <c r="BV403" s="14">
        <f ca="1">SUM(BQ403,BR403,BS403)</f>
        <v>0</v>
      </c>
      <c r="BW403" s="14"/>
      <c r="BX403" s="14">
        <f>SUM(BW403*0.1)</f>
        <v>0</v>
      </c>
      <c r="BY403" s="14">
        <f ca="1">SUM(BZ403*CA403)</f>
        <v>0</v>
      </c>
      <c r="BZ403" s="17">
        <f>SUM((BW403+BX403)*0.00833333333333333)</f>
        <v>0</v>
      </c>
      <c r="CA403" s="23">
        <f ca="1">MONTH(TODAY())+49</f>
        <v>53</v>
      </c>
      <c r="CB403" s="14">
        <f ca="1">SUM(BW403,BX403,BY403)</f>
        <v>0</v>
      </c>
      <c r="CC403" s="14">
        <v>0</v>
      </c>
      <c r="CD403" s="14">
        <f>SUM(CC403*0.1)</f>
        <v>0</v>
      </c>
      <c r="CE403" s="14">
        <f ca="1">SUM(CF403*CG403)</f>
        <v>0</v>
      </c>
      <c r="CF403" s="17">
        <f>SUM((CC403+CD403)*0.00833333333333333)</f>
        <v>0</v>
      </c>
      <c r="CG403" s="23">
        <f ca="1">MONTH(TODAY())+37</f>
        <v>41</v>
      </c>
      <c r="CH403" s="14">
        <f ca="1">SUM(CC403,CD403,CE403)</f>
        <v>0</v>
      </c>
      <c r="CI403" s="14">
        <v>0</v>
      </c>
      <c r="CJ403" s="14">
        <f>SUM(CI403*0.1)</f>
        <v>0</v>
      </c>
      <c r="CK403" s="14">
        <f ca="1">SUM(CL403*CM403)</f>
        <v>0</v>
      </c>
      <c r="CL403" s="17">
        <f>SUM((CI403+CJ403)*0.00833333333333333)</f>
        <v>0</v>
      </c>
      <c r="CM403" s="23">
        <f ca="1">MONTH(TODAY())+25</f>
        <v>29</v>
      </c>
      <c r="CN403" s="14">
        <f ca="1">SUM(CI403,CJ403,CK403)</f>
        <v>0</v>
      </c>
      <c r="CO403" s="14">
        <f>SUM(EG403*0.0052)/2</f>
        <v>18.2</v>
      </c>
      <c r="CP403" s="14">
        <f>SUM(CO403*0.1)</f>
        <v>1.82</v>
      </c>
      <c r="CQ403" s="14">
        <f ca="1">SUM(CR403*CS403)</f>
        <v>3.5034999999999981</v>
      </c>
      <c r="CR403" s="17">
        <f>SUM((CO403+CP403)*0.00833333333333333)</f>
        <v>0.16683333333333325</v>
      </c>
      <c r="CS403" s="23">
        <f ca="1">MONTH(TODAY())+17</f>
        <v>21</v>
      </c>
      <c r="CT403" s="23">
        <f ca="1">SUM(CO403,CP403,CQ403)</f>
        <v>23.523499999999999</v>
      </c>
      <c r="CU403" s="14">
        <f>SUM(EG403*0.0052)/2</f>
        <v>18.2</v>
      </c>
      <c r="CV403" s="14">
        <f>SUM(CU403*0.1)</f>
        <v>1.82</v>
      </c>
      <c r="CW403" s="14">
        <f ca="1">SUM(CX403*CY403)</f>
        <v>2.8361666666666654</v>
      </c>
      <c r="CX403" s="17">
        <f>SUM((CU403+CV403)*0.00833333333333333)</f>
        <v>0.16683333333333325</v>
      </c>
      <c r="CY403" s="23">
        <f ca="1">MONTH(TODAY())+13</f>
        <v>17</v>
      </c>
      <c r="CZ403" s="23">
        <f ca="1">SUM(CU403,CV403,CW403)</f>
        <v>22.856166666666667</v>
      </c>
      <c r="DA403" s="14">
        <f>SUM(EJ403*0.0045)/2</f>
        <v>15.749999999999998</v>
      </c>
      <c r="DB403" s="14">
        <f>SUM(DA403*0.1)</f>
        <v>1.575</v>
      </c>
      <c r="DC403" s="14">
        <f ca="1">SUM(DD403*DE403)</f>
        <v>1.5881249999999991</v>
      </c>
      <c r="DD403" s="17">
        <f>SUM((DA403+DB403)*0.00833333333333333)</f>
        <v>0.14437499999999992</v>
      </c>
      <c r="DE403" s="23">
        <f ca="1">MONTH(TODAY())+7</f>
        <v>11</v>
      </c>
      <c r="DF403" s="23">
        <f ca="1">SUM(DA403,DB403,DC403)</f>
        <v>18.913124999999997</v>
      </c>
      <c r="DG403" s="14">
        <f>SUM(EJ403*0.0045)/2</f>
        <v>15.749999999999998</v>
      </c>
      <c r="DH403" s="14">
        <f>SUM(DG403*0.1)</f>
        <v>1.575</v>
      </c>
      <c r="DI403" s="14">
        <f ca="1">SUM(DJ403*DK403)</f>
        <v>0.7218749999999996</v>
      </c>
      <c r="DJ403" s="17">
        <f>SUM((DG403+DH403)*0.00833333333333333)</f>
        <v>0.14437499999999992</v>
      </c>
      <c r="DK403" s="23">
        <f ca="1">MONTH(TODAY())+1</f>
        <v>5</v>
      </c>
      <c r="DL403" s="14">
        <f ca="1">SUM(DG403,DH403,DI403)</f>
        <v>18.046875</v>
      </c>
      <c r="DM403" s="14">
        <f>SUM( BQ403, BW403, CC403, CI403, CO403,CU403,DA403,DG403)</f>
        <v>67.899999999999991</v>
      </c>
      <c r="DN403" s="14">
        <f>SUM(BR403,BX403,CD403,CJ403, CP403,CV403,DB403,DH403)</f>
        <v>6.79</v>
      </c>
      <c r="DO403" s="14">
        <f ca="1">SUM(BS403,BY403,CE403,CK403, CQ403,CW403,DC403,DI403)</f>
        <v>8.6496666666666613</v>
      </c>
      <c r="DP403" s="25">
        <f ca="1">SUM(DM403:DO403)</f>
        <v>83.339666666666659</v>
      </c>
      <c r="DQ403" s="47">
        <f ca="1">SUM(DP403/EH403)</f>
        <v>1.1905666666666665E-2</v>
      </c>
      <c r="DR403" s="14">
        <f>20</f>
        <v>20</v>
      </c>
      <c r="DS403" s="32">
        <f>COUNTIF(AO403, "*")+COUNTIF(AJ403, "*")+COUNTIF(AA403, "*")+COUNTIF(EU403, "*")+COUNTIF(FA403, "*")+COUNTIF(FG403, "*")+COUNTIF(FK403, "*")+COUNTIF(FR403, "*")+COUNTIF(AS403, "*")+COUNTIF(GA403, "*")+COUNTIF(GL403, "*")+COUNTIF(GW403, "*")+COUNTIF(HE403, "*")+COUNTIF(HM403, "*")+COUNTIF(HU403, "*")</f>
        <v>2</v>
      </c>
      <c r="DT403" s="14">
        <f>DS403*0.64</f>
        <v>1.28</v>
      </c>
      <c r="DU403" s="4"/>
      <c r="DV403" s="4"/>
      <c r="DW403" s="4"/>
      <c r="DX403" s="4"/>
      <c r="DY403"/>
      <c r="DZ403" s="4"/>
      <c r="EA403" s="14">
        <f>SUM(DV403:DZ403)</f>
        <v>0</v>
      </c>
      <c r="EB403" s="14">
        <f ca="1">SUM(DP403,DR403,EA403, DU403, DT403,FX403)</f>
        <v>104.61966666666666</v>
      </c>
      <c r="EC403" s="24" t="s">
        <v>4935</v>
      </c>
      <c r="ED403" s="23">
        <f>0.29+0.2+0.2+0.15+0.17+0.23+0.17</f>
        <v>1.41</v>
      </c>
      <c r="EE403" s="14">
        <v>7000</v>
      </c>
      <c r="EF403" s="14">
        <v>0</v>
      </c>
      <c r="EG403" s="4">
        <f>SUM(EE403+EF403)</f>
        <v>7000</v>
      </c>
      <c r="EH403" s="14">
        <v>7000</v>
      </c>
      <c r="EI403" s="14">
        <v>0</v>
      </c>
      <c r="EJ403" s="4">
        <f>SUM(EH403+EI403)</f>
        <v>7000</v>
      </c>
      <c r="EK403" s="10"/>
      <c r="EL403" s="10"/>
      <c r="EM403" s="10"/>
      <c r="EN403" s="10"/>
      <c r="EO403" s="10"/>
      <c r="EP403" s="10"/>
      <c r="EQ403" s="10"/>
      <c r="ER403" s="10"/>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s="4"/>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s="9"/>
      <c r="HZ403"/>
      <c r="IA403"/>
      <c r="IB403"/>
      <c r="IC403"/>
      <c r="ID403"/>
      <c r="IE403"/>
      <c r="IF403"/>
      <c r="IG403"/>
      <c r="IH403"/>
      <c r="II403"/>
      <c r="IJ403" s="4"/>
      <c r="IK403" s="4"/>
      <c r="IL403" s="4"/>
      <c r="IM403" s="9"/>
      <c r="IN403" s="9"/>
      <c r="IO403" s="9"/>
      <c r="IP403" s="9"/>
      <c r="IQ403" s="9"/>
      <c r="IR403"/>
      <c r="IS403"/>
      <c r="IT403"/>
      <c r="IU403"/>
      <c r="IV403"/>
      <c r="IW403"/>
      <c r="IX403"/>
      <c r="IY403"/>
      <c r="IZ403"/>
      <c r="JA403"/>
      <c r="JB403"/>
      <c r="JC403"/>
    </row>
    <row r="404" spans="1:263" s="240" customFormat="1" ht="15" customHeight="1">
      <c r="A404" s="19">
        <v>102022024</v>
      </c>
      <c r="B404" t="s">
        <v>2788</v>
      </c>
      <c r="C404"/>
      <c r="D404" s="1"/>
      <c r="E404" s="3"/>
      <c r="F404" s="3"/>
      <c r="G404"/>
      <c r="H404"/>
      <c r="I404"/>
      <c r="J404" t="s">
        <v>253</v>
      </c>
      <c r="K404" t="s">
        <v>959</v>
      </c>
      <c r="L404" t="s">
        <v>1401</v>
      </c>
      <c r="M404" t="s">
        <v>392</v>
      </c>
      <c r="N404"/>
      <c r="O404"/>
      <c r="P404"/>
      <c r="Q404"/>
      <c r="R404"/>
      <c r="S404"/>
      <c r="T404"/>
      <c r="U404"/>
      <c r="V404"/>
      <c r="W404"/>
      <c r="X404"/>
      <c r="Y404"/>
      <c r="Z404"/>
      <c r="AA404"/>
      <c r="AB404"/>
      <c r="AC404"/>
      <c r="AD404"/>
      <c r="AE404"/>
      <c r="AF404"/>
      <c r="AG404" s="43"/>
      <c r="AH404"/>
      <c r="AI404"/>
      <c r="AJ404" t="s">
        <v>2963</v>
      </c>
      <c r="AK404" t="s">
        <v>258</v>
      </c>
      <c r="AL404" t="s">
        <v>386</v>
      </c>
      <c r="AM404" t="s">
        <v>260</v>
      </c>
      <c r="AN404"/>
      <c r="AO404" s="3" t="s">
        <v>2964</v>
      </c>
      <c r="AP404" s="3" t="s">
        <v>258</v>
      </c>
      <c r="AQ404" t="s">
        <v>279</v>
      </c>
      <c r="AR404" t="s">
        <v>268</v>
      </c>
      <c r="AS404" s="1"/>
      <c r="AT404" s="1"/>
      <c r="AU404" s="1" t="s">
        <v>258</v>
      </c>
      <c r="AV404" s="1" t="s">
        <v>258</v>
      </c>
      <c r="AW404" s="1" t="s">
        <v>258</v>
      </c>
      <c r="AX404" s="70">
        <v>44686</v>
      </c>
      <c r="AY404" s="115">
        <v>44654</v>
      </c>
      <c r="AZ404" s="115">
        <v>44642</v>
      </c>
      <c r="BA404" s="70">
        <v>44722</v>
      </c>
      <c r="BB404" s="2" t="s">
        <v>318</v>
      </c>
      <c r="BC404" s="70">
        <v>44708</v>
      </c>
      <c r="BD404" s="70">
        <v>44715</v>
      </c>
      <c r="BE404" s="2"/>
      <c r="BF404" s="2"/>
      <c r="BG404" s="20">
        <f ca="1">SUM(CY404)+214.5</f>
        <v>1412.6722976190474</v>
      </c>
      <c r="BH404" s="22">
        <f ca="1">PMT(10%/12,12,BG404,0,0)</f>
        <v>-124.19633841043472</v>
      </c>
      <c r="BI404" s="22">
        <f ca="1">SUM(BH404*-1)</f>
        <v>124.19633841043472</v>
      </c>
      <c r="BJ404" s="14">
        <f>SUM(DI404*0.0052)/12</f>
        <v>14.516666666666666</v>
      </c>
      <c r="BK404" s="22">
        <f ca="1">SUM(BI404+BJ404)</f>
        <v>138.7130050771014</v>
      </c>
      <c r="BL404" s="14"/>
      <c r="BM404" s="14">
        <f>SUM(BL404*0.1)</f>
        <v>0</v>
      </c>
      <c r="BN404" s="14">
        <f ca="1">SUM(BO404*BP404)</f>
        <v>0</v>
      </c>
      <c r="BO404" s="17">
        <f>SUM((BL404+BM404)*0.00833333333333333)</f>
        <v>0</v>
      </c>
      <c r="BP404" s="23">
        <f ca="1">MONTH(TODAY())+49</f>
        <v>53</v>
      </c>
      <c r="BQ404" s="14">
        <f ca="1">SUM(BL404,BM404,BN404)</f>
        <v>0</v>
      </c>
      <c r="BR404" s="14"/>
      <c r="BS404" s="14">
        <f>SUM(BR404*0.1)</f>
        <v>0</v>
      </c>
      <c r="BT404" s="14">
        <f ca="1">SUM(BU404*BV404)</f>
        <v>0</v>
      </c>
      <c r="BU404" s="17">
        <f>SUM((BR404+BS404)*0.00833333333333333)</f>
        <v>0</v>
      </c>
      <c r="BV404" s="23">
        <f ca="1">MONTH(TODAY())+37</f>
        <v>41</v>
      </c>
      <c r="BW404" s="14">
        <f ca="1">SUM(BR404,BS404,BT404)</f>
        <v>0</v>
      </c>
      <c r="BX404" s="14">
        <v>116.5</v>
      </c>
      <c r="BY404" s="14">
        <f>SUM(BX404*0.1)</f>
        <v>11.65</v>
      </c>
      <c r="BZ404" s="14">
        <f ca="1">SUM(CA404*CB404)</f>
        <v>30.969583333333318</v>
      </c>
      <c r="CA404" s="17">
        <f>SUM((BX404+BY404)*0.00833333333333333)</f>
        <v>1.0679166666666662</v>
      </c>
      <c r="CB404" s="23">
        <f ca="1">MONTH(TODAY())+25</f>
        <v>29</v>
      </c>
      <c r="CC404" s="14">
        <f ca="1">SUM(BX404,BY404,BZ404)</f>
        <v>159.11958333333331</v>
      </c>
      <c r="CD404" s="14">
        <f>SUM(DI404*0.0052)</f>
        <v>174.2</v>
      </c>
      <c r="CE404" s="14">
        <f>SUM(CD404*0.1)</f>
        <v>17.419999999999998</v>
      </c>
      <c r="CF404" s="14">
        <f ca="1">SUM(CG404*CH404)</f>
        <v>27.146166666666652</v>
      </c>
      <c r="CG404" s="17">
        <f>SUM((CD404+CE404)*0.00833333333333333)</f>
        <v>1.5968333333333324</v>
      </c>
      <c r="CH404" s="23">
        <f ca="1">MONTH(TODAY())+13</f>
        <v>17</v>
      </c>
      <c r="CI404" s="14">
        <f ca="1">SUM(CD404,CE404,CF404)</f>
        <v>218.76616666666663</v>
      </c>
      <c r="CJ404" s="14">
        <f>SUM(DI404*0.0052)</f>
        <v>174.2</v>
      </c>
      <c r="CK404" s="14">
        <f>SUM(CJ404*0.1)</f>
        <v>17.419999999999998</v>
      </c>
      <c r="CL404" s="14">
        <f ca="1">SUM(CM404*CN404)</f>
        <v>7.9841666666666624</v>
      </c>
      <c r="CM404" s="17">
        <f>SUM((CJ404+CK404)*0.00833333333333333)</f>
        <v>1.5968333333333324</v>
      </c>
      <c r="CN404" s="23">
        <f ca="1">MONTH(TODAY())+1</f>
        <v>5</v>
      </c>
      <c r="CO404" s="14">
        <f ca="1">SUM(CJ404,CK404,CL404)</f>
        <v>199.60416666666663</v>
      </c>
      <c r="CP404" s="14">
        <f>SUM(BL404, BR404,BX404,CD404,CJ404)</f>
        <v>464.9</v>
      </c>
      <c r="CQ404" s="14">
        <f>SUM(BM404, BS404,BY404,CE404,CK404)</f>
        <v>46.489999999999995</v>
      </c>
      <c r="CR404" s="14">
        <f ca="1">SUM(BN404, BT404,BZ404,CF404,CL404)</f>
        <v>66.09991666666663</v>
      </c>
      <c r="CS404" s="14">
        <f ca="1">SUM(CP404:CR404)</f>
        <v>577.48991666666666</v>
      </c>
      <c r="CT404" s="47">
        <f ca="1">SUM(CS404/DI404)</f>
        <v>1.7238504975124379E-2</v>
      </c>
      <c r="CU404" s="14">
        <f>19.5+195+19.5+195</f>
        <v>429</v>
      </c>
      <c r="CV404" s="32">
        <f>COUNTIF(DB404, "*")+COUNTIF(AO404, "*")+COUNTIF(AJ404, "*")+COUNTIF(AA404, "*")+COUNTIF(DY404, "*")+COUNTIF(EE404, "*")+COUNTIF(EK404, "*")+COUNTIF(EO404, "*")+COUNTIF(EV404, "*")+COUNTIF(FC404, "*")+COUNTIF(FJ404, "*")+COUNTIF(FU404, "*")+COUNTIF(GF404, "*")+COUNTIF(GN404, "*")+COUNTIF(GV404, "*")+COUNTIF(HD404, "*")+COUNTIF(HL404, "*")</f>
        <v>2</v>
      </c>
      <c r="CW404" s="14">
        <f>CV404*0.5+CV404*6.66</f>
        <v>14.32</v>
      </c>
      <c r="CX404" s="4">
        <v>150</v>
      </c>
      <c r="CY404" s="14">
        <f ca="1">SUM(CS404,CU404,DE404, CX404, CW404,FG404)</f>
        <v>1198.1722976190474</v>
      </c>
      <c r="CZ404" s="14">
        <v>27.362380952380899</v>
      </c>
      <c r="DA404"/>
      <c r="DB404"/>
      <c r="DC404"/>
      <c r="DD404"/>
      <c r="DE404" s="14">
        <f>SUM(CZ404:DD404)</f>
        <v>27.362380952380899</v>
      </c>
      <c r="DF404" s="24" t="s">
        <v>2770</v>
      </c>
      <c r="DG404" s="4">
        <v>27500</v>
      </c>
      <c r="DH404" s="4">
        <v>6000</v>
      </c>
      <c r="DI404" s="25">
        <f>SUM(DG404+DH404)</f>
        <v>33500</v>
      </c>
      <c r="DJ404" s="35">
        <v>2</v>
      </c>
      <c r="DK404" t="s">
        <v>3553</v>
      </c>
      <c r="DL404" t="s">
        <v>3554</v>
      </c>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s="4"/>
      <c r="ID404"/>
      <c r="IE404"/>
      <c r="IF404"/>
      <c r="IG404"/>
      <c r="IH404"/>
      <c r="IL404"/>
      <c r="IM404"/>
      <c r="IN404"/>
      <c r="IO404"/>
      <c r="IP404"/>
      <c r="IQ404"/>
      <c r="IR404"/>
      <c r="IS404"/>
      <c r="IT404"/>
      <c r="IU404"/>
      <c r="IV404"/>
      <c r="IW404"/>
      <c r="IX404"/>
      <c r="IY404"/>
      <c r="IZ404"/>
      <c r="JA404"/>
      <c r="JB404"/>
      <c r="JC404"/>
    </row>
    <row r="405" spans="1:263" ht="15" customHeight="1">
      <c r="A405" s="19">
        <v>102023085</v>
      </c>
      <c r="B405" s="18" t="s">
        <v>4290</v>
      </c>
      <c r="D405" s="1"/>
      <c r="E405" s="3"/>
      <c r="F405" s="3"/>
      <c r="J405" s="18" t="s">
        <v>253</v>
      </c>
      <c r="K405" s="18" t="s">
        <v>4291</v>
      </c>
      <c r="L405" s="130" t="s">
        <v>502</v>
      </c>
      <c r="M405" s="130" t="s">
        <v>537</v>
      </c>
      <c r="O405" s="3"/>
      <c r="AG405" s="43"/>
      <c r="AJ405" s="18" t="s">
        <v>328</v>
      </c>
      <c r="AK405" s="18"/>
      <c r="AL405" s="18" t="s">
        <v>386</v>
      </c>
      <c r="AM405" s="18"/>
      <c r="AN405" s="18"/>
      <c r="AO405" s="18" t="s">
        <v>4292</v>
      </c>
      <c r="AP405" s="18" t="s">
        <v>258</v>
      </c>
      <c r="AQ405" s="18" t="s">
        <v>386</v>
      </c>
      <c r="AR405" s="18" t="s">
        <v>260</v>
      </c>
      <c r="AX405" s="1"/>
      <c r="AY405" s="1"/>
      <c r="AZ405" s="1"/>
      <c r="BA405" s="1"/>
      <c r="BB405" s="1"/>
      <c r="BC405" s="2"/>
      <c r="BD405" s="116"/>
      <c r="BE405" s="115"/>
      <c r="BF405" s="2"/>
      <c r="BG405" s="2"/>
      <c r="BH405" s="2"/>
      <c r="BI405" s="2"/>
      <c r="BJ405" s="2"/>
      <c r="BK405" s="2"/>
      <c r="BL405" s="20">
        <f ca="1">SUM(DP405)+220</f>
        <v>346.90559999999999</v>
      </c>
      <c r="BM405" s="22">
        <f ca="1">PMT(10%/12,12,BL405,0,0)</f>
        <v>-30.498513609058815</v>
      </c>
      <c r="BN405" s="22">
        <f ca="1">SUM(BM405*-1)</f>
        <v>30.498513609058815</v>
      </c>
      <c r="BO405" s="14">
        <f>SUM(DX405*0.0052)/12</f>
        <v>2.73</v>
      </c>
      <c r="BP405" s="22">
        <f ca="1">SUM(BN405+BO405)</f>
        <v>33.228513609058815</v>
      </c>
      <c r="BQ405" s="14"/>
      <c r="BR405" s="14">
        <f>SUM(BQ405*0.1)</f>
        <v>0</v>
      </c>
      <c r="BS405" s="14">
        <f ca="1">SUM(BT405*BU405)</f>
        <v>0</v>
      </c>
      <c r="BT405" s="17">
        <f>SUM((BQ405+BR405)*0.00833333333333333)</f>
        <v>0</v>
      </c>
      <c r="BU405" s="23">
        <f ca="1">MONTH(TODAY())+49</f>
        <v>53</v>
      </c>
      <c r="BV405" s="14">
        <f ca="1">SUM(BQ405,BR405,BS405)</f>
        <v>0</v>
      </c>
      <c r="BW405" s="14"/>
      <c r="BX405" s="14">
        <f>SUM(BW405*0.1)</f>
        <v>0</v>
      </c>
      <c r="BY405" s="14">
        <f ca="1">SUM(BZ405*CA405)</f>
        <v>0</v>
      </c>
      <c r="BZ405" s="17">
        <f>SUM((BW405+BX405)*0.00833333333333333)</f>
        <v>0</v>
      </c>
      <c r="CA405" s="23">
        <f ca="1">MONTH(TODAY())+37</f>
        <v>41</v>
      </c>
      <c r="CB405" s="14">
        <f ca="1">SUM(BW405,BX405,BY405)</f>
        <v>0</v>
      </c>
      <c r="CC405" s="14">
        <v>0</v>
      </c>
      <c r="CD405" s="14">
        <f>SUM(CC405*0.1)</f>
        <v>0</v>
      </c>
      <c r="CE405" s="14">
        <f ca="1">SUM(CF405*CG405)</f>
        <v>0</v>
      </c>
      <c r="CF405" s="17">
        <f>SUM((CC405+CD405)*0.00833333333333333)</f>
        <v>0</v>
      </c>
      <c r="CG405" s="23">
        <f ca="1">MONTH(TODAY())+25</f>
        <v>29</v>
      </c>
      <c r="CH405" s="14">
        <f ca="1">SUM(CC405,CD405,CE405)</f>
        <v>0</v>
      </c>
      <c r="CI405" s="14">
        <f>SUM(DU405*0.0052)</f>
        <v>43.68</v>
      </c>
      <c r="CJ405" s="14">
        <f>SUM(CI405*0.1)</f>
        <v>4.3680000000000003</v>
      </c>
      <c r="CK405" s="14">
        <f ca="1">SUM(CL405*CM405)</f>
        <v>6.8067999999999973</v>
      </c>
      <c r="CL405" s="17">
        <f>SUM((CI405+CJ405)*0.00833333333333333)</f>
        <v>0.40039999999999987</v>
      </c>
      <c r="CM405" s="23">
        <f ca="1">MONTH(TODAY())+13</f>
        <v>17</v>
      </c>
      <c r="CN405" s="14">
        <f ca="1">SUM(CI405,CJ405,CK405)</f>
        <v>54.854799999999997</v>
      </c>
      <c r="CO405" s="14">
        <f>SUM(DU405*0.0052)/2</f>
        <v>21.84</v>
      </c>
      <c r="CP405" s="14">
        <f>SUM(CO405*0.1)</f>
        <v>2.1840000000000002</v>
      </c>
      <c r="CQ405" s="14">
        <f ca="1">SUM(CR405*CS405)</f>
        <v>1.8017999999999994</v>
      </c>
      <c r="CR405" s="17">
        <f>SUM((CO405+CP405)*0.00833333333333333)</f>
        <v>0.20019999999999993</v>
      </c>
      <c r="CS405" s="23">
        <f ca="1">MONTH(TODAY())+5</f>
        <v>9</v>
      </c>
      <c r="CT405" s="23">
        <f ca="1">SUM(CO405,CP405,CQ405)</f>
        <v>25.825800000000001</v>
      </c>
      <c r="CU405" s="14">
        <f>SUM(DU405*0.0052)/2</f>
        <v>21.84</v>
      </c>
      <c r="CV405" s="14">
        <f>SUM(CU405*0.1)</f>
        <v>2.1840000000000002</v>
      </c>
      <c r="CW405" s="14">
        <f ca="1">SUM(CX405*CY405)</f>
        <v>1.0009999999999997</v>
      </c>
      <c r="CX405" s="17">
        <f>SUM((CU405+CV405)*0.00833333333333333)</f>
        <v>0.20019999999999993</v>
      </c>
      <c r="CY405" s="23">
        <f ca="1">MONTH(TODAY())+1</f>
        <v>5</v>
      </c>
      <c r="CZ405" s="23">
        <f ca="1">SUM(CU405,CV405,CW405)</f>
        <v>25.025000000000002</v>
      </c>
      <c r="DA405" s="14">
        <f>SUM( BQ405, BW405, CC405, CI405, CO405,CU405)</f>
        <v>87.36</v>
      </c>
      <c r="DB405" s="14">
        <f>SUM(BR405,BX405,CD405,CJ405, CP405,CV405)</f>
        <v>8.7360000000000007</v>
      </c>
      <c r="DC405" s="14">
        <f ca="1">SUM(BS405,BY405,CE405,CK405, CQ405,CW405)</f>
        <v>9.6095999999999968</v>
      </c>
      <c r="DD405" s="25">
        <f ca="1">SUM(DA405:DC405)</f>
        <v>105.7056</v>
      </c>
      <c r="DE405" s="47">
        <f ca="1">SUM(DD405/DU405)</f>
        <v>1.2584E-2</v>
      </c>
      <c r="DF405" s="14">
        <v>20</v>
      </c>
      <c r="DG405" s="32">
        <f>COUNTIF(DL405, "*")+COUNTIF(AO405, "*")+COUNTIF(AJ405, "*")+COUNTIF(AA405, "*")+COUNTIF(EM405, "*")+COUNTIF(ES405, "*")+COUNTIF(EY405, "*")+COUNTIF(FC405, "*")+COUNTIF(FJ405, "*")+COUNTIF(AT405, "*")+COUNTIF(FS405, "*")+COUNTIF(GD405, "*")+COUNTIF(GO405, "*")+COUNTIF(GW405, "*")+COUNTIF(HE405, "*")+COUNTIF(HM405, "*")+COUNTIF(HU405, "*")</f>
        <v>2</v>
      </c>
      <c r="DH405" s="14">
        <f>DG405*0.6</f>
        <v>1.2</v>
      </c>
      <c r="DI405" s="4"/>
      <c r="DJ405" s="4"/>
      <c r="DK405" s="4"/>
      <c r="DL405" s="4"/>
      <c r="DN405" s="4"/>
      <c r="DO405" s="14">
        <f>SUM(DJ405:DN405)</f>
        <v>0</v>
      </c>
      <c r="DP405" s="14">
        <f ca="1">SUM(DD405,DF405,DO405, DI405, DH405,FP405)</f>
        <v>126.90560000000001</v>
      </c>
      <c r="DQ405" s="24" t="s">
        <v>3879</v>
      </c>
      <c r="DR405" s="130">
        <v>8.2000000000000003E-2</v>
      </c>
      <c r="DS405" s="14">
        <v>8400</v>
      </c>
      <c r="DT405" s="14">
        <v>0</v>
      </c>
      <c r="DU405" s="14">
        <v>8400</v>
      </c>
      <c r="DV405" s="14">
        <v>6000</v>
      </c>
      <c r="DW405" s="14">
        <v>300</v>
      </c>
      <c r="DX405" s="14">
        <f>SUM(DV405+DW405)</f>
        <v>6300</v>
      </c>
      <c r="IA405" s="9"/>
      <c r="IL405" s="14">
        <f ca="1">SUM(IB405-DP405-FP405-IJ405)</f>
        <v>-126.90560000000001</v>
      </c>
      <c r="IM405" s="9"/>
      <c r="IN405" s="9"/>
      <c r="IO405" s="9"/>
      <c r="IP405" s="9"/>
      <c r="IQ405" s="9"/>
    </row>
    <row r="406" spans="1:263" s="240" customFormat="1" ht="15" customHeight="1">
      <c r="A406" s="19">
        <v>102022210</v>
      </c>
      <c r="B406" t="s">
        <v>3973</v>
      </c>
      <c r="C406"/>
      <c r="D406" s="1"/>
      <c r="E406" s="3"/>
      <c r="F406" s="3"/>
      <c r="G406"/>
      <c r="H406"/>
      <c r="I406"/>
      <c r="J406"/>
      <c r="K406" t="s">
        <v>3281</v>
      </c>
      <c r="L406"/>
      <c r="M406"/>
      <c r="N406"/>
      <c r="O406"/>
      <c r="P406"/>
      <c r="Q406"/>
      <c r="R406"/>
      <c r="S406"/>
      <c r="T406"/>
      <c r="U406"/>
      <c r="V406"/>
      <c r="W406"/>
      <c r="X406"/>
      <c r="Y406"/>
      <c r="Z406" t="s">
        <v>3283</v>
      </c>
      <c r="AA406" t="s">
        <v>3284</v>
      </c>
      <c r="AB406" t="s">
        <v>329</v>
      </c>
      <c r="AC406" t="s">
        <v>260</v>
      </c>
      <c r="AD406"/>
      <c r="AE406"/>
      <c r="AF406"/>
      <c r="AG406" s="43"/>
      <c r="AH406"/>
      <c r="AI406"/>
      <c r="AJ406" t="s">
        <v>328</v>
      </c>
      <c r="AK406"/>
      <c r="AL406" s="3" t="s">
        <v>267</v>
      </c>
      <c r="AM406"/>
      <c r="AN406"/>
      <c r="AO406" s="3" t="s">
        <v>3282</v>
      </c>
      <c r="AP406" s="3" t="s">
        <v>258</v>
      </c>
      <c r="AQ406" t="s">
        <v>524</v>
      </c>
      <c r="AR406" t="s">
        <v>268</v>
      </c>
      <c r="AS406" s="1"/>
      <c r="AT406" s="1"/>
      <c r="AU406" s="1"/>
      <c r="AV406" s="1"/>
      <c r="AW406" s="1"/>
      <c r="AX406" s="2"/>
      <c r="AY406" s="116"/>
      <c r="AZ406" s="115">
        <v>44957</v>
      </c>
      <c r="BA406" s="2"/>
      <c r="BB406" s="2"/>
      <c r="BC406" s="2"/>
      <c r="BD406" s="2"/>
      <c r="BE406" s="2"/>
      <c r="BF406" s="2"/>
      <c r="BG406" s="20">
        <f ca="1">SUM(DK406)+214.5</f>
        <v>3171.0105999999996</v>
      </c>
      <c r="BH406" s="22">
        <f ca="1">PMT(10%/12,12,BG406,0,0)</f>
        <v>-278.782210314765</v>
      </c>
      <c r="BI406" s="22">
        <f ca="1">SUM(BH406*-1)</f>
        <v>278.782210314765</v>
      </c>
      <c r="BJ406" s="14">
        <f>SUM(DR406*0.0052)/12</f>
        <v>0</v>
      </c>
      <c r="BK406" s="22">
        <f ca="1">SUM(BI406+BJ406)</f>
        <v>278.782210314765</v>
      </c>
      <c r="BL406" s="14"/>
      <c r="BM406" s="14">
        <f>SUM(BL406*0.1)</f>
        <v>0</v>
      </c>
      <c r="BN406" s="14">
        <f ca="1">SUM(BO406*BP406)</f>
        <v>0</v>
      </c>
      <c r="BO406" s="17">
        <f>SUM((BL406+BM406)*0.00833333333333333)</f>
        <v>0</v>
      </c>
      <c r="BP406" s="23">
        <f ca="1">MONTH(TODAY())+49</f>
        <v>53</v>
      </c>
      <c r="BQ406" s="14">
        <f ca="1">SUM(BL406,BM406,BN406)</f>
        <v>0</v>
      </c>
      <c r="BR406" s="14"/>
      <c r="BS406" s="14">
        <f>SUM(BR406*0.1)</f>
        <v>0</v>
      </c>
      <c r="BT406" s="14">
        <f ca="1">SUM(BU406*BV406)</f>
        <v>0</v>
      </c>
      <c r="BU406" s="17">
        <f>SUM((BR406+BS406)*0.00833333333333333)</f>
        <v>0</v>
      </c>
      <c r="BV406" s="23">
        <f ca="1">MONTH(TODAY())+37</f>
        <v>41</v>
      </c>
      <c r="BW406" s="14">
        <f ca="1">SUM(BR406,BS406,BT406)</f>
        <v>0</v>
      </c>
      <c r="BX406" s="14">
        <f>SUM(DO406*0.0052)</f>
        <v>677.04</v>
      </c>
      <c r="BY406" s="14">
        <f>SUM(BX406*0.1)</f>
        <v>67.703999999999994</v>
      </c>
      <c r="BZ406" s="14">
        <f ca="1">SUM(CA406*CB406)</f>
        <v>179.9797999999999</v>
      </c>
      <c r="CA406" s="17">
        <f>SUM((BX406+BY406)*0.00833333333333333)</f>
        <v>6.2061999999999964</v>
      </c>
      <c r="CB406" s="23">
        <f ca="1">MONTH(TODAY())+25</f>
        <v>29</v>
      </c>
      <c r="CC406" s="14">
        <f ca="1">SUM(BX406,BY406,BZ406)</f>
        <v>924.72379999999976</v>
      </c>
      <c r="CD406" s="14">
        <f>SUM(DO406*0.0052)</f>
        <v>677.04</v>
      </c>
      <c r="CE406" s="14">
        <f>SUM(CD406*0.1)</f>
        <v>67.703999999999994</v>
      </c>
      <c r="CF406" s="14">
        <f ca="1">SUM(CG406*CH406)</f>
        <v>105.50539999999994</v>
      </c>
      <c r="CG406" s="17">
        <f>SUM((CD406+CE406)*0.00833333333333333)</f>
        <v>6.2061999999999964</v>
      </c>
      <c r="CH406" s="23">
        <f ca="1">MONTH(TODAY())+13</f>
        <v>17</v>
      </c>
      <c r="CI406" s="14">
        <f ca="1">SUM(CD406,CE406,CF406)</f>
        <v>850.24939999999981</v>
      </c>
      <c r="CJ406" s="14">
        <f>SUM(DO406*0.0052)/2</f>
        <v>338.52</v>
      </c>
      <c r="CK406" s="14">
        <f>SUM(CJ406*0.1)</f>
        <v>33.851999999999997</v>
      </c>
      <c r="CL406" s="14">
        <f ca="1">SUM(CM406*CN406)</f>
        <v>27.927899999999983</v>
      </c>
      <c r="CM406" s="17">
        <f>SUM((CJ406+CK406)*0.00833333333333333)</f>
        <v>3.1030999999999982</v>
      </c>
      <c r="CN406" s="23">
        <f ca="1">MONTH(TODAY())+5</f>
        <v>9</v>
      </c>
      <c r="CO406" s="23">
        <f ca="1">SUM(CJ406,CK406,CL406)</f>
        <v>400.29989999999992</v>
      </c>
      <c r="CP406" s="14">
        <f>SUM(DO406*0.0052)/2</f>
        <v>338.52</v>
      </c>
      <c r="CQ406" s="14">
        <f>SUM(CP406*0.1)</f>
        <v>33.851999999999997</v>
      </c>
      <c r="CR406" s="14">
        <f ca="1">SUM(CS406*CT406)</f>
        <v>15.515499999999991</v>
      </c>
      <c r="CS406" s="17">
        <f>SUM((CP406+CQ406)*0.00833333333333333)</f>
        <v>3.1030999999999982</v>
      </c>
      <c r="CT406" s="23">
        <f ca="1">MONTH(TODAY())+1</f>
        <v>5</v>
      </c>
      <c r="CU406" s="23">
        <f ca="1">SUM(CP406,CQ406,CR406)</f>
        <v>387.88749999999993</v>
      </c>
      <c r="CV406" s="14">
        <f>SUM( BL406, BR406, BX406, CD406, CJ406,CP406)</f>
        <v>2031.12</v>
      </c>
      <c r="CW406" s="14">
        <f>SUM(BM406,BS406,BY406,CE406, CK406,CQ406)</f>
        <v>203.11199999999999</v>
      </c>
      <c r="CX406" s="14">
        <f ca="1">SUM(BN406,BT406,BZ406,CF406, CL406,CR406)</f>
        <v>328.92859999999979</v>
      </c>
      <c r="CY406" s="14">
        <f ca="1">SUM(CV406:CX406)</f>
        <v>2563.1605999999997</v>
      </c>
      <c r="CZ406" s="47">
        <f ca="1">SUM(CY406/DO406)</f>
        <v>1.968633333333333E-2</v>
      </c>
      <c r="DA406" s="14">
        <f>19.5+200</f>
        <v>219.5</v>
      </c>
      <c r="DB406" s="32">
        <f>COUNTIF(DG406, "*")+COUNTIF(AO406, "*")+COUNTIF(AJ406, "*")+COUNTIF(AA406, "*")+COUNTIF(EH406, "*")+COUNTIF(EN406, "*")+COUNTIF(ET406, "*")+COUNTIF(EX406, "*")+COUNTIF(FE406, "*")+COUNTIF(FL406, "*")+COUNTIF(FS406, "*")+COUNTIF(GD406, "*")+COUNTIF(GO406, "*")+COUNTIF(GW406, "*")+COUNTIF(HE406, "*")+COUNTIF(HM406, "*")+COUNTIF(HU406, "*")</f>
        <v>3</v>
      </c>
      <c r="DC406" s="14">
        <f>DB406*0.5+DB406*7.45</f>
        <v>23.85</v>
      </c>
      <c r="DD406" s="4">
        <v>150</v>
      </c>
      <c r="DE406" s="4"/>
      <c r="DF406" s="4"/>
      <c r="DG406" s="4"/>
      <c r="DH406"/>
      <c r="DI406" s="4"/>
      <c r="DJ406" s="14">
        <f>SUM(DE406:DI406)</f>
        <v>0</v>
      </c>
      <c r="DK406" s="14">
        <f ca="1">SUM(CY406,DA406,DJ406, DD406, DC406,FP406)</f>
        <v>2956.5105999999996</v>
      </c>
      <c r="DL406" s="24" t="s">
        <v>3974</v>
      </c>
      <c r="DM406" s="4">
        <f>500+24000</f>
        <v>24500</v>
      </c>
      <c r="DN406" s="4">
        <v>105700</v>
      </c>
      <c r="DO406" s="25">
        <f>SUM(DM406+DN406)</f>
        <v>130200</v>
      </c>
      <c r="DP406" s="25"/>
      <c r="DQ406" s="25"/>
      <c r="DR406" s="25">
        <f>SUM(DP406+DQ406)</f>
        <v>0</v>
      </c>
      <c r="DS406" s="35">
        <f>0.04+1.409</f>
        <v>1.4490000000000001</v>
      </c>
      <c r="DT406" t="s">
        <v>3982</v>
      </c>
      <c r="DU406" t="s">
        <v>3983</v>
      </c>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s="9"/>
      <c r="IB406"/>
      <c r="IC406"/>
      <c r="ID406"/>
      <c r="IE406"/>
      <c r="IF406"/>
      <c r="IG406"/>
      <c r="IH406"/>
      <c r="II406"/>
      <c r="IJ406"/>
      <c r="IK406"/>
      <c r="IL406" s="14">
        <f ca="1">SUM(IB406-DK406-FP406-IJ406)</f>
        <v>-2956.5105999999996</v>
      </c>
      <c r="IM406" s="9"/>
      <c r="IN406" s="9"/>
      <c r="IO406" s="9"/>
      <c r="IP406" s="9"/>
      <c r="IQ406" s="9"/>
      <c r="IR406"/>
      <c r="IS406"/>
      <c r="IT406"/>
      <c r="IU406"/>
      <c r="IV406"/>
      <c r="IW406"/>
      <c r="IX406"/>
      <c r="IY406"/>
      <c r="IZ406"/>
      <c r="JA406"/>
      <c r="JB406"/>
      <c r="JC406"/>
    </row>
    <row r="407" spans="1:263" ht="15" customHeight="1">
      <c r="A407" s="2">
        <v>102018047</v>
      </c>
      <c r="B407" s="4" t="s">
        <v>1182</v>
      </c>
      <c r="C407" s="3"/>
      <c r="D407" s="3"/>
      <c r="E407" s="3"/>
      <c r="F407" s="3"/>
      <c r="G407">
        <v>180000891</v>
      </c>
      <c r="K407" t="s">
        <v>1183</v>
      </c>
      <c r="O407" s="1"/>
      <c r="T407" s="1"/>
      <c r="AJ407" s="4"/>
      <c r="AK407" s="4"/>
      <c r="AO407" s="4"/>
      <c r="AP407" s="5"/>
      <c r="AQ407" s="34"/>
      <c r="AS407" s="5"/>
      <c r="AT407" s="5"/>
      <c r="AU407" s="1"/>
      <c r="AV407" s="1"/>
      <c r="AW407" s="1"/>
      <c r="AX407" s="1"/>
      <c r="AY407" s="1"/>
      <c r="AZ407" s="1"/>
      <c r="BA407" s="1"/>
      <c r="BB407" s="1"/>
      <c r="BC407" s="1"/>
      <c r="BD407" s="1"/>
      <c r="BE407" s="1"/>
      <c r="BF407" s="1"/>
      <c r="BG407" s="5"/>
      <c r="BH407" s="16"/>
      <c r="BI407" s="16"/>
      <c r="BK407" s="4"/>
      <c r="BL407" s="4"/>
      <c r="BM407" s="6"/>
      <c r="BN407" s="7"/>
      <c r="BO407" s="4"/>
      <c r="BP407" s="4"/>
      <c r="BQ407" s="4"/>
      <c r="BR407" s="4"/>
      <c r="BS407" s="6"/>
      <c r="BT407" s="7"/>
      <c r="BU407" s="4"/>
      <c r="BV407" s="4"/>
      <c r="BW407" s="4"/>
      <c r="BX407" s="4"/>
      <c r="BY407" s="6"/>
      <c r="BZ407" s="7"/>
      <c r="CA407" s="4"/>
      <c r="CB407" s="4"/>
      <c r="CC407" s="4"/>
      <c r="CD407" s="4"/>
      <c r="CE407" s="6"/>
      <c r="CF407" s="7"/>
      <c r="CG407" s="4"/>
      <c r="CH407" s="4"/>
      <c r="CI407" s="4"/>
      <c r="CJ407" s="4"/>
      <c r="CK407" s="6"/>
      <c r="CL407" s="7"/>
      <c r="CM407" s="4"/>
      <c r="CN407" s="4"/>
      <c r="CO407" s="4"/>
      <c r="CP407" s="4"/>
      <c r="CQ407" s="6"/>
      <c r="CR407" s="7"/>
      <c r="CS407" s="4"/>
      <c r="CT407" s="4"/>
      <c r="CU407" s="4"/>
      <c r="CV407" s="4"/>
      <c r="CW407" s="6"/>
      <c r="CX407" s="7"/>
      <c r="CY407" s="4"/>
      <c r="CZ407" s="4"/>
      <c r="DA407" s="4"/>
      <c r="DB407" s="4"/>
      <c r="DC407" s="6"/>
      <c r="DD407" s="7"/>
      <c r="DE407" s="4"/>
      <c r="DF407" s="4"/>
      <c r="DG407" s="14"/>
      <c r="DH407" s="14"/>
      <c r="DI407" s="4"/>
      <c r="DK407" s="4"/>
      <c r="DL407" s="234"/>
      <c r="DM407" s="4"/>
      <c r="DN407" s="4"/>
      <c r="DO407" s="4"/>
      <c r="DP407" s="4"/>
      <c r="DQ407" s="4"/>
      <c r="DR407" s="4"/>
      <c r="DS407" s="7"/>
      <c r="DT407" s="4"/>
      <c r="DU407" s="4"/>
      <c r="DV407" s="8"/>
      <c r="DW407" s="4"/>
      <c r="DX407" s="4"/>
      <c r="EG407" s="11"/>
      <c r="EM407" s="11"/>
      <c r="EN407" s="11"/>
      <c r="EO407" s="4"/>
      <c r="EP407" s="4"/>
      <c r="EQ407" s="4"/>
      <c r="ER407" s="4"/>
      <c r="ES407" s="4"/>
      <c r="ET407" s="4"/>
      <c r="EU407" s="4"/>
      <c r="EV407" s="4"/>
      <c r="EW407" s="4"/>
      <c r="EX407" s="4"/>
      <c r="EY407" s="4"/>
      <c r="EZ407" s="4"/>
      <c r="FA407" s="4"/>
      <c r="FB407" s="4"/>
      <c r="FC407" s="4"/>
      <c r="FG407" s="9"/>
      <c r="FP407" s="9"/>
      <c r="FZ407" s="10"/>
      <c r="GJ407" s="10"/>
      <c r="GY407" s="9"/>
      <c r="IK407" s="4"/>
      <c r="IP407" s="4"/>
    </row>
    <row r="408" spans="1:263" s="243" customFormat="1" ht="15" customHeight="1">
      <c r="A408" s="19">
        <v>102022103</v>
      </c>
      <c r="B408" t="s">
        <v>2844</v>
      </c>
      <c r="C408"/>
      <c r="D408" s="1"/>
      <c r="E408" s="3"/>
      <c r="F408" s="3"/>
      <c r="G408"/>
      <c r="H408"/>
      <c r="I408"/>
      <c r="J408" t="s">
        <v>311</v>
      </c>
      <c r="K408" t="s">
        <v>1186</v>
      </c>
      <c r="L408" t="s">
        <v>3083</v>
      </c>
      <c r="M408"/>
      <c r="N408"/>
      <c r="O408"/>
      <c r="P408"/>
      <c r="Q408"/>
      <c r="R408"/>
      <c r="S408"/>
      <c r="T408"/>
      <c r="U408"/>
      <c r="V408"/>
      <c r="W408"/>
      <c r="X408"/>
      <c r="Y408"/>
      <c r="Z408"/>
      <c r="AA408"/>
      <c r="AB408"/>
      <c r="AC408"/>
      <c r="AD408"/>
      <c r="AE408"/>
      <c r="AF408"/>
      <c r="AG408" s="43"/>
      <c r="AH408"/>
      <c r="AI408"/>
      <c r="AJ408" t="s">
        <v>3099</v>
      </c>
      <c r="AK408" t="s">
        <v>258</v>
      </c>
      <c r="AL408" t="s">
        <v>386</v>
      </c>
      <c r="AM408" t="s">
        <v>260</v>
      </c>
      <c r="AN408"/>
      <c r="AO408" s="3" t="s">
        <v>773</v>
      </c>
      <c r="AP408" s="3" t="s">
        <v>258</v>
      </c>
      <c r="AQ408" t="s">
        <v>386</v>
      </c>
      <c r="AR408" t="s">
        <v>260</v>
      </c>
      <c r="AS408" s="1"/>
      <c r="AT408" s="1"/>
      <c r="AU408" s="1"/>
      <c r="AV408" s="1"/>
      <c r="AW408" s="1"/>
      <c r="AX408" s="2"/>
      <c r="AY408" s="116"/>
      <c r="AZ408" s="115"/>
      <c r="BA408" s="2"/>
      <c r="BB408" s="2"/>
      <c r="BC408" s="2"/>
      <c r="BD408" s="2"/>
      <c r="BE408" s="2"/>
      <c r="BF408" s="2"/>
      <c r="BG408" s="20">
        <f ca="1">SUM(CY408)+58.5+58.5</f>
        <v>1079.1454666666666</v>
      </c>
      <c r="BH408" s="22">
        <f ca="1">PMT(10%/12,12,BG408,0,0)</f>
        <v>-94.874031152242736</v>
      </c>
      <c r="BI408" s="22">
        <f ca="1">SUM(BH408*-1)</f>
        <v>94.874031152242736</v>
      </c>
      <c r="BJ408" s="14">
        <f>SUM(DI408*0.0052)/12</f>
        <v>32.673333333333332</v>
      </c>
      <c r="BK408" s="22">
        <f ca="1">SUM(BI408+BJ408)</f>
        <v>127.54736448557607</v>
      </c>
      <c r="BL408" s="14"/>
      <c r="BM408" s="14">
        <f>SUM(BL408*0.1)</f>
        <v>0</v>
      </c>
      <c r="BN408" s="14">
        <f ca="1">SUM(BO408*BP408)</f>
        <v>0</v>
      </c>
      <c r="BO408" s="17">
        <f>SUM((BL408+BM408)*0.00833333333333333)</f>
        <v>0</v>
      </c>
      <c r="BP408" s="23">
        <f ca="1">MONTH(TODAY())+49</f>
        <v>53</v>
      </c>
      <c r="BQ408" s="14">
        <f ca="1">SUM(BL408,BM408,BN408)</f>
        <v>0</v>
      </c>
      <c r="BR408" s="14"/>
      <c r="BS408" s="14">
        <f>SUM(BR408*0.1)</f>
        <v>0</v>
      </c>
      <c r="BT408" s="14">
        <f ca="1">SUM(BU408*BV408)</f>
        <v>0</v>
      </c>
      <c r="BU408" s="17">
        <f>SUM((BR408+BS408)*0.00833333333333333)</f>
        <v>0</v>
      </c>
      <c r="BV408" s="23">
        <f ca="1">MONTH(TODAY())+37</f>
        <v>41</v>
      </c>
      <c r="BW408" s="14">
        <f ca="1">SUM(BR408,BS408,BT408)</f>
        <v>0</v>
      </c>
      <c r="BX408" s="14"/>
      <c r="BY408" s="14">
        <f>SUM(BX408*0.1)</f>
        <v>0</v>
      </c>
      <c r="BZ408" s="14">
        <f ca="1">SUM(CA408*CB408)</f>
        <v>0</v>
      </c>
      <c r="CA408" s="17">
        <f>SUM((BX408+BY408)*0.00833333333333333)</f>
        <v>0</v>
      </c>
      <c r="CB408" s="23">
        <f ca="1">MONTH(TODAY())+25</f>
        <v>29</v>
      </c>
      <c r="CC408" s="14">
        <f ca="1">SUM(BX408,BY408,BZ408)</f>
        <v>0</v>
      </c>
      <c r="CD408" s="14">
        <f>SUM(DI408*0.0052)</f>
        <v>392.08</v>
      </c>
      <c r="CE408" s="14">
        <f>SUM(CD408*0.1)</f>
        <v>39.207999999999998</v>
      </c>
      <c r="CF408" s="14">
        <f ca="1">SUM(CG408*CH408)</f>
        <v>61.099133333333306</v>
      </c>
      <c r="CG408" s="17">
        <f>SUM((CD408+CE408)*0.00833333333333333)</f>
        <v>3.5940666666666652</v>
      </c>
      <c r="CH408" s="23">
        <f ca="1">MONTH(TODAY())+13</f>
        <v>17</v>
      </c>
      <c r="CI408" s="14">
        <f ca="1">SUM(CD408,CE408,CF408)</f>
        <v>492.38713333333334</v>
      </c>
      <c r="CJ408" s="14">
        <f>SUM(DI408*0.0052)</f>
        <v>392.08</v>
      </c>
      <c r="CK408" s="14">
        <f>SUM(CJ408*0.1)</f>
        <v>39.207999999999998</v>
      </c>
      <c r="CL408" s="14">
        <f ca="1">SUM(CM408*CN408)</f>
        <v>17.970333333333325</v>
      </c>
      <c r="CM408" s="17">
        <f>SUM((CJ408+CK408)*0.00833333333333333)</f>
        <v>3.5940666666666652</v>
      </c>
      <c r="CN408" s="23">
        <f ca="1">MONTH(TODAY())+1</f>
        <v>5</v>
      </c>
      <c r="CO408" s="14">
        <f ca="1">SUM(CJ408,CK408,CL408)</f>
        <v>449.25833333333333</v>
      </c>
      <c r="CP408" s="14">
        <f>SUM(BL408, BR408,BX408,CD408,CJ408)</f>
        <v>784.16</v>
      </c>
      <c r="CQ408" s="14">
        <f>SUM(BM408, BS408,BY408,CE408,CK408)</f>
        <v>78.415999999999997</v>
      </c>
      <c r="CR408" s="14">
        <f ca="1">SUM(BN408, BT408,BZ408,CF408,CL408)</f>
        <v>79.069466666666628</v>
      </c>
      <c r="CS408" s="14">
        <f ca="1">SUM(CP408:CR408)</f>
        <v>941.64546666666661</v>
      </c>
      <c r="CT408" s="47">
        <f ca="1">SUM(CS408/DI408)</f>
        <v>1.2488666666666665E-2</v>
      </c>
      <c r="CU408" s="14">
        <v>19.5</v>
      </c>
      <c r="CV408" s="32">
        <f>COUNTIF(DB408, "*")+COUNTIF(AO408, "*")+COUNTIF(AJ408, "*")+COUNTIF(AA408, "*")+COUNTIF(DY408, "*")+COUNTIF(EE408, "*")+COUNTIF(EK408, "*")+COUNTIF(EO408, "*")+COUNTIF(EV408, "*")+COUNTIF(FC408, "*")+COUNTIF(FJ408, "*")+COUNTIF(FU408, "*")+COUNTIF(GF408, "*")+COUNTIF(GN408, "*")+COUNTIF(GV408, "*")+COUNTIF(HD408, "*")+COUNTIF(HL408, "*")</f>
        <v>2</v>
      </c>
      <c r="CW408" s="14">
        <f>CV408*0.5</f>
        <v>1</v>
      </c>
      <c r="CX408" s="4"/>
      <c r="CY408" s="14">
        <f ca="1">SUM(CS408,CU408,DE408, CX408, CW408,FG408)</f>
        <v>962.14546666666661</v>
      </c>
      <c r="CZ408" s="4"/>
      <c r="DA408"/>
      <c r="DB408"/>
      <c r="DC408"/>
      <c r="DD408"/>
      <c r="DE408" s="14">
        <f>SUM(CZ408:DD408)</f>
        <v>0</v>
      </c>
      <c r="DF408" s="24" t="s">
        <v>2773</v>
      </c>
      <c r="DG408" s="4">
        <v>64400</v>
      </c>
      <c r="DH408" s="4">
        <v>11000</v>
      </c>
      <c r="DI408" s="25">
        <f>SUM(DG408+DH408)</f>
        <v>75400</v>
      </c>
      <c r="DJ408" s="35">
        <v>0.45</v>
      </c>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s="4"/>
      <c r="ID408"/>
      <c r="IE408"/>
      <c r="IF408"/>
      <c r="IG408"/>
      <c r="IH408"/>
      <c r="II408"/>
      <c r="IJ408"/>
      <c r="IK408"/>
      <c r="IL408"/>
      <c r="IM408"/>
      <c r="IN408"/>
      <c r="IO408"/>
      <c r="IP408"/>
      <c r="IQ408"/>
      <c r="IR408"/>
      <c r="IS408"/>
      <c r="IT408"/>
      <c r="IU408"/>
      <c r="IV408"/>
      <c r="IW408"/>
      <c r="IX408"/>
      <c r="IY408"/>
      <c r="IZ408"/>
      <c r="JA408"/>
      <c r="JB408"/>
      <c r="JC408"/>
    </row>
    <row r="409" spans="1:263" s="243" customFormat="1" ht="15" customHeight="1">
      <c r="A409" s="19">
        <v>102022104</v>
      </c>
      <c r="B409" t="s">
        <v>2845</v>
      </c>
      <c r="C409"/>
      <c r="D409" s="1">
        <v>2025</v>
      </c>
      <c r="E409"/>
      <c r="F409"/>
      <c r="G409"/>
      <c r="H409"/>
      <c r="I409"/>
      <c r="J409" t="s">
        <v>311</v>
      </c>
      <c r="K409" t="s">
        <v>1186</v>
      </c>
      <c r="L409" t="s">
        <v>3083</v>
      </c>
      <c r="M409"/>
      <c r="N409"/>
      <c r="O409"/>
      <c r="P409"/>
      <c r="Q409"/>
      <c r="R409"/>
      <c r="S409"/>
      <c r="T409"/>
      <c r="U409"/>
      <c r="V409"/>
      <c r="W409"/>
      <c r="X409"/>
      <c r="Y409"/>
      <c r="Z409"/>
      <c r="AA409"/>
      <c r="AB409"/>
      <c r="AC409"/>
      <c r="AD409"/>
      <c r="AE409"/>
      <c r="AF409"/>
      <c r="AG409" s="248"/>
      <c r="AH409"/>
      <c r="AI409"/>
      <c r="AJ409" s="18" t="s">
        <v>328</v>
      </c>
      <c r="AK409"/>
      <c r="AL409" t="s">
        <v>386</v>
      </c>
      <c r="AM409" s="3"/>
      <c r="AN409" s="3"/>
      <c r="AO409" t="s">
        <v>773</v>
      </c>
      <c r="AP409" s="1" t="s">
        <v>258</v>
      </c>
      <c r="AQ409" s="3" t="s">
        <v>386</v>
      </c>
      <c r="AR409" s="3" t="s">
        <v>260</v>
      </c>
      <c r="AS409" s="1"/>
      <c r="AT409" s="1"/>
      <c r="AU409" s="1"/>
      <c r="AV409" s="1"/>
      <c r="AW409" s="1"/>
      <c r="AX409" s="2"/>
      <c r="AY409" s="116"/>
      <c r="AZ409" s="115"/>
      <c r="BA409" s="2"/>
      <c r="BB409" s="2"/>
      <c r="BC409" s="2"/>
      <c r="BD409" s="2"/>
      <c r="BE409" s="2"/>
      <c r="BF409" s="2"/>
      <c r="BG409" s="20"/>
      <c r="BH409" s="22"/>
      <c r="BI409" s="22"/>
      <c r="BJ409" s="14"/>
      <c r="BK409" s="22"/>
      <c r="BL409" s="14"/>
      <c r="BM409" s="14"/>
      <c r="BN409" s="14"/>
      <c r="BO409" s="17"/>
      <c r="BP409" s="23"/>
      <c r="BQ409" s="14"/>
      <c r="BR409" s="14"/>
      <c r="BS409" s="14"/>
      <c r="BT409" s="14"/>
      <c r="BU409" s="17"/>
      <c r="BV409" s="23"/>
      <c r="BW409" s="14"/>
      <c r="BX409" s="14"/>
      <c r="BY409" s="14"/>
      <c r="BZ409" s="14"/>
      <c r="CA409" s="17"/>
      <c r="CB409" s="23"/>
      <c r="CC409" s="14"/>
      <c r="CD409" s="14"/>
      <c r="CE409" s="14"/>
      <c r="CF409" s="14"/>
      <c r="CG409" s="17"/>
      <c r="CH409" s="23"/>
      <c r="CI409" s="14"/>
      <c r="CJ409" s="14"/>
      <c r="CK409" s="14"/>
      <c r="CL409" s="14"/>
      <c r="CM409" s="17"/>
      <c r="CN409" s="23"/>
      <c r="CO409" s="14"/>
      <c r="CP409" s="14"/>
      <c r="CQ409" s="14"/>
      <c r="CR409" s="14"/>
      <c r="CS409" s="14"/>
      <c r="CT409" s="47"/>
      <c r="CU409" s="14"/>
      <c r="CV409" s="32"/>
      <c r="CW409" s="14"/>
      <c r="CX409" s="4"/>
      <c r="CY409" s="14"/>
      <c r="CZ409" s="4"/>
      <c r="DA409"/>
      <c r="DB409"/>
      <c r="DC409"/>
      <c r="DD409"/>
      <c r="DE409" s="14"/>
      <c r="DF409" s="24"/>
      <c r="DG409" s="4"/>
      <c r="DH409" s="4"/>
      <c r="DI409" s="25"/>
      <c r="DJ409" s="35">
        <v>0.04</v>
      </c>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s="4"/>
      <c r="ID409"/>
      <c r="IE409"/>
      <c r="IF409"/>
      <c r="IG409"/>
      <c r="IH409"/>
      <c r="II409"/>
      <c r="IJ409"/>
      <c r="IK409"/>
      <c r="IL409"/>
      <c r="IM409"/>
      <c r="IN409"/>
      <c r="IO409"/>
      <c r="IP409"/>
      <c r="IQ409"/>
      <c r="IR409"/>
      <c r="IS409"/>
      <c r="IT409"/>
      <c r="IU409"/>
      <c r="IV409"/>
      <c r="IW409"/>
      <c r="IX409"/>
      <c r="IY409"/>
      <c r="IZ409"/>
      <c r="JA409"/>
      <c r="JB409"/>
      <c r="JC409"/>
    </row>
    <row r="410" spans="1:263" s="240" customFormat="1" ht="15" customHeight="1">
      <c r="A410" s="2">
        <v>102024027</v>
      </c>
      <c r="B410" t="s">
        <v>5075</v>
      </c>
      <c r="C410"/>
      <c r="D410" s="1"/>
      <c r="E410" s="3"/>
      <c r="F410"/>
      <c r="G410" s="3" t="s">
        <v>5280</v>
      </c>
      <c r="H410"/>
      <c r="I410"/>
      <c r="J410" t="s">
        <v>311</v>
      </c>
      <c r="K410" t="s">
        <v>1606</v>
      </c>
      <c r="L410" t="s">
        <v>673</v>
      </c>
      <c r="M410" t="s">
        <v>537</v>
      </c>
      <c r="N410" t="s">
        <v>341</v>
      </c>
      <c r="O410" s="3"/>
      <c r="P410"/>
      <c r="Q410"/>
      <c r="R410"/>
      <c r="S410"/>
      <c r="T410"/>
      <c r="U410"/>
      <c r="V410"/>
      <c r="W410"/>
      <c r="X410"/>
      <c r="Y410"/>
      <c r="Z410"/>
      <c r="AA410"/>
      <c r="AB410"/>
      <c r="AC410"/>
      <c r="AD410"/>
      <c r="AE410"/>
      <c r="AF410"/>
      <c r="AG410" s="43"/>
      <c r="AH410"/>
      <c r="AI410"/>
      <c r="AJ410" t="s">
        <v>5153</v>
      </c>
      <c r="AK410" s="1" t="s">
        <v>258</v>
      </c>
      <c r="AL410" t="s">
        <v>386</v>
      </c>
      <c r="AM410" t="s">
        <v>260</v>
      </c>
      <c r="AN410"/>
      <c r="AO410" t="s">
        <v>5281</v>
      </c>
      <c r="AP410" s="1" t="s">
        <v>258</v>
      </c>
      <c r="AQ410" t="s">
        <v>1071</v>
      </c>
      <c r="AR410"/>
      <c r="AS410"/>
      <c r="AT410"/>
      <c r="AU410"/>
      <c r="AV410"/>
      <c r="AW410"/>
      <c r="AX410" s="1"/>
      <c r="AY410" s="1"/>
      <c r="AZ410" s="1"/>
      <c r="BA410" s="1"/>
      <c r="BB410" s="1"/>
      <c r="BC410" s="2"/>
      <c r="BD410" s="115">
        <v>45382</v>
      </c>
      <c r="BE410" s="115"/>
      <c r="BF410" s="2"/>
      <c r="BG410" s="2"/>
      <c r="BH410" s="2"/>
      <c r="BI410" s="2"/>
      <c r="BJ410" s="2"/>
      <c r="BK410" s="2"/>
      <c r="BL410" s="20">
        <f ca="1">SUM(EB410)+220</f>
        <v>2142.3599999999997</v>
      </c>
      <c r="BM410" s="22">
        <f ca="1">PMT(10%/12,12,BL410,0,0)</f>
        <v>-188.34748016608333</v>
      </c>
      <c r="BN410" s="22">
        <f ca="1">SUM(BM410*-1)</f>
        <v>188.34748016608333</v>
      </c>
      <c r="BO410" s="14">
        <f>SUM(EJ410*0.0052)/12</f>
        <v>42.076666666666661</v>
      </c>
      <c r="BP410" s="22">
        <f ca="1">SUM(BN410+BO410)</f>
        <v>230.42414683274998</v>
      </c>
      <c r="BQ410" s="14"/>
      <c r="BR410" s="14">
        <f>SUM(BQ410*0.1)</f>
        <v>0</v>
      </c>
      <c r="BS410" s="14">
        <f ca="1">SUM(BT410*BU410)</f>
        <v>0</v>
      </c>
      <c r="BT410" s="17">
        <f>SUM((BQ410+BR410)*0.00833333333333333)</f>
        <v>0</v>
      </c>
      <c r="BU410" s="23">
        <f ca="1">MONTH(TODAY())+61</f>
        <v>65</v>
      </c>
      <c r="BV410" s="14">
        <f ca="1">SUM(BQ410,BR410,BS410)</f>
        <v>0</v>
      </c>
      <c r="BW410" s="14"/>
      <c r="BX410" s="14">
        <f>SUM(BW410*0.1)</f>
        <v>0</v>
      </c>
      <c r="BY410" s="14">
        <f ca="1">SUM(BZ410*CA410)</f>
        <v>0</v>
      </c>
      <c r="BZ410" s="17">
        <f>SUM((BW410+BX410)*0.00833333333333333)</f>
        <v>0</v>
      </c>
      <c r="CA410" s="23">
        <f ca="1">MONTH(TODAY())+49</f>
        <v>53</v>
      </c>
      <c r="CB410" s="14">
        <f ca="1">SUM(BW410,BX410,BY410)</f>
        <v>0</v>
      </c>
      <c r="CC410" s="14">
        <v>0</v>
      </c>
      <c r="CD410" s="14">
        <f>SUM(CC410*0.1)</f>
        <v>0</v>
      </c>
      <c r="CE410" s="14">
        <f ca="1">SUM(CF410*CG410)</f>
        <v>0</v>
      </c>
      <c r="CF410" s="17">
        <f>SUM((CC410+CD410)*0.00833333333333333)</f>
        <v>0</v>
      </c>
      <c r="CG410" s="23">
        <f ca="1">MONTH(TODAY())+37</f>
        <v>41</v>
      </c>
      <c r="CH410" s="14">
        <f ca="1">SUM(CC410,CD410,CE410)</f>
        <v>0</v>
      </c>
      <c r="CI410" s="14">
        <f>SUM(EG410*0.0052)</f>
        <v>488.79999999999995</v>
      </c>
      <c r="CJ410" s="14">
        <f>SUM(CI410*0.1)</f>
        <v>48.879999999999995</v>
      </c>
      <c r="CK410" s="14">
        <f ca="1">SUM(CL410*CM410)</f>
        <v>129.93933333333325</v>
      </c>
      <c r="CL410" s="17">
        <f>SUM((CI410+CJ410)*0.00833333333333333)</f>
        <v>4.4806666666666644</v>
      </c>
      <c r="CM410" s="23">
        <f ca="1">MONTH(TODAY())+25</f>
        <v>29</v>
      </c>
      <c r="CN410" s="14">
        <f ca="1">SUM(CI410,CJ410,CK410)</f>
        <v>667.6193333333332</v>
      </c>
      <c r="CO410" s="14">
        <f>SUM(EG410*0.0052)/2</f>
        <v>244.39999999999998</v>
      </c>
      <c r="CP410" s="14">
        <f>SUM(CO410*0.1)</f>
        <v>24.439999999999998</v>
      </c>
      <c r="CQ410" s="14">
        <f ca="1">SUM(CR410*CS410)</f>
        <v>47.046999999999976</v>
      </c>
      <c r="CR410" s="17">
        <f>SUM((CO410+CP410)*0.00833333333333333)</f>
        <v>2.2403333333333322</v>
      </c>
      <c r="CS410" s="23">
        <f ca="1">MONTH(TODAY())+17</f>
        <v>21</v>
      </c>
      <c r="CT410" s="23">
        <f ca="1">SUM(CO410,CP410,CQ410)</f>
        <v>315.88699999999994</v>
      </c>
      <c r="CU410" s="14">
        <f>SUM(EG410*0.0052)/2</f>
        <v>244.39999999999998</v>
      </c>
      <c r="CV410" s="14">
        <f>SUM(CU410*0.1)</f>
        <v>24.439999999999998</v>
      </c>
      <c r="CW410" s="14">
        <f ca="1">SUM(CX410*CY410)</f>
        <v>38.085666666666647</v>
      </c>
      <c r="CX410" s="17">
        <f>SUM((CU410+CV410)*0.00833333333333333)</f>
        <v>2.2403333333333322</v>
      </c>
      <c r="CY410" s="23">
        <f ca="1">MONTH(TODAY())+13</f>
        <v>17</v>
      </c>
      <c r="CZ410" s="23">
        <f ca="1">SUM(CU410,CV410,CW410)</f>
        <v>306.92566666666664</v>
      </c>
      <c r="DA410" s="14">
        <f>SUM(EJ410*0.0045)/2</f>
        <v>218.47499999999999</v>
      </c>
      <c r="DB410" s="14">
        <f>SUM(DA410*0.1)</f>
        <v>21.8475</v>
      </c>
      <c r="DC410" s="14">
        <f ca="1">SUM(DD410*DE410)</f>
        <v>22.02956249999999</v>
      </c>
      <c r="DD410" s="17">
        <f>SUM((DA410+DB410)*0.00833333333333333)</f>
        <v>2.0026874999999991</v>
      </c>
      <c r="DE410" s="23">
        <f ca="1">MONTH(TODAY())+7</f>
        <v>11</v>
      </c>
      <c r="DF410" s="23">
        <f ca="1">SUM(DA410,DB410,DC410)</f>
        <v>262.35206249999999</v>
      </c>
      <c r="DG410" s="14">
        <f>SUM(EJ410*0.0045)/2</f>
        <v>218.47499999999999</v>
      </c>
      <c r="DH410" s="14">
        <f>SUM(DG410*0.1)</f>
        <v>21.8475</v>
      </c>
      <c r="DI410" s="14">
        <f ca="1">SUM(DJ410*DK410)</f>
        <v>10.013437499999995</v>
      </c>
      <c r="DJ410" s="17">
        <f>SUM((DG410+DH410)*0.00833333333333333)</f>
        <v>2.0026874999999991</v>
      </c>
      <c r="DK410" s="23">
        <f ca="1">MONTH(TODAY())+1</f>
        <v>5</v>
      </c>
      <c r="DL410" s="14">
        <f ca="1">SUM(DG410,DH410,DI410)</f>
        <v>250.3359375</v>
      </c>
      <c r="DM410" s="14">
        <f>SUM( BQ410, BW410, CC410, CI410, CO410,CU410,DA410,DG410)</f>
        <v>1414.5499999999997</v>
      </c>
      <c r="DN410" s="14">
        <f>SUM(BR410,BX410,CD410,CJ410, CP410,CV410,DB410,DH410)</f>
        <v>141.45499999999998</v>
      </c>
      <c r="DO410" s="14">
        <f ca="1">SUM(BS410,BY410,CE410,CK410, CQ410,CW410,DC410,DI410)</f>
        <v>247.11499999999984</v>
      </c>
      <c r="DP410" s="25">
        <f ca="1">SUM(DM410:DO410)</f>
        <v>1803.1199999999994</v>
      </c>
      <c r="DQ410" s="47">
        <f ca="1">SUM(DP410/EG410)</f>
        <v>1.9182127659574461E-2</v>
      </c>
      <c r="DR410" s="14">
        <f>40+10+40</f>
        <v>90</v>
      </c>
      <c r="DS410" s="32">
        <f>COUNTIF(AO410, "*")+COUNTIF(AJ410, "*")+COUNTIF(AA410, "*")+COUNTIF(EU410, "*")+COUNTIF(FA410, "*")+COUNTIF(FG410, "*")+COUNTIF(FK410, "*")+COUNTIF(FR410, "*")+COUNTIF(AT410, "*")+COUNTIF(GA410, "*")+COUNTIF(GL410, "*")+COUNTIF(GW410, "*")+COUNTIF(HE410, "*")+COUNTIF(HM410, "*")+COUNTIF(HU410, "*")</f>
        <v>2</v>
      </c>
      <c r="DT410" s="14">
        <f>DS410*0.64</f>
        <v>1.28</v>
      </c>
      <c r="DU410" s="4"/>
      <c r="DV410" s="4">
        <v>27.96</v>
      </c>
      <c r="DW410" s="4"/>
      <c r="DX410" s="4"/>
      <c r="DY410"/>
      <c r="DZ410" s="4"/>
      <c r="EA410" s="14">
        <f>SUM(DV410:DZ410)</f>
        <v>27.96</v>
      </c>
      <c r="EB410" s="14">
        <f ca="1">SUM(DP410,DR410,EA410, DU410, DT410,FX410)</f>
        <v>1922.3599999999994</v>
      </c>
      <c r="EC410" s="24" t="s">
        <v>4944</v>
      </c>
      <c r="ED410" s="130">
        <f>0.14+0.14+0.04</f>
        <v>0.32</v>
      </c>
      <c r="EE410" s="14">
        <f>35300+14900+4300</f>
        <v>54500</v>
      </c>
      <c r="EF410" s="14">
        <f>39500</f>
        <v>39500</v>
      </c>
      <c r="EG410" s="14">
        <f>SUM(EE410+EF410)</f>
        <v>94000</v>
      </c>
      <c r="EH410" s="14">
        <f>35300+14900+4300</f>
        <v>54500</v>
      </c>
      <c r="EI410" s="14">
        <f>42600</f>
        <v>42600</v>
      </c>
      <c r="EJ410" s="14">
        <f>SUM(EH410+EI410)</f>
        <v>97100</v>
      </c>
      <c r="EK410" s="10"/>
      <c r="EL410" s="10"/>
      <c r="EM410" s="10"/>
      <c r="EN410" s="10"/>
      <c r="EO410" s="10"/>
      <c r="EP410" s="10"/>
      <c r="EQ410" s="10"/>
      <c r="ER410" s="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s="4"/>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s="9"/>
      <c r="HZ410"/>
      <c r="IA410"/>
      <c r="IB410"/>
      <c r="IC410"/>
      <c r="ID410"/>
      <c r="IE410"/>
      <c r="IF410"/>
      <c r="IG410"/>
      <c r="IH410"/>
      <c r="II410"/>
      <c r="IJ410" s="4"/>
      <c r="IK410" s="4"/>
      <c r="IL410" s="4"/>
      <c r="IM410" s="9"/>
      <c r="IN410" s="9"/>
      <c r="IO410" s="9"/>
      <c r="IP410" s="9"/>
      <c r="IQ410" s="9"/>
      <c r="IR410"/>
      <c r="IS410"/>
      <c r="IT410"/>
      <c r="IU410"/>
      <c r="IV410"/>
      <c r="IW410"/>
      <c r="IX410"/>
      <c r="IY410"/>
      <c r="IZ410"/>
      <c r="JA410"/>
      <c r="JB410"/>
      <c r="JC410"/>
    </row>
    <row r="411" spans="1:263" s="240" customFormat="1" ht="15" customHeight="1">
      <c r="A411" s="2">
        <v>102019054</v>
      </c>
      <c r="B411" s="4" t="s">
        <v>1382</v>
      </c>
      <c r="C411" s="4"/>
      <c r="D411" s="1"/>
      <c r="E411" s="1"/>
      <c r="F411" s="3"/>
      <c r="G411" s="3"/>
      <c r="H411" s="2"/>
      <c r="I411"/>
      <c r="J411" t="s">
        <v>311</v>
      </c>
      <c r="K411" t="s">
        <v>1322</v>
      </c>
      <c r="L411" t="s">
        <v>574</v>
      </c>
      <c r="M411" t="s">
        <v>537</v>
      </c>
      <c r="N411"/>
      <c r="O411" s="1"/>
      <c r="P411"/>
      <c r="Q411"/>
      <c r="R411"/>
      <c r="S411"/>
      <c r="T411" s="1"/>
      <c r="U411"/>
      <c r="V411"/>
      <c r="W411"/>
      <c r="X411"/>
      <c r="Y411"/>
      <c r="Z411"/>
      <c r="AA411"/>
      <c r="AB411"/>
      <c r="AC411"/>
      <c r="AD411"/>
      <c r="AE411"/>
      <c r="AF411"/>
      <c r="AG411" s="3"/>
      <c r="AH411"/>
      <c r="AI411"/>
      <c r="AJ411" s="4"/>
      <c r="AK411" s="4"/>
      <c r="AL411"/>
      <c r="AM411" s="3"/>
      <c r="AN411" s="3"/>
      <c r="AO411" s="4"/>
      <c r="AP411" s="5"/>
      <c r="AQ411" s="34"/>
      <c r="AR411" s="3"/>
      <c r="AS411" s="1"/>
      <c r="AT411" s="1"/>
      <c r="AU411" s="29"/>
      <c r="AV411" s="1"/>
      <c r="AW411" s="1"/>
      <c r="AX411" s="1"/>
      <c r="AY411" s="1"/>
      <c r="AZ411" s="1"/>
      <c r="BA411" s="1"/>
      <c r="BB411" s="1"/>
      <c r="BC411" s="1"/>
      <c r="BD411" s="1"/>
      <c r="BE411" s="1"/>
      <c r="BF411" s="1"/>
      <c r="BG411" s="5"/>
      <c r="BH411" s="16"/>
      <c r="BI411" s="16"/>
      <c r="BJ411"/>
      <c r="BK411" s="4"/>
      <c r="BL411" s="4"/>
      <c r="BM411" s="6"/>
      <c r="BN411" s="7"/>
      <c r="BO411" s="4"/>
      <c r="BP411" s="6"/>
      <c r="BQ411" s="4"/>
      <c r="BR411" s="4"/>
      <c r="BS411" s="6"/>
      <c r="BT411" s="7"/>
      <c r="BU411" s="4"/>
      <c r="BV411" s="4"/>
      <c r="BW411" s="4"/>
      <c r="BX411" s="4"/>
      <c r="BY411" s="6"/>
      <c r="BZ411" s="7"/>
      <c r="CA411" s="4"/>
      <c r="CB411" s="4"/>
      <c r="CC411" s="4"/>
      <c r="CD411" s="4"/>
      <c r="CE411" s="6"/>
      <c r="CF411" s="7"/>
      <c r="CG411" s="4"/>
      <c r="CH411" s="4"/>
      <c r="CI411" s="4"/>
      <c r="CJ411" s="4"/>
      <c r="CK411" s="6"/>
      <c r="CL411" s="7"/>
      <c r="CM411" s="4"/>
      <c r="CN411" s="4"/>
      <c r="CO411" s="4"/>
      <c r="CP411" s="4"/>
      <c r="CQ411" s="6"/>
      <c r="CR411" s="7"/>
      <c r="CS411" s="4"/>
      <c r="CT411" s="4"/>
      <c r="CU411" s="4"/>
      <c r="CV411" s="4"/>
      <c r="CW411" s="6"/>
      <c r="CX411" s="7"/>
      <c r="CY411" s="4"/>
      <c r="CZ411" s="4"/>
      <c r="DA411" s="4"/>
      <c r="DB411" s="4"/>
      <c r="DC411" s="6"/>
      <c r="DD411" s="7"/>
      <c r="DE411" s="4"/>
      <c r="DF411" s="4"/>
      <c r="DG411" s="4"/>
      <c r="DH411" s="14"/>
      <c r="DI411" s="14"/>
      <c r="DJ411" s="4"/>
      <c r="DK411"/>
      <c r="DL411" s="4"/>
      <c r="DM411" s="234"/>
      <c r="DN411" s="4"/>
      <c r="DO411" s="4"/>
      <c r="DP411" s="4"/>
      <c r="DQ411" s="7"/>
      <c r="DR411" s="7"/>
      <c r="DS411" s="4"/>
      <c r="DT411" s="4"/>
      <c r="DU411" s="8"/>
      <c r="DV411" s="4"/>
      <c r="DW411" s="8"/>
      <c r="DX411" s="4"/>
      <c r="DY411" s="4"/>
      <c r="DZ411" s="7"/>
      <c r="EA411"/>
      <c r="EB411"/>
      <c r="EC411"/>
      <c r="ED411"/>
      <c r="EE411"/>
      <c r="EF411"/>
      <c r="EG411" s="11"/>
      <c r="EH411"/>
      <c r="EI411"/>
      <c r="EJ411"/>
      <c r="EK411"/>
      <c r="EL411"/>
      <c r="EM411" s="11"/>
      <c r="EN411" s="4"/>
      <c r="EO411" s="4"/>
      <c r="EP411" s="4"/>
      <c r="EQ411" s="4"/>
      <c r="ER411" s="4"/>
      <c r="ES411" s="4"/>
      <c r="ET411" s="4"/>
      <c r="EU411" s="4"/>
      <c r="EV411" s="4"/>
      <c r="EW411" s="4"/>
      <c r="EX411" s="4"/>
      <c r="EY411" s="4"/>
      <c r="EZ411" s="4"/>
      <c r="FA411" s="4"/>
      <c r="FB411" s="4"/>
      <c r="FC411" s="4"/>
      <c r="FD411"/>
      <c r="FE411"/>
      <c r="FF411"/>
      <c r="FG411"/>
      <c r="FH411"/>
      <c r="FI411" s="9"/>
      <c r="FJ411"/>
      <c r="FK411"/>
      <c r="FL411"/>
      <c r="FM411"/>
      <c r="FN411"/>
      <c r="FO411"/>
      <c r="FP411"/>
      <c r="FQ411"/>
      <c r="FR411" s="9"/>
      <c r="FS411"/>
      <c r="FT411"/>
      <c r="FU411"/>
      <c r="FV411"/>
      <c r="FW411"/>
      <c r="FX411" s="4"/>
      <c r="FY411"/>
      <c r="FZ411"/>
      <c r="GA411" s="10"/>
      <c r="GB411"/>
      <c r="GC411"/>
      <c r="GD411"/>
      <c r="GE411"/>
      <c r="GF411"/>
      <c r="GG411"/>
      <c r="GH411"/>
      <c r="GI411"/>
      <c r="GJ411"/>
      <c r="GK411" s="10"/>
      <c r="GL411"/>
      <c r="GM411"/>
      <c r="GN411"/>
      <c r="GO411"/>
      <c r="GP411"/>
      <c r="GQ411"/>
      <c r="GR411"/>
      <c r="GS411"/>
      <c r="GT411"/>
      <c r="GU411"/>
      <c r="GV411"/>
      <c r="GW411"/>
      <c r="GX411"/>
      <c r="GY411"/>
      <c r="GZ411" s="9"/>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s="4"/>
      <c r="IK411" s="4"/>
      <c r="IL411"/>
      <c r="IM411"/>
      <c r="IN411" t="s">
        <v>772</v>
      </c>
      <c r="IO411" t="s">
        <v>773</v>
      </c>
      <c r="IP411" t="s">
        <v>386</v>
      </c>
      <c r="IQ411"/>
      <c r="IR411"/>
      <c r="IS411" s="66">
        <v>155.66999999999999</v>
      </c>
      <c r="IT411" s="66">
        <v>10574.76</v>
      </c>
      <c r="IU411" s="9">
        <v>43549</v>
      </c>
      <c r="IV411" s="9">
        <v>43565</v>
      </c>
      <c r="IW411" s="9">
        <v>43699</v>
      </c>
      <c r="IX411" s="9">
        <v>43711</v>
      </c>
      <c r="IY411"/>
      <c r="IZ411" s="243"/>
      <c r="JA411" s="243"/>
      <c r="JB411" s="243"/>
      <c r="JC411" s="243"/>
    </row>
    <row r="412" spans="1:263" ht="15" customHeight="1">
      <c r="A412" s="2">
        <v>102018088</v>
      </c>
      <c r="B412" s="4" t="s">
        <v>1267</v>
      </c>
      <c r="C412" s="4"/>
      <c r="D412" s="3"/>
      <c r="E412" s="3"/>
      <c r="F412" s="3"/>
      <c r="G412" s="3"/>
      <c r="H412" s="3"/>
      <c r="J412" t="s">
        <v>305</v>
      </c>
      <c r="K412" t="s">
        <v>1017</v>
      </c>
      <c r="L412" t="s">
        <v>1268</v>
      </c>
      <c r="O412" s="1"/>
      <c r="P412" t="s">
        <v>1017</v>
      </c>
      <c r="Q412" t="s">
        <v>879</v>
      </c>
      <c r="T412" s="1"/>
      <c r="AJ412" s="4"/>
      <c r="AK412" s="4"/>
      <c r="AO412" s="4"/>
      <c r="AP412" s="5"/>
      <c r="AS412" s="5"/>
      <c r="AT412" s="5"/>
      <c r="AU412" s="1"/>
      <c r="AV412" s="1"/>
      <c r="AW412" s="1"/>
      <c r="AX412" s="1"/>
      <c r="AY412" s="1"/>
      <c r="AZ412" s="1"/>
      <c r="BA412" s="1"/>
      <c r="BB412" s="1"/>
      <c r="BC412" s="1"/>
      <c r="BD412" s="1"/>
      <c r="BE412" s="1"/>
      <c r="BF412" s="1"/>
      <c r="BG412" s="5"/>
      <c r="BH412" s="16"/>
      <c r="BI412" s="16"/>
      <c r="BJ412" s="4"/>
      <c r="BK412" s="4"/>
      <c r="BL412" s="4"/>
      <c r="BM412" s="6"/>
      <c r="BN412" s="7"/>
      <c r="BO412" s="4"/>
      <c r="BQ412" s="4"/>
      <c r="BR412" s="4"/>
      <c r="BS412" s="6"/>
      <c r="BT412" s="7"/>
      <c r="BU412" s="4"/>
      <c r="BV412" s="4"/>
      <c r="BW412" s="4"/>
      <c r="BX412" s="4"/>
      <c r="BY412" s="6"/>
      <c r="BZ412" s="7"/>
      <c r="CA412" s="4"/>
      <c r="CB412" s="4"/>
      <c r="CC412" s="4"/>
      <c r="CD412" s="4"/>
      <c r="CE412" s="6"/>
      <c r="CF412" s="7"/>
      <c r="CG412" s="4"/>
      <c r="CH412" s="4"/>
      <c r="CI412" s="4"/>
      <c r="CJ412" s="4"/>
      <c r="CK412" s="6"/>
      <c r="CL412" s="7"/>
      <c r="CM412" s="4"/>
      <c r="CN412" s="4"/>
      <c r="CO412" s="4"/>
      <c r="CP412" s="4"/>
      <c r="CQ412" s="6"/>
      <c r="CR412" s="7"/>
      <c r="CS412" s="4"/>
      <c r="CT412" s="4"/>
      <c r="CU412" s="4"/>
      <c r="CV412" s="4"/>
      <c r="CW412" s="6"/>
      <c r="CX412" s="7"/>
      <c r="CY412" s="4"/>
      <c r="CZ412" s="4"/>
      <c r="DA412" s="4"/>
      <c r="DB412" s="4"/>
      <c r="DC412" s="6"/>
      <c r="DD412" s="7"/>
      <c r="DE412" s="4"/>
      <c r="DF412" s="4"/>
      <c r="DG412" s="14"/>
      <c r="DH412" s="14"/>
      <c r="DI412" s="4"/>
      <c r="DJ412" s="3"/>
      <c r="DK412" s="4"/>
      <c r="DL412" s="234"/>
      <c r="DM412" s="4"/>
      <c r="DN412" s="4"/>
      <c r="DO412" s="4"/>
      <c r="DP412" s="4"/>
      <c r="DQ412" s="4"/>
      <c r="DR412" s="4"/>
      <c r="DS412" s="4"/>
      <c r="DT412" s="8"/>
      <c r="DU412" s="4"/>
      <c r="DV412" s="8"/>
      <c r="DW412" s="4"/>
      <c r="DX412" s="4"/>
      <c r="EG412" s="11"/>
      <c r="EM412" s="11"/>
      <c r="EN412" s="11"/>
      <c r="EO412" s="4"/>
      <c r="EP412" s="4"/>
      <c r="EQ412" s="4"/>
      <c r="ER412" s="4"/>
      <c r="ES412" s="4"/>
      <c r="ET412" s="4"/>
      <c r="EU412" s="4"/>
      <c r="EV412" s="4"/>
      <c r="EW412" s="4"/>
      <c r="EX412" s="4"/>
      <c r="EY412" s="4"/>
      <c r="EZ412" s="4"/>
      <c r="FA412" s="4"/>
      <c r="FB412" s="4"/>
      <c r="FC412" s="4"/>
      <c r="FG412" s="9"/>
      <c r="FP412" s="9"/>
      <c r="FZ412" s="10"/>
      <c r="GJ412" s="10"/>
      <c r="GY412" s="9"/>
      <c r="IK412" s="4"/>
    </row>
    <row r="413" spans="1:263" ht="15" customHeight="1">
      <c r="A413" s="19">
        <v>102019039</v>
      </c>
      <c r="B413" s="14" t="s">
        <v>630</v>
      </c>
      <c r="C413" s="20"/>
      <c r="D413" s="20"/>
      <c r="E413" s="24" t="s">
        <v>1742</v>
      </c>
      <c r="F413" s="19">
        <v>200001234</v>
      </c>
      <c r="H413" s="18"/>
      <c r="I413" s="18"/>
      <c r="J413" s="18" t="s">
        <v>311</v>
      </c>
      <c r="K413" s="18" t="s">
        <v>632</v>
      </c>
      <c r="L413" s="18" t="s">
        <v>631</v>
      </c>
      <c r="M413" s="18"/>
      <c r="N413" s="18"/>
      <c r="O413" s="13"/>
      <c r="P413" s="18"/>
      <c r="Q413" s="18"/>
      <c r="R413" s="18"/>
      <c r="S413" s="18"/>
      <c r="T413" s="13"/>
      <c r="U413" s="18"/>
      <c r="V413" s="18"/>
      <c r="W413" s="18"/>
      <c r="X413" s="18"/>
      <c r="Y413" s="18"/>
      <c r="Z413" s="18"/>
      <c r="AA413" s="18"/>
      <c r="AB413" s="18"/>
      <c r="AC413" s="18"/>
      <c r="AD413" s="18"/>
      <c r="AE413" s="18"/>
      <c r="AF413" s="18"/>
      <c r="AG413" s="231"/>
      <c r="AH413" s="18"/>
      <c r="AI413" s="18"/>
      <c r="AJ413" s="14"/>
      <c r="AK413" s="14"/>
      <c r="AL413" s="18"/>
      <c r="AM413" s="24"/>
      <c r="AN413" s="24"/>
      <c r="AO413" s="14"/>
      <c r="AP413" s="20"/>
      <c r="AQ413" s="24"/>
      <c r="AR413" s="24"/>
      <c r="AS413" s="20"/>
      <c r="AT413" s="20"/>
      <c r="AU413" s="13"/>
      <c r="AV413" s="13"/>
      <c r="AW413" s="13"/>
      <c r="AX413" s="48"/>
      <c r="AY413" s="48"/>
      <c r="AZ413" s="48"/>
      <c r="BA413" s="48"/>
      <c r="BB413" s="19"/>
      <c r="BC413" s="48"/>
      <c r="BD413" s="48"/>
      <c r="BE413" s="48"/>
      <c r="BF413" s="19"/>
      <c r="BG413" s="20"/>
      <c r="BH413" s="22"/>
      <c r="BI413" s="22"/>
      <c r="BJ413" s="14"/>
      <c r="BK413" s="14"/>
      <c r="BL413" s="14"/>
      <c r="BM413" s="17"/>
      <c r="BN413" s="23"/>
      <c r="BO413" s="14"/>
      <c r="BP413" s="14"/>
      <c r="BQ413" s="14"/>
      <c r="BR413" s="14"/>
      <c r="BS413" s="17"/>
      <c r="BT413" s="23"/>
      <c r="BU413" s="14"/>
      <c r="BV413" s="14"/>
      <c r="BW413" s="14"/>
      <c r="BX413" s="14"/>
      <c r="BY413" s="17"/>
      <c r="BZ413" s="23"/>
      <c r="CA413" s="14"/>
      <c r="CB413" s="14"/>
      <c r="CC413" s="14"/>
      <c r="CD413" s="14"/>
      <c r="CE413" s="17"/>
      <c r="CF413" s="23"/>
      <c r="CG413" s="14"/>
      <c r="CH413" s="14"/>
      <c r="CI413" s="14"/>
      <c r="CJ413" s="14"/>
      <c r="CK413" s="17"/>
      <c r="CL413" s="23"/>
      <c r="CM413" s="14"/>
      <c r="CN413" s="14"/>
      <c r="CO413" s="14"/>
      <c r="CP413" s="14"/>
      <c r="CQ413" s="17"/>
      <c r="CR413" s="23"/>
      <c r="CS413" s="14"/>
      <c r="CT413" s="14"/>
      <c r="CU413" s="14"/>
      <c r="CV413" s="14"/>
      <c r="CW413" s="17"/>
      <c r="CX413" s="23"/>
      <c r="CY413" s="14"/>
      <c r="CZ413" s="14"/>
      <c r="DA413" s="14"/>
      <c r="DB413" s="14"/>
      <c r="DC413" s="17"/>
      <c r="DD413" s="23"/>
      <c r="DE413" s="14"/>
      <c r="DF413" s="14"/>
      <c r="DG413" s="14"/>
      <c r="DH413" s="14"/>
      <c r="DI413" s="14"/>
      <c r="DJ413" s="47"/>
      <c r="DK413" s="24"/>
      <c r="DL413" s="14"/>
      <c r="DM413" s="32"/>
      <c r="DN413" s="14"/>
      <c r="DO413" s="14"/>
      <c r="DP413" s="14"/>
      <c r="DQ413" s="14"/>
      <c r="DR413" s="14"/>
      <c r="DS413" s="14"/>
      <c r="DT413" s="23"/>
      <c r="DU413" s="25"/>
      <c r="DV413" s="14"/>
      <c r="DW413" s="25"/>
      <c r="DX413" s="25"/>
      <c r="DY413" s="25"/>
      <c r="DZ413" s="36"/>
      <c r="EA413" s="18"/>
      <c r="EB413" s="18"/>
      <c r="EC413" s="18"/>
      <c r="ED413" s="18"/>
      <c r="EE413" s="18"/>
      <c r="EF413" s="18"/>
      <c r="EG413" s="18"/>
      <c r="EH413" s="18"/>
      <c r="EI413" s="30"/>
      <c r="EJ413" s="18"/>
      <c r="EK413" s="18"/>
      <c r="EL413" s="18"/>
      <c r="EM413" s="18"/>
      <c r="EN413" s="18"/>
      <c r="EO413" s="30"/>
      <c r="EP413" s="30"/>
      <c r="EQ413" s="14"/>
      <c r="ER413" s="14"/>
      <c r="ES413" s="14"/>
      <c r="ET413" s="14"/>
      <c r="EU413" s="14"/>
      <c r="EV413" s="14"/>
      <c r="EW413" s="14"/>
      <c r="EX413" s="14"/>
      <c r="EY413" s="14"/>
      <c r="EZ413" s="14"/>
      <c r="FA413" s="14"/>
      <c r="FB413" s="14"/>
      <c r="FC413" s="14"/>
      <c r="FD413" s="14"/>
      <c r="FE413" s="14"/>
      <c r="FF413" s="18"/>
      <c r="FG413" s="18"/>
      <c r="FH413" s="18"/>
      <c r="FI413" s="27"/>
      <c r="FJ413" s="18"/>
      <c r="FK413" s="18"/>
      <c r="FL413" s="18"/>
      <c r="FM413" s="18"/>
      <c r="FN413" s="18"/>
      <c r="FO413" s="18"/>
      <c r="FP413" s="18"/>
      <c r="FQ413" s="18"/>
      <c r="FR413" s="27"/>
      <c r="FS413" s="18"/>
      <c r="FT413" s="18"/>
      <c r="FU413" s="18"/>
      <c r="FV413" s="18"/>
      <c r="FW413" s="18"/>
      <c r="FX413" s="14"/>
      <c r="FY413" s="18"/>
      <c r="FZ413" s="18"/>
      <c r="GA413" s="18"/>
      <c r="GB413" s="18"/>
      <c r="GC413" s="28"/>
      <c r="GD413" s="18"/>
      <c r="GE413" s="18"/>
      <c r="GF413" s="18"/>
      <c r="GG413" s="18"/>
      <c r="GH413" s="18"/>
      <c r="GI413" s="18"/>
      <c r="GJ413" s="18"/>
      <c r="GK413" s="18"/>
      <c r="GL413" s="18"/>
      <c r="GM413" s="28"/>
      <c r="GN413" s="18"/>
      <c r="GO413" s="18"/>
      <c r="GP413" s="18"/>
      <c r="GQ413" s="18"/>
      <c r="GR413" s="18"/>
      <c r="GS413" s="18"/>
      <c r="GT413" s="18"/>
      <c r="GU413" s="18"/>
      <c r="GV413" s="18"/>
      <c r="GW413" s="18"/>
      <c r="GX413" s="18"/>
      <c r="GY413" s="18"/>
      <c r="GZ413" s="18"/>
      <c r="HA413" s="18"/>
      <c r="HB413" s="27"/>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27"/>
      <c r="IJ413" s="14"/>
      <c r="IK413" s="14"/>
      <c r="IL413" s="9"/>
      <c r="IS413" s="4"/>
      <c r="IT413" s="4"/>
      <c r="IZ413" s="18"/>
    </row>
    <row r="414" spans="1:263" ht="15" customHeight="1">
      <c r="A414" s="19">
        <v>102023096</v>
      </c>
      <c r="B414" s="18" t="s">
        <v>4308</v>
      </c>
      <c r="D414" s="1"/>
      <c r="E414" s="3"/>
      <c r="F414" s="3"/>
      <c r="J414" s="18" t="s">
        <v>311</v>
      </c>
      <c r="K414" s="18" t="s">
        <v>4386</v>
      </c>
      <c r="L414" s="130" t="s">
        <v>1695</v>
      </c>
      <c r="M414" s="130" t="s">
        <v>326</v>
      </c>
      <c r="N414" s="130" t="s">
        <v>341</v>
      </c>
      <c r="O414" s="288"/>
      <c r="P414" s="130"/>
      <c r="Q414" s="130"/>
      <c r="R414" s="130"/>
      <c r="S414" s="130"/>
      <c r="AG414" s="43"/>
      <c r="AJ414" s="18" t="s">
        <v>328</v>
      </c>
      <c r="AL414" s="18" t="s">
        <v>386</v>
      </c>
      <c r="AM414"/>
      <c r="AN414"/>
      <c r="AO414" s="18" t="s">
        <v>4387</v>
      </c>
      <c r="AP414" s="3" t="s">
        <v>258</v>
      </c>
      <c r="AQ414" s="18" t="s">
        <v>290</v>
      </c>
      <c r="AR414" s="18" t="s">
        <v>268</v>
      </c>
      <c r="AX414" s="1"/>
      <c r="AY414" s="1"/>
      <c r="AZ414" s="1"/>
      <c r="BA414" s="1"/>
      <c r="BB414" s="1"/>
      <c r="BC414" s="2"/>
      <c r="BD414" s="116"/>
      <c r="BE414" s="115"/>
      <c r="BF414" s="2"/>
      <c r="BG414" s="2"/>
      <c r="BH414" s="2"/>
      <c r="BI414" s="2"/>
      <c r="BJ414" s="2"/>
      <c r="BK414" s="2"/>
      <c r="BL414" s="20">
        <f ca="1">SUM(DP414)+220</f>
        <v>1091.8784000000001</v>
      </c>
      <c r="BM414" s="22">
        <f ca="1">PMT(10%/12,12,BL414,0,0)</f>
        <v>-95.993458283283303</v>
      </c>
      <c r="BN414" s="22">
        <f ca="1">SUM(BM414*-1)</f>
        <v>95.993458283283303</v>
      </c>
      <c r="BO414" s="14">
        <f>SUM(DX414*0.0052)/12</f>
        <v>29.293333333333333</v>
      </c>
      <c r="BP414" s="22">
        <f ca="1">SUM(BN414+BO414)</f>
        <v>125.28679161661664</v>
      </c>
      <c r="BQ414" s="14"/>
      <c r="BR414" s="14">
        <f>SUM(BQ414*0.1)</f>
        <v>0</v>
      </c>
      <c r="BS414" s="14">
        <f ca="1">SUM(BT414*BU414)</f>
        <v>0</v>
      </c>
      <c r="BT414" s="17">
        <f>SUM((BQ414+BR414)*0.00833333333333333)</f>
        <v>0</v>
      </c>
      <c r="BU414" s="23">
        <f ca="1">MONTH(TODAY())+49</f>
        <v>53</v>
      </c>
      <c r="BV414" s="14">
        <f ca="1">SUM(BQ414,BR414,BS414)</f>
        <v>0</v>
      </c>
      <c r="BW414" s="14"/>
      <c r="BX414" s="14">
        <f>SUM(BW414*0.1)</f>
        <v>0</v>
      </c>
      <c r="BY414" s="14">
        <f ca="1">SUM(BZ414*CA414)</f>
        <v>0</v>
      </c>
      <c r="BZ414" s="17">
        <f>SUM((BW414+BX414)*0.00833333333333333)</f>
        <v>0</v>
      </c>
      <c r="CA414" s="23">
        <f ca="1">MONTH(TODAY())+37</f>
        <v>41</v>
      </c>
      <c r="CB414" s="14">
        <f ca="1">SUM(BW414,BX414,BY414)</f>
        <v>0</v>
      </c>
      <c r="CC414" s="14">
        <v>0</v>
      </c>
      <c r="CD414" s="14">
        <f>SUM(CC414*0.1)</f>
        <v>0</v>
      </c>
      <c r="CE414" s="14">
        <f ca="1">SUM(CF414*CG414)</f>
        <v>0</v>
      </c>
      <c r="CF414" s="17">
        <f>SUM((CC414+CD414)*0.00833333333333333)</f>
        <v>0</v>
      </c>
      <c r="CG414" s="23">
        <f ca="1">MONTH(TODAY())+25</f>
        <v>29</v>
      </c>
      <c r="CH414" s="14">
        <f ca="1">SUM(CC414,CD414,CE414)</f>
        <v>0</v>
      </c>
      <c r="CI414" s="14">
        <f>SUM(DU414*0.0052)</f>
        <v>351.52</v>
      </c>
      <c r="CJ414" s="14">
        <f>SUM(CI414*0.1)</f>
        <v>35.152000000000001</v>
      </c>
      <c r="CK414" s="14">
        <f ca="1">SUM(CL414*CM414)</f>
        <v>54.7785333333333</v>
      </c>
      <c r="CL414" s="17">
        <f>SUM((CI414+CJ414)*0.00833333333333333)</f>
        <v>3.2222666666666648</v>
      </c>
      <c r="CM414" s="23">
        <f ca="1">MONTH(TODAY())+13</f>
        <v>17</v>
      </c>
      <c r="CN414" s="14">
        <f ca="1">SUM(CI414,CJ414,CK414)</f>
        <v>441.45053333333328</v>
      </c>
      <c r="CO414" s="14">
        <f>SUM(DU414*0.0052)/2</f>
        <v>175.76</v>
      </c>
      <c r="CP414" s="14">
        <f>SUM(CO414*0.1)</f>
        <v>17.576000000000001</v>
      </c>
      <c r="CQ414" s="14">
        <f ca="1">SUM(CR414*CS414)</f>
        <v>14.500199999999992</v>
      </c>
      <c r="CR414" s="17">
        <f>SUM((CO414+CP414)*0.00833333333333333)</f>
        <v>1.6111333333333324</v>
      </c>
      <c r="CS414" s="23">
        <f ca="1">MONTH(TODAY())+5</f>
        <v>9</v>
      </c>
      <c r="CT414" s="23">
        <f ca="1">SUM(CO414,CP414,CQ414)</f>
        <v>207.83619999999996</v>
      </c>
      <c r="CU414" s="14">
        <f>SUM(DU414*0.0052)/2</f>
        <v>175.76</v>
      </c>
      <c r="CV414" s="14">
        <f>SUM(CU414*0.1)</f>
        <v>17.576000000000001</v>
      </c>
      <c r="CW414" s="14">
        <f ca="1">SUM(CX414*CY414)</f>
        <v>8.0556666666666619</v>
      </c>
      <c r="CX414" s="17">
        <f>SUM((CU414+CV414)*0.00833333333333333)</f>
        <v>1.6111333333333324</v>
      </c>
      <c r="CY414" s="23">
        <f ca="1">MONTH(TODAY())+1</f>
        <v>5</v>
      </c>
      <c r="CZ414" s="23">
        <f ca="1">SUM(CU414,CV414,CW414)</f>
        <v>201.39166666666665</v>
      </c>
      <c r="DA414" s="14">
        <f>SUM( BQ414, BW414, CC414, CI414, CO414,CU414)</f>
        <v>703.04</v>
      </c>
      <c r="DB414" s="14">
        <f>SUM(BR414,BX414,CD414,CJ414, CP414,CV414)</f>
        <v>70.304000000000002</v>
      </c>
      <c r="DC414" s="14">
        <f ca="1">SUM(BS414,BY414,CE414,CK414, CQ414,CW414)</f>
        <v>77.33439999999996</v>
      </c>
      <c r="DD414" s="25">
        <f ca="1">SUM(DA414:DC414)</f>
        <v>850.6783999999999</v>
      </c>
      <c r="DE414" s="47">
        <f ca="1">SUM(DD414/DU414)</f>
        <v>1.2583999999999998E-2</v>
      </c>
      <c r="DF414" s="14">
        <v>20</v>
      </c>
      <c r="DG414" s="32">
        <f>COUNTIF(DL414, "*")+COUNTIF(AO414, "*")+COUNTIF(AJ414, "*")+COUNTIF(AA414, "*")+COUNTIF(EM414, "*")+COUNTIF(ES414, "*")+COUNTIF(EY414, "*")+COUNTIF(FC414, "*")+COUNTIF(FJ414, "*")+COUNTIF(AT414, "*")+COUNTIF(FS414, "*")+COUNTIF(GD414, "*")+COUNTIF(GO414, "*")+COUNTIF(GW414, "*")+COUNTIF(HE414, "*")+COUNTIF(HM414, "*")+COUNTIF(HU414, "*")</f>
        <v>2</v>
      </c>
      <c r="DH414" s="14">
        <f>DG414*0.6</f>
        <v>1.2</v>
      </c>
      <c r="DI414" s="4"/>
      <c r="DJ414" s="4"/>
      <c r="DK414" s="4"/>
      <c r="DL414" s="4"/>
      <c r="DN414" s="4"/>
      <c r="DO414" s="14">
        <f>SUM(DJ414:DN414)</f>
        <v>0</v>
      </c>
      <c r="DP414" s="14">
        <f ca="1">SUM(DD414,DF414,DO414, DI414, DH414,FP414)</f>
        <v>871.87839999999994</v>
      </c>
      <c r="DQ414" s="24" t="s">
        <v>3879</v>
      </c>
      <c r="DR414" s="130">
        <v>2.2999999999999998</v>
      </c>
      <c r="DS414" s="14">
        <v>67600</v>
      </c>
      <c r="DT414" s="14">
        <v>0</v>
      </c>
      <c r="DU414" s="14">
        <v>67600</v>
      </c>
      <c r="DV414" s="14">
        <v>67600</v>
      </c>
      <c r="DW414" s="14">
        <v>0</v>
      </c>
      <c r="DX414" s="14">
        <f>SUM(DV414+DW414)</f>
        <v>67600</v>
      </c>
      <c r="IA414" s="9"/>
      <c r="IL414" s="14">
        <f ca="1">SUM(IB414-DP414-FP414-IJ414)</f>
        <v>-871.87839999999994</v>
      </c>
      <c r="IM414" s="9"/>
      <c r="IN414" s="9"/>
      <c r="IO414" s="9"/>
      <c r="IP414" s="9"/>
      <c r="IQ414" s="9"/>
    </row>
    <row r="415" spans="1:263" ht="15" customHeight="1">
      <c r="A415" s="19">
        <v>102022220</v>
      </c>
      <c r="B415" t="s">
        <v>2932</v>
      </c>
      <c r="D415" s="1"/>
      <c r="J415" t="s">
        <v>554</v>
      </c>
      <c r="K415" t="s">
        <v>542</v>
      </c>
      <c r="L415" t="s">
        <v>1350</v>
      </c>
      <c r="M415" t="s">
        <v>256</v>
      </c>
      <c r="P415" t="s">
        <v>542</v>
      </c>
      <c r="Q415" t="s">
        <v>3306</v>
      </c>
      <c r="R415" t="s">
        <v>401</v>
      </c>
      <c r="AM415"/>
      <c r="AN415"/>
      <c r="AO415" s="3" t="s">
        <v>3307</v>
      </c>
      <c r="AP415" s="3" t="s">
        <v>258</v>
      </c>
      <c r="AQ415" s="3" t="s">
        <v>386</v>
      </c>
      <c r="AR415" t="s">
        <v>260</v>
      </c>
      <c r="AT415" s="1"/>
      <c r="AU415" s="1"/>
      <c r="AV415" s="1"/>
      <c r="AW415" s="1"/>
      <c r="AX415" s="2"/>
      <c r="AY415" s="2"/>
      <c r="AZ415" s="70"/>
      <c r="BA415" s="2"/>
      <c r="BB415" s="2"/>
      <c r="BC415" s="2"/>
      <c r="BD415" s="2"/>
      <c r="BE415" s="2"/>
      <c r="BF415" s="2"/>
      <c r="BG415" s="20"/>
      <c r="BH415" s="22"/>
      <c r="BI415" s="22"/>
      <c r="BJ415" s="14"/>
      <c r="BK415" s="22"/>
      <c r="BL415" s="14"/>
      <c r="BM415" s="14"/>
      <c r="BN415" s="14"/>
      <c r="BO415" s="17"/>
      <c r="BP415" s="23"/>
      <c r="BQ415" s="14"/>
      <c r="BR415" s="14"/>
      <c r="BS415" s="14"/>
      <c r="BT415" s="14"/>
      <c r="BU415" s="17"/>
      <c r="BV415" s="23"/>
      <c r="BW415" s="14"/>
      <c r="BX415" s="14"/>
      <c r="BY415" s="14"/>
      <c r="BZ415" s="14"/>
      <c r="CA415" s="17"/>
      <c r="CB415" s="23"/>
      <c r="CC415" s="14"/>
      <c r="CD415" s="14"/>
      <c r="CE415" s="14"/>
      <c r="CF415" s="14"/>
      <c r="CG415" s="17"/>
      <c r="CH415" s="23"/>
      <c r="CI415" s="14"/>
      <c r="CJ415" s="14"/>
      <c r="CK415" s="14"/>
      <c r="CL415" s="14"/>
      <c r="CM415" s="17"/>
      <c r="CN415" s="23"/>
      <c r="CO415" s="14"/>
      <c r="CP415" s="14"/>
      <c r="CQ415" s="14"/>
      <c r="CR415" s="14"/>
      <c r="CS415" s="14"/>
      <c r="CT415" s="47"/>
      <c r="CU415" s="14"/>
      <c r="CV415" s="32"/>
      <c r="CW415" s="14"/>
      <c r="CX415" s="4"/>
      <c r="CY415" s="14"/>
      <c r="CZ415" s="4"/>
      <c r="DE415" s="14"/>
      <c r="DF415" s="24"/>
      <c r="DG415" s="4"/>
      <c r="DH415" s="4"/>
      <c r="DI415" s="25"/>
      <c r="DJ415" s="35">
        <v>1.18</v>
      </c>
      <c r="IC415" s="4"/>
    </row>
    <row r="416" spans="1:263" ht="15" customHeight="1">
      <c r="A416" s="2">
        <v>102024183</v>
      </c>
      <c r="B416" t="s">
        <v>2932</v>
      </c>
      <c r="D416" s="1"/>
      <c r="E416" s="3"/>
      <c r="G416" s="3"/>
      <c r="J416" t="s">
        <v>554</v>
      </c>
      <c r="K416" t="s">
        <v>542</v>
      </c>
      <c r="L416" t="s">
        <v>1350</v>
      </c>
      <c r="M416" t="s">
        <v>256</v>
      </c>
      <c r="O416" s="3"/>
      <c r="P416" t="s">
        <v>542</v>
      </c>
      <c r="Q416" t="s">
        <v>3306</v>
      </c>
      <c r="R416" t="s">
        <v>401</v>
      </c>
      <c r="AG416" s="43"/>
      <c r="AK416" s="1"/>
      <c r="AM416"/>
      <c r="AN416"/>
      <c r="AO416" t="s">
        <v>5588</v>
      </c>
      <c r="AP416" s="1" t="s">
        <v>258</v>
      </c>
      <c r="AQ416" t="s">
        <v>386</v>
      </c>
      <c r="AR416" t="s">
        <v>260</v>
      </c>
      <c r="AS416" s="10"/>
      <c r="AT416" s="10"/>
      <c r="AU416" s="10"/>
      <c r="AV416" s="10"/>
      <c r="AW416" s="10"/>
      <c r="AX416" s="1"/>
      <c r="AY416" s="1"/>
      <c r="AZ416" s="1"/>
      <c r="BA416" s="1"/>
      <c r="BB416" s="1"/>
      <c r="BC416" s="2"/>
      <c r="BD416" s="115">
        <v>45415</v>
      </c>
      <c r="BE416" s="115"/>
      <c r="BF416" s="2"/>
      <c r="BG416" s="2"/>
      <c r="BH416" s="2"/>
      <c r="BI416" s="2"/>
      <c r="BJ416" s="2"/>
      <c r="BK416" s="2"/>
      <c r="BL416" s="20">
        <f ca="1">SUM(EN416)+220</f>
        <v>904.83822499999974</v>
      </c>
      <c r="BM416" s="22">
        <f ca="1">PMT(10%/12,12,BL416,0,0)</f>
        <v>-79.549655350502022</v>
      </c>
      <c r="BN416" s="22">
        <f ca="1">SUM(BM416*-1)</f>
        <v>79.549655350502022</v>
      </c>
      <c r="BO416" s="14">
        <f>SUM(EV416*0.0052)/12</f>
        <v>34.75333333333333</v>
      </c>
      <c r="BP416" s="22">
        <f ca="1">SUM(BN416+BO416)</f>
        <v>114.30298868383535</v>
      </c>
      <c r="BQ416" s="14"/>
      <c r="BR416" s="14">
        <f>SUM(BQ416*0.1)</f>
        <v>0</v>
      </c>
      <c r="BS416" s="14">
        <f ca="1">SUM(BT416*BU416)</f>
        <v>0</v>
      </c>
      <c r="BT416" s="17">
        <f>SUM((BQ416+BR416)*0.00833333333333333)</f>
        <v>0</v>
      </c>
      <c r="BU416" s="23">
        <f ca="1">MONTH(TODAY())+61</f>
        <v>65</v>
      </c>
      <c r="BV416" s="14">
        <f ca="1">SUM(BQ416,BR416,BS416)</f>
        <v>0</v>
      </c>
      <c r="BW416" s="14"/>
      <c r="BX416" s="14">
        <f>SUM(BW416*0.1)</f>
        <v>0</v>
      </c>
      <c r="BY416" s="14">
        <f ca="1">SUM(BZ416*CA416)</f>
        <v>0</v>
      </c>
      <c r="BZ416" s="17">
        <f>SUM((BW416+BX416)*0.00833333333333333)</f>
        <v>0</v>
      </c>
      <c r="CA416" s="23">
        <f ca="1">MONTH(TODAY())+49</f>
        <v>53</v>
      </c>
      <c r="CB416" s="14">
        <f ca="1">SUM(BW416,BX416,BY416)</f>
        <v>0</v>
      </c>
      <c r="CC416" s="14">
        <v>0</v>
      </c>
      <c r="CD416" s="14">
        <f>SUM(CC416*0.1)</f>
        <v>0</v>
      </c>
      <c r="CE416" s="14">
        <f ca="1">SUM(CF416*CG416)</f>
        <v>0</v>
      </c>
      <c r="CF416" s="17">
        <f>SUM((CC416+CD416)*0.00833333333333333)</f>
        <v>0</v>
      </c>
      <c r="CG416" s="23">
        <f ca="1">MONTH(TODAY())+37</f>
        <v>41</v>
      </c>
      <c r="CH416" s="14">
        <f ca="1">SUM(CC416,CD416,CE416)</f>
        <v>0</v>
      </c>
      <c r="CI416" s="14">
        <v>0</v>
      </c>
      <c r="CJ416" s="14">
        <f>SUM(CI416*0.1)</f>
        <v>0</v>
      </c>
      <c r="CK416" s="14">
        <f ca="1">SUM(CL416*CM416)</f>
        <v>0</v>
      </c>
      <c r="CL416" s="17">
        <f>SUM((CI416+CJ416)*0.00833333333333333)</f>
        <v>0</v>
      </c>
      <c r="CM416" s="23">
        <f ca="1">MONTH(TODAY())+25</f>
        <v>29</v>
      </c>
      <c r="CN416" s="14">
        <f ca="1">SUM(CI416,CJ416,CK416)</f>
        <v>0</v>
      </c>
      <c r="CO416" s="14">
        <v>0</v>
      </c>
      <c r="CP416" s="14">
        <f>SUM(CO416*0.1)</f>
        <v>0</v>
      </c>
      <c r="CQ416" s="14">
        <f ca="1">SUM(CR416*CS416)</f>
        <v>0</v>
      </c>
      <c r="CR416" s="17">
        <f>SUM((CO416+CP416)*0.00833333333333333)</f>
        <v>0</v>
      </c>
      <c r="CS416" s="23">
        <f ca="1">MONTH(TODAY())+17</f>
        <v>21</v>
      </c>
      <c r="CT416" s="23">
        <f ca="1">SUM(CO416,CP416,CQ416)</f>
        <v>0</v>
      </c>
      <c r="CU416" s="14">
        <f>SUM(ES416*0.0052)/2-140.05</f>
        <v>18.809999999999974</v>
      </c>
      <c r="CV416" s="14">
        <f>SUM(CU416*0.1)</f>
        <v>1.8809999999999976</v>
      </c>
      <c r="CW416" s="14">
        <f ca="1">SUM(CX416*CY416)</f>
        <v>2.9312249999999946</v>
      </c>
      <c r="CX416" s="17">
        <f>SUM((CU416+CV416)*0.00833333333333333)</f>
        <v>0.17242499999999969</v>
      </c>
      <c r="CY416" s="23">
        <f ca="1">MONTH(TODAY())+13</f>
        <v>17</v>
      </c>
      <c r="CZ416" s="23">
        <f ca="1">SUM(CU416,CV416,CW416)</f>
        <v>23.622224999999965</v>
      </c>
      <c r="DA416" s="14">
        <f>SUM(EV416*0.0045)/2</f>
        <v>180.45</v>
      </c>
      <c r="DB416" s="14">
        <f>SUM(DA416*0.1)</f>
        <v>18.044999999999998</v>
      </c>
      <c r="DC416" s="14">
        <f ca="1">SUM(DD416*DE416)</f>
        <v>18.195374999999991</v>
      </c>
      <c r="DD416" s="17">
        <f>SUM((DA416+DB416)*0.00833333333333333)</f>
        <v>1.6541249999999992</v>
      </c>
      <c r="DE416" s="23">
        <f ca="1">MONTH(TODAY())+7</f>
        <v>11</v>
      </c>
      <c r="DF416" s="23">
        <f ca="1">SUM(DA416,DB416,DC416)</f>
        <v>216.69037499999996</v>
      </c>
      <c r="DG416" s="14">
        <f>SUM(EV416*0.0045)/2</f>
        <v>180.45</v>
      </c>
      <c r="DH416" s="14">
        <f>SUM(DG416*0.1)</f>
        <v>18.044999999999998</v>
      </c>
      <c r="DI416" s="14">
        <f ca="1">SUM(DJ416*DK416)</f>
        <v>8.2706249999999955</v>
      </c>
      <c r="DJ416" s="17">
        <f>SUM((DG416+DH416)*0.00833333333333333)</f>
        <v>1.6541249999999992</v>
      </c>
      <c r="DK416" s="23">
        <f ca="1">MONTH(TODAY())+1</f>
        <v>5</v>
      </c>
      <c r="DL416" s="14">
        <f ca="1">SUM(DG416,DH416,DI416)</f>
        <v>206.76562499999997</v>
      </c>
      <c r="DM416" s="14">
        <f>SUM(EV416*0.0045)/2</f>
        <v>180.45</v>
      </c>
      <c r="DN416" s="14">
        <f>0</f>
        <v>0</v>
      </c>
      <c r="DO416" s="14">
        <f>0</f>
        <v>0</v>
      </c>
      <c r="DP416" s="17">
        <f>SUM((DM416+DN416)*0.00833333333333333)</f>
        <v>1.5037499999999993</v>
      </c>
      <c r="DQ416" s="23">
        <f ca="1">MONTH(TODAY())+7</f>
        <v>11</v>
      </c>
      <c r="DR416" s="23">
        <f>SUM(DM416,DN416,DO416)</f>
        <v>180.45</v>
      </c>
      <c r="DS416" s="14">
        <f>0</f>
        <v>0</v>
      </c>
      <c r="DT416" s="14">
        <f>0</f>
        <v>0</v>
      </c>
      <c r="DU416" s="14">
        <f ca="1">SUM(DV416*DW416)</f>
        <v>0</v>
      </c>
      <c r="DV416" s="17">
        <f>SUM((DS416+DT416)*0.00833333333333333)</f>
        <v>0</v>
      </c>
      <c r="DW416" s="23">
        <f ca="1">MONTH(TODAY())+1</f>
        <v>5</v>
      </c>
      <c r="DX416" s="14">
        <f ca="1">SUM(DS416,DT416,DU416)</f>
        <v>0</v>
      </c>
      <c r="DY416" s="14">
        <f>SUM( BQ416, BW416, CC416, CI416, CO416,CU416,DA416,DG416,DM416,DS416)</f>
        <v>560.15999999999985</v>
      </c>
      <c r="DZ416" s="14">
        <f>SUM(BR416,BX416,CD416,CJ416, CP416,CV416,DB416,DH416,DN416,DT416)</f>
        <v>37.970999999999989</v>
      </c>
      <c r="EA416" s="14">
        <f ca="1">SUM(BS416,BY416,CE416,CK416, CQ416,CW416,DC416,DI416,DO416,DU416)</f>
        <v>29.397224999999981</v>
      </c>
      <c r="EB416" s="25">
        <f ca="1">SUM(DY416:EA416)</f>
        <v>627.52822499999979</v>
      </c>
      <c r="EC416" s="47">
        <f ca="1">SUM(EB416/ES416)</f>
        <v>1.0270511047463172E-2</v>
      </c>
      <c r="ED416" s="14">
        <f>20+10</f>
        <v>30</v>
      </c>
      <c r="EE416" s="32">
        <f>COUNTIF(AO416, "*")+COUNTIF(AJ416, "*")+COUNTIF(AA416, "*")+COUNTIF(FG416, "*")+COUNTIF(FM416, "*")+COUNTIF(FS416, "*")+COUNTIF(FW416, "*")+COUNTIF(GD416, "*")+COUNTIF(AT416, "*")+COUNTIF(GM416, "*")+COUNTIF(GX416, "*")+COUNTIF(HI416, "*")+COUNTIF(HQ416, "*")+COUNTIF(HY416, "*")+COUNTIF(IG416, "*")</f>
        <v>1</v>
      </c>
      <c r="EF416" s="14">
        <f>EE416*0.64</f>
        <v>0.64</v>
      </c>
      <c r="EG416" s="4"/>
      <c r="EH416" s="4">
        <v>26.67</v>
      </c>
      <c r="EI416" s="4"/>
      <c r="EJ416" s="4"/>
      <c r="EL416" s="4"/>
      <c r="EM416" s="14">
        <f>SUM(EH416:EL416)</f>
        <v>26.67</v>
      </c>
      <c r="EN416" s="14">
        <f ca="1">SUM(EB416,ED416,EM416, EG416, EF416,GJ416)</f>
        <v>684.83822499999974</v>
      </c>
      <c r="EO416" s="24" t="s">
        <v>4935</v>
      </c>
      <c r="EP416" s="23">
        <v>1.18</v>
      </c>
      <c r="EQ416" s="14">
        <v>22000</v>
      </c>
      <c r="ER416" s="14">
        <v>39100</v>
      </c>
      <c r="ES416" s="14">
        <f>SUM(EQ416+ER416)</f>
        <v>61100</v>
      </c>
      <c r="ET416" s="14">
        <v>24000</v>
      </c>
      <c r="EU416" s="14">
        <v>56200</v>
      </c>
      <c r="EV416" s="14">
        <f>SUM(ET416+EU416)</f>
        <v>80200</v>
      </c>
      <c r="EW416" s="10"/>
      <c r="EX416" s="10"/>
      <c r="EY416" s="10"/>
      <c r="EZ416" s="10"/>
      <c r="FA416" s="10"/>
      <c r="FB416" s="10"/>
      <c r="FC416" s="10"/>
      <c r="FD416" s="10"/>
      <c r="GJ416" s="4"/>
      <c r="IK416" s="9"/>
      <c r="IV416" s="4"/>
      <c r="IW416" s="4"/>
      <c r="IX416" s="4"/>
      <c r="IY416" s="9"/>
      <c r="IZ416" s="9"/>
      <c r="JA416" s="9"/>
      <c r="JB416" s="9"/>
      <c r="JC416" s="9"/>
    </row>
    <row r="417" spans="1:263" s="18" customFormat="1" ht="15" customHeight="1">
      <c r="A417" s="19">
        <v>102023091</v>
      </c>
      <c r="B417" s="18" t="s">
        <v>4303</v>
      </c>
      <c r="C417"/>
      <c r="D417" s="1"/>
      <c r="E417" s="3"/>
      <c r="F417" s="3"/>
      <c r="G417"/>
      <c r="H417"/>
      <c r="I417"/>
      <c r="J417" s="18" t="s">
        <v>311</v>
      </c>
      <c r="K417" s="18" t="s">
        <v>959</v>
      </c>
      <c r="L417" s="130" t="s">
        <v>420</v>
      </c>
      <c r="M417" s="130" t="s">
        <v>392</v>
      </c>
      <c r="N417" s="130"/>
      <c r="O417" s="288"/>
      <c r="P417" s="130"/>
      <c r="Q417" s="130"/>
      <c r="R417" s="130"/>
      <c r="S417" s="130"/>
      <c r="T417"/>
      <c r="U417"/>
      <c r="V417"/>
      <c r="W417"/>
      <c r="X417"/>
      <c r="Y417"/>
      <c r="Z417"/>
      <c r="AA417"/>
      <c r="AB417"/>
      <c r="AC417"/>
      <c r="AD417"/>
      <c r="AE417"/>
      <c r="AF417"/>
      <c r="AG417" s="43"/>
      <c r="AH417"/>
      <c r="AI417"/>
      <c r="AJ417" s="18" t="s">
        <v>4332</v>
      </c>
      <c r="AK417" t="s">
        <v>258</v>
      </c>
      <c r="AL417" s="18" t="s">
        <v>386</v>
      </c>
      <c r="AM417" t="s">
        <v>260</v>
      </c>
      <c r="AN417"/>
      <c r="AO417" s="18" t="s">
        <v>4333</v>
      </c>
      <c r="AP417" s="3"/>
      <c r="AQ417" s="18" t="s">
        <v>386</v>
      </c>
      <c r="AR417"/>
      <c r="AS417"/>
      <c r="AT417"/>
      <c r="AU417"/>
      <c r="AV417"/>
      <c r="AW417"/>
      <c r="AX417" s="1"/>
      <c r="AY417" s="1"/>
      <c r="AZ417" s="1"/>
      <c r="BA417" s="1"/>
      <c r="BB417" s="1"/>
      <c r="BC417" s="2"/>
      <c r="BD417" s="116"/>
      <c r="BE417" s="115"/>
      <c r="BF417" s="2"/>
      <c r="BG417" s="2"/>
      <c r="BH417" s="2"/>
      <c r="BI417" s="2"/>
      <c r="BJ417" s="2"/>
      <c r="BK417" s="2"/>
      <c r="BL417" s="20">
        <f ca="1">SUM(DP417)+220</f>
        <v>1217.7184</v>
      </c>
      <c r="BM417" s="22">
        <f ca="1">PMT(10%/12,12,BL417,0,0)</f>
        <v>-107.05679353230771</v>
      </c>
      <c r="BN417" s="22">
        <f ca="1">SUM(BM417*-1)</f>
        <v>107.05679353230771</v>
      </c>
      <c r="BO417" s="14">
        <f>SUM(DX417*0.0052)/12</f>
        <v>37.743333333333332</v>
      </c>
      <c r="BP417" s="22">
        <f ca="1">SUM(BN417+BO417)</f>
        <v>144.80012686564103</v>
      </c>
      <c r="BQ417" s="14"/>
      <c r="BR417" s="14">
        <f>SUM(BQ417*0.1)</f>
        <v>0</v>
      </c>
      <c r="BS417" s="14">
        <f ca="1">SUM(BT417*BU417)</f>
        <v>0</v>
      </c>
      <c r="BT417" s="17">
        <f>SUM((BQ417+BR417)*0.00833333333333333)</f>
        <v>0</v>
      </c>
      <c r="BU417" s="23">
        <f ca="1">MONTH(TODAY())+49</f>
        <v>53</v>
      </c>
      <c r="BV417" s="14">
        <f ca="1">SUM(BQ417,BR417,BS417)</f>
        <v>0</v>
      </c>
      <c r="BW417" s="14"/>
      <c r="BX417" s="14">
        <f>SUM(BW417*0.1)</f>
        <v>0</v>
      </c>
      <c r="BY417" s="14">
        <f ca="1">SUM(BZ417*CA417)</f>
        <v>0</v>
      </c>
      <c r="BZ417" s="17">
        <f>SUM((BW417+BX417)*0.00833333333333333)</f>
        <v>0</v>
      </c>
      <c r="CA417" s="23">
        <f ca="1">MONTH(TODAY())+37</f>
        <v>41</v>
      </c>
      <c r="CB417" s="14">
        <f ca="1">SUM(BW417,BX417,BY417)</f>
        <v>0</v>
      </c>
      <c r="CC417" s="14">
        <v>0</v>
      </c>
      <c r="CD417" s="14">
        <f>SUM(CC417*0.1)</f>
        <v>0</v>
      </c>
      <c r="CE417" s="14">
        <f ca="1">SUM(CF417*CG417)</f>
        <v>0</v>
      </c>
      <c r="CF417" s="17">
        <f>SUM((CC417+CD417)*0.00833333333333333)</f>
        <v>0</v>
      </c>
      <c r="CG417" s="23">
        <f ca="1">MONTH(TODAY())+25</f>
        <v>29</v>
      </c>
      <c r="CH417" s="14">
        <f ca="1">SUM(CC417,CD417,CE417)</f>
        <v>0</v>
      </c>
      <c r="CI417" s="14">
        <f>SUM(DU417*0.0052)</f>
        <v>403.52</v>
      </c>
      <c r="CJ417" s="14">
        <f>SUM(CI417*0.1)</f>
        <v>40.352000000000004</v>
      </c>
      <c r="CK417" s="14">
        <f ca="1">SUM(CL417*CM417)</f>
        <v>62.881866666666632</v>
      </c>
      <c r="CL417" s="17">
        <f>SUM((CI417+CJ417)*0.00833333333333333)</f>
        <v>3.6989333333333314</v>
      </c>
      <c r="CM417" s="23">
        <f ca="1">MONTH(TODAY())+13</f>
        <v>17</v>
      </c>
      <c r="CN417" s="14">
        <f ca="1">SUM(CI417,CJ417,CK417)</f>
        <v>506.75386666666657</v>
      </c>
      <c r="CO417" s="14">
        <f>SUM(DU417*0.0052)/2</f>
        <v>201.76</v>
      </c>
      <c r="CP417" s="14">
        <f>SUM(CO417*0.1)</f>
        <v>20.176000000000002</v>
      </c>
      <c r="CQ417" s="14">
        <f ca="1">SUM(CR417*CS417)</f>
        <v>16.645199999999992</v>
      </c>
      <c r="CR417" s="17">
        <f>SUM((CO417+CP417)*0.00833333333333333)</f>
        <v>1.8494666666666657</v>
      </c>
      <c r="CS417" s="23">
        <f ca="1">MONTH(TODAY())+5</f>
        <v>9</v>
      </c>
      <c r="CT417" s="23">
        <f ca="1">SUM(CO417,CP417,CQ417)</f>
        <v>238.58119999999997</v>
      </c>
      <c r="CU417" s="14">
        <f>SUM(DU417*0.0052)/2</f>
        <v>201.76</v>
      </c>
      <c r="CV417" s="14">
        <f>SUM(CU417*0.1)</f>
        <v>20.176000000000002</v>
      </c>
      <c r="CW417" s="14">
        <f ca="1">SUM(CX417*CY417)</f>
        <v>9.2473333333333283</v>
      </c>
      <c r="CX417" s="17">
        <f>SUM((CU417+CV417)*0.00833333333333333)</f>
        <v>1.8494666666666657</v>
      </c>
      <c r="CY417" s="23">
        <f ca="1">MONTH(TODAY())+1</f>
        <v>5</v>
      </c>
      <c r="CZ417" s="23">
        <f ca="1">SUM(CU417,CV417,CW417)</f>
        <v>231.18333333333331</v>
      </c>
      <c r="DA417" s="14">
        <f>SUM( BQ417, BW417, CC417, CI417, CO417,CU417)</f>
        <v>807.04</v>
      </c>
      <c r="DB417" s="14">
        <f>SUM(BR417,BX417,CD417,CJ417, CP417,CV417)</f>
        <v>80.704000000000008</v>
      </c>
      <c r="DC417" s="14">
        <f ca="1">SUM(BS417,BY417,CE417,CK417, CQ417,CW417)</f>
        <v>88.774399999999957</v>
      </c>
      <c r="DD417" s="25">
        <f ca="1">SUM(DA417:DC417)</f>
        <v>976.51839999999993</v>
      </c>
      <c r="DE417" s="47">
        <f ca="1">SUM(DD417/DU417)</f>
        <v>1.2584E-2</v>
      </c>
      <c r="DF417" s="14">
        <v>20</v>
      </c>
      <c r="DG417" s="32">
        <f>COUNTIF(DL417, "*")+COUNTIF(AO417, "*")+COUNTIF(AJ417, "*")+COUNTIF(AA417, "*")+COUNTIF(EM417, "*")+COUNTIF(ES417, "*")+COUNTIF(EY417, "*")+COUNTIF(FC417, "*")+COUNTIF(FJ417, "*")+COUNTIF(AT417, "*")+COUNTIF(FS417, "*")+COUNTIF(GD417, "*")+COUNTIF(GO417, "*")+COUNTIF(GW417, "*")+COUNTIF(HE417, "*")+COUNTIF(HM417, "*")+COUNTIF(HU417, "*")</f>
        <v>2</v>
      </c>
      <c r="DH417" s="14">
        <f>DG417*0.6</f>
        <v>1.2</v>
      </c>
      <c r="DI417" s="4"/>
      <c r="DJ417" s="4"/>
      <c r="DK417" s="4"/>
      <c r="DL417" s="4"/>
      <c r="DM417"/>
      <c r="DN417" s="4"/>
      <c r="DO417" s="14">
        <f>SUM(DJ417:DN417)</f>
        <v>0</v>
      </c>
      <c r="DP417" s="14">
        <f ca="1">SUM(DD417,DF417,DO417, DI417, DH417,FP417)</f>
        <v>997.71839999999997</v>
      </c>
      <c r="DQ417" s="24" t="s">
        <v>3879</v>
      </c>
      <c r="DR417" s="130">
        <v>0.46</v>
      </c>
      <c r="DS417" s="14">
        <v>14900</v>
      </c>
      <c r="DT417" s="14">
        <v>62700</v>
      </c>
      <c r="DU417" s="14">
        <v>77600</v>
      </c>
      <c r="DV417" s="14">
        <v>16400</v>
      </c>
      <c r="DW417" s="14">
        <v>70700</v>
      </c>
      <c r="DX417" s="14">
        <f>SUM(DV417+DW417)</f>
        <v>87100</v>
      </c>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s="9"/>
      <c r="IB417"/>
      <c r="IC417"/>
      <c r="ID417"/>
      <c r="IE417"/>
      <c r="IF417"/>
      <c r="IG417"/>
      <c r="IH417"/>
      <c r="II417"/>
      <c r="IJ417"/>
      <c r="IK417"/>
      <c r="IL417" s="14">
        <f ca="1">SUM(IB417-DP417-FP417-IJ417)</f>
        <v>-997.71839999999997</v>
      </c>
      <c r="IM417" s="9"/>
      <c r="IN417" s="9"/>
      <c r="IO417" s="9"/>
      <c r="IP417" s="9"/>
      <c r="IQ417" s="9"/>
      <c r="IR417"/>
      <c r="IS417"/>
      <c r="IT417"/>
      <c r="IU417"/>
      <c r="IV417"/>
      <c r="IW417"/>
      <c r="IX417"/>
      <c r="IY417"/>
      <c r="IZ417"/>
      <c r="JA417"/>
      <c r="JB417"/>
      <c r="JC417"/>
    </row>
    <row r="418" spans="1:263" ht="15" customHeight="1">
      <c r="A418" s="2">
        <v>102018070</v>
      </c>
      <c r="B418" s="4" t="s">
        <v>1229</v>
      </c>
      <c r="C418" s="4"/>
      <c r="D418" s="4"/>
      <c r="E418" s="3" t="s">
        <v>1230</v>
      </c>
      <c r="F418" s="2">
        <v>180003502</v>
      </c>
      <c r="J418" t="s">
        <v>253</v>
      </c>
      <c r="K418" t="s">
        <v>1231</v>
      </c>
      <c r="L418" t="s">
        <v>1232</v>
      </c>
      <c r="M418" t="s">
        <v>256</v>
      </c>
      <c r="O418" s="1"/>
      <c r="T418" s="1"/>
      <c r="AJ418" s="4"/>
      <c r="AK418" s="4"/>
      <c r="AO418" s="4"/>
      <c r="AP418" s="5"/>
      <c r="AS418" s="5"/>
      <c r="AT418" s="5"/>
      <c r="AU418" s="1"/>
      <c r="AV418" s="1"/>
      <c r="AW418" s="1"/>
      <c r="AX418" s="1"/>
      <c r="AY418" s="1"/>
      <c r="AZ418" s="1"/>
      <c r="BA418" s="1"/>
      <c r="BB418" s="1"/>
      <c r="BC418" s="1"/>
      <c r="BD418" s="1"/>
      <c r="BE418" s="1"/>
      <c r="BF418" s="1"/>
      <c r="BG418" s="5"/>
      <c r="BH418" s="16"/>
      <c r="BI418" s="16"/>
      <c r="BK418" s="4"/>
      <c r="BL418" s="4"/>
      <c r="BM418" s="6"/>
      <c r="BN418" s="7"/>
      <c r="BO418" s="4"/>
      <c r="BQ418" s="4"/>
      <c r="BR418" s="4"/>
      <c r="BS418" s="6"/>
      <c r="BT418" s="7"/>
      <c r="BU418" s="4"/>
      <c r="BW418" s="4"/>
      <c r="BX418" s="4"/>
      <c r="BY418" s="6"/>
      <c r="BZ418" s="7"/>
      <c r="CA418" s="4"/>
      <c r="CB418" s="4"/>
      <c r="CC418" s="4"/>
      <c r="CD418" s="4"/>
      <c r="CE418" s="6"/>
      <c r="CF418" s="7"/>
      <c r="CG418" s="4"/>
      <c r="CH418" s="6"/>
      <c r="CI418" s="4"/>
      <c r="CJ418" s="4"/>
      <c r="CK418" s="6"/>
      <c r="CL418" s="7"/>
      <c r="CM418" s="4"/>
      <c r="CN418" s="4"/>
      <c r="CO418" s="4"/>
      <c r="CP418" s="4"/>
      <c r="CQ418" s="6"/>
      <c r="CR418" s="7"/>
      <c r="CT418" s="4"/>
      <c r="CU418" s="4"/>
      <c r="CV418" s="4"/>
      <c r="CW418" s="6"/>
      <c r="CX418" s="7"/>
      <c r="CY418" s="4"/>
      <c r="CZ418" s="4"/>
      <c r="DA418" s="4"/>
      <c r="DB418" s="4"/>
      <c r="DC418" s="6"/>
      <c r="DD418" s="7"/>
      <c r="DE418" s="4"/>
      <c r="DF418" s="4"/>
      <c r="DG418" s="4"/>
      <c r="DH418" s="4"/>
      <c r="DI418" s="6"/>
      <c r="DJ418" s="4"/>
      <c r="DK418" s="4"/>
      <c r="DL418" s="4"/>
      <c r="DM418" s="4"/>
      <c r="DN418" s="4"/>
      <c r="DO418" s="4"/>
      <c r="DP418" s="4"/>
      <c r="DR418" s="4"/>
      <c r="DS418" s="4"/>
      <c r="DT418" s="4"/>
      <c r="DU418" s="4"/>
      <c r="DV418" s="4"/>
      <c r="DW418" s="4"/>
      <c r="DX418" s="4"/>
      <c r="DY418" s="7"/>
      <c r="DZ418" s="4"/>
      <c r="EA418" s="4"/>
      <c r="EB418" s="34"/>
      <c r="EC418" s="4"/>
      <c r="ED418" s="4"/>
      <c r="EM418" s="11"/>
      <c r="ES418" s="11"/>
      <c r="ET418" s="11"/>
      <c r="EU418" s="4"/>
      <c r="EV418" s="4"/>
      <c r="EW418" s="4"/>
      <c r="EX418" s="4"/>
      <c r="EY418" s="4"/>
      <c r="EZ418" s="4"/>
      <c r="FA418" s="4"/>
      <c r="FB418" s="4"/>
      <c r="FC418" s="4"/>
      <c r="FD418" s="4"/>
      <c r="FE418" s="4"/>
      <c r="FF418" s="4"/>
      <c r="FG418" s="4"/>
      <c r="FH418" s="4"/>
      <c r="FL418" s="9"/>
      <c r="FU418" s="9"/>
      <c r="GE418" s="10"/>
      <c r="GO418" s="10"/>
      <c r="HD418" s="9"/>
      <c r="IL418" s="18"/>
      <c r="IM418" s="18"/>
      <c r="IN418" s="14"/>
      <c r="IO418" s="14"/>
      <c r="IP418" s="27">
        <v>43931</v>
      </c>
      <c r="IQ418" s="27">
        <v>43965</v>
      </c>
      <c r="IR418" s="18"/>
      <c r="IS418" s="18"/>
      <c r="IT418" s="18"/>
      <c r="IU418" s="240"/>
      <c r="IV418" s="240"/>
    </row>
    <row r="419" spans="1:263" ht="15" customHeight="1">
      <c r="A419" s="19">
        <v>102022069</v>
      </c>
      <c r="B419" t="s">
        <v>2814</v>
      </c>
      <c r="D419" s="1"/>
      <c r="J419" t="s">
        <v>253</v>
      </c>
      <c r="K419" t="s">
        <v>3057</v>
      </c>
      <c r="L419" t="s">
        <v>764</v>
      </c>
      <c r="M419" t="s">
        <v>850</v>
      </c>
      <c r="AD419" s="3" t="s">
        <v>3355</v>
      </c>
      <c r="AE419" s="3" t="s">
        <v>253</v>
      </c>
      <c r="AF419" t="s">
        <v>1601</v>
      </c>
      <c r="AG419" s="272" t="s">
        <v>3354</v>
      </c>
      <c r="AH419" s="3" t="s">
        <v>3353</v>
      </c>
      <c r="AI419" s="3" t="s">
        <v>3352</v>
      </c>
      <c r="AJ419" t="s">
        <v>3058</v>
      </c>
      <c r="AK419" t="s">
        <v>258</v>
      </c>
      <c r="AL419" t="s">
        <v>386</v>
      </c>
      <c r="AM419"/>
      <c r="AN419"/>
      <c r="AO419" s="3" t="s">
        <v>3059</v>
      </c>
      <c r="AP419" s="1" t="s">
        <v>258</v>
      </c>
      <c r="AQ419" s="3" t="s">
        <v>3060</v>
      </c>
      <c r="AR419" t="s">
        <v>3061</v>
      </c>
      <c r="AS419" s="1"/>
      <c r="BA419" s="2"/>
      <c r="BB419" s="2"/>
      <c r="BC419" s="2"/>
      <c r="BD419" s="2"/>
      <c r="BE419" s="2"/>
      <c r="BF419" s="2"/>
      <c r="BG419" s="20"/>
      <c r="BH419" s="22"/>
      <c r="BI419" s="22"/>
      <c r="BJ419" s="14"/>
      <c r="BK419" s="22"/>
      <c r="BL419" s="14"/>
      <c r="BM419" s="14"/>
      <c r="BN419" s="14"/>
      <c r="BO419" s="17"/>
      <c r="BP419" s="23"/>
      <c r="BQ419" s="14"/>
      <c r="BR419" s="14"/>
      <c r="BS419" s="14"/>
      <c r="BT419" s="14"/>
      <c r="BU419" s="17"/>
      <c r="BV419" s="23"/>
      <c r="BW419" s="14"/>
      <c r="BX419" s="14"/>
      <c r="BY419" s="14"/>
      <c r="BZ419" s="14"/>
      <c r="CA419" s="17"/>
      <c r="CB419" s="23"/>
      <c r="CC419" s="14"/>
      <c r="CD419" s="14"/>
      <c r="CE419" s="14"/>
      <c r="CF419" s="14"/>
      <c r="CG419" s="17"/>
      <c r="CH419" s="23"/>
      <c r="CI419" s="14"/>
      <c r="CJ419" s="14"/>
      <c r="CK419" s="14"/>
      <c r="CL419" s="14"/>
      <c r="CM419" s="17"/>
      <c r="CN419" s="23"/>
      <c r="CO419" s="14"/>
      <c r="CP419" s="14"/>
      <c r="CQ419" s="14"/>
      <c r="CR419" s="14"/>
      <c r="CS419" s="14"/>
      <c r="CT419" s="47"/>
      <c r="CU419" s="14"/>
      <c r="CV419" s="32"/>
      <c r="CW419" s="14"/>
      <c r="CY419" s="14"/>
      <c r="DE419" s="14"/>
      <c r="DF419" s="24"/>
      <c r="DG419" s="4"/>
      <c r="DH419" s="4"/>
      <c r="DI419" s="25"/>
      <c r="DJ419" s="35">
        <v>1.08</v>
      </c>
      <c r="IC419" s="4"/>
    </row>
    <row r="420" spans="1:263" ht="15" customHeight="1">
      <c r="A420" s="2">
        <v>102024088</v>
      </c>
      <c r="B420" t="s">
        <v>2814</v>
      </c>
      <c r="D420" s="1"/>
      <c r="E420" s="3"/>
      <c r="G420" s="3"/>
      <c r="J420" t="s">
        <v>253</v>
      </c>
      <c r="K420" t="s">
        <v>3057</v>
      </c>
      <c r="L420" t="s">
        <v>764</v>
      </c>
      <c r="M420" t="s">
        <v>850</v>
      </c>
      <c r="O420" s="3"/>
      <c r="AG420" s="43"/>
      <c r="AJ420" t="s">
        <v>5394</v>
      </c>
      <c r="AK420" s="1" t="s">
        <v>258</v>
      </c>
      <c r="AL420" t="s">
        <v>386</v>
      </c>
      <c r="AM420" t="s">
        <v>260</v>
      </c>
      <c r="AN420"/>
      <c r="AO420" t="s">
        <v>3059</v>
      </c>
      <c r="AP420" s="1" t="s">
        <v>258</v>
      </c>
      <c r="AQ420" s="18" t="s">
        <v>3060</v>
      </c>
      <c r="AR420" t="s">
        <v>3061</v>
      </c>
      <c r="AS420" s="10"/>
      <c r="AT420" s="10"/>
      <c r="AU420" s="10"/>
      <c r="AV420" s="10"/>
      <c r="AW420" s="1"/>
      <c r="AY420" s="1"/>
      <c r="AZ420" s="1"/>
      <c r="BA420" s="1"/>
      <c r="BB420" s="1"/>
      <c r="BC420" s="2"/>
      <c r="BD420" s="115">
        <v>45415</v>
      </c>
      <c r="BE420" s="144"/>
      <c r="BF420" s="2"/>
      <c r="BG420" s="2"/>
      <c r="BH420" s="2"/>
      <c r="BI420" s="2"/>
      <c r="BJ420" s="2"/>
      <c r="BK420" s="2"/>
      <c r="BL420" s="20">
        <f ca="1">SUM(EN420)+220</f>
        <v>515.83859166666662</v>
      </c>
      <c r="BM420" s="22">
        <f ca="1">PMT(10%/12,12,BL420,0,0)</f>
        <v>-45.350407453853634</v>
      </c>
      <c r="BN420" s="22">
        <f ca="1">SUM(BM420*-1)</f>
        <v>45.350407453853634</v>
      </c>
      <c r="BO420" s="14">
        <f>SUM(EV420*0.0052)/12</f>
        <v>11.223333333333334</v>
      </c>
      <c r="BP420" s="22">
        <f ca="1">SUM(BN420+BO420)</f>
        <v>56.573740787186971</v>
      </c>
      <c r="BQ420" s="14"/>
      <c r="BR420" s="14">
        <f>SUM(BQ420*0.1)</f>
        <v>0</v>
      </c>
      <c r="BS420" s="14">
        <f ca="1">SUM(BT420*BU420)</f>
        <v>0</v>
      </c>
      <c r="BT420" s="17">
        <f>SUM((BQ420+BR420)*0.00833333333333333)</f>
        <v>0</v>
      </c>
      <c r="BU420" s="23">
        <f ca="1">MONTH(TODAY())+61</f>
        <v>65</v>
      </c>
      <c r="BV420" s="14">
        <f ca="1">SUM(BQ420,BR420,BS420)</f>
        <v>0</v>
      </c>
      <c r="BW420" s="14"/>
      <c r="BX420" s="14">
        <f>SUM(BW420*0.1)</f>
        <v>0</v>
      </c>
      <c r="BY420" s="14">
        <f ca="1">SUM(BZ420*CA420)</f>
        <v>0</v>
      </c>
      <c r="BZ420" s="17">
        <f>SUM((BW420+BX420)*0.00833333333333333)</f>
        <v>0</v>
      </c>
      <c r="CA420" s="23">
        <f ca="1">MONTH(TODAY())+49</f>
        <v>53</v>
      </c>
      <c r="CB420" s="14">
        <f ca="1">SUM(BW420,BX420,BY420)</f>
        <v>0</v>
      </c>
      <c r="CC420" s="14">
        <v>0</v>
      </c>
      <c r="CD420" s="14">
        <f>SUM(CC420*0.1)</f>
        <v>0</v>
      </c>
      <c r="CE420" s="14">
        <f ca="1">SUM(CF420*CG420)</f>
        <v>0</v>
      </c>
      <c r="CF420" s="17">
        <f>SUM((CC420+CD420)*0.00833333333333333)</f>
        <v>0</v>
      </c>
      <c r="CG420" s="23">
        <f ca="1">MONTH(TODAY())+37</f>
        <v>41</v>
      </c>
      <c r="CH420" s="14">
        <f ca="1">SUM(CC420,CD420,CE420)</f>
        <v>0</v>
      </c>
      <c r="CI420" s="14">
        <v>0</v>
      </c>
      <c r="CJ420" s="14">
        <f>SUM(CI420*0.1)</f>
        <v>0</v>
      </c>
      <c r="CK420" s="14">
        <f ca="1">SUM(CL420*CM420)</f>
        <v>0</v>
      </c>
      <c r="CL420" s="17">
        <f>SUM((CI420+CJ420)*0.00833333333333333)</f>
        <v>0</v>
      </c>
      <c r="CM420" s="23">
        <f ca="1">MONTH(TODAY())+25</f>
        <v>29</v>
      </c>
      <c r="CN420" s="14">
        <f ca="1">SUM(CI420,CJ420,CK420)</f>
        <v>0</v>
      </c>
      <c r="CO420" s="14">
        <v>0</v>
      </c>
      <c r="CP420" s="14">
        <f>SUM(CO420*0.1)</f>
        <v>0</v>
      </c>
      <c r="CQ420" s="14">
        <f ca="1">SUM(CR420*CS420)</f>
        <v>0</v>
      </c>
      <c r="CR420" s="17">
        <f>SUM((CO420+CP420)*0.00833333333333333)</f>
        <v>0</v>
      </c>
      <c r="CS420" s="23">
        <f ca="1">MONTH(TODAY())+17</f>
        <v>21</v>
      </c>
      <c r="CT420" s="23">
        <f ca="1">SUM(CO420,CP420,CQ420)</f>
        <v>0</v>
      </c>
      <c r="CU420" s="14">
        <f>SUM(ES420*0.0052)/2-27.23</f>
        <v>34.129999999999995</v>
      </c>
      <c r="CV420" s="14">
        <f>SUM(CU420*0.1)</f>
        <v>3.4129999999999998</v>
      </c>
      <c r="CW420" s="14">
        <f ca="1">SUM(CX420*CY420)</f>
        <v>5.3185916666666628</v>
      </c>
      <c r="CX420" s="17">
        <f>SUM((CU420+CV420)*0.00833333333333333)</f>
        <v>0.31285833333333313</v>
      </c>
      <c r="CY420" s="23">
        <f ca="1">MONTH(TODAY())+13</f>
        <v>17</v>
      </c>
      <c r="CZ420" s="23">
        <f ca="1">SUM(CU420,CV420,CW420)</f>
        <v>42.861591666666655</v>
      </c>
      <c r="DA420" s="14">
        <f>SUM(EV420*0.0045)/2</f>
        <v>58.274999999999999</v>
      </c>
      <c r="DB420" s="14">
        <f>SUM(DA420*0.1)</f>
        <v>5.8275000000000006</v>
      </c>
      <c r="DC420" s="14">
        <f ca="1">SUM(DD420*DE420)</f>
        <v>5.8760624999999971</v>
      </c>
      <c r="DD420" s="17">
        <f>SUM((DA420+DB420)*0.00833333333333333)</f>
        <v>0.5341874999999997</v>
      </c>
      <c r="DE420" s="23">
        <f ca="1">MONTH(TODAY())+7</f>
        <v>11</v>
      </c>
      <c r="DF420" s="23">
        <f ca="1">SUM(DA420,DB420,DC420)</f>
        <v>69.978562499999995</v>
      </c>
      <c r="DG420" s="14">
        <f>SUM(EV420*0.0045)/2</f>
        <v>58.274999999999999</v>
      </c>
      <c r="DH420" s="14">
        <f>SUM(DG420*0.1)</f>
        <v>5.8275000000000006</v>
      </c>
      <c r="DI420" s="14">
        <f ca="1">SUM(DJ420*DK420)</f>
        <v>2.6709374999999986</v>
      </c>
      <c r="DJ420" s="17">
        <f>SUM((DG420+DH420)*0.00833333333333333)</f>
        <v>0.5341874999999997</v>
      </c>
      <c r="DK420" s="23">
        <f ca="1">MONTH(TODAY())+1</f>
        <v>5</v>
      </c>
      <c r="DL420" s="14">
        <f ca="1">SUM(DG420,DH420,DI420)</f>
        <v>66.773437499999986</v>
      </c>
      <c r="DM420" s="14">
        <f>SUM(EV420*0.0045)/2</f>
        <v>58.274999999999999</v>
      </c>
      <c r="DN420" s="14">
        <f>0</f>
        <v>0</v>
      </c>
      <c r="DO420" s="14">
        <f>0</f>
        <v>0</v>
      </c>
      <c r="DP420" s="17">
        <f>SUM((DM420+DN420)*0.00833333333333333)</f>
        <v>0.48562499999999981</v>
      </c>
      <c r="DQ420" s="23">
        <f ca="1">MONTH(TODAY())+7</f>
        <v>11</v>
      </c>
      <c r="DR420" s="23">
        <f>SUM(DM420,DN420,DO420)</f>
        <v>58.274999999999999</v>
      </c>
      <c r="DS420" s="14">
        <f>0</f>
        <v>0</v>
      </c>
      <c r="DT420" s="14">
        <f>0</f>
        <v>0</v>
      </c>
      <c r="DU420" s="14">
        <f ca="1">SUM(DV420*DW420)</f>
        <v>0</v>
      </c>
      <c r="DV420" s="17">
        <f>SUM((DS420+DT420)*0.00833333333333333)</f>
        <v>0</v>
      </c>
      <c r="DW420" s="23">
        <f ca="1">MONTH(TODAY())+1</f>
        <v>5</v>
      </c>
      <c r="DX420" s="14">
        <f ca="1">SUM(DS420,DT420,DU420)</f>
        <v>0</v>
      </c>
      <c r="DY420" s="14">
        <f>SUM( BQ420, BW420, CC420, CI420, CO420,CU420,DA420,DG420,DM420,DS420)</f>
        <v>208.95500000000001</v>
      </c>
      <c r="DZ420" s="14">
        <f>SUM(BR420,BX420,CD420,CJ420, CP420,CV420,DB420,DH420,DN420,DT420)</f>
        <v>15.068000000000001</v>
      </c>
      <c r="EA420" s="14">
        <f ca="1">SUM(BS420,BY420,CE420,CK420, CQ420,CW420,DC420,DI420,DO420,DU420)</f>
        <v>13.865591666666658</v>
      </c>
      <c r="EB420" s="25">
        <f ca="1">SUM(DY420:EA420)</f>
        <v>237.88859166666668</v>
      </c>
      <c r="EC420" s="47">
        <f ca="1">SUM(EB420/ES420)</f>
        <v>1.008002507062147E-2</v>
      </c>
      <c r="ED420" s="14">
        <f>20+10</f>
        <v>30</v>
      </c>
      <c r="EE420" s="32">
        <f>COUNTIF(AO420, "*")+COUNTIF(AJ420, "*")+COUNTIF(AA420, "*")+COUNTIF(FG420, "*")+COUNTIF(FM420, "*")+COUNTIF(FS420, "*")+COUNTIF(FW420, "*")+COUNTIF(GD420, "*")+COUNTIF(AS420, "*")+COUNTIF(GM420, "*")+COUNTIF(GX420, "*")+COUNTIF(HI420, "*")+COUNTIF(HQ420, "*")+COUNTIF(HY420, "*")+COUNTIF(IG420, "*")</f>
        <v>2</v>
      </c>
      <c r="EF420" s="14">
        <f>EE420*0.64</f>
        <v>1.28</v>
      </c>
      <c r="EG420" s="4"/>
      <c r="EH420" s="4">
        <v>26.67</v>
      </c>
      <c r="EI420" s="4"/>
      <c r="EJ420" s="4"/>
      <c r="EL420" s="4"/>
      <c r="EM420" s="14">
        <f>SUM(EH420:EL420)</f>
        <v>26.67</v>
      </c>
      <c r="EN420" s="14">
        <f ca="1">SUM(EB420,ED420,EM420, EG420, EF420,GJ420)</f>
        <v>295.83859166666667</v>
      </c>
      <c r="EO420" s="24" t="s">
        <v>4935</v>
      </c>
      <c r="EP420" s="23">
        <v>1.08</v>
      </c>
      <c r="EQ420" s="14">
        <v>21600</v>
      </c>
      <c r="ER420" s="14">
        <v>2000</v>
      </c>
      <c r="ES420" s="14">
        <f>SUM(EQ420+ER420)</f>
        <v>23600</v>
      </c>
      <c r="ET420" s="14">
        <v>23800</v>
      </c>
      <c r="EU420" s="14">
        <v>2100</v>
      </c>
      <c r="EV420" s="14">
        <f>SUM(ET420+EU420)</f>
        <v>25900</v>
      </c>
      <c r="EW420" s="10"/>
      <c r="EX420" s="10"/>
      <c r="EY420" s="10"/>
      <c r="EZ420" s="10"/>
      <c r="FA420" s="10"/>
      <c r="FB420" s="10"/>
      <c r="FC420" s="10"/>
      <c r="FD420" s="10"/>
      <c r="GJ420" s="4"/>
      <c r="IK420" s="9"/>
      <c r="IV420" s="4"/>
      <c r="IW420" s="4"/>
      <c r="IX420" s="4"/>
      <c r="IY420" s="9"/>
      <c r="IZ420" s="9"/>
      <c r="JA420" s="9"/>
      <c r="JB420" s="9"/>
      <c r="JC420" s="9"/>
    </row>
    <row r="421" spans="1:263" ht="15" customHeight="1">
      <c r="A421" s="19">
        <v>102022137</v>
      </c>
      <c r="B421" t="s">
        <v>2872</v>
      </c>
      <c r="D421" s="1"/>
      <c r="J421" t="s">
        <v>253</v>
      </c>
      <c r="K421" t="s">
        <v>1209</v>
      </c>
      <c r="L421" t="s">
        <v>3154</v>
      </c>
      <c r="M421" t="s">
        <v>403</v>
      </c>
      <c r="AM421"/>
      <c r="AN421"/>
      <c r="AO421" s="3" t="s">
        <v>3150</v>
      </c>
      <c r="AP421" s="3" t="s">
        <v>258</v>
      </c>
      <c r="AQ421" s="3" t="s">
        <v>386</v>
      </c>
      <c r="AR421" t="s">
        <v>260</v>
      </c>
      <c r="AS421" s="1"/>
      <c r="AT421" s="1"/>
      <c r="AU421" s="1"/>
      <c r="AV421" s="1"/>
      <c r="AW421" s="1"/>
      <c r="AX421" s="2"/>
      <c r="AY421" s="114"/>
      <c r="AZ421" s="115"/>
      <c r="BA421" s="2"/>
      <c r="BB421" s="2"/>
      <c r="BC421" s="2"/>
      <c r="BD421" s="2"/>
      <c r="BE421" s="2"/>
      <c r="BF421" s="2"/>
      <c r="BG421" s="20"/>
      <c r="BH421" s="22"/>
      <c r="BI421" s="22"/>
      <c r="BJ421" s="14"/>
      <c r="BK421" s="22"/>
      <c r="BL421" s="14"/>
      <c r="BM421" s="14"/>
      <c r="BN421" s="14"/>
      <c r="BO421" s="17"/>
      <c r="BP421" s="23"/>
      <c r="BQ421" s="14"/>
      <c r="BR421" s="14"/>
      <c r="BS421" s="14"/>
      <c r="BT421" s="14"/>
      <c r="BU421" s="17"/>
      <c r="BV421" s="23"/>
      <c r="BW421" s="14"/>
      <c r="BX421" s="14"/>
      <c r="BY421" s="14"/>
      <c r="BZ421" s="14"/>
      <c r="CA421" s="17"/>
      <c r="CB421" s="23"/>
      <c r="CC421" s="14"/>
      <c r="CD421" s="14"/>
      <c r="CE421" s="14"/>
      <c r="CF421" s="14"/>
      <c r="CG421" s="17"/>
      <c r="CH421" s="23"/>
      <c r="CI421" s="14"/>
      <c r="CJ421" s="14"/>
      <c r="CK421" s="14"/>
      <c r="CL421" s="14"/>
      <c r="CM421" s="17"/>
      <c r="CN421" s="23"/>
      <c r="CO421" s="14"/>
      <c r="CP421" s="14"/>
      <c r="CQ421" s="14"/>
      <c r="CR421" s="14"/>
      <c r="CS421" s="14"/>
      <c r="CT421" s="47"/>
      <c r="CU421" s="14"/>
      <c r="CV421" s="32"/>
      <c r="CW421" s="14"/>
      <c r="CX421" s="4"/>
      <c r="CY421" s="14"/>
      <c r="CZ421" s="4"/>
      <c r="DE421" s="14"/>
      <c r="DF421" s="24"/>
      <c r="DG421" s="4"/>
      <c r="DH421" s="4"/>
      <c r="DI421" s="25"/>
      <c r="DJ421" s="35">
        <v>0.08</v>
      </c>
      <c r="IC421" s="4"/>
    </row>
    <row r="422" spans="1:263" s="240" customFormat="1" ht="15" customHeight="1">
      <c r="A422" s="19">
        <v>102022176</v>
      </c>
      <c r="B422" t="s">
        <v>2901</v>
      </c>
      <c r="C422"/>
      <c r="D422" s="1"/>
      <c r="E422" s="3"/>
      <c r="F422" s="3"/>
      <c r="G422"/>
      <c r="H422"/>
      <c r="I422"/>
      <c r="J422" t="s">
        <v>311</v>
      </c>
      <c r="K422" t="s">
        <v>1540</v>
      </c>
      <c r="L422" t="s">
        <v>574</v>
      </c>
      <c r="M422" t="s">
        <v>850</v>
      </c>
      <c r="N422" t="s">
        <v>341</v>
      </c>
      <c r="O422"/>
      <c r="P422"/>
      <c r="Q422"/>
      <c r="R422"/>
      <c r="S422"/>
      <c r="T422"/>
      <c r="U422"/>
      <c r="V422"/>
      <c r="W422"/>
      <c r="X422"/>
      <c r="Y422"/>
      <c r="Z422"/>
      <c r="AA422"/>
      <c r="AB422"/>
      <c r="AC422"/>
      <c r="AD422"/>
      <c r="AE422"/>
      <c r="AF422"/>
      <c r="AG422" s="43"/>
      <c r="AH422"/>
      <c r="AI422"/>
      <c r="AJ422" s="18" t="s">
        <v>328</v>
      </c>
      <c r="AK422"/>
      <c r="AL422" s="3" t="s">
        <v>386</v>
      </c>
      <c r="AM422"/>
      <c r="AN422"/>
      <c r="AO422" s="3" t="s">
        <v>3225</v>
      </c>
      <c r="AP422" s="3" t="s">
        <v>258</v>
      </c>
      <c r="AQ422" t="s">
        <v>386</v>
      </c>
      <c r="AR422" t="s">
        <v>260</v>
      </c>
      <c r="AS422" s="1"/>
      <c r="AT422" s="1"/>
      <c r="AU422" s="1"/>
      <c r="AV422" s="1"/>
      <c r="AW422" s="1"/>
      <c r="AX422" s="2"/>
      <c r="AY422" s="115">
        <v>44661</v>
      </c>
      <c r="AZ422" s="115">
        <v>44649</v>
      </c>
      <c r="BA422" s="2"/>
      <c r="BB422" s="2"/>
      <c r="BC422" s="2"/>
      <c r="BD422" s="2"/>
      <c r="BE422" s="2"/>
      <c r="BF422" s="2"/>
      <c r="BG422" s="20">
        <f ca="1">SUM(CY422)+214.5</f>
        <v>907.65973333333341</v>
      </c>
      <c r="BH422" s="22">
        <f ca="1">PMT(10%/12,12,BG422,0,0)</f>
        <v>-79.797710758953912</v>
      </c>
      <c r="BI422" s="22">
        <f ca="1">SUM(BH422*-1)</f>
        <v>79.797710758953912</v>
      </c>
      <c r="BJ422" s="14">
        <f>SUM(DI422*0.0052)/12</f>
        <v>9.1866666666666656</v>
      </c>
      <c r="BK422" s="22">
        <f ca="1">SUM(BI422+BJ422)</f>
        <v>88.984377425620579</v>
      </c>
      <c r="BL422" s="14"/>
      <c r="BM422" s="14">
        <f>SUM(BL422*0.1)</f>
        <v>0</v>
      </c>
      <c r="BN422" s="14">
        <f ca="1">SUM(BO422*BP422)</f>
        <v>0</v>
      </c>
      <c r="BO422" s="17">
        <f>SUM((BL422+BM422)*0.00833333333333333)</f>
        <v>0</v>
      </c>
      <c r="BP422" s="23">
        <f ca="1">MONTH(TODAY())+49</f>
        <v>53</v>
      </c>
      <c r="BQ422" s="14">
        <f ca="1">SUM(BL422,BM422,BN422)</f>
        <v>0</v>
      </c>
      <c r="BR422" s="14"/>
      <c r="BS422" s="14">
        <f>SUM(BR422*0.1)</f>
        <v>0</v>
      </c>
      <c r="BT422" s="14">
        <f ca="1">SUM(BU422*BV422)</f>
        <v>0</v>
      </c>
      <c r="BU422" s="17">
        <f>SUM((BR422+BS422)*0.00833333333333333)</f>
        <v>0</v>
      </c>
      <c r="BV422" s="23">
        <f ca="1">MONTH(TODAY())+37</f>
        <v>41</v>
      </c>
      <c r="BW422" s="14">
        <f ca="1">SUM(BR422,BS422,BT422)</f>
        <v>0</v>
      </c>
      <c r="BX422" s="14"/>
      <c r="BY422" s="14">
        <f>SUM(BX422*0.1)</f>
        <v>0</v>
      </c>
      <c r="BZ422" s="14">
        <f ca="1">SUM(CA422*CB422)</f>
        <v>0</v>
      </c>
      <c r="CA422" s="17">
        <f>SUM((BX422+BY422)*0.00833333333333333)</f>
        <v>0</v>
      </c>
      <c r="CB422" s="23">
        <f ca="1">MONTH(TODAY())+25</f>
        <v>29</v>
      </c>
      <c r="CC422" s="14">
        <f ca="1">SUM(BX422,BY422,BZ422)</f>
        <v>0</v>
      </c>
      <c r="CD422" s="14">
        <f>SUM(DI422*0.0052)</f>
        <v>110.24</v>
      </c>
      <c r="CE422" s="14">
        <f>SUM(CD422*0.1)</f>
        <v>11.024000000000001</v>
      </c>
      <c r="CF422" s="14">
        <f ca="1">SUM(CG422*CH422)</f>
        <v>17.179066666666657</v>
      </c>
      <c r="CG422" s="17">
        <f>SUM((CD422+CE422)*0.00833333333333333)</f>
        <v>1.0105333333333328</v>
      </c>
      <c r="CH422" s="23">
        <f ca="1">MONTH(TODAY())+13</f>
        <v>17</v>
      </c>
      <c r="CI422" s="14">
        <f ca="1">SUM(CD422,CE422,CF422)</f>
        <v>138.44306666666665</v>
      </c>
      <c r="CJ422" s="14">
        <f>SUM(DI422*0.0052)</f>
        <v>110.24</v>
      </c>
      <c r="CK422" s="14">
        <f>SUM(CJ422*0.1)</f>
        <v>11.024000000000001</v>
      </c>
      <c r="CL422" s="14">
        <f ca="1">SUM(CM422*CN422)</f>
        <v>5.0526666666666644</v>
      </c>
      <c r="CM422" s="17">
        <f>SUM((CJ422+CK422)*0.00833333333333333)</f>
        <v>1.0105333333333328</v>
      </c>
      <c r="CN422" s="23">
        <f ca="1">MONTH(TODAY())+1</f>
        <v>5</v>
      </c>
      <c r="CO422" s="14">
        <f ca="1">SUM(CJ422,CK422,CL422)</f>
        <v>126.31666666666666</v>
      </c>
      <c r="CP422" s="14">
        <f>SUM(BL422, BR422,BX422,CD422,CJ422)</f>
        <v>220.48</v>
      </c>
      <c r="CQ422" s="14">
        <f>SUM(BM422, BS422,BY422,CE422,CK422)</f>
        <v>22.048000000000002</v>
      </c>
      <c r="CR422" s="14">
        <f ca="1">SUM(BN422, BT422,BZ422,CF422,CL422)</f>
        <v>22.23173333333332</v>
      </c>
      <c r="CS422" s="14">
        <f ca="1">SUM(CP422:CR422)</f>
        <v>264.75973333333332</v>
      </c>
      <c r="CT422" s="47">
        <f ca="1">SUM(CS422/DI422)</f>
        <v>1.2488666666666665E-2</v>
      </c>
      <c r="CU422" s="14">
        <f>19.5+19.5+195</f>
        <v>234</v>
      </c>
      <c r="CV422" s="32">
        <f>COUNTIF(DB422, "*")+COUNTIF(AO422, "*")+COUNTIF(AJ422, "*")+COUNTIF(AA422, "*")+COUNTIF(DY422, "*")+COUNTIF(EE422, "*")+COUNTIF(EK422, "*")+COUNTIF(EO422, "*")+COUNTIF(EV422, "*")+COUNTIF(FC422, "*")+COUNTIF(FJ422, "*")+COUNTIF(FU422, "*")+COUNTIF(GF422, "*")+COUNTIF(GN422, "*")+COUNTIF(GV422, "*")+COUNTIF(HD422, "*")+COUNTIF(HL422, "*")</f>
        <v>2</v>
      </c>
      <c r="CW422" s="14">
        <f>CV422*0.5+CV422*6.66</f>
        <v>14.32</v>
      </c>
      <c r="CX422" s="4">
        <v>150</v>
      </c>
      <c r="CY422" s="14">
        <f ca="1">SUM(CS422,CU422,DE422, CX422, CW422,FG422)</f>
        <v>693.15973333333341</v>
      </c>
      <c r="CZ422" s="14">
        <v>30.08</v>
      </c>
      <c r="DA422"/>
      <c r="DB422"/>
      <c r="DC422"/>
      <c r="DD422"/>
      <c r="DE422" s="14">
        <f>SUM(CZ422:DD422)</f>
        <v>30.08</v>
      </c>
      <c r="DF422" s="24" t="s">
        <v>2773</v>
      </c>
      <c r="DG422" s="4">
        <v>21200</v>
      </c>
      <c r="DH422" s="4">
        <v>0</v>
      </c>
      <c r="DI422" s="25">
        <f>SUM(DG422+DH422)</f>
        <v>21200</v>
      </c>
      <c r="DJ422" s="35">
        <v>1.72</v>
      </c>
      <c r="DK422" t="s">
        <v>3708</v>
      </c>
      <c r="DL422" t="s">
        <v>3709</v>
      </c>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s="4"/>
      <c r="ID422"/>
      <c r="IE422"/>
      <c r="IF422"/>
      <c r="IG422"/>
      <c r="IH422"/>
      <c r="II422"/>
      <c r="IJ422"/>
      <c r="IK422"/>
      <c r="IL422"/>
      <c r="IM422"/>
      <c r="IN422"/>
      <c r="IO422"/>
      <c r="IP422"/>
      <c r="IQ422"/>
      <c r="IR422"/>
      <c r="IS422"/>
      <c r="IT422"/>
      <c r="IU422"/>
      <c r="IV422"/>
      <c r="IW422"/>
      <c r="IX422"/>
      <c r="IY422"/>
      <c r="IZ422"/>
      <c r="JA422"/>
      <c r="JB422"/>
      <c r="JC422"/>
    </row>
    <row r="423" spans="1:263" ht="15" customHeight="1">
      <c r="A423" s="19">
        <v>102017090</v>
      </c>
      <c r="B423" s="18" t="s">
        <v>1034</v>
      </c>
      <c r="C423" s="18"/>
      <c r="D423" s="18"/>
      <c r="E423" s="18" t="s">
        <v>1035</v>
      </c>
      <c r="F423" s="19">
        <v>190000177</v>
      </c>
      <c r="G423" s="18">
        <v>180001003</v>
      </c>
      <c r="H423" s="18"/>
      <c r="I423" s="18"/>
      <c r="J423" s="18" t="s">
        <v>253</v>
      </c>
      <c r="K423" s="18" t="s">
        <v>1036</v>
      </c>
      <c r="L423" s="18" t="s">
        <v>1037</v>
      </c>
      <c r="M423" s="18" t="s">
        <v>469</v>
      </c>
      <c r="N423" s="18"/>
      <c r="O423" s="13" t="s">
        <v>258</v>
      </c>
      <c r="P423" s="18"/>
      <c r="Q423" s="18"/>
      <c r="R423" s="18"/>
      <c r="S423" s="18"/>
      <c r="T423" s="13"/>
      <c r="U423" s="18"/>
      <c r="V423" s="18"/>
      <c r="AD423" s="1"/>
      <c r="AF423" s="3"/>
      <c r="AI423" s="4"/>
      <c r="AJ423" s="4"/>
      <c r="AK423" s="4"/>
      <c r="AO423" s="4"/>
      <c r="AP423" s="13"/>
      <c r="AQ423" s="34"/>
      <c r="AR423" s="34"/>
      <c r="AS423" s="5"/>
      <c r="AT423" s="13"/>
      <c r="AU423" s="1"/>
      <c r="AV423" s="1"/>
      <c r="AW423" s="1"/>
      <c r="AX423" s="1"/>
      <c r="AY423" s="1"/>
      <c r="AZ423" s="1"/>
      <c r="BA423" s="1"/>
      <c r="BB423" s="1"/>
      <c r="BC423" s="1"/>
      <c r="BD423" s="1"/>
      <c r="BE423" s="5"/>
      <c r="BF423" s="16"/>
      <c r="BG423" s="16"/>
      <c r="BI423" s="4"/>
      <c r="BJ423" s="4"/>
      <c r="BK423" s="6"/>
      <c r="BL423" s="7"/>
      <c r="BM423" s="4"/>
      <c r="BO423" s="4"/>
      <c r="BP423" s="4"/>
      <c r="BQ423" s="6"/>
      <c r="BR423" s="7"/>
      <c r="BS423" s="4"/>
      <c r="BT423" s="4"/>
      <c r="BU423" s="4"/>
      <c r="BV423" s="4"/>
      <c r="BW423" s="6"/>
      <c r="BX423" s="7"/>
      <c r="BY423" s="4"/>
      <c r="CA423" s="4"/>
      <c r="CB423" s="4"/>
      <c r="CC423" s="6"/>
      <c r="CD423" s="7"/>
      <c r="CE423" s="4"/>
      <c r="CF423" s="4"/>
      <c r="CG423" s="4"/>
      <c r="CH423" s="4"/>
      <c r="CI423" s="6"/>
      <c r="CJ423" s="7"/>
      <c r="CK423" s="4"/>
      <c r="CL423" s="4"/>
      <c r="CM423" s="4"/>
      <c r="CN423" s="4"/>
      <c r="CO423" s="6"/>
      <c r="CP423" s="7"/>
      <c r="CQ423" s="4"/>
      <c r="CR423" s="4"/>
      <c r="CS423" s="4"/>
      <c r="CT423" s="4"/>
      <c r="CU423" s="6"/>
      <c r="CV423" s="7"/>
      <c r="CW423" s="4"/>
      <c r="CX423" s="4"/>
      <c r="CY423" s="4"/>
      <c r="CZ423" s="4"/>
      <c r="DA423" s="6"/>
      <c r="DB423" s="7"/>
      <c r="DC423" s="4"/>
      <c r="DD423" s="4"/>
      <c r="DE423" s="4"/>
      <c r="DF423" s="4"/>
      <c r="DG423" s="6"/>
      <c r="DH423" s="7"/>
      <c r="DI423" s="4"/>
      <c r="DJ423" s="4"/>
      <c r="DK423" s="4"/>
      <c r="DL423" s="4"/>
      <c r="DM423" s="4"/>
      <c r="DN423" s="3"/>
      <c r="DO423" s="4"/>
      <c r="DP423" s="4"/>
      <c r="DQ423" s="4"/>
      <c r="DR423" s="4"/>
      <c r="DS423" s="4"/>
      <c r="DT423" s="4"/>
      <c r="DU423" s="4"/>
      <c r="DV423" s="4"/>
      <c r="DW423" s="4"/>
      <c r="DX423" s="4"/>
      <c r="DY423" s="4"/>
      <c r="DZ423" s="4"/>
      <c r="EA423" s="4"/>
      <c r="EB423" s="4"/>
      <c r="EC423" s="4"/>
      <c r="ED423" s="4"/>
      <c r="EE423" s="4"/>
      <c r="EF423" s="4"/>
      <c r="EG423" s="4"/>
      <c r="FN423" s="9"/>
      <c r="FO423" s="10"/>
      <c r="FV423" s="10"/>
      <c r="GH423" s="9"/>
      <c r="IL423" s="4"/>
      <c r="IM423" s="9"/>
      <c r="IO423" s="4" t="s">
        <v>1061</v>
      </c>
      <c r="IP423" t="s">
        <v>1062</v>
      </c>
      <c r="IQ423" t="s">
        <v>1063</v>
      </c>
      <c r="IT423" s="4">
        <v>57.17</v>
      </c>
      <c r="IU423" s="4"/>
      <c r="IV423" s="27">
        <v>43643</v>
      </c>
    </row>
    <row r="424" spans="1:263" ht="15" customHeight="1">
      <c r="A424" s="2">
        <v>102024174</v>
      </c>
      <c r="B424" t="s">
        <v>5572</v>
      </c>
      <c r="D424" s="1"/>
      <c r="E424" s="3"/>
      <c r="G424" s="3"/>
      <c r="J424" t="s">
        <v>253</v>
      </c>
      <c r="K424" t="s">
        <v>1391</v>
      </c>
      <c r="L424" t="s">
        <v>1583</v>
      </c>
      <c r="M424" t="s">
        <v>256</v>
      </c>
      <c r="O424" s="3"/>
      <c r="AG424" s="43"/>
      <c r="AJ424" s="18" t="s">
        <v>5573</v>
      </c>
      <c r="AK424" s="1" t="s">
        <v>258</v>
      </c>
      <c r="AL424" s="18" t="s">
        <v>386</v>
      </c>
      <c r="AM424" t="s">
        <v>260</v>
      </c>
      <c r="AN424"/>
      <c r="AO424" t="s">
        <v>5574</v>
      </c>
      <c r="AP424" s="1" t="s">
        <v>258</v>
      </c>
      <c r="AQ424" s="18" t="s">
        <v>5575</v>
      </c>
      <c r="AR424" t="s">
        <v>5576</v>
      </c>
      <c r="AS424" s="10"/>
      <c r="AT424" s="10"/>
      <c r="AU424" s="10"/>
      <c r="AV424" s="10"/>
      <c r="AW424" s="10"/>
      <c r="AX424" s="1"/>
      <c r="AY424" s="1"/>
      <c r="AZ424" s="1"/>
      <c r="BA424" s="1"/>
      <c r="BB424" s="1"/>
      <c r="BC424" s="2"/>
      <c r="BD424" s="116"/>
      <c r="BE424" s="115"/>
      <c r="BF424" s="2"/>
      <c r="BG424" s="2"/>
      <c r="BH424" s="2"/>
      <c r="BI424" s="2"/>
      <c r="BJ424" s="2"/>
      <c r="BK424" s="2"/>
      <c r="BL424" s="20">
        <f ca="1">SUM(EB424)+220</f>
        <v>602.72698333333324</v>
      </c>
      <c r="BM424" s="22">
        <f ca="1">PMT(10%/12,12,BL424,0,0)</f>
        <v>-52.989277497217195</v>
      </c>
      <c r="BN424" s="22">
        <f ca="1">SUM(BM424*-1)</f>
        <v>52.989277497217195</v>
      </c>
      <c r="BO424" s="14">
        <f>SUM(EJ424*0.0052)/12</f>
        <v>19.239999999999998</v>
      </c>
      <c r="BP424" s="22">
        <f ca="1">SUM(BN424+BO424)</f>
        <v>72.229277497217197</v>
      </c>
      <c r="BQ424" s="14"/>
      <c r="BR424" s="14">
        <f>SUM(BQ424*0.1)</f>
        <v>0</v>
      </c>
      <c r="BS424" s="14">
        <f ca="1">SUM(BT424*BU424)</f>
        <v>0</v>
      </c>
      <c r="BT424" s="17">
        <f>SUM((BQ424+BR424)*0.00833333333333333)</f>
        <v>0</v>
      </c>
      <c r="BU424" s="23">
        <f ca="1">MONTH(TODAY())+61</f>
        <v>65</v>
      </c>
      <c r="BV424" s="14">
        <f ca="1">SUM(BQ424,BR424,BS424)</f>
        <v>0</v>
      </c>
      <c r="BW424" s="14"/>
      <c r="BX424" s="14">
        <f>SUM(BW424*0.1)</f>
        <v>0</v>
      </c>
      <c r="BY424" s="14">
        <f ca="1">SUM(BZ424*CA424)</f>
        <v>0</v>
      </c>
      <c r="BZ424" s="17">
        <f>SUM((BW424+BX424)*0.00833333333333333)</f>
        <v>0</v>
      </c>
      <c r="CA424" s="23">
        <f ca="1">MONTH(TODAY())+49</f>
        <v>53</v>
      </c>
      <c r="CB424" s="14">
        <f ca="1">SUM(BW424,BX424,BY424)</f>
        <v>0</v>
      </c>
      <c r="CC424" s="14">
        <v>0</v>
      </c>
      <c r="CD424" s="14">
        <f>SUM(CC424*0.1)</f>
        <v>0</v>
      </c>
      <c r="CE424" s="14">
        <f ca="1">SUM(CF424*CG424)</f>
        <v>0</v>
      </c>
      <c r="CF424" s="17">
        <f>SUM((CC424+CD424)*0.00833333333333333)</f>
        <v>0</v>
      </c>
      <c r="CG424" s="23">
        <f ca="1">MONTH(TODAY())+37</f>
        <v>41</v>
      </c>
      <c r="CH424" s="14">
        <f ca="1">SUM(CC424,CD424,CE424)</f>
        <v>0</v>
      </c>
      <c r="CI424" s="14">
        <v>0</v>
      </c>
      <c r="CJ424" s="14">
        <f>SUM(CI424*0.1)</f>
        <v>0</v>
      </c>
      <c r="CK424" s="14">
        <f ca="1">SUM(CL424*CM424)</f>
        <v>0</v>
      </c>
      <c r="CL424" s="17">
        <f>SUM((CI424+CJ424)*0.00833333333333333)</f>
        <v>0</v>
      </c>
      <c r="CM424" s="23">
        <f ca="1">MONTH(TODAY())+25</f>
        <v>29</v>
      </c>
      <c r="CN424" s="14">
        <f ca="1">SUM(CI424,CJ424,CK424)</f>
        <v>0</v>
      </c>
      <c r="CO424" s="14">
        <v>0</v>
      </c>
      <c r="CP424" s="14">
        <f>SUM(CO424*0.1)</f>
        <v>0</v>
      </c>
      <c r="CQ424" s="14">
        <f ca="1">SUM(CR424*CS424)</f>
        <v>0</v>
      </c>
      <c r="CR424" s="17">
        <f>SUM((CO424+CP424)*0.00833333333333333)</f>
        <v>0</v>
      </c>
      <c r="CS424" s="23">
        <f ca="1">MONTH(TODAY())+17</f>
        <v>21</v>
      </c>
      <c r="CT424" s="23">
        <f ca="1">SUM(CO424,CP424,CQ424)</f>
        <v>0</v>
      </c>
      <c r="CU424" s="14">
        <f>SUM(EG424*0.0052)/2</f>
        <v>101.14</v>
      </c>
      <c r="CV424" s="14">
        <f>SUM(CU424*0.1)</f>
        <v>10.114000000000001</v>
      </c>
      <c r="CW424" s="14">
        <f ca="1">SUM(CX424*CY424)</f>
        <v>15.760983333333327</v>
      </c>
      <c r="CX424" s="17">
        <f>SUM((CU424+CV424)*0.00833333333333333)</f>
        <v>0.92711666666666626</v>
      </c>
      <c r="CY424" s="23">
        <f ca="1">MONTH(TODAY())+13</f>
        <v>17</v>
      </c>
      <c r="CZ424" s="23">
        <f ca="1">SUM(CU424,CV424,CW424)</f>
        <v>127.01498333333333</v>
      </c>
      <c r="DA424" s="14">
        <f>SUM(EJ424*0.0045)/2</f>
        <v>99.899999999999991</v>
      </c>
      <c r="DB424" s="14">
        <f>SUM(DA424*0.1)</f>
        <v>9.99</v>
      </c>
      <c r="DC424" s="14">
        <f ca="1">SUM(DD424*DE424)</f>
        <v>10.073249999999994</v>
      </c>
      <c r="DD424" s="17">
        <f>SUM((DA424+DB424)*0.00833333333333333)</f>
        <v>0.91574999999999951</v>
      </c>
      <c r="DE424" s="23">
        <f ca="1">MONTH(TODAY())+7</f>
        <v>11</v>
      </c>
      <c r="DF424" s="23">
        <f ca="1">SUM(DA424,DB424,DC424)</f>
        <v>119.96324999999999</v>
      </c>
      <c r="DG424" s="14">
        <f>SUM(EJ424*0.0045)/2</f>
        <v>99.899999999999991</v>
      </c>
      <c r="DH424" s="14">
        <f>SUM(DG424*0.1)</f>
        <v>9.99</v>
      </c>
      <c r="DI424" s="14">
        <f ca="1">SUM(DJ424*DK424)</f>
        <v>4.5787499999999977</v>
      </c>
      <c r="DJ424" s="17">
        <f>SUM((DG424+DH424)*0.00833333333333333)</f>
        <v>0.91574999999999951</v>
      </c>
      <c r="DK424" s="23">
        <f ca="1">MONTH(TODAY())+1</f>
        <v>5</v>
      </c>
      <c r="DL424" s="14">
        <f ca="1">SUM(DG424,DH424,DI424)</f>
        <v>114.46874999999999</v>
      </c>
      <c r="DM424" s="14">
        <f>SUM( BQ424, BW424, CC424, CI424, CO424,CU424,DA424,DG424)</f>
        <v>300.94</v>
      </c>
      <c r="DN424" s="14">
        <f>SUM(BR424,BX424,CD424,CJ424, CP424,CV424,DB424,DH424)</f>
        <v>30.094000000000001</v>
      </c>
      <c r="DO424" s="14">
        <f ca="1">SUM(BS424,BY424,CE424,CK424, CQ424,CW424,DC424,DI424)</f>
        <v>30.412983333333322</v>
      </c>
      <c r="DP424" s="25">
        <f ca="1">SUM(DM424:DO424)</f>
        <v>361.44698333333332</v>
      </c>
      <c r="DQ424" s="47">
        <f ca="1">SUM(DP424/EG424)</f>
        <v>9.2916962296486719E-3</v>
      </c>
      <c r="DR424" s="14">
        <f>20</f>
        <v>20</v>
      </c>
      <c r="DS424" s="32">
        <f>COUNTIF(AO424, "*")+COUNTIF(AJ424, "*")+COUNTIF(AA424, "*")+COUNTIF(EU424, "*")+COUNTIF(FA424, "*")+COUNTIF(FG424, "*")+COUNTIF(FK424, "*")+COUNTIF(FR424, "*")+COUNTIF(AT424, "*")+COUNTIF(GA424, "*")+COUNTIF(GL424, "*")+COUNTIF(GW424, "*")+COUNTIF(HE424, "*")+COUNTIF(HM424, "*")+COUNTIF(HU424, "*")</f>
        <v>2</v>
      </c>
      <c r="DT424" s="14">
        <f>DS424*0.64</f>
        <v>1.28</v>
      </c>
      <c r="DU424" s="4"/>
      <c r="DV424" s="4"/>
      <c r="DW424" s="4"/>
      <c r="DX424" s="4"/>
      <c r="DZ424" s="4"/>
      <c r="EA424" s="14">
        <f>SUM(DV424:DZ424)</f>
        <v>0</v>
      </c>
      <c r="EB424" s="14">
        <f ca="1">SUM(DP424,DR424,EA424, DU424, DT424,FX424)</f>
        <v>382.72698333333329</v>
      </c>
      <c r="EC424" s="24" t="s">
        <v>4935</v>
      </c>
      <c r="ED424" s="23">
        <v>6.46</v>
      </c>
      <c r="EE424" s="14">
        <v>31800</v>
      </c>
      <c r="EF424" s="14">
        <v>7100</v>
      </c>
      <c r="EG424" s="14">
        <f>SUM(EE424+EF424)</f>
        <v>38900</v>
      </c>
      <c r="EH424" s="14">
        <v>37300</v>
      </c>
      <c r="EI424" s="14">
        <v>7100</v>
      </c>
      <c r="EJ424" s="14">
        <f>SUM(EH424+EI424)</f>
        <v>44400</v>
      </c>
      <c r="EK424" s="10"/>
      <c r="EL424" s="10"/>
      <c r="EM424" s="10"/>
      <c r="EN424" s="10"/>
      <c r="EO424" s="10"/>
      <c r="EP424" s="10"/>
      <c r="EQ424" s="10"/>
      <c r="ER424" s="10"/>
      <c r="FX424" s="4"/>
      <c r="HY424" s="9"/>
      <c r="IJ424" s="4"/>
      <c r="IK424" s="4"/>
      <c r="IL424" s="4"/>
      <c r="IM424" s="9"/>
      <c r="IN424" s="9"/>
      <c r="IO424" s="9"/>
      <c r="IP424" s="9"/>
      <c r="IQ424" s="9"/>
    </row>
    <row r="425" spans="1:263" ht="15" customHeight="1">
      <c r="A425" s="2">
        <v>102023031</v>
      </c>
      <c r="B425" t="s">
        <v>4044</v>
      </c>
      <c r="J425" t="s">
        <v>253</v>
      </c>
      <c r="K425" t="s">
        <v>1036</v>
      </c>
      <c r="L425" t="s">
        <v>308</v>
      </c>
      <c r="O425" s="3" t="s">
        <v>258</v>
      </c>
      <c r="AG425"/>
      <c r="AJ425" s="18"/>
      <c r="AM425"/>
      <c r="AN425"/>
      <c r="AO425" t="s">
        <v>4111</v>
      </c>
      <c r="AP425" s="3" t="s">
        <v>258</v>
      </c>
      <c r="AQ425" t="s">
        <v>386</v>
      </c>
      <c r="AR425" t="s">
        <v>260</v>
      </c>
      <c r="AX425" s="1"/>
      <c r="AY425" s="1"/>
      <c r="AZ425" s="1"/>
      <c r="BA425" s="1"/>
      <c r="BB425" s="1"/>
      <c r="BC425" s="2"/>
      <c r="BD425" s="116"/>
      <c r="BE425" s="115">
        <v>45028</v>
      </c>
      <c r="BF425" s="2"/>
      <c r="BG425" s="2"/>
      <c r="BH425" s="2"/>
      <c r="BI425" s="2"/>
      <c r="BJ425" s="2"/>
      <c r="BK425" s="2"/>
      <c r="BL425" s="20">
        <f ca="1">SUM(DP425)+220</f>
        <v>2929.3363999999997</v>
      </c>
      <c r="BM425" s="22">
        <f ca="1">PMT(10%/12,12,BL425,0,0)</f>
        <v>-257.53520860116225</v>
      </c>
      <c r="BN425" s="22">
        <f ca="1">SUM(BM425*-1)</f>
        <v>257.53520860116225</v>
      </c>
      <c r="BO425" s="14">
        <f>SUM(DX425*0.0052)/12</f>
        <v>63.569999999999993</v>
      </c>
      <c r="BP425" s="22">
        <f ca="1">SUM(BN425+BO425)</f>
        <v>321.10520860116225</v>
      </c>
      <c r="BQ425" s="14"/>
      <c r="BR425" s="14">
        <f>SUM(BQ425*0.1)</f>
        <v>0</v>
      </c>
      <c r="BS425" s="14">
        <f ca="1">SUM(BT425*BU425)</f>
        <v>0</v>
      </c>
      <c r="BT425" s="17">
        <f>SUM((BQ425+BR425)*0.00833333333333333)</f>
        <v>0</v>
      </c>
      <c r="BU425" s="23">
        <f ca="1">MONTH(TODAY())+49</f>
        <v>53</v>
      </c>
      <c r="BV425" s="14">
        <f ca="1">SUM(BQ425,BR425,BS425)</f>
        <v>0</v>
      </c>
      <c r="BW425" s="14"/>
      <c r="BX425" s="14">
        <f>SUM(BW425*0.1)</f>
        <v>0</v>
      </c>
      <c r="BY425" s="14">
        <f ca="1">SUM(BZ425*CA425)</f>
        <v>0</v>
      </c>
      <c r="BZ425" s="17">
        <f>SUM((BW425+BX425)*0.00833333333333333)</f>
        <v>0</v>
      </c>
      <c r="CA425" s="23">
        <f ca="1">MONTH(TODAY())+37</f>
        <v>41</v>
      </c>
      <c r="CB425" s="14">
        <f ca="1">SUM(BW425,BX425,BY425)</f>
        <v>0</v>
      </c>
      <c r="CC425" s="14">
        <f>SUM(DU425*0.0052)</f>
        <v>617.76</v>
      </c>
      <c r="CD425" s="14">
        <f>SUM(CC425*0.1)</f>
        <v>61.776000000000003</v>
      </c>
      <c r="CE425" s="14">
        <f ca="1">SUM(CF425*CG425)</f>
        <v>164.22119999999993</v>
      </c>
      <c r="CF425" s="17">
        <f>SUM((CC425+CD425)*0.00833333333333333)</f>
        <v>5.6627999999999972</v>
      </c>
      <c r="CG425" s="23">
        <f ca="1">MONTH(TODAY())+25</f>
        <v>29</v>
      </c>
      <c r="CH425" s="14">
        <f ca="1">SUM(CC425,CD425,CE425)</f>
        <v>843.7571999999999</v>
      </c>
      <c r="CI425" s="14">
        <f>SUM(DU425*0.0052)</f>
        <v>617.76</v>
      </c>
      <c r="CJ425" s="14">
        <f>SUM(CI425*0.1)</f>
        <v>61.776000000000003</v>
      </c>
      <c r="CK425" s="14">
        <f ca="1">SUM(CL425*CM425)</f>
        <v>96.267599999999959</v>
      </c>
      <c r="CL425" s="17">
        <f>SUM((CI425+CJ425)*0.00833333333333333)</f>
        <v>5.6627999999999972</v>
      </c>
      <c r="CM425" s="23">
        <f ca="1">MONTH(TODAY())+13</f>
        <v>17</v>
      </c>
      <c r="CN425" s="14">
        <f ca="1">SUM(CI425,CJ425,CK425)</f>
        <v>775.80359999999996</v>
      </c>
      <c r="CO425" s="14">
        <f>SUM(DU425*0.0052)/2</f>
        <v>308.88</v>
      </c>
      <c r="CP425" s="14">
        <f>SUM(CO425*0.1)</f>
        <v>30.888000000000002</v>
      </c>
      <c r="CQ425" s="14">
        <f ca="1">SUM(CR425*CS425)</f>
        <v>25.482599999999987</v>
      </c>
      <c r="CR425" s="17">
        <f>SUM((CO425+CP425)*0.00833333333333333)</f>
        <v>2.8313999999999986</v>
      </c>
      <c r="CS425" s="23">
        <f ca="1">MONTH(TODAY())+5</f>
        <v>9</v>
      </c>
      <c r="CT425" s="23">
        <f ca="1">SUM(CO425,CP425,CQ425)</f>
        <v>365.25059999999996</v>
      </c>
      <c r="CU425" s="14">
        <f>SUM(DU425*0.0052)/2</f>
        <v>308.88</v>
      </c>
      <c r="CV425" s="14">
        <f>SUM(CU425*0.1)</f>
        <v>30.888000000000002</v>
      </c>
      <c r="CW425" s="14">
        <f ca="1">SUM(CX425*CY425)</f>
        <v>14.156999999999993</v>
      </c>
      <c r="CX425" s="17">
        <f>SUM((CU425+CV425)*0.00833333333333333)</f>
        <v>2.8313999999999986</v>
      </c>
      <c r="CY425" s="23">
        <f ca="1">MONTH(TODAY())+1</f>
        <v>5</v>
      </c>
      <c r="CZ425" s="23">
        <f ca="1">SUM(CU425,CV425,CW425)</f>
        <v>353.92499999999995</v>
      </c>
      <c r="DA425" s="14">
        <f>SUM( BQ425, BW425, CC425, CI425, CO425,CU425)</f>
        <v>1853.2800000000002</v>
      </c>
      <c r="DB425" s="14">
        <f>SUM(BR425,BX425,CD425,CJ425, CP425,CV425)</f>
        <v>185.328</v>
      </c>
      <c r="DC425" s="14">
        <f ca="1">SUM(BS425,BY425,CE425,CK425, CQ425,CW425)</f>
        <v>300.12839999999983</v>
      </c>
      <c r="DD425" s="25">
        <f ca="1">SUM(DA425:DC425)</f>
        <v>2338.7363999999998</v>
      </c>
      <c r="DE425" s="47">
        <f ca="1">SUM(DD425/DU425)</f>
        <v>1.968633333333333E-2</v>
      </c>
      <c r="DF425" s="14">
        <f>20+200</f>
        <v>220</v>
      </c>
      <c r="DG425" s="32">
        <f>COUNTIF(DL425, "*")+COUNTIF(AO425, "*")+COUNTIF(AJ425, "*")+COUNTIF(AA425, "*")+COUNTIF(EM425, "*")+COUNTIF(ES425, "*")+COUNTIF(EY425, "*")+COUNTIF(FC425, "*")+COUNTIF(FJ425, "*")+COUNTIF(AT425, "*")+COUNTIF(FS425, "*")+COUNTIF(GD425, "*")+COUNTIF(GO425, "*")+COUNTIF(GW425, "*")+COUNTIF(HE425, "*")+COUNTIF(HM425, "*")+COUNTIF(HU425, "*")</f>
        <v>1</v>
      </c>
      <c r="DH425" s="14">
        <f>0.6+Paid!DS762*7.45</f>
        <v>0.6</v>
      </c>
      <c r="DI425" s="4">
        <v>150</v>
      </c>
      <c r="DJ425" s="4"/>
      <c r="DK425" s="4"/>
      <c r="DL425" s="4"/>
      <c r="DN425" s="4"/>
      <c r="DO425" s="14">
        <f>SUM(DJ425:DN425)</f>
        <v>0</v>
      </c>
      <c r="DP425" s="14">
        <f ca="1">SUM(DD425,DF425,DO425, DI425, DH425,FP425)</f>
        <v>2709.3363999999997</v>
      </c>
      <c r="DQ425" s="24" t="s">
        <v>3974</v>
      </c>
      <c r="DR425" s="7">
        <v>1.1299999999999999</v>
      </c>
      <c r="DS425" s="4">
        <v>20700</v>
      </c>
      <c r="DT425" s="4">
        <v>98100</v>
      </c>
      <c r="DU425" s="14">
        <f>SUM(DS425+DT425)</f>
        <v>118800</v>
      </c>
      <c r="DV425" s="14">
        <v>22700</v>
      </c>
      <c r="DW425" s="14">
        <v>124000</v>
      </c>
      <c r="DX425" s="14">
        <f>SUM(DV425+DW425)</f>
        <v>146700</v>
      </c>
      <c r="DY425" s="43" t="s">
        <v>4634</v>
      </c>
      <c r="DZ425" s="43" t="s">
        <v>4635</v>
      </c>
      <c r="EA425" s="43" t="s">
        <v>4636</v>
      </c>
      <c r="IA425" s="9"/>
      <c r="IL425" s="14">
        <f ca="1">SUM(IB425-DP425-FP425-IJ425)</f>
        <v>-2709.3363999999997</v>
      </c>
      <c r="IM425" s="9"/>
      <c r="IN425" s="9"/>
      <c r="IO425" s="9"/>
      <c r="IP425" s="9"/>
      <c r="IQ425" s="9"/>
    </row>
    <row r="426" spans="1:263" ht="15" customHeight="1">
      <c r="A426" s="19">
        <v>102022135</v>
      </c>
      <c r="B426" t="s">
        <v>2870</v>
      </c>
      <c r="D426" s="1"/>
      <c r="J426" t="s">
        <v>311</v>
      </c>
      <c r="K426" t="s">
        <v>2954</v>
      </c>
      <c r="L426" t="s">
        <v>1554</v>
      </c>
      <c r="M426" t="s">
        <v>326</v>
      </c>
      <c r="AJ426" s="18" t="s">
        <v>328</v>
      </c>
      <c r="AL426" t="s">
        <v>349</v>
      </c>
      <c r="AM426"/>
      <c r="AN426"/>
      <c r="AO426" s="3" t="s">
        <v>3147</v>
      </c>
      <c r="AP426" s="3" t="s">
        <v>258</v>
      </c>
      <c r="AQ426" s="3" t="s">
        <v>349</v>
      </c>
      <c r="AR426" t="s">
        <v>260</v>
      </c>
      <c r="AS426" s="1"/>
      <c r="AT426" s="1"/>
      <c r="AU426" s="1"/>
      <c r="AV426" s="1"/>
      <c r="AW426" s="1"/>
      <c r="AX426" s="2"/>
      <c r="AY426" s="48"/>
      <c r="AZ426" s="70"/>
      <c r="BA426" s="2"/>
      <c r="BB426" s="2"/>
      <c r="BC426" s="2"/>
      <c r="BD426" s="2"/>
      <c r="BE426" s="2"/>
      <c r="BF426" s="2"/>
      <c r="BG426" s="20"/>
      <c r="BH426" s="22"/>
      <c r="BI426" s="22"/>
      <c r="BJ426" s="14"/>
      <c r="BK426" s="22"/>
      <c r="BL426" s="14"/>
      <c r="BM426" s="14"/>
      <c r="BN426" s="14"/>
      <c r="BO426" s="17"/>
      <c r="BP426" s="23"/>
      <c r="BQ426" s="14"/>
      <c r="BR426" s="14"/>
      <c r="BS426" s="14"/>
      <c r="BT426" s="14"/>
      <c r="BU426" s="17"/>
      <c r="BV426" s="23"/>
      <c r="BW426" s="14"/>
      <c r="BX426" s="14"/>
      <c r="BY426" s="14"/>
      <c r="BZ426" s="14"/>
      <c r="CA426" s="17"/>
      <c r="CB426" s="23"/>
      <c r="CC426" s="14"/>
      <c r="CD426" s="14"/>
      <c r="CE426" s="14"/>
      <c r="CF426" s="14"/>
      <c r="CG426" s="17"/>
      <c r="CH426" s="23"/>
      <c r="CI426" s="14"/>
      <c r="CJ426" s="14"/>
      <c r="CK426" s="14"/>
      <c r="CL426" s="14"/>
      <c r="CM426" s="17"/>
      <c r="CN426" s="23"/>
      <c r="CO426" s="14"/>
      <c r="CP426" s="14"/>
      <c r="CQ426" s="14"/>
      <c r="CR426" s="14"/>
      <c r="CS426" s="14"/>
      <c r="CT426" s="47"/>
      <c r="CU426" s="14"/>
      <c r="CV426" s="32"/>
      <c r="CW426" s="14"/>
      <c r="CY426" s="14"/>
      <c r="DE426" s="14"/>
      <c r="DF426" s="24"/>
      <c r="DG426" s="4"/>
      <c r="DH426" s="4"/>
      <c r="DI426" s="25"/>
      <c r="DJ426" s="35">
        <v>1</v>
      </c>
      <c r="IC426" s="4"/>
      <c r="IZ426" s="240"/>
      <c r="JA426" s="240"/>
      <c r="JB426" s="240"/>
      <c r="JC426" s="240"/>
    </row>
    <row r="427" spans="1:263" s="240" customFormat="1" ht="15" customHeight="1">
      <c r="A427" s="19">
        <v>102023140</v>
      </c>
      <c r="B427" s="18" t="s">
        <v>4349</v>
      </c>
      <c r="C427"/>
      <c r="D427" s="1"/>
      <c r="E427" s="3"/>
      <c r="F427" s="3"/>
      <c r="G427"/>
      <c r="H427"/>
      <c r="I427"/>
      <c r="J427" s="18" t="s">
        <v>554</v>
      </c>
      <c r="K427" s="18" t="s">
        <v>1078</v>
      </c>
      <c r="L427" s="130" t="s">
        <v>857</v>
      </c>
      <c r="M427" s="130" t="s">
        <v>256</v>
      </c>
      <c r="N427" s="130"/>
      <c r="O427" s="288"/>
      <c r="P427" s="130" t="s">
        <v>1078</v>
      </c>
      <c r="Q427" s="130" t="s">
        <v>1113</v>
      </c>
      <c r="R427" s="130" t="s">
        <v>326</v>
      </c>
      <c r="S427" s="130"/>
      <c r="T427"/>
      <c r="U427"/>
      <c r="V427"/>
      <c r="W427"/>
      <c r="X427"/>
      <c r="Y427"/>
      <c r="Z427"/>
      <c r="AA427"/>
      <c r="AB427"/>
      <c r="AC427"/>
      <c r="AD427"/>
      <c r="AE427"/>
      <c r="AF427"/>
      <c r="AG427" s="43" t="s">
        <v>4537</v>
      </c>
      <c r="AH427"/>
      <c r="AI427"/>
      <c r="AJ427" s="18" t="s">
        <v>4497</v>
      </c>
      <c r="AK427" t="s">
        <v>258</v>
      </c>
      <c r="AL427" s="18" t="s">
        <v>386</v>
      </c>
      <c r="AM427" t="s">
        <v>260</v>
      </c>
      <c r="AN427"/>
      <c r="AO427" s="18" t="s">
        <v>4498</v>
      </c>
      <c r="AP427" s="3"/>
      <c r="AQ427" s="18" t="s">
        <v>386</v>
      </c>
      <c r="AR427"/>
      <c r="AS427"/>
      <c r="AT427"/>
      <c r="AU427"/>
      <c r="AV427"/>
      <c r="AW427"/>
      <c r="AX427" s="1"/>
      <c r="AY427" s="1"/>
      <c r="AZ427" s="1"/>
      <c r="BA427" s="1"/>
      <c r="BB427" s="1"/>
      <c r="BC427" s="2"/>
      <c r="BD427" s="116"/>
      <c r="BE427" s="115"/>
      <c r="BF427" s="2"/>
      <c r="BG427" s="2"/>
      <c r="BH427" s="2"/>
      <c r="BI427" s="2"/>
      <c r="BJ427" s="2"/>
      <c r="BK427" s="2"/>
      <c r="BL427" s="20">
        <f ca="1">SUM(DP427)+220</f>
        <v>870.4</v>
      </c>
      <c r="BM427" s="22">
        <f ca="1">PMT(10%/12,12,BL427,0,0)</f>
        <v>-76.521988245000344</v>
      </c>
      <c r="BN427" s="22">
        <f ca="1">SUM(BM427*-1)</f>
        <v>76.521988245000344</v>
      </c>
      <c r="BO427" s="14">
        <f>SUM(DX427*0.0052)/12</f>
        <v>22.966666666666665</v>
      </c>
      <c r="BP427" s="22">
        <f ca="1">SUM(BN427+BO427)</f>
        <v>99.488654911667012</v>
      </c>
      <c r="BQ427" s="14"/>
      <c r="BR427" s="14">
        <f>SUM(BQ427*0.1)</f>
        <v>0</v>
      </c>
      <c r="BS427" s="14">
        <f ca="1">SUM(BT427*BU427)</f>
        <v>0</v>
      </c>
      <c r="BT427" s="17">
        <f>SUM((BQ427+BR427)*0.00833333333333333)</f>
        <v>0</v>
      </c>
      <c r="BU427" s="23">
        <f ca="1">MONTH(TODAY())+49</f>
        <v>53</v>
      </c>
      <c r="BV427" s="14">
        <f ca="1">SUM(BQ427,BR427,BS427)</f>
        <v>0</v>
      </c>
      <c r="BW427" s="14"/>
      <c r="BX427" s="14">
        <f>SUM(BW427*0.1)</f>
        <v>0</v>
      </c>
      <c r="BY427" s="14">
        <f ca="1">SUM(BZ427*CA427)</f>
        <v>0</v>
      </c>
      <c r="BZ427" s="17">
        <f>SUM((BW427+BX427)*0.00833333333333333)</f>
        <v>0</v>
      </c>
      <c r="CA427" s="23">
        <f ca="1">MONTH(TODAY())+37</f>
        <v>41</v>
      </c>
      <c r="CB427" s="14">
        <f ca="1">SUM(BW427,BX427,BY427)</f>
        <v>0</v>
      </c>
      <c r="CC427" s="14">
        <v>0</v>
      </c>
      <c r="CD427" s="14">
        <f>SUM(CC427*0.1)</f>
        <v>0</v>
      </c>
      <c r="CE427" s="14">
        <f ca="1">SUM(CF427*CG427)</f>
        <v>0</v>
      </c>
      <c r="CF427" s="17">
        <f>SUM((CC427+CD427)*0.00833333333333333)</f>
        <v>0</v>
      </c>
      <c r="CG427" s="23">
        <f ca="1">MONTH(TODAY())+25</f>
        <v>29</v>
      </c>
      <c r="CH427" s="14">
        <f ca="1">SUM(CC427,CD427,CE427)</f>
        <v>0</v>
      </c>
      <c r="CI427" s="14">
        <f>SUM(DU427*0.0052)</f>
        <v>260</v>
      </c>
      <c r="CJ427" s="14">
        <f>SUM(CI427*0.1)</f>
        <v>26</v>
      </c>
      <c r="CK427" s="14">
        <f ca="1">SUM(CL427*CM427)</f>
        <v>40.516666666666652</v>
      </c>
      <c r="CL427" s="17">
        <f>SUM((CI427+CJ427)*0.00833333333333333)</f>
        <v>2.3833333333333324</v>
      </c>
      <c r="CM427" s="23">
        <f ca="1">MONTH(TODAY())+13</f>
        <v>17</v>
      </c>
      <c r="CN427" s="14">
        <f ca="1">SUM(CI427,CJ427,CK427)</f>
        <v>326.51666666666665</v>
      </c>
      <c r="CO427" s="14">
        <f>SUM(DU427*0.0052)/2</f>
        <v>130</v>
      </c>
      <c r="CP427" s="14">
        <f>SUM(CO427*0.1)</f>
        <v>13</v>
      </c>
      <c r="CQ427" s="14">
        <f ca="1">SUM(CR427*CS427)</f>
        <v>10.724999999999996</v>
      </c>
      <c r="CR427" s="17">
        <f>SUM((CO427+CP427)*0.00833333333333333)</f>
        <v>1.1916666666666662</v>
      </c>
      <c r="CS427" s="23">
        <f ca="1">MONTH(TODAY())+5</f>
        <v>9</v>
      </c>
      <c r="CT427" s="23">
        <f ca="1">SUM(CO427,CP427,CQ427)</f>
        <v>153.72499999999999</v>
      </c>
      <c r="CU427" s="14">
        <f>SUM(DU427*0.0052)/2</f>
        <v>130</v>
      </c>
      <c r="CV427" s="14">
        <f>SUM(CU427*0.1)</f>
        <v>13</v>
      </c>
      <c r="CW427" s="14">
        <f ca="1">SUM(CX427*CY427)</f>
        <v>5.9583333333333313</v>
      </c>
      <c r="CX427" s="17">
        <f>SUM((CU427+CV427)*0.00833333333333333)</f>
        <v>1.1916666666666662</v>
      </c>
      <c r="CY427" s="23">
        <f ca="1">MONTH(TODAY())+1</f>
        <v>5</v>
      </c>
      <c r="CZ427" s="23">
        <f ca="1">SUM(CU427,CV427,CW427)</f>
        <v>148.95833333333334</v>
      </c>
      <c r="DA427" s="14">
        <f>SUM( BQ427, BW427, CC427, CI427, CO427,CU427)</f>
        <v>520</v>
      </c>
      <c r="DB427" s="14">
        <f>SUM(BR427,BX427,CD427,CJ427, CP427,CV427)</f>
        <v>52</v>
      </c>
      <c r="DC427" s="14">
        <f ca="1">SUM(BS427,BY427,CE427,CK427, CQ427,CW427)</f>
        <v>57.199999999999974</v>
      </c>
      <c r="DD427" s="25">
        <f ca="1">SUM(DA427:DC427)</f>
        <v>629.19999999999993</v>
      </c>
      <c r="DE427" s="47">
        <f ca="1">SUM(DD427/DU427)</f>
        <v>1.2583999999999998E-2</v>
      </c>
      <c r="DF427" s="14">
        <v>20</v>
      </c>
      <c r="DG427" s="32">
        <f>COUNTIF(DL427, "*")+COUNTIF(AO427, "*")+COUNTIF(AJ427, "*")+COUNTIF(AA427, "*")+COUNTIF(EM427, "*")+COUNTIF(ES427, "*")+COUNTIF(EY427, "*")+COUNTIF(FC427, "*")+COUNTIF(FJ427, "*")+COUNTIF(AT427, "*")+COUNTIF(FS427, "*")+COUNTIF(GD427, "*")+COUNTIF(GO427, "*")+COUNTIF(GW427, "*")+COUNTIF(HE427, "*")+COUNTIF(HM427, "*")+COUNTIF(HU427, "*")</f>
        <v>2</v>
      </c>
      <c r="DH427" s="14">
        <f>DG427*0.6</f>
        <v>1.2</v>
      </c>
      <c r="DI427" s="4"/>
      <c r="DJ427" s="4"/>
      <c r="DK427" s="4"/>
      <c r="DL427" s="4"/>
      <c r="DM427"/>
      <c r="DN427" s="4"/>
      <c r="DO427" s="14">
        <f>SUM(DJ427:DN427)</f>
        <v>0</v>
      </c>
      <c r="DP427" s="14">
        <f ca="1">SUM(DD427,DF427,DO427, DI427, DH427,FP427)</f>
        <v>650.4</v>
      </c>
      <c r="DQ427" s="24" t="s">
        <v>3879</v>
      </c>
      <c r="DR427" s="130">
        <v>5.78</v>
      </c>
      <c r="DS427" s="14">
        <v>39500</v>
      </c>
      <c r="DT427" s="14">
        <v>10500</v>
      </c>
      <c r="DU427" s="14">
        <v>50000</v>
      </c>
      <c r="DV427" s="14">
        <v>41300</v>
      </c>
      <c r="DW427" s="14">
        <v>11700</v>
      </c>
      <c r="DX427" s="14">
        <f>SUM(DV427+DW427)</f>
        <v>53000</v>
      </c>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s="9"/>
      <c r="IB427"/>
      <c r="IC427"/>
      <c r="ID427"/>
      <c r="IE427"/>
      <c r="IF427"/>
      <c r="IG427"/>
      <c r="IH427"/>
      <c r="II427"/>
      <c r="IJ427"/>
      <c r="IK427"/>
      <c r="IL427" s="14">
        <f ca="1">SUM(IB427-DP427-FP427-IJ427)</f>
        <v>-650.4</v>
      </c>
      <c r="IM427" s="9"/>
      <c r="IN427" s="9"/>
      <c r="IO427" s="9"/>
      <c r="IP427" s="9"/>
      <c r="IQ427" s="9"/>
      <c r="IR427"/>
      <c r="IS427"/>
      <c r="IT427"/>
      <c r="IU427"/>
      <c r="IV427"/>
      <c r="IW427"/>
      <c r="IX427"/>
      <c r="IY427"/>
      <c r="IZ427"/>
      <c r="JA427"/>
      <c r="JB427"/>
      <c r="JC427"/>
    </row>
    <row r="428" spans="1:263" ht="15" customHeight="1">
      <c r="A428" s="19">
        <v>102021078</v>
      </c>
      <c r="B428" s="18" t="s">
        <v>2565</v>
      </c>
      <c r="C428" s="18"/>
      <c r="D428" s="13">
        <v>2023</v>
      </c>
      <c r="E428" s="18"/>
      <c r="F428" s="18"/>
      <c r="G428" s="18"/>
      <c r="H428" s="18"/>
      <c r="I428" s="18"/>
      <c r="J428" s="18"/>
      <c r="K428" s="18" t="s">
        <v>2566</v>
      </c>
      <c r="L428" s="18"/>
      <c r="M428" s="18"/>
      <c r="N428" s="18"/>
      <c r="O428" s="18"/>
      <c r="P428" s="18"/>
      <c r="Q428" s="18"/>
      <c r="R428" s="18"/>
      <c r="S428" s="18"/>
      <c r="T428" s="18"/>
      <c r="U428" s="18"/>
      <c r="V428" s="18"/>
      <c r="W428" s="18"/>
      <c r="X428" s="18"/>
      <c r="Y428" s="18"/>
      <c r="Z428" s="18" t="s">
        <v>700</v>
      </c>
      <c r="AA428" s="18" t="s">
        <v>701</v>
      </c>
      <c r="AB428" s="18" t="s">
        <v>274</v>
      </c>
      <c r="AC428" s="18" t="s">
        <v>275</v>
      </c>
      <c r="AD428" s="18"/>
      <c r="AE428" s="18"/>
      <c r="AF428" s="18"/>
      <c r="AG428" s="231"/>
      <c r="AH428" s="18"/>
      <c r="AI428" s="18"/>
      <c r="AJ428" s="18" t="s">
        <v>328</v>
      </c>
      <c r="AK428" s="18"/>
      <c r="AL428" s="24" t="s">
        <v>386</v>
      </c>
      <c r="AM428" s="24"/>
      <c r="AN428" s="24"/>
      <c r="AO428" s="18" t="s">
        <v>2567</v>
      </c>
      <c r="AP428" s="13" t="s">
        <v>258</v>
      </c>
      <c r="AQ428" s="24" t="s">
        <v>2568</v>
      </c>
      <c r="AR428" s="24"/>
      <c r="AS428" s="13"/>
      <c r="AT428" s="13"/>
      <c r="AU428" s="13"/>
      <c r="AV428" s="13"/>
      <c r="AW428" s="13"/>
      <c r="AX428" s="19"/>
      <c r="AY428" s="19"/>
      <c r="AZ428" s="48"/>
      <c r="BA428" s="19"/>
      <c r="BB428" s="19"/>
      <c r="BC428" s="19"/>
      <c r="BD428" s="19"/>
      <c r="BE428" s="19"/>
      <c r="BF428" s="19"/>
      <c r="BG428" s="20"/>
      <c r="BH428" s="22"/>
      <c r="BI428" s="22"/>
      <c r="BJ428" s="14"/>
      <c r="BK428" s="22"/>
      <c r="BL428" s="14"/>
      <c r="BM428" s="14"/>
      <c r="BN428" s="14"/>
      <c r="BO428" s="17"/>
      <c r="BP428" s="23"/>
      <c r="BQ428" s="14"/>
      <c r="BR428" s="14"/>
      <c r="BS428" s="14"/>
      <c r="BT428" s="14"/>
      <c r="BU428" s="17"/>
      <c r="BV428" s="23"/>
      <c r="BW428" s="14"/>
      <c r="BX428" s="14"/>
      <c r="BY428" s="14"/>
      <c r="BZ428" s="14"/>
      <c r="CA428" s="17"/>
      <c r="CB428" s="23"/>
      <c r="CC428" s="14"/>
      <c r="CD428" s="14"/>
      <c r="CE428" s="14"/>
      <c r="CF428" s="14"/>
      <c r="CG428" s="17"/>
      <c r="CH428" s="23"/>
      <c r="CI428" s="14"/>
      <c r="CJ428" s="14"/>
      <c r="CK428" s="14"/>
      <c r="CL428" s="14"/>
      <c r="CM428" s="17"/>
      <c r="CN428" s="23"/>
      <c r="CO428" s="14"/>
      <c r="CP428" s="14"/>
      <c r="CQ428" s="14"/>
      <c r="CR428" s="14"/>
      <c r="CS428" s="14"/>
      <c r="CT428" s="47"/>
      <c r="CU428" s="14"/>
      <c r="CV428" s="32"/>
      <c r="CW428" s="14"/>
      <c r="CX428" s="14"/>
      <c r="CY428" s="14"/>
      <c r="CZ428" s="14"/>
      <c r="DA428" s="14"/>
      <c r="DB428" s="14"/>
      <c r="DC428" s="23"/>
      <c r="DD428" s="25"/>
      <c r="DE428" s="14"/>
      <c r="DF428" s="24"/>
      <c r="DG428" s="25"/>
      <c r="DH428" s="25"/>
      <c r="DI428" s="25"/>
      <c r="DJ428" s="36">
        <v>0.16</v>
      </c>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4"/>
      <c r="ID428" s="18"/>
      <c r="IE428" s="18"/>
      <c r="IF428" s="18"/>
      <c r="IG428" s="18"/>
      <c r="IH428" s="18"/>
    </row>
    <row r="429" spans="1:263" s="18" customFormat="1" ht="15" customHeight="1">
      <c r="A429" s="18">
        <v>102023098</v>
      </c>
      <c r="B429" s="18" t="s">
        <v>4310</v>
      </c>
      <c r="C429" s="10"/>
      <c r="D429" s="159"/>
      <c r="E429" s="147"/>
      <c r="F429" s="160"/>
      <c r="G429" s="147">
        <v>230001438</v>
      </c>
      <c r="H429" s="10"/>
      <c r="I429" s="10"/>
      <c r="J429" s="28" t="s">
        <v>311</v>
      </c>
      <c r="K429" s="28" t="s">
        <v>1236</v>
      </c>
      <c r="L429" s="28" t="s">
        <v>1355</v>
      </c>
      <c r="M429" s="28" t="s">
        <v>537</v>
      </c>
      <c r="N429" s="28" t="s">
        <v>470</v>
      </c>
      <c r="O429" s="149"/>
      <c r="P429" s="28"/>
      <c r="Q429" s="28"/>
      <c r="R429" s="28"/>
      <c r="S429" s="28"/>
      <c r="T429" s="10"/>
      <c r="U429" s="10"/>
      <c r="V429" s="10"/>
      <c r="W429" s="10"/>
      <c r="X429" s="10"/>
      <c r="Y429" s="10"/>
      <c r="Z429" s="10"/>
      <c r="AA429" s="10"/>
      <c r="AB429" s="10"/>
      <c r="AC429" s="10"/>
      <c r="AD429" s="10"/>
      <c r="AE429" s="10"/>
      <c r="AF429" s="10"/>
      <c r="AG429" s="141" t="s">
        <v>4547</v>
      </c>
      <c r="AH429" s="10"/>
      <c r="AI429" s="10"/>
      <c r="AJ429" s="18" t="s">
        <v>4390</v>
      </c>
      <c r="AK429" t="s">
        <v>258</v>
      </c>
      <c r="AL429" s="18" t="s">
        <v>386</v>
      </c>
      <c r="AM429" t="s">
        <v>260</v>
      </c>
      <c r="AN429"/>
      <c r="AO429" s="18" t="s">
        <v>4391</v>
      </c>
      <c r="AP429" s="3" t="s">
        <v>258</v>
      </c>
      <c r="AQ429" s="18" t="s">
        <v>290</v>
      </c>
      <c r="AR429" s="18" t="s">
        <v>268</v>
      </c>
      <c r="AS429"/>
      <c r="AT429"/>
      <c r="AU429"/>
      <c r="AV429"/>
      <c r="AW429" s="1"/>
      <c r="AX429"/>
      <c r="AY429" s="1"/>
      <c r="AZ429" s="1"/>
      <c r="BA429" s="1"/>
      <c r="BB429" s="1"/>
      <c r="BC429" s="70"/>
      <c r="BD429" s="115"/>
      <c r="BE429" s="144"/>
      <c r="BF429" s="70"/>
      <c r="BG429" s="2"/>
      <c r="BH429" s="70"/>
      <c r="BI429" s="70"/>
      <c r="BJ429" s="70"/>
      <c r="BK429" s="70"/>
      <c r="BL429" s="20">
        <f ca="1">SUM(EH429)+220</f>
        <v>936.21785</v>
      </c>
      <c r="BM429" s="22">
        <f ca="1">PMT(10%/12,12,BL429,0,0)</f>
        <v>-82.308422923322041</v>
      </c>
      <c r="BN429" s="22">
        <f ca="1">SUM(BM429*-1)</f>
        <v>82.308422923322041</v>
      </c>
      <c r="BO429" s="14">
        <f>SUM(EP429*0.0052)/12</f>
        <v>26.26</v>
      </c>
      <c r="BP429" s="22">
        <f ca="1">SUM(BN429+BO429)</f>
        <v>108.56842292332205</v>
      </c>
      <c r="BQ429" s="14"/>
      <c r="BR429" s="14">
        <f>SUM(BQ429*0.1)</f>
        <v>0</v>
      </c>
      <c r="BS429" s="14">
        <f ca="1">SUM(BT429*BU429)</f>
        <v>0</v>
      </c>
      <c r="BT429" s="17">
        <f>SUM((BQ429+BR429)*0.00833333333333333)</f>
        <v>0</v>
      </c>
      <c r="BU429" s="23">
        <f ca="1">MONTH(TODAY())+49</f>
        <v>53</v>
      </c>
      <c r="BV429" s="14">
        <f ca="1">SUM(BQ429,BR429,BS429)</f>
        <v>0</v>
      </c>
      <c r="BW429" s="14">
        <v>0</v>
      </c>
      <c r="BX429" s="14">
        <f>SUM(BW429*0.1)</f>
        <v>0</v>
      </c>
      <c r="BY429" s="14">
        <f ca="1">SUM(BZ429*CA429)</f>
        <v>0</v>
      </c>
      <c r="BZ429" s="17">
        <f>SUM((BW429+BX429)*0.00833333333333333)</f>
        <v>0</v>
      </c>
      <c r="CA429" s="23">
        <f ca="1">MONTH(TODAY())+37</f>
        <v>41</v>
      </c>
      <c r="CB429" s="14">
        <f ca="1">SUM(BW429,BX429,BY429)</f>
        <v>0</v>
      </c>
      <c r="CC429" s="14">
        <v>0</v>
      </c>
      <c r="CD429" s="14">
        <f>SUM(CC429*0.1)</f>
        <v>0</v>
      </c>
      <c r="CE429" s="14">
        <f ca="1">SUM(CF429*CG429)</f>
        <v>0</v>
      </c>
      <c r="CF429" s="17">
        <f>SUM((CC429+CD429)*0.00833333333333333)</f>
        <v>0</v>
      </c>
      <c r="CG429" s="23">
        <f ca="1">MONTH(TODAY())+25</f>
        <v>29</v>
      </c>
      <c r="CH429" s="14">
        <f ca="1">SUM(CC429,CD429,CE429)</f>
        <v>0</v>
      </c>
      <c r="CI429" s="14">
        <v>0</v>
      </c>
      <c r="CJ429" s="14">
        <f>SUM(CI429*0.1)</f>
        <v>0</v>
      </c>
      <c r="CK429" s="14">
        <f ca="1">SUM(CL429*CM429)</f>
        <v>0</v>
      </c>
      <c r="CL429" s="17">
        <f>SUM((CI429+CJ429)*0.00833333333333333)</f>
        <v>0</v>
      </c>
      <c r="CM429" s="23">
        <f ca="1">MONTH(TODAY())+17</f>
        <v>21</v>
      </c>
      <c r="CN429" s="23">
        <f ca="1">SUM(CI429,CJ429,CK429)</f>
        <v>0</v>
      </c>
      <c r="CO429" s="14">
        <f>SUM(EM429*0.0052)/2-63.76</f>
        <v>140.86000000000001</v>
      </c>
      <c r="CP429" s="14">
        <f>SUM(CO429*0.1)</f>
        <v>14.086000000000002</v>
      </c>
      <c r="CQ429" s="14">
        <f ca="1">SUM(CR429*CS429)</f>
        <v>21.950683333333327</v>
      </c>
      <c r="CR429" s="17">
        <f>SUM((CO429+CP429)*0.00833333333333333)</f>
        <v>1.2912166666666662</v>
      </c>
      <c r="CS429" s="23">
        <f ca="1">MONTH(TODAY())+13</f>
        <v>17</v>
      </c>
      <c r="CT429" s="14">
        <f ca="1">SUM(CO429,CP429,CQ429)</f>
        <v>176.89668333333336</v>
      </c>
      <c r="CU429" s="14">
        <f>SUM(EP429*0.0045)/2-76.19</f>
        <v>60.16</v>
      </c>
      <c r="CV429" s="14">
        <f>SUM(CU429*0.1)</f>
        <v>6.016</v>
      </c>
      <c r="CW429" s="14">
        <f ca="1">SUM(CX429*CY429)</f>
        <v>6.0661333333333305</v>
      </c>
      <c r="CX429" s="17">
        <f>SUM((CU429+CV429)*0.00833333333333333)</f>
        <v>0.55146666666666644</v>
      </c>
      <c r="CY429" s="23">
        <f ca="1">MONTH(TODAY())+7</f>
        <v>11</v>
      </c>
      <c r="CZ429" s="14">
        <f ca="1">SUM(CU429,CV429,CW429)</f>
        <v>72.242133333333328</v>
      </c>
      <c r="DA429" s="14">
        <f>SUM(EP429*0.0045)/2-52.52</f>
        <v>83.829999999999984</v>
      </c>
      <c r="DB429" s="14">
        <f>SUM(DA429*0.1)</f>
        <v>8.3829999999999991</v>
      </c>
      <c r="DC429" s="14">
        <f ca="1">SUM(DD429*DE429)</f>
        <v>3.8422083333333306</v>
      </c>
      <c r="DD429" s="17">
        <f>SUM((DA429+DB429)*0.00833333333333333)</f>
        <v>0.76844166666666613</v>
      </c>
      <c r="DE429" s="23">
        <f ca="1">MONTH(TODAY())+1</f>
        <v>5</v>
      </c>
      <c r="DF429" s="14">
        <f ca="1">SUM(DA429,DB429,DC429)</f>
        <v>96.055208333333312</v>
      </c>
      <c r="DG429" s="14">
        <f>SUM(EP429*0.0045)/2-78.78</f>
        <v>57.569999999999993</v>
      </c>
      <c r="DH429" s="14">
        <f>SUM(DG429*0.1)</f>
        <v>5.7569999999999997</v>
      </c>
      <c r="DI429" s="14">
        <f ca="1">SUM(DJ429*DK429)</f>
        <v>-1.5831749999999989</v>
      </c>
      <c r="DJ429" s="17">
        <f>SUM((DG429+DH429)*0.00833333333333333)</f>
        <v>0.52772499999999967</v>
      </c>
      <c r="DK429" s="23">
        <f ca="1">MONTH(TODAY())-7</f>
        <v>-3</v>
      </c>
      <c r="DL429" s="14">
        <f ca="1">SUM(DG429,DH429,DI429)</f>
        <v>61.743824999999994</v>
      </c>
      <c r="DM429" s="14">
        <f>0</f>
        <v>0</v>
      </c>
      <c r="DN429" s="14">
        <f>0</f>
        <v>0</v>
      </c>
      <c r="DO429" s="14">
        <f ca="1">SUM(DP429*DQ429)</f>
        <v>0</v>
      </c>
      <c r="DP429" s="17">
        <f>SUM((DM429+DN429)*0.00833333333333333)</f>
        <v>0</v>
      </c>
      <c r="DQ429" s="23">
        <f ca="1">MONTH(TODAY())+1</f>
        <v>5</v>
      </c>
      <c r="DR429" s="14">
        <f ca="1">SUM(DM429,DN429,DO429)</f>
        <v>0</v>
      </c>
      <c r="DS429" s="14">
        <f>SUM(BQ429, BW429, CC429, CI429,CO429,CU429,DA429,DG429,DM429)</f>
        <v>342.42</v>
      </c>
      <c r="DT429" s="14">
        <f>SUM(BR429,BX429,CD429, CJ429,CP429,CV429,DB429,DH429,DN429)</f>
        <v>34.242000000000004</v>
      </c>
      <c r="DU429" s="14">
        <f ca="1">SUM(BS429,BY429,CE429, CK429,CQ429,CW429,DC429,DI429,DO429)</f>
        <v>30.275849999999991</v>
      </c>
      <c r="DV429" s="25">
        <f ca="1">SUM(DS429:DU429)</f>
        <v>406.93785000000003</v>
      </c>
      <c r="DW429" s="47">
        <f ca="1">SUM(DV429/EM429)</f>
        <v>5.1707477763659471E-3</v>
      </c>
      <c r="DX429" s="14">
        <f>20+60+160+60</f>
        <v>300</v>
      </c>
      <c r="DY429" s="32">
        <f>COUNTIF(AO429, "*")+COUNTIF(AJ429, "*")+COUNTIF(AA429, "*")+COUNTIF(FA429, "*")+COUNTIF(FG429, "*")+COUNTIF(FM429, "*")+COUNTIF(FQ429, "*")+COUNTIF(FX429, "*")+COUNTIF(AS429, "*")+COUNTIF(GG429, "*")+COUNTIF(GR429, "*")+COUNTIF(HC429, "*")+COUNTIF(HK429, "*")+COUNTIF(HS429, "*")+COUNTIF(IA429, "*")</f>
        <v>2</v>
      </c>
      <c r="DZ429" s="14">
        <f>DY429*0.64+7.36+0.64</f>
        <v>9.2800000000000011</v>
      </c>
      <c r="EA429" s="4"/>
      <c r="EB429" s="4"/>
      <c r="EC429" s="4"/>
      <c r="ED429" s="4"/>
      <c r="EE429" s="4"/>
      <c r="EF429" s="4"/>
      <c r="EG429" s="14">
        <f>SUM(EA429:EF429)</f>
        <v>0</v>
      </c>
      <c r="EH429" s="14">
        <f ca="1">SUM(DV429,DX429,EG429, EB429, DZ429,GD429)</f>
        <v>716.21785</v>
      </c>
      <c r="EI429" s="24" t="s">
        <v>4935</v>
      </c>
      <c r="EJ429" s="23">
        <v>2.46</v>
      </c>
      <c r="EK429" s="14">
        <v>27300</v>
      </c>
      <c r="EL429" s="14">
        <v>51400</v>
      </c>
      <c r="EM429" s="14">
        <f>SUM(EK429+EL429)</f>
        <v>78700</v>
      </c>
      <c r="EN429" s="14">
        <v>29300</v>
      </c>
      <c r="EO429" s="14">
        <v>31300</v>
      </c>
      <c r="EP429" s="14">
        <f>SUM(EN429+EO429)</f>
        <v>60600</v>
      </c>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9"/>
      <c r="FV429" s="10"/>
      <c r="FW429" s="10"/>
      <c r="FX429" s="10"/>
      <c r="FY429" s="10"/>
      <c r="FZ429" s="10"/>
      <c r="GA429" s="10"/>
      <c r="GB429" s="9"/>
      <c r="GC429" s="10"/>
      <c r="GD429" s="10"/>
      <c r="GE429" s="10"/>
      <c r="GF429" s="10"/>
      <c r="GG429" s="10"/>
      <c r="GH429" s="10"/>
      <c r="GI429" s="10"/>
      <c r="GJ429" s="10"/>
      <c r="GK429" s="9"/>
      <c r="GL429" s="10"/>
      <c r="GM429" s="10"/>
      <c r="GN429" s="10"/>
      <c r="GO429" s="10"/>
      <c r="GP429" s="10"/>
      <c r="GQ429" s="10"/>
      <c r="GR429" s="10"/>
      <c r="GS429" s="10"/>
      <c r="GT429" s="10"/>
      <c r="GU429" s="10"/>
      <c r="GV429" s="9"/>
      <c r="GW429" s="10"/>
      <c r="GX429" s="10"/>
      <c r="GY429" s="10"/>
      <c r="GZ429" s="10"/>
      <c r="HA429" s="10"/>
      <c r="HB429" s="10"/>
      <c r="HC429" s="10"/>
      <c r="HD429" s="10"/>
      <c r="HE429" s="10"/>
      <c r="HF429" s="10"/>
      <c r="HG429" s="9"/>
      <c r="HH429" s="10"/>
      <c r="HI429" s="10"/>
      <c r="HJ429" s="10"/>
      <c r="HK429" s="10"/>
      <c r="HL429" s="10"/>
      <c r="HM429" s="10"/>
      <c r="HN429" s="10"/>
      <c r="HO429" s="9"/>
      <c r="HP429" s="10"/>
      <c r="HQ429" s="10"/>
      <c r="HR429" s="10"/>
      <c r="HS429" s="10"/>
      <c r="HT429" s="10"/>
      <c r="HU429" s="10"/>
      <c r="HV429" s="10"/>
      <c r="HW429" s="9"/>
      <c r="HX429" s="10"/>
      <c r="HY429" s="10"/>
      <c r="HZ429" s="10"/>
      <c r="IA429" s="10"/>
      <c r="IB429" s="10"/>
      <c r="IC429" s="10"/>
      <c r="ID429" s="10"/>
      <c r="IE429" s="9"/>
      <c r="IF429" s="4"/>
      <c r="IG429" s="4"/>
      <c r="IH429" s="10"/>
      <c r="II429" s="10"/>
      <c r="IJ429" s="10"/>
      <c r="IK429" s="10"/>
      <c r="IL429" s="4"/>
      <c r="IM429" s="4"/>
      <c r="IN429" s="4"/>
      <c r="IO429" s="4"/>
      <c r="IP429" s="4"/>
      <c r="IQ429" s="9"/>
      <c r="IR429" s="9"/>
      <c r="IS429" s="9"/>
      <c r="IT429" s="27">
        <f ca="1">SUM(IJ429-EH429-GH429-IR429)</f>
        <v>-716.21785</v>
      </c>
      <c r="IU429" s="9"/>
      <c r="IV429" s="27" t="s">
        <v>5913</v>
      </c>
      <c r="IW429"/>
      <c r="IX429"/>
      <c r="IY429"/>
      <c r="IZ429"/>
      <c r="JA429"/>
      <c r="JB429"/>
      <c r="JC429"/>
    </row>
    <row r="430" spans="1:263" ht="15" customHeight="1">
      <c r="A430" s="2">
        <v>102024095</v>
      </c>
      <c r="B430" t="s">
        <v>5397</v>
      </c>
      <c r="C430" s="10"/>
      <c r="D430" s="161"/>
      <c r="E430" s="147" t="s">
        <v>5903</v>
      </c>
      <c r="F430" s="160">
        <v>240003253</v>
      </c>
      <c r="G430" s="147"/>
      <c r="H430" s="10"/>
      <c r="I430" s="10"/>
      <c r="J430" s="10" t="s">
        <v>311</v>
      </c>
      <c r="K430" s="10" t="s">
        <v>617</v>
      </c>
      <c r="L430" s="10" t="s">
        <v>741</v>
      </c>
      <c r="M430" s="10" t="s">
        <v>537</v>
      </c>
      <c r="N430" s="10"/>
      <c r="O430" s="147"/>
      <c r="P430" s="10"/>
      <c r="Q430" s="10"/>
      <c r="R430" s="10"/>
      <c r="S430" s="10"/>
      <c r="T430" s="10"/>
      <c r="U430" s="10"/>
      <c r="V430" s="10"/>
      <c r="W430" s="10"/>
      <c r="X430" s="10"/>
      <c r="Y430" s="10"/>
      <c r="Z430" s="10"/>
      <c r="AA430" s="10"/>
      <c r="AB430" s="10"/>
      <c r="AC430" s="10"/>
      <c r="AD430" s="10"/>
      <c r="AE430" s="10"/>
      <c r="AF430" s="10"/>
      <c r="AG430" s="141"/>
      <c r="AH430" s="10"/>
      <c r="AI430" s="10"/>
      <c r="AK430" s="1"/>
      <c r="AM430"/>
      <c r="AN430"/>
      <c r="AO430" t="s">
        <v>5398</v>
      </c>
      <c r="AP430" s="1" t="s">
        <v>258</v>
      </c>
      <c r="AQ430" s="18" t="s">
        <v>386</v>
      </c>
      <c r="AR430" t="s">
        <v>260</v>
      </c>
      <c r="AW430" s="1"/>
      <c r="AY430" s="1"/>
      <c r="AZ430" s="1" t="s">
        <v>258</v>
      </c>
      <c r="BA430" s="1" t="s">
        <v>258</v>
      </c>
      <c r="BB430" s="1" t="s">
        <v>258</v>
      </c>
      <c r="BC430" s="70">
        <v>45476</v>
      </c>
      <c r="BD430" s="115">
        <v>45415</v>
      </c>
      <c r="BE430" s="144">
        <v>45440</v>
      </c>
      <c r="BF430" s="70">
        <v>45576</v>
      </c>
      <c r="BG430" s="2" t="s">
        <v>5916</v>
      </c>
      <c r="BH430" s="70">
        <v>45562</v>
      </c>
      <c r="BI430" s="70">
        <v>45569</v>
      </c>
      <c r="BJ430" s="70">
        <v>45545</v>
      </c>
      <c r="BK430" s="70" t="s">
        <v>5895</v>
      </c>
      <c r="BL430" s="20">
        <f ca="1">SUM(EB430)+220</f>
        <v>2781.7905833333334</v>
      </c>
      <c r="BM430" s="22">
        <f ca="1">PMT(10%/12,12,BL430,0,0)</f>
        <v>-244.56358722183595</v>
      </c>
      <c r="BN430" s="22">
        <f ca="1">SUM(BM430*-1)</f>
        <v>244.56358722183595</v>
      </c>
      <c r="BO430" s="14">
        <f>SUM(EJ430*0.0052)/12</f>
        <v>12.87</v>
      </c>
      <c r="BP430" s="22">
        <f ca="1">SUM(BN430+BO430)</f>
        <v>257.43358722183592</v>
      </c>
      <c r="BQ430" s="14">
        <v>0</v>
      </c>
      <c r="BR430" s="14">
        <f>SUM(BQ430*0.1)</f>
        <v>0</v>
      </c>
      <c r="BS430" s="14">
        <f ca="1">SUM(BT430*BU430)</f>
        <v>0</v>
      </c>
      <c r="BT430" s="17">
        <f>SUM((BQ430+BR430)*0.00833333333333333)</f>
        <v>0</v>
      </c>
      <c r="BU430" s="23">
        <f ca="1">MONTH(TODAY())+37</f>
        <v>41</v>
      </c>
      <c r="BV430" s="14">
        <f ca="1">SUM(BQ430,BR430,BS430)</f>
        <v>0</v>
      </c>
      <c r="BW430" s="14">
        <v>0</v>
      </c>
      <c r="BX430" s="14">
        <f>SUM(BW430*0.1)</f>
        <v>0</v>
      </c>
      <c r="BY430" s="14">
        <f ca="1">SUM(BZ430*CA430)</f>
        <v>0</v>
      </c>
      <c r="BZ430" s="17">
        <f>SUM((BW430+BX430)*0.00833333333333333)</f>
        <v>0</v>
      </c>
      <c r="CA430" s="23">
        <f ca="1">MONTH(TODAY())+37</f>
        <v>41</v>
      </c>
      <c r="CB430" s="14">
        <f ca="1">SUM(BW430,BX430,BY430)</f>
        <v>0</v>
      </c>
      <c r="CC430" s="14">
        <v>0</v>
      </c>
      <c r="CD430" s="14">
        <f>SUM(CC430*0.1)</f>
        <v>0</v>
      </c>
      <c r="CE430" s="14">
        <f ca="1">SUM(CF430*CG430)</f>
        <v>0</v>
      </c>
      <c r="CF430" s="17">
        <f>SUM((CC430+CD430)*0.00833333333333333)</f>
        <v>0</v>
      </c>
      <c r="CG430" s="23">
        <f ca="1">MONTH(TODAY())+29</f>
        <v>33</v>
      </c>
      <c r="CH430" s="23">
        <f ca="1">SUM(CC430,CD430,CE430)</f>
        <v>0</v>
      </c>
      <c r="CI430" s="14">
        <f>SUM(EG430*0.0052)/2</f>
        <v>71.5</v>
      </c>
      <c r="CJ430" s="14">
        <f>SUM(CI430*0.1)</f>
        <v>7.15</v>
      </c>
      <c r="CK430" s="14">
        <f ca="1">SUM(CL430*CM430)</f>
        <v>19.007083333333327</v>
      </c>
      <c r="CL430" s="17">
        <f>SUM((CI430+CJ430)*0.00833333333333333)</f>
        <v>0.65541666666666643</v>
      </c>
      <c r="CM430" s="23">
        <f ca="1">MONTH(TODAY())+25</f>
        <v>29</v>
      </c>
      <c r="CN430" s="14">
        <f ca="1">SUM(CI430,CJ430,CK430)</f>
        <v>97.657083333333333</v>
      </c>
      <c r="CO430" s="14">
        <f>SUM(EJ430*0.0045)/2</f>
        <v>66.824999999999989</v>
      </c>
      <c r="CP430" s="14">
        <f>SUM(CO430*0.1)</f>
        <v>6.6824999999999992</v>
      </c>
      <c r="CQ430" s="14">
        <f ca="1">SUM(CR430*CS430)</f>
        <v>14.088937499999993</v>
      </c>
      <c r="CR430" s="17">
        <f>SUM((CO430+CP430)*0.00833333333333333)</f>
        <v>0.61256249999999968</v>
      </c>
      <c r="CS430" s="23">
        <f ca="1">MONTH(TODAY())+19</f>
        <v>23</v>
      </c>
      <c r="CT430" s="14">
        <f ca="1">SUM(CO430,CP430,CQ430)</f>
        <v>87.596437499999979</v>
      </c>
      <c r="CU430" s="14">
        <f>SUM(EJ430*0.0045)/2</f>
        <v>66.824999999999989</v>
      </c>
      <c r="CV430" s="14">
        <f>SUM(CU430*0.1)</f>
        <v>6.6824999999999992</v>
      </c>
      <c r="CW430" s="14">
        <f ca="1">SUM(CX430*CY430)</f>
        <v>10.413562499999994</v>
      </c>
      <c r="CX430" s="17">
        <f>SUM((CU430+CV430)*0.00833333333333333)</f>
        <v>0.61256249999999968</v>
      </c>
      <c r="CY430" s="23">
        <f ca="1">MONTH(TODAY())+13</f>
        <v>17</v>
      </c>
      <c r="CZ430" s="14">
        <f ca="1">SUM(CU430,CV430,CW430)</f>
        <v>83.921062499999991</v>
      </c>
      <c r="DA430" s="14">
        <f>SUM(EJ430*0.0045)/2</f>
        <v>66.824999999999989</v>
      </c>
      <c r="DB430" s="14">
        <f>SUM(DA430*0.1)</f>
        <v>6.6824999999999992</v>
      </c>
      <c r="DC430" s="14">
        <f ca="1">SUM(DD430*DE430)</f>
        <v>6.7381874999999969</v>
      </c>
      <c r="DD430" s="17">
        <f>SUM((DA430+DB430)*0.00833333333333333)</f>
        <v>0.61256249999999968</v>
      </c>
      <c r="DE430" s="23">
        <f ca="1">MONTH(TODAY())+7</f>
        <v>11</v>
      </c>
      <c r="DF430" s="14">
        <f ca="1">SUM(DA430,DB430,DC430)</f>
        <v>80.245687499999988</v>
      </c>
      <c r="DG430" s="14">
        <f>SUM(EJ430*0.0045)/2</f>
        <v>66.824999999999989</v>
      </c>
      <c r="DH430" s="14">
        <f>SUM(DG430*0.1)</f>
        <v>6.6824999999999992</v>
      </c>
      <c r="DI430" s="14">
        <f ca="1">SUM(DJ430*DK430)</f>
        <v>3.0628124999999984</v>
      </c>
      <c r="DJ430" s="17">
        <f>SUM((DG430+DH430)*0.00833333333333333)</f>
        <v>0.61256249999999968</v>
      </c>
      <c r="DK430" s="23">
        <f ca="1">MONTH(TODAY())+1</f>
        <v>5</v>
      </c>
      <c r="DL430" s="14">
        <f ca="1">SUM(DG430,DH430,DI430)</f>
        <v>76.570312499999986</v>
      </c>
      <c r="DM430" s="14">
        <f>SUM(BQ430, BW430, CC430,CI430,CO430,CU430,DA430,DG430)</f>
        <v>338.79999999999995</v>
      </c>
      <c r="DN430" s="14">
        <f>SUM(BR430,BX430, CD430,CJ430,CP430,CV430,DB430,DH430)</f>
        <v>33.879999999999995</v>
      </c>
      <c r="DO430" s="14">
        <f ca="1">SUM(BS430,BY430, CE430,CK430,CQ430,CW430,DC430,DI430)</f>
        <v>53.310583333333305</v>
      </c>
      <c r="DP430" s="25">
        <f ca="1">SUM(DM430:DO430)</f>
        <v>425.99058333333323</v>
      </c>
      <c r="DQ430" s="47">
        <f ca="1">SUM(DP430/EG430)</f>
        <v>1.5490566666666664E-2</v>
      </c>
      <c r="DR430" s="14">
        <f>20+10+200+200+40+40+100+100</f>
        <v>710</v>
      </c>
      <c r="DS430" s="32">
        <f>COUNTIF(AO430, "*")+COUNTIF(AJ430, "*")+COUNTIF(AA430, "*")+COUNTIF(EU430, "*")+COUNTIF(FA430, "*")+COUNTIF(FG430, "*")+COUNTIF(FK430, "*")+COUNTIF(FR430, "*")+COUNTIF(AS430, "*")+COUNTIF(GA430, "*")+COUNTIF(GL430, "*")+COUNTIF(GW430, "*")+COUNTIF(HE430, "*")+COUNTIF(HM430, "*")+COUNTIF(HU430, "*")</f>
        <v>2</v>
      </c>
      <c r="DT430" s="14">
        <f>1.28+DS430*8</f>
        <v>17.28</v>
      </c>
      <c r="DU430" s="4">
        <f>926.6+26.67</f>
        <v>953.27</v>
      </c>
      <c r="DV430" s="25">
        <v>261.5</v>
      </c>
      <c r="DW430" s="4">
        <v>93.75</v>
      </c>
      <c r="DX430" s="4"/>
      <c r="DY430" s="14">
        <f>IF(SUM(EE430*0.004)&lt;100, 100, SUM(EE430*0.004))</f>
        <v>100</v>
      </c>
      <c r="DZ430" s="4"/>
      <c r="EA430" s="14">
        <f>SUM(DU430:DZ430)</f>
        <v>1408.52</v>
      </c>
      <c r="EB430" s="14">
        <f ca="1">SUM(DP430,DR430,EA430,DT430,FX430)</f>
        <v>2561.7905833333334</v>
      </c>
      <c r="EC430" s="24" t="s">
        <v>5914</v>
      </c>
      <c r="ED430" s="23">
        <v>1.05</v>
      </c>
      <c r="EE430" s="14">
        <v>20300</v>
      </c>
      <c r="EF430" s="14">
        <v>7200</v>
      </c>
      <c r="EG430" s="14">
        <f>SUM(EE430+EF430)</f>
        <v>27500</v>
      </c>
      <c r="EH430" s="14">
        <v>22300</v>
      </c>
      <c r="EI430" s="14">
        <v>7400</v>
      </c>
      <c r="EJ430" s="14">
        <f>SUM(EH430+EI430)</f>
        <v>29700</v>
      </c>
      <c r="EK430" s="10" t="s">
        <v>5772</v>
      </c>
      <c r="EL430" s="10" t="s">
        <v>5773</v>
      </c>
      <c r="EM430" s="10" t="s">
        <v>5774</v>
      </c>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9"/>
      <c r="FP430" s="10"/>
      <c r="FQ430" s="10"/>
      <c r="FR430" s="10"/>
      <c r="FS430" s="10"/>
      <c r="FT430" s="10"/>
      <c r="FU430" s="10"/>
      <c r="FV430" s="9"/>
      <c r="FW430" s="10"/>
      <c r="FX430" s="10"/>
      <c r="FY430" s="28" t="s">
        <v>382</v>
      </c>
      <c r="FZ430" s="28" t="s">
        <v>383</v>
      </c>
      <c r="GA430" s="28" t="s">
        <v>384</v>
      </c>
      <c r="GB430" s="28" t="s">
        <v>385</v>
      </c>
      <c r="GC430" s="28" t="s">
        <v>386</v>
      </c>
      <c r="GD430" s="28" t="s">
        <v>260</v>
      </c>
      <c r="GE430" s="9">
        <v>45071</v>
      </c>
      <c r="GF430" s="10" t="s">
        <v>5771</v>
      </c>
      <c r="GG430" s="10"/>
      <c r="GH430" s="10"/>
      <c r="GI430" s="10"/>
      <c r="GJ430" s="10"/>
      <c r="GK430" s="10"/>
      <c r="GL430" s="10"/>
      <c r="GM430" s="10"/>
      <c r="GN430" s="10"/>
      <c r="GO430" s="10"/>
      <c r="GP430" s="9"/>
      <c r="GQ430" s="10"/>
      <c r="GR430" s="10"/>
      <c r="GS430" s="10"/>
      <c r="GT430" s="10"/>
      <c r="GU430" s="10"/>
      <c r="GV430" s="10"/>
      <c r="GW430" s="10"/>
      <c r="GX430" s="10"/>
      <c r="GY430" s="10"/>
      <c r="GZ430" s="10"/>
      <c r="HA430" s="9"/>
      <c r="HB430" s="10"/>
      <c r="HC430" s="10"/>
      <c r="HD430" s="10"/>
      <c r="HE430" s="10"/>
      <c r="HF430" s="10"/>
      <c r="HG430" s="10"/>
      <c r="HH430" s="10"/>
      <c r="HI430" s="9"/>
      <c r="HJ430" s="10"/>
      <c r="HK430" s="10"/>
      <c r="HL430" s="10"/>
      <c r="HM430" s="10"/>
      <c r="HN430" s="10"/>
      <c r="HO430" s="10"/>
      <c r="HP430" s="10"/>
      <c r="HQ430" s="9"/>
      <c r="HR430" s="10"/>
      <c r="HS430" s="10"/>
      <c r="HT430" s="10"/>
      <c r="HU430" s="10"/>
      <c r="HV430" s="10"/>
      <c r="HW430" s="10"/>
      <c r="HX430" s="10"/>
      <c r="HY430" s="9"/>
      <c r="HZ430" s="4"/>
      <c r="IA430" s="4"/>
      <c r="IB430" s="10"/>
      <c r="IC430" s="10"/>
      <c r="ID430" s="10"/>
      <c r="IE430" s="10"/>
      <c r="IF430" s="4"/>
      <c r="IG430" s="4"/>
      <c r="IH430" s="4"/>
      <c r="II430" s="4"/>
      <c r="IJ430" s="4"/>
      <c r="IK430" s="9"/>
      <c r="IL430" s="9"/>
      <c r="IM430" s="9"/>
      <c r="IN430" s="9"/>
      <c r="IO430" s="9"/>
      <c r="IP430" s="27" t="s">
        <v>5913</v>
      </c>
    </row>
    <row r="431" spans="1:263" ht="15" customHeight="1">
      <c r="A431" s="19">
        <v>102023105</v>
      </c>
      <c r="B431" s="18" t="s">
        <v>4380</v>
      </c>
      <c r="D431" s="1"/>
      <c r="E431" s="3"/>
      <c r="F431" s="3"/>
      <c r="G431" s="3"/>
      <c r="J431" s="18" t="s">
        <v>554</v>
      </c>
      <c r="K431" s="18" t="s">
        <v>4413</v>
      </c>
      <c r="L431" s="18" t="s">
        <v>468</v>
      </c>
      <c r="M431" s="18" t="s">
        <v>650</v>
      </c>
      <c r="N431" s="18"/>
      <c r="O431" s="19"/>
      <c r="P431" s="18" t="s">
        <v>4413</v>
      </c>
      <c r="Q431" s="18" t="s">
        <v>1712</v>
      </c>
      <c r="R431" s="18" t="s">
        <v>401</v>
      </c>
      <c r="S431" s="18"/>
      <c r="AG431" s="43"/>
      <c r="AJ431" s="18"/>
      <c r="AM431"/>
      <c r="AN431"/>
      <c r="AO431" s="18" t="s">
        <v>4414</v>
      </c>
      <c r="AP431" s="3" t="s">
        <v>258</v>
      </c>
      <c r="AQ431" s="18" t="s">
        <v>386</v>
      </c>
      <c r="AR431" s="18" t="s">
        <v>260</v>
      </c>
      <c r="AX431" s="1"/>
      <c r="AY431" s="1"/>
      <c r="AZ431" s="1"/>
      <c r="BA431" s="1"/>
      <c r="BB431" s="1"/>
      <c r="BC431" s="2"/>
      <c r="BD431" s="115">
        <v>45060</v>
      </c>
      <c r="BE431" s="115">
        <v>45050</v>
      </c>
      <c r="BF431" s="2"/>
      <c r="BG431" s="2"/>
      <c r="BH431" s="2"/>
      <c r="BI431" s="2"/>
      <c r="BJ431" s="2"/>
      <c r="BK431" s="2"/>
      <c r="BL431" s="20">
        <f ca="1">SUM(EB431)+220</f>
        <v>1478.0332624999999</v>
      </c>
      <c r="BM431" s="22">
        <f ca="1">PMT(10%/12,12,BL431,0,0)</f>
        <v>-129.94260562815316</v>
      </c>
      <c r="BN431" s="22">
        <f ca="1">SUM(BM431*-1)</f>
        <v>129.94260562815316</v>
      </c>
      <c r="BO431" s="14">
        <f>SUM(EJ431*0.0052)/12</f>
        <v>33.583333333333336</v>
      </c>
      <c r="BP431" s="22">
        <f ca="1">SUM(BN431+BO431)</f>
        <v>163.5259389614865</v>
      </c>
      <c r="BQ431" s="14"/>
      <c r="BR431" s="14">
        <f>SUM(BQ431*0.1)</f>
        <v>0</v>
      </c>
      <c r="BS431" s="14">
        <f ca="1">SUM(BT431*BU431)</f>
        <v>0</v>
      </c>
      <c r="BT431" s="17">
        <f>SUM((BQ431+BR431)*0.00833333333333333)</f>
        <v>0</v>
      </c>
      <c r="BU431" s="23">
        <f ca="1">MONTH(TODAY())+49</f>
        <v>53</v>
      </c>
      <c r="BV431" s="14">
        <f ca="1">SUM(BQ431,BR431,BS431)</f>
        <v>0</v>
      </c>
      <c r="BW431" s="14"/>
      <c r="BX431" s="14">
        <f>SUM(BW431*0.1)</f>
        <v>0</v>
      </c>
      <c r="BY431" s="14">
        <f ca="1">SUM(BZ431*CA431)</f>
        <v>0</v>
      </c>
      <c r="BZ431" s="17">
        <f>SUM((BW431+BX431)*0.00833333333333333)</f>
        <v>0</v>
      </c>
      <c r="CA431" s="23">
        <f ca="1">MONTH(TODAY())+37</f>
        <v>41</v>
      </c>
      <c r="CB431" s="14">
        <f ca="1">SUM(BW431,BX431,BY431)</f>
        <v>0</v>
      </c>
      <c r="CC431" s="14">
        <v>0</v>
      </c>
      <c r="CD431" s="14">
        <f>SUM(CC431*0.1)</f>
        <v>0</v>
      </c>
      <c r="CE431" s="14">
        <f ca="1">SUM(CF431*CG431)</f>
        <v>0</v>
      </c>
      <c r="CF431" s="17">
        <f>SUM((CC431+CD431)*0.00833333333333333)</f>
        <v>0</v>
      </c>
      <c r="CG431" s="23">
        <f ca="1">MONTH(TODAY())+25</f>
        <v>29</v>
      </c>
      <c r="CH431" s="14">
        <f ca="1">SUM(CC431,CD431,CE431)</f>
        <v>0</v>
      </c>
      <c r="CI431" s="14">
        <f>SUM(EG431*0.0052)</f>
        <v>266.76</v>
      </c>
      <c r="CJ431" s="14">
        <f>SUM(CI431*0.1)</f>
        <v>26.676000000000002</v>
      </c>
      <c r="CK431" s="14">
        <f ca="1">SUM(CL431*CM431)</f>
        <v>41.570099999999975</v>
      </c>
      <c r="CL431" s="17">
        <f>SUM((CI431+CJ431)*0.00833333333333333)</f>
        <v>2.4452999999999987</v>
      </c>
      <c r="CM431" s="23">
        <f ca="1">MONTH(TODAY())+13</f>
        <v>17</v>
      </c>
      <c r="CN431" s="14">
        <f ca="1">SUM(CI431,CJ431,CK431)</f>
        <v>335.00609999999995</v>
      </c>
      <c r="CO431" s="14">
        <f>SUM(EG431*0.0052)/2</f>
        <v>133.38</v>
      </c>
      <c r="CP431" s="14">
        <f>SUM(CO431*0.1)</f>
        <v>13.338000000000001</v>
      </c>
      <c r="CQ431" s="14">
        <f ca="1">SUM(CR431*CS431)</f>
        <v>11.003849999999995</v>
      </c>
      <c r="CR431" s="17">
        <f>SUM((CO431+CP431)*0.00833333333333333)</f>
        <v>1.2226499999999993</v>
      </c>
      <c r="CS431" s="23">
        <f ca="1">MONTH(TODAY())+5</f>
        <v>9</v>
      </c>
      <c r="CT431" s="23">
        <f ca="1">SUM(CO431,CP431,CQ431)</f>
        <v>157.72184999999999</v>
      </c>
      <c r="CU431" s="14">
        <f>SUM(EG431*0.0052)/2</f>
        <v>133.38</v>
      </c>
      <c r="CV431" s="14">
        <f>SUM(CU431*0.1)</f>
        <v>13.338000000000001</v>
      </c>
      <c r="CW431" s="14">
        <f ca="1">SUM(CX431*CY431)</f>
        <v>6.1132499999999972</v>
      </c>
      <c r="CX431" s="17">
        <f>SUM((CU431+CV431)*0.00833333333333333)</f>
        <v>1.2226499999999993</v>
      </c>
      <c r="CY431" s="23">
        <f ca="1">MONTH(TODAY())+1</f>
        <v>5</v>
      </c>
      <c r="CZ431" s="23">
        <f ca="1">SUM(CU431,CV431,CW431)</f>
        <v>152.83124999999998</v>
      </c>
      <c r="DA431" s="14">
        <f>SUM(EJ431*0.0045)/2</f>
        <v>174.375</v>
      </c>
      <c r="DB431" s="14">
        <f>SUM(DA431*0.1)</f>
        <v>17.4375</v>
      </c>
      <c r="DC431" s="14">
        <f ca="1">SUM(DD431*DE431)</f>
        <v>-1.5984374999999993</v>
      </c>
      <c r="DD431" s="17">
        <f>SUM((DA431+DB431)*0.00833333333333333)</f>
        <v>1.5984374999999993</v>
      </c>
      <c r="DE431" s="23">
        <f ca="1">MONTH(TODAY())-5</f>
        <v>-1</v>
      </c>
      <c r="DF431" s="23">
        <f ca="1">SUM(DA431,DB431,DC431)</f>
        <v>190.21406250000001</v>
      </c>
      <c r="DG431" s="14">
        <v>0</v>
      </c>
      <c r="DH431" s="14">
        <v>0</v>
      </c>
      <c r="DI431" s="14">
        <v>0</v>
      </c>
      <c r="DJ431" s="17">
        <f>SUM((DG431+DH431)*0.00833333333333333)</f>
        <v>0</v>
      </c>
      <c r="DK431" s="23">
        <f ca="1">MONTH(TODAY())+1</f>
        <v>5</v>
      </c>
      <c r="DL431" s="23">
        <f>SUM(DG431,DH431,DI431)</f>
        <v>0</v>
      </c>
      <c r="DM431" s="14">
        <f>SUM( BQ431, BW431, CC431, CI431, CO431,CU431,DA431,DG431)</f>
        <v>707.89499999999998</v>
      </c>
      <c r="DN431" s="14">
        <f>SUM(BR431,BX431,CD431,CJ431, CP431,CV431,DB431,DH431)</f>
        <v>70.789500000000004</v>
      </c>
      <c r="DO431" s="14">
        <f ca="1">SUM(BS431,BY431,CE431,CK431, CQ431,CW431,DC431,DI431)</f>
        <v>57.088762499999959</v>
      </c>
      <c r="DP431" s="25">
        <f ca="1">SUM(DM431:DO431)</f>
        <v>835.77326249999987</v>
      </c>
      <c r="DQ431" s="47">
        <f ca="1">SUM(DP431/EG431)</f>
        <v>1.6291876461988302E-2</v>
      </c>
      <c r="DR431" s="14">
        <f>20+200</f>
        <v>220</v>
      </c>
      <c r="DS431" s="32">
        <f>COUNTIF(DX431, "*")+COUNTIF(AO431, "*")+COUNTIF(AJ431, "*")+COUNTIF(AA431, "*")+COUNTIF(EY431, "*")+COUNTIF(FE431, "*")+COUNTIF(FK431, "*")+COUNTIF(FO431, "*")+COUNTIF(FV431, "*")+COUNTIF(AT431, "*")+COUNTIF(GF431, "*")+COUNTIF(GP431, "*")+COUNTIF(HA431, "*")+COUNTIF(HI431, "*")+COUNTIF(HQ431, "*")+COUNTIF(HY431, "*")+COUNTIF(IG431, "*")</f>
        <v>2</v>
      </c>
      <c r="DT431" s="14">
        <f>0.6+DS431*7.45</f>
        <v>15.5</v>
      </c>
      <c r="DU431" s="4">
        <v>150</v>
      </c>
      <c r="DV431" s="4">
        <v>36.76</v>
      </c>
      <c r="DW431" s="4"/>
      <c r="DX431" s="4"/>
      <c r="DZ431" s="4"/>
      <c r="EA431" s="14">
        <f>SUM(DV431:DZ431)</f>
        <v>36.76</v>
      </c>
      <c r="EB431" s="14">
        <f ca="1">SUM(DP431,DR431,EA431, DU431, DT431,GC431)</f>
        <v>1258.0332624999999</v>
      </c>
      <c r="EC431" s="24" t="s">
        <v>3879</v>
      </c>
      <c r="ED431" s="130">
        <v>1</v>
      </c>
      <c r="EE431" s="14">
        <v>20000</v>
      </c>
      <c r="EF431" s="14">
        <v>31300</v>
      </c>
      <c r="EG431" s="14">
        <v>51300</v>
      </c>
      <c r="EH431" s="14">
        <v>22000</v>
      </c>
      <c r="EI431" s="14">
        <v>55500</v>
      </c>
      <c r="EJ431" s="14">
        <f>SUM(EH431+EI431)</f>
        <v>77500</v>
      </c>
      <c r="EK431" t="s">
        <v>4723</v>
      </c>
      <c r="EL431" t="s">
        <v>4724</v>
      </c>
      <c r="GC431" t="s">
        <v>4875</v>
      </c>
      <c r="GD431" t="s">
        <v>834</v>
      </c>
      <c r="GE431" t="s">
        <v>266</v>
      </c>
      <c r="GG431" t="s">
        <v>267</v>
      </c>
      <c r="GH431" t="s">
        <v>268</v>
      </c>
      <c r="GI431" s="9">
        <v>42373</v>
      </c>
      <c r="GJ431" t="s">
        <v>4725</v>
      </c>
      <c r="GN431" t="s">
        <v>439</v>
      </c>
      <c r="GO431" t="s">
        <v>3638</v>
      </c>
      <c r="GP431" t="s">
        <v>298</v>
      </c>
      <c r="GQ431" t="s">
        <v>440</v>
      </c>
      <c r="GR431" t="s">
        <v>274</v>
      </c>
      <c r="GS431" t="s">
        <v>275</v>
      </c>
      <c r="GT431" s="9">
        <v>42065</v>
      </c>
      <c r="GU431" t="s">
        <v>4726</v>
      </c>
      <c r="IM431" s="9"/>
      <c r="IX431" s="14" t="e">
        <f ca="1">SUM(IN431-EB431-GC431-IV431)</f>
        <v>#VALUE!</v>
      </c>
      <c r="IY431" s="9"/>
      <c r="IZ431" s="9"/>
      <c r="JA431" s="9"/>
      <c r="JB431" s="9"/>
      <c r="JC431" s="9"/>
    </row>
    <row r="432" spans="1:263" ht="15" customHeight="1">
      <c r="A432" s="19">
        <v>102020044</v>
      </c>
      <c r="B432" s="18" t="s">
        <v>1652</v>
      </c>
      <c r="C432" s="18"/>
      <c r="D432" s="13"/>
      <c r="E432" s="18" t="s">
        <v>1867</v>
      </c>
      <c r="F432" s="18">
        <v>200002912</v>
      </c>
      <c r="G432" s="18"/>
      <c r="H432" s="18"/>
      <c r="I432" s="18"/>
      <c r="J432" s="18" t="s">
        <v>253</v>
      </c>
      <c r="K432" s="18" t="s">
        <v>1653</v>
      </c>
      <c r="L432" s="18" t="s">
        <v>1654</v>
      </c>
      <c r="M432" s="18"/>
      <c r="N432" s="18"/>
      <c r="O432" s="18"/>
      <c r="P432" s="18"/>
      <c r="Q432" s="18"/>
      <c r="R432" s="18"/>
      <c r="S432" s="18"/>
      <c r="T432" s="18"/>
      <c r="U432" s="18"/>
      <c r="V432" s="18"/>
      <c r="W432" s="18"/>
      <c r="X432" s="18"/>
      <c r="Y432" s="18"/>
      <c r="Z432" s="18"/>
      <c r="AA432" s="18"/>
      <c r="AB432" s="18"/>
      <c r="AC432" s="18"/>
      <c r="AD432" s="18"/>
      <c r="AE432" s="18"/>
      <c r="AF432" s="18"/>
      <c r="AG432" s="231"/>
      <c r="AH432" s="18"/>
      <c r="AI432" s="18"/>
      <c r="AJ432" s="18"/>
      <c r="AK432" s="18"/>
      <c r="AL432" s="18"/>
      <c r="AM432" s="24"/>
      <c r="AN432" s="24"/>
      <c r="AO432" s="18"/>
      <c r="AP432" s="13"/>
      <c r="AQ432" s="24"/>
      <c r="AR432" s="24"/>
      <c r="AS432" s="18"/>
      <c r="AT432" s="18"/>
      <c r="AU432" s="18"/>
      <c r="AV432" s="18"/>
      <c r="AW432" s="18"/>
      <c r="AX432" s="48"/>
      <c r="AY432" s="48"/>
      <c r="AZ432" s="48"/>
      <c r="BA432" s="48"/>
      <c r="BB432" s="19"/>
      <c r="BC432" s="48"/>
      <c r="BD432" s="48"/>
      <c r="BE432" s="48"/>
      <c r="BF432" s="19"/>
      <c r="BG432" s="20"/>
      <c r="BH432" s="22"/>
      <c r="BI432" s="22"/>
      <c r="BJ432" s="14"/>
      <c r="BK432" s="14"/>
      <c r="BL432" s="14"/>
      <c r="BM432" s="17"/>
      <c r="BN432" s="23"/>
      <c r="BO432" s="14"/>
      <c r="BP432" s="14"/>
      <c r="BQ432" s="14"/>
      <c r="BR432" s="14"/>
      <c r="BS432" s="17"/>
      <c r="BT432" s="23"/>
      <c r="BU432" s="14"/>
      <c r="BV432" s="14"/>
      <c r="BW432" s="14"/>
      <c r="BX432" s="14"/>
      <c r="BY432" s="17"/>
      <c r="BZ432" s="23"/>
      <c r="CA432" s="14"/>
      <c r="CB432" s="14"/>
      <c r="CC432" s="14"/>
      <c r="CD432" s="14"/>
      <c r="CE432" s="17"/>
      <c r="CF432" s="23"/>
      <c r="CG432" s="14"/>
      <c r="CH432" s="14"/>
      <c r="CI432" s="14"/>
      <c r="CJ432" s="14"/>
      <c r="CK432" s="17"/>
      <c r="CL432" s="23"/>
      <c r="CM432" s="14"/>
      <c r="CN432" s="14"/>
      <c r="CO432" s="14"/>
      <c r="CP432" s="14"/>
      <c r="CQ432" s="17"/>
      <c r="CR432" s="23"/>
      <c r="CS432" s="14"/>
      <c r="CT432" s="14"/>
      <c r="CU432" s="14"/>
      <c r="CV432" s="14"/>
      <c r="CW432" s="17"/>
      <c r="CX432" s="23"/>
      <c r="CY432" s="14"/>
      <c r="CZ432" s="14"/>
      <c r="DA432" s="14"/>
      <c r="DB432" s="14"/>
      <c r="DC432" s="14"/>
      <c r="DD432" s="14"/>
      <c r="DE432" s="47"/>
      <c r="DF432" s="24"/>
      <c r="DG432" s="14"/>
      <c r="DH432" s="32"/>
      <c r="DI432" s="14"/>
      <c r="DJ432" s="14"/>
      <c r="DK432" s="14"/>
      <c r="DL432" s="14"/>
      <c r="DM432" s="14"/>
      <c r="DN432" s="14"/>
      <c r="DO432" s="14"/>
      <c r="DP432" s="25"/>
      <c r="DQ432" s="14"/>
      <c r="DR432" s="25"/>
      <c r="DS432" s="25"/>
      <c r="DT432" s="25"/>
      <c r="DU432" s="36"/>
      <c r="DV432" s="26"/>
      <c r="DW432" s="26"/>
      <c r="DX432" s="18"/>
      <c r="DY432" s="26"/>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27"/>
      <c r="GA432" s="18"/>
      <c r="GB432" s="18"/>
      <c r="GC432" s="18"/>
      <c r="GD432" s="18"/>
      <c r="GE432" s="18"/>
      <c r="GF432" s="18"/>
      <c r="GG432" s="18"/>
      <c r="GH432" s="18"/>
      <c r="GI432" s="18"/>
      <c r="GJ432" s="18"/>
      <c r="GK432" s="27"/>
      <c r="GL432" s="18"/>
      <c r="GM432" s="18"/>
      <c r="GN432" s="18"/>
      <c r="GO432" s="18"/>
      <c r="GP432" s="18"/>
      <c r="GQ432" s="18"/>
      <c r="GR432" s="18"/>
      <c r="GS432" s="18"/>
      <c r="GT432" s="18"/>
      <c r="GU432" s="18"/>
      <c r="GV432" s="27"/>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27"/>
      <c r="IE432" s="18"/>
      <c r="IF432" s="18"/>
      <c r="IG432" s="18"/>
      <c r="IH432" s="18"/>
      <c r="II432" s="18"/>
      <c r="IJ432" s="18"/>
      <c r="IK432" s="18"/>
      <c r="IN432" s="66">
        <v>39</v>
      </c>
      <c r="IP432" s="9">
        <v>43643</v>
      </c>
      <c r="IQ432" s="9">
        <v>43661</v>
      </c>
      <c r="IR432" s="9">
        <v>43699</v>
      </c>
      <c r="IS432" s="9">
        <v>43711</v>
      </c>
    </row>
    <row r="433" spans="1:263" ht="15" customHeight="1">
      <c r="A433" s="19">
        <v>102020044</v>
      </c>
      <c r="B433" s="18" t="s">
        <v>1652</v>
      </c>
      <c r="C433" s="18"/>
      <c r="D433" s="18"/>
      <c r="E433" s="18" t="s">
        <v>1867</v>
      </c>
      <c r="F433" s="18">
        <v>200002912</v>
      </c>
      <c r="G433" s="18"/>
      <c r="H433" s="18"/>
      <c r="I433" s="18"/>
      <c r="J433" s="18" t="s">
        <v>253</v>
      </c>
      <c r="K433" s="18" t="s">
        <v>1653</v>
      </c>
      <c r="L433" s="18" t="s">
        <v>1654</v>
      </c>
      <c r="M433" s="18"/>
      <c r="N433" s="18"/>
      <c r="O433" s="18"/>
      <c r="P433" s="18"/>
      <c r="Q433" s="18"/>
      <c r="R433" s="18"/>
      <c r="S433" s="18"/>
      <c r="T433" s="18"/>
      <c r="U433" s="18"/>
      <c r="V433" s="18"/>
      <c r="W433" s="18"/>
      <c r="X433" s="18"/>
      <c r="Y433" s="18"/>
      <c r="Z433" s="18"/>
      <c r="AA433" s="18"/>
      <c r="AB433" s="18"/>
      <c r="AC433" s="18"/>
      <c r="AD433" s="18"/>
      <c r="AE433" s="18"/>
      <c r="AF433" s="18"/>
      <c r="AG433" s="37"/>
      <c r="AH433" s="18"/>
      <c r="AI433" s="18"/>
      <c r="AJ433" s="18" t="s">
        <v>1659</v>
      </c>
      <c r="AK433" s="18" t="s">
        <v>258</v>
      </c>
      <c r="AL433" s="18" t="s">
        <v>386</v>
      </c>
      <c r="AM433" s="18" t="s">
        <v>260</v>
      </c>
      <c r="AN433" s="18"/>
      <c r="AO433" s="18" t="s">
        <v>1655</v>
      </c>
      <c r="AP433" s="18" t="s">
        <v>258</v>
      </c>
      <c r="AQ433" s="18" t="s">
        <v>1060</v>
      </c>
      <c r="AR433" s="18" t="s">
        <v>757</v>
      </c>
      <c r="AS433" s="18"/>
      <c r="AT433" s="18"/>
      <c r="AU433" s="18" t="s">
        <v>258</v>
      </c>
      <c r="AV433" s="18" t="s">
        <v>258</v>
      </c>
      <c r="AW433" s="18" t="s">
        <v>258</v>
      </c>
      <c r="AX433" s="27">
        <v>43978</v>
      </c>
      <c r="AY433" s="21">
        <v>43947</v>
      </c>
      <c r="AZ433" s="21">
        <v>43937</v>
      </c>
      <c r="BA433" s="21">
        <v>44022</v>
      </c>
      <c r="BB433" s="13" t="s">
        <v>1833</v>
      </c>
      <c r="BC433" s="21">
        <v>44008</v>
      </c>
      <c r="BD433" s="21">
        <v>44015</v>
      </c>
      <c r="BE433" s="27">
        <v>44057</v>
      </c>
      <c r="BF433" s="18" t="s">
        <v>319</v>
      </c>
      <c r="BG433" s="20">
        <v>3386.1216272727274</v>
      </c>
      <c r="BH433" s="22">
        <v>-297.6938871304057</v>
      </c>
      <c r="BI433" s="22">
        <v>297.6938871304057</v>
      </c>
      <c r="BJ433" s="14"/>
      <c r="BK433" s="14">
        <v>0</v>
      </c>
      <c r="BL433" s="14">
        <v>0</v>
      </c>
      <c r="BM433" s="17">
        <v>0</v>
      </c>
      <c r="BN433" s="23">
        <v>81</v>
      </c>
      <c r="BO433" s="14">
        <v>0</v>
      </c>
      <c r="BP433" s="14"/>
      <c r="BQ433" s="14">
        <v>0</v>
      </c>
      <c r="BR433" s="14">
        <v>0</v>
      </c>
      <c r="BS433" s="17">
        <v>0</v>
      </c>
      <c r="BT433" s="23">
        <v>69</v>
      </c>
      <c r="BU433" s="14">
        <v>0</v>
      </c>
      <c r="BV433" s="14"/>
      <c r="BW433" s="14">
        <v>0</v>
      </c>
      <c r="BX433" s="14">
        <v>0</v>
      </c>
      <c r="BY433" s="17">
        <v>0</v>
      </c>
      <c r="BZ433" s="23">
        <v>61</v>
      </c>
      <c r="CA433" s="14">
        <v>0</v>
      </c>
      <c r="CB433" s="14"/>
      <c r="CC433" s="14">
        <v>0</v>
      </c>
      <c r="CD433" s="14">
        <v>0</v>
      </c>
      <c r="CE433" s="17">
        <v>0</v>
      </c>
      <c r="CF433" s="23">
        <v>49</v>
      </c>
      <c r="CG433" s="14">
        <v>0</v>
      </c>
      <c r="CH433" s="14">
        <v>247</v>
      </c>
      <c r="CI433" s="14">
        <v>24.700000000000003</v>
      </c>
      <c r="CJ433" s="14">
        <v>83.77416666666663</v>
      </c>
      <c r="CK433" s="17">
        <v>2.2641666666666658</v>
      </c>
      <c r="CL433" s="23">
        <v>37</v>
      </c>
      <c r="CM433" s="14">
        <v>355.47416666666663</v>
      </c>
      <c r="CN433" s="14">
        <v>247</v>
      </c>
      <c r="CO433" s="14">
        <v>24.700000000000003</v>
      </c>
      <c r="CP433" s="14">
        <v>56.604166666666643</v>
      </c>
      <c r="CQ433" s="17">
        <v>2.2641666666666658</v>
      </c>
      <c r="CR433" s="23">
        <v>25</v>
      </c>
      <c r="CS433" s="14">
        <v>328.30416666666662</v>
      </c>
      <c r="CT433" s="14">
        <v>252.72</v>
      </c>
      <c r="CU433" s="14">
        <v>25.272000000000002</v>
      </c>
      <c r="CV433" s="14">
        <v>30.115799999999993</v>
      </c>
      <c r="CW433" s="17">
        <v>2.3165999999999993</v>
      </c>
      <c r="CX433" s="23">
        <v>13</v>
      </c>
      <c r="CY433" s="14">
        <v>308.1078</v>
      </c>
      <c r="CZ433" s="14">
        <v>252.72</v>
      </c>
      <c r="DA433" s="14">
        <v>999.44</v>
      </c>
      <c r="DB433" s="14">
        <v>74.672000000000011</v>
      </c>
      <c r="DC433" s="14">
        <v>170.49413333333325</v>
      </c>
      <c r="DD433" s="14">
        <v>1244.6061333333332</v>
      </c>
      <c r="DE433" s="24" t="s">
        <v>418</v>
      </c>
      <c r="DF433" s="14">
        <v>1885</v>
      </c>
      <c r="DG433" s="32">
        <v>5</v>
      </c>
      <c r="DH433" s="14">
        <v>126.44999999999999</v>
      </c>
      <c r="DI433" s="14">
        <v>150</v>
      </c>
      <c r="DJ433" s="14">
        <v>5441.9761333333327</v>
      </c>
      <c r="DK433" s="14">
        <v>250.45</v>
      </c>
      <c r="DL433" s="14">
        <v>898.31999999999994</v>
      </c>
      <c r="DM433" s="14">
        <v>82.75</v>
      </c>
      <c r="DN433" s="14">
        <v>194.4</v>
      </c>
      <c r="DO433" s="25">
        <v>610</v>
      </c>
      <c r="DP433" s="14">
        <v>2035.92</v>
      </c>
      <c r="DQ433" s="25">
        <v>29400</v>
      </c>
      <c r="DR433" s="25">
        <v>19200</v>
      </c>
      <c r="DS433" s="25">
        <v>48600</v>
      </c>
      <c r="DT433" s="36">
        <v>2.88</v>
      </c>
      <c r="DU433" s="18" t="s">
        <v>1938</v>
      </c>
      <c r="DV433" s="18" t="s">
        <v>1885</v>
      </c>
      <c r="DW433" s="18" t="s">
        <v>1945</v>
      </c>
      <c r="DX433" s="18" t="s">
        <v>1946</v>
      </c>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t="s">
        <v>382</v>
      </c>
      <c r="FS433" s="18" t="s">
        <v>383</v>
      </c>
      <c r="FT433" s="18" t="s">
        <v>384</v>
      </c>
      <c r="FU433" s="18" t="s">
        <v>385</v>
      </c>
      <c r="FV433" s="18" t="s">
        <v>386</v>
      </c>
      <c r="FW433" s="18" t="s">
        <v>260</v>
      </c>
      <c r="FX433" s="27">
        <v>38749</v>
      </c>
      <c r="FY433" s="18" t="s">
        <v>1804</v>
      </c>
      <c r="FZ433" s="18"/>
      <c r="GA433" s="18"/>
      <c r="GB433" s="18"/>
      <c r="GC433" s="18" t="s">
        <v>382</v>
      </c>
      <c r="GD433" s="18" t="s">
        <v>383</v>
      </c>
      <c r="GE433" s="18" t="s">
        <v>384</v>
      </c>
      <c r="GF433" s="18" t="s">
        <v>385</v>
      </c>
      <c r="GG433" s="18" t="s">
        <v>386</v>
      </c>
      <c r="GH433" s="18" t="s">
        <v>260</v>
      </c>
      <c r="GI433" s="27">
        <v>39475</v>
      </c>
      <c r="GJ433" s="18" t="s">
        <v>1805</v>
      </c>
      <c r="GK433" s="18"/>
      <c r="GL433" s="18"/>
      <c r="GM433" s="18"/>
      <c r="GN433" s="18" t="s">
        <v>1806</v>
      </c>
      <c r="GO433" s="18"/>
      <c r="GP433" s="18" t="s">
        <v>1807</v>
      </c>
      <c r="GQ433" s="18"/>
      <c r="GR433" s="18" t="s">
        <v>267</v>
      </c>
      <c r="GS433" s="18" t="s">
        <v>268</v>
      </c>
      <c r="GT433" s="27">
        <v>42506</v>
      </c>
      <c r="GU433" s="18" t="s">
        <v>1808</v>
      </c>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27">
        <v>44128</v>
      </c>
      <c r="IC433" s="14">
        <v>48600</v>
      </c>
      <c r="ID433" s="27">
        <v>44128</v>
      </c>
      <c r="IE433" s="14">
        <v>24000</v>
      </c>
      <c r="IF433" s="14">
        <v>2400</v>
      </c>
      <c r="IG433" s="18"/>
      <c r="IH433" s="18" t="s">
        <v>1987</v>
      </c>
      <c r="II433" s="18" t="s">
        <v>1988</v>
      </c>
      <c r="IJ433" s="18" t="s">
        <v>386</v>
      </c>
      <c r="IK433" s="18"/>
      <c r="IL433" s="14"/>
      <c r="IM433" s="14"/>
      <c r="IN433" s="14">
        <v>258</v>
      </c>
      <c r="IO433" s="14">
        <v>18558.023866666666</v>
      </c>
      <c r="IP433" s="27">
        <v>44068</v>
      </c>
      <c r="IQ433" s="27">
        <v>44085</v>
      </c>
      <c r="IR433" s="27">
        <v>44131</v>
      </c>
      <c r="IS433" s="27">
        <v>44137</v>
      </c>
      <c r="IT433" s="27">
        <v>44167</v>
      </c>
      <c r="IU433" s="18"/>
      <c r="IV433" s="18"/>
      <c r="IW433" s="18"/>
      <c r="IX433" s="18"/>
      <c r="IY433" s="18"/>
    </row>
    <row r="434" spans="1:263" s="18" customFormat="1" ht="15" customHeight="1">
      <c r="A434" s="19">
        <v>102023066</v>
      </c>
      <c r="B434" s="18" t="s">
        <v>4186</v>
      </c>
      <c r="C434" s="10"/>
      <c r="D434" s="161"/>
      <c r="E434" s="147" t="s">
        <v>5596</v>
      </c>
      <c r="F434" s="160">
        <v>240001678</v>
      </c>
      <c r="G434" s="150"/>
      <c r="H434" s="10"/>
      <c r="I434" s="10"/>
      <c r="J434" s="28" t="s">
        <v>3793</v>
      </c>
      <c r="K434" s="28" t="s">
        <v>4185</v>
      </c>
      <c r="L434" s="28" t="s">
        <v>1355</v>
      </c>
      <c r="M434" s="28"/>
      <c r="N434" s="28"/>
      <c r="O434" s="150" t="s">
        <v>258</v>
      </c>
      <c r="P434" s="28"/>
      <c r="Q434" s="28"/>
      <c r="R434" s="28"/>
      <c r="S434" s="28"/>
      <c r="T434" s="10"/>
      <c r="U434" s="10"/>
      <c r="V434" s="10"/>
      <c r="W434" s="10"/>
      <c r="X434" s="10"/>
      <c r="Y434" s="10"/>
      <c r="Z434" s="10"/>
      <c r="AA434" s="10"/>
      <c r="AB434" s="10"/>
      <c r="AC434" s="10"/>
      <c r="AD434" s="10"/>
      <c r="AE434" s="10"/>
      <c r="AF434" s="10"/>
      <c r="AG434" s="141"/>
      <c r="AH434" s="10"/>
      <c r="AI434" s="10"/>
      <c r="AJ434" s="18" t="s">
        <v>328</v>
      </c>
      <c r="AK434" s="13"/>
      <c r="AL434" s="18" t="s">
        <v>386</v>
      </c>
      <c r="AO434" s="18" t="s">
        <v>4184</v>
      </c>
      <c r="AP434" s="13" t="s">
        <v>258</v>
      </c>
      <c r="AQ434" s="18" t="s">
        <v>267</v>
      </c>
      <c r="AR434" s="18" t="s">
        <v>268</v>
      </c>
      <c r="AS434"/>
      <c r="AT434"/>
      <c r="AU434"/>
      <c r="AV434"/>
      <c r="AW434"/>
      <c r="AX434" s="1"/>
      <c r="AY434" s="1" t="s">
        <v>258</v>
      </c>
      <c r="AZ434" s="1"/>
      <c r="BA434" s="1" t="s">
        <v>258</v>
      </c>
      <c r="BB434" s="1" t="s">
        <v>258</v>
      </c>
      <c r="BC434" s="27">
        <v>45393</v>
      </c>
      <c r="BD434" s="27">
        <v>45361</v>
      </c>
      <c r="BE434" s="144">
        <v>45348</v>
      </c>
      <c r="BF434" s="70">
        <v>45576</v>
      </c>
      <c r="BG434" s="2" t="s">
        <v>5916</v>
      </c>
      <c r="BH434" s="70">
        <v>45562</v>
      </c>
      <c r="BI434" s="70">
        <v>45569</v>
      </c>
      <c r="BJ434" s="70">
        <v>45548</v>
      </c>
      <c r="BK434" s="70" t="s">
        <v>319</v>
      </c>
      <c r="BL434" s="20">
        <f ca="1">SUM(EB434)+220</f>
        <v>4196.4707749999998</v>
      </c>
      <c r="BM434" s="22">
        <f ca="1">PMT(10%/12,12,BL434,0,0)</f>
        <v>-368.93645141893097</v>
      </c>
      <c r="BN434" s="22">
        <f ca="1">SUM(BM434*-1)</f>
        <v>368.93645141893097</v>
      </c>
      <c r="BO434" s="14">
        <f>SUM(EJ434*0.0052)/12</f>
        <v>27.95</v>
      </c>
      <c r="BP434" s="22">
        <f ca="1">SUM(BN434+BO434)</f>
        <v>396.88645141893096</v>
      </c>
      <c r="BQ434" s="14">
        <v>0</v>
      </c>
      <c r="BR434" s="14">
        <f>SUM(BQ434*0.1)</f>
        <v>0</v>
      </c>
      <c r="BS434" s="14">
        <f ca="1">SUM(BT434*BU434)</f>
        <v>0</v>
      </c>
      <c r="BT434" s="17">
        <f>SUM((BQ434+BR434)*0.00833333333333333)</f>
        <v>0</v>
      </c>
      <c r="BU434" s="23">
        <f ca="1">MONTH(TODAY())+37</f>
        <v>41</v>
      </c>
      <c r="BV434" s="14">
        <f ca="1">SUM(BQ434,BR434,BS434)</f>
        <v>0</v>
      </c>
      <c r="BW434" s="14">
        <v>115.36</v>
      </c>
      <c r="BX434" s="14">
        <f>SUM(BW434*0.1)</f>
        <v>11.536000000000001</v>
      </c>
      <c r="BY434" s="14">
        <f ca="1">SUM(BZ434*CA434)</f>
        <v>43.356133333333311</v>
      </c>
      <c r="BZ434" s="17">
        <f>SUM((BW434+BX434)*0.00833333333333333)</f>
        <v>1.0574666666666661</v>
      </c>
      <c r="CA434" s="23">
        <f ca="1">MONTH(TODAY())+37</f>
        <v>41</v>
      </c>
      <c r="CB434" s="14">
        <f ca="1">SUM(BW434,BX434,BY434)</f>
        <v>170.25213333333332</v>
      </c>
      <c r="CC434" s="14">
        <f>SUM(EG434*0.0052)/2</f>
        <v>123.75999999999999</v>
      </c>
      <c r="CD434" s="14">
        <f>SUM(CC434*0.1)</f>
        <v>12.375999999999999</v>
      </c>
      <c r="CE434" s="14">
        <f ca="1">SUM(CF434*CG434)</f>
        <v>37.437399999999982</v>
      </c>
      <c r="CF434" s="17">
        <f>SUM((CC434+CD434)*0.00833333333333333)</f>
        <v>1.1344666666666661</v>
      </c>
      <c r="CG434" s="23">
        <f ca="1">MONTH(TODAY())+29</f>
        <v>33</v>
      </c>
      <c r="CH434" s="23">
        <f ca="1">SUM(CC434,CD434,CE434)</f>
        <v>173.57339999999999</v>
      </c>
      <c r="CI434" s="14">
        <f>SUM(EG434*0.0052)/2</f>
        <v>123.75999999999999</v>
      </c>
      <c r="CJ434" s="14">
        <f>SUM(CI434*0.1)</f>
        <v>12.375999999999999</v>
      </c>
      <c r="CK434" s="14">
        <f ca="1">SUM(CL434*CM434)</f>
        <v>32.899533333333316</v>
      </c>
      <c r="CL434" s="17">
        <f>SUM((CI434+CJ434)*0.00833333333333333)</f>
        <v>1.1344666666666661</v>
      </c>
      <c r="CM434" s="23">
        <f ca="1">MONTH(TODAY())+25</f>
        <v>29</v>
      </c>
      <c r="CN434" s="14">
        <f ca="1">SUM(CI434,CJ434,CK434)</f>
        <v>169.03553333333332</v>
      </c>
      <c r="CO434" s="14">
        <f>SUM(EJ434*0.0045)/2-27.95</f>
        <v>117.175</v>
      </c>
      <c r="CP434" s="14">
        <f>SUM(CO434*0.1)</f>
        <v>11.717500000000001</v>
      </c>
      <c r="CQ434" s="14">
        <f ca="1">SUM(CR434*CS434)</f>
        <v>24.704395833333319</v>
      </c>
      <c r="CR434" s="17">
        <f>SUM((CO434+CP434)*0.00833333333333333)</f>
        <v>1.074104166666666</v>
      </c>
      <c r="CS434" s="23">
        <f ca="1">MONTH(TODAY())+19</f>
        <v>23</v>
      </c>
      <c r="CT434" s="14">
        <f ca="1">SUM(CO434,CP434,CQ434)</f>
        <v>153.59689583333329</v>
      </c>
      <c r="CU434" s="14">
        <f>SUM(EJ434*0.0045)/2</f>
        <v>145.125</v>
      </c>
      <c r="CV434" s="14">
        <f>SUM(CU434*0.1)</f>
        <v>14.512500000000001</v>
      </c>
      <c r="CW434" s="14">
        <f ca="1">SUM(CX434*CY434)</f>
        <v>22.615312499999987</v>
      </c>
      <c r="CX434" s="17">
        <f>SUM((CU434+CV434)*0.00833333333333333)</f>
        <v>1.3303124999999993</v>
      </c>
      <c r="CY434" s="23">
        <f ca="1">MONTH(TODAY())+13</f>
        <v>17</v>
      </c>
      <c r="CZ434" s="14">
        <f ca="1">SUM(CU434,CV434,CW434)</f>
        <v>182.25281249999998</v>
      </c>
      <c r="DA434" s="14">
        <f>SUM(EJ434*0.0045)/2</f>
        <v>145.125</v>
      </c>
      <c r="DB434" s="14">
        <f>SUM(DA434*0.1)</f>
        <v>14.512500000000001</v>
      </c>
      <c r="DC434" s="14">
        <f ca="1">SUM(DD434*DE434)</f>
        <v>14.633437499999992</v>
      </c>
      <c r="DD434" s="17">
        <f>SUM((DA434+DB434)*0.00833333333333333)</f>
        <v>1.3303124999999993</v>
      </c>
      <c r="DE434" s="23">
        <f ca="1">MONTH(TODAY())+7</f>
        <v>11</v>
      </c>
      <c r="DF434" s="14">
        <f ca="1">SUM(DA434,DB434,DC434)</f>
        <v>174.27093749999997</v>
      </c>
      <c r="DG434" s="14">
        <f>SUM(EJ434*0.0045)/2</f>
        <v>145.125</v>
      </c>
      <c r="DH434" s="14">
        <f>SUM(DG434*0.1)</f>
        <v>14.512500000000001</v>
      </c>
      <c r="DI434" s="14">
        <f ca="1">SUM(DJ434*DK434)</f>
        <v>6.6515624999999972</v>
      </c>
      <c r="DJ434" s="17">
        <f>SUM((DG434+DH434)*0.00833333333333333)</f>
        <v>1.3303124999999993</v>
      </c>
      <c r="DK434" s="23">
        <f ca="1">MONTH(TODAY())+1</f>
        <v>5</v>
      </c>
      <c r="DL434" s="14">
        <f ca="1">SUM(DG434,DH434,DI434)</f>
        <v>166.2890625</v>
      </c>
      <c r="DM434" s="14">
        <f>SUM(BQ434, BW434, CC434,CI434,CO434,CU434,DA434,DG434)</f>
        <v>915.43000000000006</v>
      </c>
      <c r="DN434" s="14">
        <f>SUM(BR434,BX434, CD434,CJ434,CP434,CV434,DB434,DH434)</f>
        <v>91.543000000000006</v>
      </c>
      <c r="DO434" s="14">
        <f ca="1">SUM(BS434,BY434, CE434,CK434,CQ434,CW434,DC434,DI434)</f>
        <v>182.29777499999989</v>
      </c>
      <c r="DP434" s="25">
        <f ca="1">SUM(DM434:DO434)</f>
        <v>1189.270775</v>
      </c>
      <c r="DQ434" s="47">
        <f ca="1">SUM(DP434/EG434)</f>
        <v>2.4984680147058822E-2</v>
      </c>
      <c r="DR434" s="14">
        <f>20+60+160+60+60+200+20+100+40+100</f>
        <v>820</v>
      </c>
      <c r="DS434" s="32">
        <f>COUNTIF(AO434, "*")+COUNTIF(AJ434, "*")+COUNTIF(AA434, "*")+COUNTIF(EU434, "*")+COUNTIF(FA434, "*")+COUNTIF(FG434, "*")+COUNTIF(FK434, "*")+COUNTIF(FR434, "*")+COUNTIF(AT434, "*")+COUNTIF(GA434, "*")+COUNTIF(GL434, "*")+COUNTIF(GW434, "*")+COUNTIF(HE434, "*")+COUNTIF(HM434, "*")+COUNTIF(HU434, "*")</f>
        <v>2</v>
      </c>
      <c r="DT434" s="14">
        <f>DS434*0.6+7.81</f>
        <v>9.01</v>
      </c>
      <c r="DU434" s="4">
        <f>62.44+926.6</f>
        <v>989.04</v>
      </c>
      <c r="DV434" s="4">
        <v>255</v>
      </c>
      <c r="DW434" s="4">
        <f>93.75+240</f>
        <v>333.75</v>
      </c>
      <c r="DX434" s="4">
        <v>190</v>
      </c>
      <c r="DY434" s="14">
        <f>IF(SUM(EE434*0.004)&lt;100, 100, SUM(EE434*0.004))</f>
        <v>190.4</v>
      </c>
      <c r="DZ434" s="4"/>
      <c r="EA434" s="14">
        <f>SUM(DU434:DZ434)</f>
        <v>1958.19</v>
      </c>
      <c r="EB434" s="14">
        <f ca="1">SUM(DP434,DR434,EA434,DT434,FX434)</f>
        <v>3976.4707750000002</v>
      </c>
      <c r="EC434" s="24" t="s">
        <v>5892</v>
      </c>
      <c r="ED434" s="23">
        <v>19.2</v>
      </c>
      <c r="EE434" s="14">
        <v>47600</v>
      </c>
      <c r="EF434" s="14">
        <v>0</v>
      </c>
      <c r="EG434" s="14">
        <f>SUM(EE434+EF434)</f>
        <v>47600</v>
      </c>
      <c r="EH434" s="14">
        <v>64500</v>
      </c>
      <c r="EI434" s="14">
        <v>0</v>
      </c>
      <c r="EJ434" s="14">
        <f>SUM(EH434+EI434)</f>
        <v>64500</v>
      </c>
      <c r="EK434" s="10" t="s">
        <v>5043</v>
      </c>
      <c r="EL434" s="10" t="s">
        <v>5919</v>
      </c>
      <c r="EM434" s="10" t="s">
        <v>5044</v>
      </c>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9"/>
      <c r="FP434" s="10"/>
      <c r="FQ434" s="10"/>
      <c r="FR434" s="10"/>
      <c r="FS434" s="10"/>
      <c r="FT434" s="10"/>
      <c r="FU434" s="10"/>
      <c r="FV434" s="9"/>
      <c r="FW434" s="10"/>
      <c r="FX434" s="10"/>
      <c r="FY434" s="10"/>
      <c r="FZ434" s="10"/>
      <c r="GA434" s="10"/>
      <c r="GB434" s="10"/>
      <c r="GC434" s="10"/>
      <c r="GD434" s="10"/>
      <c r="GE434" s="9"/>
      <c r="GF434" s="10"/>
      <c r="GG434" s="10"/>
      <c r="GH434" s="10"/>
      <c r="GI434" s="10"/>
      <c r="GJ434" s="10"/>
      <c r="GK434" s="10"/>
      <c r="GL434" s="10"/>
      <c r="GM434" s="10"/>
      <c r="GN434" s="10"/>
      <c r="GO434" s="10"/>
      <c r="GP434" s="9"/>
      <c r="GQ434" s="10"/>
      <c r="GR434" s="10"/>
      <c r="GS434" s="10"/>
      <c r="GT434" s="10"/>
      <c r="GU434" s="10"/>
      <c r="GV434" s="10"/>
      <c r="GW434" s="10"/>
      <c r="GX434" s="10"/>
      <c r="GY434" s="10"/>
      <c r="GZ434" s="10"/>
      <c r="HA434" s="9"/>
      <c r="HB434" s="10"/>
      <c r="HC434" s="10"/>
      <c r="HD434" s="10"/>
      <c r="HE434" s="10"/>
      <c r="HF434" s="10"/>
      <c r="HG434" s="10"/>
      <c r="HH434" s="10"/>
      <c r="HI434" s="9"/>
      <c r="HJ434" s="10"/>
      <c r="HK434" s="10"/>
      <c r="HL434" s="10"/>
      <c r="HM434" s="10"/>
      <c r="HN434" s="10"/>
      <c r="HO434" s="10"/>
      <c r="HP434" s="10"/>
      <c r="HQ434" s="9"/>
      <c r="HR434" s="10"/>
      <c r="HS434" s="10"/>
      <c r="HT434" s="10"/>
      <c r="HU434" s="10"/>
      <c r="HV434" s="10"/>
      <c r="HW434" s="10"/>
      <c r="HX434" s="10"/>
      <c r="HY434" s="9"/>
      <c r="HZ434" s="4"/>
      <c r="IA434" s="4"/>
      <c r="IB434" s="10"/>
      <c r="IC434" s="10"/>
      <c r="ID434" s="10"/>
      <c r="IE434" s="10"/>
      <c r="IF434" s="4"/>
      <c r="IG434" s="4"/>
      <c r="IH434" s="14">
        <f ca="1">SUM(HZ434-EB434-FX434-IF434)</f>
        <v>-3976.4707750000002</v>
      </c>
      <c r="II434" s="14"/>
      <c r="IJ434" s="14"/>
      <c r="IK434" s="9"/>
      <c r="IL434" s="9"/>
      <c r="IM434" s="9"/>
      <c r="IN434" s="9"/>
      <c r="IO434" s="9"/>
      <c r="IP434" t="s">
        <v>5913</v>
      </c>
      <c r="IQ434"/>
      <c r="IR434"/>
      <c r="IS434"/>
      <c r="IT434"/>
      <c r="IU434"/>
      <c r="IV434"/>
      <c r="IW434"/>
      <c r="IX434"/>
      <c r="IY434"/>
      <c r="IZ434"/>
      <c r="JA434"/>
      <c r="JB434"/>
      <c r="JC434"/>
    </row>
    <row r="435" spans="1:263" ht="15" customHeight="1">
      <c r="A435" s="19">
        <v>102022068</v>
      </c>
      <c r="B435" t="s">
        <v>2813</v>
      </c>
      <c r="C435" s="10"/>
      <c r="D435" s="161"/>
      <c r="E435" s="147"/>
      <c r="F435" s="160"/>
      <c r="G435" s="150">
        <v>220002280</v>
      </c>
      <c r="H435" s="10"/>
      <c r="I435" s="10"/>
      <c r="J435" s="10" t="s">
        <v>311</v>
      </c>
      <c r="K435" s="10" t="s">
        <v>3055</v>
      </c>
      <c r="L435" s="10" t="s">
        <v>5988</v>
      </c>
      <c r="M435" s="10" t="s">
        <v>428</v>
      </c>
      <c r="N435" s="10" t="s">
        <v>341</v>
      </c>
      <c r="O435" s="147"/>
      <c r="P435" s="10"/>
      <c r="Q435" s="10"/>
      <c r="R435" s="10"/>
      <c r="S435" s="10"/>
      <c r="T435" s="10"/>
      <c r="U435" s="10"/>
      <c r="V435" s="10"/>
      <c r="W435" s="10"/>
      <c r="X435" s="10"/>
      <c r="Y435" s="10"/>
      <c r="Z435" s="10"/>
      <c r="AA435" s="10"/>
      <c r="AB435" s="10"/>
      <c r="AC435" s="10"/>
      <c r="AD435" s="10"/>
      <c r="AE435" s="10"/>
      <c r="AF435" s="10"/>
      <c r="AG435" s="141"/>
      <c r="AH435" s="10"/>
      <c r="AI435" s="10"/>
      <c r="AK435" s="1"/>
      <c r="AM435"/>
      <c r="AN435"/>
      <c r="AO435" t="s">
        <v>3056</v>
      </c>
      <c r="AP435" s="1" t="s">
        <v>258</v>
      </c>
      <c r="AQ435" t="s">
        <v>386</v>
      </c>
      <c r="AR435" t="s">
        <v>260</v>
      </c>
      <c r="AX435" s="1"/>
      <c r="AY435" s="1"/>
      <c r="AZ435" s="1"/>
      <c r="BA435" s="1"/>
      <c r="BB435" s="1"/>
      <c r="BC435" s="70"/>
      <c r="BD435" s="115"/>
      <c r="BE435" s="144"/>
      <c r="BF435" s="70"/>
      <c r="BG435" s="2"/>
      <c r="BH435" s="70"/>
      <c r="BI435" s="70"/>
      <c r="BJ435" s="70"/>
      <c r="BK435" s="70"/>
      <c r="BL435" s="20">
        <f ca="1">SUM(EB435)+220</f>
        <v>2854.1275416666663</v>
      </c>
      <c r="BM435" s="22">
        <f ca="1">PMT(10%/12,12,BL435,0,0)</f>
        <v>-250.92315509323112</v>
      </c>
      <c r="BN435" s="22">
        <f ca="1">SUM(BM435*-1)</f>
        <v>250.92315509323112</v>
      </c>
      <c r="BO435" s="14">
        <f>SUM(EJ435*0.0052)/12</f>
        <v>47.146666666666668</v>
      </c>
      <c r="BP435" s="22">
        <f ca="1">SUM(BN435+BO435)</f>
        <v>298.06982175989776</v>
      </c>
      <c r="BQ435" s="14">
        <v>255.95</v>
      </c>
      <c r="BR435" s="14">
        <f>SUM(BQ435*0.1)</f>
        <v>25.594999999999999</v>
      </c>
      <c r="BS435" s="14">
        <f ca="1">SUM(BT435*BU435)</f>
        <v>96.194541666666609</v>
      </c>
      <c r="BT435" s="17">
        <f>SUM((BQ435+BR435)*0.00833333333333333)</f>
        <v>2.3462083333333319</v>
      </c>
      <c r="BU435" s="23">
        <f ca="1">MONTH(TODAY())+37</f>
        <v>41</v>
      </c>
      <c r="BV435" s="14">
        <f ca="1">SUM(BQ435,BR435,BS435)</f>
        <v>377.73954166666658</v>
      </c>
      <c r="BW435" s="14">
        <f>SUM(EG435*0.0052)</f>
        <v>361.4</v>
      </c>
      <c r="BX435" s="14">
        <f>SUM(BW435*0.1)</f>
        <v>36.14</v>
      </c>
      <c r="BY435" s="14">
        <f ca="1">SUM(BZ435*CA435)</f>
        <v>135.82616666666658</v>
      </c>
      <c r="BZ435" s="17">
        <f>SUM((BW435+BX435)*0.00833333333333333)</f>
        <v>3.3128333333333315</v>
      </c>
      <c r="CA435" s="167">
        <f ca="1">MONTH(TODAY())+37</f>
        <v>41</v>
      </c>
      <c r="CB435" s="14">
        <f ca="1">SUM(BW435,BX435,BY435)</f>
        <v>533.36616666666657</v>
      </c>
      <c r="CC435" s="14">
        <f>SUM(EG435*0.0052)/2</f>
        <v>180.7</v>
      </c>
      <c r="CD435" s="14">
        <f>SUM(CC435*0.1)</f>
        <v>18.07</v>
      </c>
      <c r="CE435" s="14">
        <f ca="1">SUM(CF435*CG435)</f>
        <v>54.661749999999969</v>
      </c>
      <c r="CF435" s="17">
        <f>SUM((CC435+CD435)*0.00833333333333333)</f>
        <v>1.6564166666666658</v>
      </c>
      <c r="CG435" s="167">
        <f ca="1">MONTH(TODAY())+29</f>
        <v>33</v>
      </c>
      <c r="CH435" s="23">
        <f ca="1">SUM(CC435,CD435,CE435)</f>
        <v>253.43174999999997</v>
      </c>
      <c r="CI435" s="14">
        <f>SUM(EG435*0.0052)/2</f>
        <v>180.7</v>
      </c>
      <c r="CJ435" s="14">
        <f>SUM(CI435*0.1)</f>
        <v>18.07</v>
      </c>
      <c r="CK435" s="14">
        <f ca="1">SUM(CL435*CM435)</f>
        <v>48.036083333333309</v>
      </c>
      <c r="CL435" s="17">
        <f>SUM((CI435+CJ435)*0.00833333333333333)</f>
        <v>1.6564166666666658</v>
      </c>
      <c r="CM435" s="58">
        <f ca="1">MONTH(TODAY())+25</f>
        <v>29</v>
      </c>
      <c r="CN435" s="14">
        <f ca="1">SUM(CI435,CJ435,CK435)</f>
        <v>246.80608333333328</v>
      </c>
      <c r="CO435" s="14">
        <f>SUM(EJ435*0.0045)/2</f>
        <v>244.79999999999998</v>
      </c>
      <c r="CP435" s="14">
        <f>SUM(CO435*0.1)</f>
        <v>24.48</v>
      </c>
      <c r="CQ435" s="14">
        <f ca="1">SUM(CR435*CS435)</f>
        <v>51.611999999999973</v>
      </c>
      <c r="CR435" s="17">
        <f>SUM((CO435+CP435)*0.00833333333333333)</f>
        <v>2.2439999999999989</v>
      </c>
      <c r="CS435" s="58">
        <f ca="1">MONTH(TODAY())+19</f>
        <v>23</v>
      </c>
      <c r="CT435" s="14">
        <f ca="1">SUM(CO435,CP435,CQ435)</f>
        <v>320.89199999999994</v>
      </c>
      <c r="CU435" s="14">
        <f>SUM(EJ435*0.0045)/2</f>
        <v>244.79999999999998</v>
      </c>
      <c r="CV435" s="14">
        <f>SUM(CU435*0.1)</f>
        <v>24.48</v>
      </c>
      <c r="CW435" s="14">
        <f ca="1">SUM(CX435*CY435)</f>
        <v>38.147999999999982</v>
      </c>
      <c r="CX435" s="17">
        <f>SUM((CU435+CV435)*0.00833333333333333)</f>
        <v>2.2439999999999989</v>
      </c>
      <c r="CY435" s="58">
        <f ca="1">MONTH(TODAY())+13</f>
        <v>17</v>
      </c>
      <c r="CZ435" s="14">
        <f ca="1">SUM(CU435,CV435,CW435)</f>
        <v>307.42799999999994</v>
      </c>
      <c r="DA435" s="14">
        <f>SUM(EJ435*0.0045)/2</f>
        <v>244.79999999999998</v>
      </c>
      <c r="DB435" s="14">
        <f>SUM(DA435*0.1)</f>
        <v>24.48</v>
      </c>
      <c r="DC435" s="14">
        <f ca="1">SUM(DD435*DE435)</f>
        <v>24.683999999999987</v>
      </c>
      <c r="DD435" s="17">
        <f>SUM((DA435+DB435)*0.00833333333333333)</f>
        <v>2.2439999999999989</v>
      </c>
      <c r="DE435" s="58">
        <f ca="1">MONTH(TODAY())+7</f>
        <v>11</v>
      </c>
      <c r="DF435" s="14">
        <f ca="1">SUM(DA435,DB435,DC435)</f>
        <v>293.96399999999994</v>
      </c>
      <c r="DG435" s="180">
        <f>SUM(EJ435*0.0045)/2</f>
        <v>244.79999999999998</v>
      </c>
      <c r="DH435" s="14">
        <f>SUM(DG435*0.1)</f>
        <v>24.48</v>
      </c>
      <c r="DI435" s="103">
        <f ca="1">SUM(DJ435*DK435)</f>
        <v>11.219999999999995</v>
      </c>
      <c r="DJ435" s="17">
        <f>SUM((DG435+DH435)*0.00833333333333333)</f>
        <v>2.2439999999999989</v>
      </c>
      <c r="DK435" s="58">
        <f ca="1">MONTH(TODAY())+1</f>
        <v>5</v>
      </c>
      <c r="DL435" s="14">
        <f ca="1">SUM(DG435,DH435,DI435)</f>
        <v>280.49999999999994</v>
      </c>
      <c r="DM435" s="192">
        <f>SUM(BQ435, BW435, CC435,CI435,CO435,CU435,DA435,DG435)</f>
        <v>1957.9499999999998</v>
      </c>
      <c r="DN435" s="192">
        <f>SUM(BR435,BX435, CD435,CJ435,CP435,CV435,DB435,DH435)</f>
        <v>195.79499999999999</v>
      </c>
      <c r="DO435" s="192">
        <f ca="1">SUM(BS435,BY435, CE435,CK435,CQ435,CW435,DC435,DI435)</f>
        <v>460.38254166666633</v>
      </c>
      <c r="DP435" s="25">
        <f ca="1">SUM(DM435:DO435)</f>
        <v>2614.1275416666663</v>
      </c>
      <c r="DQ435" s="47">
        <f ca="1">SUM(DP435/EG435)</f>
        <v>3.7613345923261383E-2</v>
      </c>
      <c r="DR435" s="14">
        <v>19.5</v>
      </c>
      <c r="DS435" s="32">
        <f>COUNTIF(AO435, "*")+COUNTIF(AJ435, "*")+COUNTIF(AA435, "*")+COUNTIF(EU435, "*")+COUNTIF(FA435, "*")+COUNTIF(FG435, "*")+COUNTIF(FK435, "*")+COUNTIF(FR435, "*")+COUNTIF(AT435, "*")+COUNTIF(GA435, "*")+COUNTIF(GL435, "*")+COUNTIF(GW435, "*")+COUNTIF(HE435, "*")+COUNTIF(HM435, "*")+COUNTIF(HU435, "*")</f>
        <v>1</v>
      </c>
      <c r="DT435" s="14">
        <f>DS435*0.5</f>
        <v>0.5</v>
      </c>
      <c r="DU435" s="4"/>
      <c r="DV435" s="4"/>
      <c r="DW435" s="4"/>
      <c r="DX435" s="4"/>
      <c r="DY435" s="4"/>
      <c r="DZ435" s="4"/>
      <c r="EA435" s="14">
        <f>SUM(DU435:DZ435)</f>
        <v>0</v>
      </c>
      <c r="EB435" s="103">
        <f ca="1">SUM(DP435,DR435,EA435,DT435,FX435)</f>
        <v>2634.1275416666663</v>
      </c>
      <c r="EC435" s="24" t="s">
        <v>2773</v>
      </c>
      <c r="ED435" s="7">
        <v>1</v>
      </c>
      <c r="EE435" s="4">
        <v>20000</v>
      </c>
      <c r="EF435" s="4">
        <v>49500</v>
      </c>
      <c r="EG435" s="14">
        <f>SUM(EE435+EF435)</f>
        <v>69500</v>
      </c>
      <c r="EH435" s="14">
        <v>22000</v>
      </c>
      <c r="EI435" s="14">
        <v>86800</v>
      </c>
      <c r="EJ435" s="14">
        <f>SUM(EH435+EI435)</f>
        <v>108800</v>
      </c>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9"/>
      <c r="FP435" s="10"/>
      <c r="FQ435" s="10"/>
      <c r="FR435" s="10"/>
      <c r="FS435" s="10"/>
      <c r="FT435" s="10"/>
      <c r="FU435" s="10"/>
      <c r="FV435" s="9"/>
      <c r="FW435" s="10"/>
      <c r="FX435" s="10"/>
      <c r="FY435" s="10"/>
      <c r="FZ435" s="10"/>
      <c r="GA435" s="10"/>
      <c r="GB435" s="10"/>
      <c r="GC435" s="10"/>
      <c r="GD435" s="10"/>
      <c r="GE435" s="9"/>
      <c r="GF435" s="10"/>
      <c r="GG435" s="10"/>
      <c r="GH435" s="10"/>
      <c r="GI435" s="10"/>
      <c r="GJ435" s="10"/>
      <c r="GK435" s="10"/>
      <c r="GL435" s="10"/>
      <c r="GM435" s="10"/>
      <c r="GN435" s="10"/>
      <c r="GO435" s="10"/>
      <c r="GP435" s="9"/>
      <c r="GQ435" s="10"/>
      <c r="GR435" s="10"/>
      <c r="GS435" s="10"/>
      <c r="GT435" s="10"/>
      <c r="GU435" s="10"/>
      <c r="GV435" s="10"/>
      <c r="GW435" s="10"/>
      <c r="GX435" s="10"/>
      <c r="GY435" s="10"/>
      <c r="GZ435" s="10"/>
      <c r="HA435" s="9"/>
      <c r="HB435" s="10"/>
      <c r="HC435" s="10"/>
      <c r="HD435" s="10"/>
      <c r="HE435" s="10"/>
      <c r="HF435" s="10"/>
      <c r="HG435" s="10"/>
      <c r="HH435" s="10"/>
      <c r="HI435" s="9"/>
      <c r="HJ435" s="10"/>
      <c r="HK435" s="10"/>
      <c r="HL435" s="10"/>
      <c r="HM435" s="10"/>
      <c r="HN435" s="10"/>
      <c r="HO435" s="10"/>
      <c r="HP435" s="10"/>
      <c r="HQ435" s="9"/>
      <c r="HR435" s="10"/>
      <c r="HS435" s="10"/>
      <c r="HT435" s="10"/>
      <c r="HU435" s="10"/>
      <c r="HV435" s="10"/>
      <c r="HW435" s="10"/>
      <c r="HX435" s="10"/>
      <c r="HY435" s="9"/>
      <c r="HZ435" s="4"/>
      <c r="IA435" s="4"/>
      <c r="IB435" s="10"/>
      <c r="IC435" s="10"/>
      <c r="ID435" s="10"/>
      <c r="IE435" s="10"/>
      <c r="IF435" s="4"/>
      <c r="IG435" s="4"/>
      <c r="IH435" s="14">
        <f ca="1">SUM(HZ435-EB435-FX435-IF435)</f>
        <v>-2634.1275416666663</v>
      </c>
      <c r="II435" s="14"/>
      <c r="IJ435" s="14"/>
      <c r="IK435" s="9"/>
      <c r="IL435" s="9"/>
      <c r="IM435" s="9"/>
      <c r="IN435" s="9"/>
      <c r="IO435" s="9"/>
      <c r="IP435" t="s">
        <v>5913</v>
      </c>
    </row>
    <row r="436" spans="1:263" ht="15" customHeight="1">
      <c r="A436" s="19">
        <v>102021081</v>
      </c>
      <c r="B436" s="18" t="s">
        <v>2574</v>
      </c>
      <c r="C436" s="18"/>
      <c r="D436" s="13"/>
      <c r="E436" s="24" t="s">
        <v>3720</v>
      </c>
      <c r="F436" s="24">
        <v>220002134</v>
      </c>
      <c r="G436" s="18"/>
      <c r="H436" s="18"/>
      <c r="I436" s="18"/>
      <c r="J436" s="18" t="s">
        <v>311</v>
      </c>
      <c r="K436" s="18" t="s">
        <v>2575</v>
      </c>
      <c r="L436" s="18" t="s">
        <v>2576</v>
      </c>
      <c r="M436" s="18" t="s">
        <v>469</v>
      </c>
      <c r="N436" s="18"/>
      <c r="O436" s="18"/>
      <c r="P436" s="18"/>
      <c r="Q436" s="18"/>
      <c r="R436" s="18"/>
      <c r="S436" s="18"/>
      <c r="T436" s="18"/>
      <c r="U436" s="18"/>
      <c r="V436" s="18"/>
      <c r="W436" s="18"/>
      <c r="X436" s="18"/>
      <c r="Y436" s="18"/>
      <c r="Z436" s="18"/>
      <c r="AA436" s="18"/>
      <c r="AB436" s="18"/>
      <c r="AC436" s="18"/>
      <c r="AD436" s="18"/>
      <c r="AE436" s="18"/>
      <c r="AF436" s="18"/>
      <c r="AG436" s="26"/>
      <c r="AH436" s="18"/>
      <c r="AI436" s="18"/>
      <c r="AJ436" s="18" t="s">
        <v>2577</v>
      </c>
      <c r="AK436" s="18" t="s">
        <v>258</v>
      </c>
      <c r="AL436" s="18" t="s">
        <v>386</v>
      </c>
      <c r="AM436" s="18" t="s">
        <v>260</v>
      </c>
      <c r="AN436" s="18"/>
      <c r="AO436" s="24" t="s">
        <v>2578</v>
      </c>
      <c r="AP436" s="24" t="s">
        <v>258</v>
      </c>
      <c r="AQ436" s="18" t="s">
        <v>2579</v>
      </c>
      <c r="AR436" s="18"/>
      <c r="AS436" s="13" t="s">
        <v>258</v>
      </c>
      <c r="AT436" s="13" t="s">
        <v>258</v>
      </c>
      <c r="AU436" s="13"/>
      <c r="AV436" s="13"/>
      <c r="AW436" s="13"/>
      <c r="AX436" s="70">
        <v>44648</v>
      </c>
      <c r="AY436" s="115">
        <v>44598</v>
      </c>
      <c r="AZ436" s="114">
        <v>44615</v>
      </c>
      <c r="BA436" s="19"/>
      <c r="BB436" s="19"/>
      <c r="BC436" s="19"/>
      <c r="BD436" s="19"/>
      <c r="BE436" s="19"/>
      <c r="BF436" s="19"/>
      <c r="BG436" s="20">
        <f ca="1">SUM(CZ436)+214.5</f>
        <v>1758.1525666666666</v>
      </c>
      <c r="BH436" s="22">
        <f ca="1">PMT(10%/12,12,BG436,0,0)</f>
        <v>-154.56954278421858</v>
      </c>
      <c r="BI436" s="22">
        <f ca="1">SUM(BH436*-1)</f>
        <v>154.56954278421858</v>
      </c>
      <c r="BJ436" s="14">
        <f>SUM(DJ436*0.0052)/12</f>
        <v>23.14</v>
      </c>
      <c r="BK436" s="22">
        <f ca="1">SUM(BI436+BJ436)</f>
        <v>177.70954278421857</v>
      </c>
      <c r="BL436" s="14"/>
      <c r="BM436" s="14">
        <f>SUM(BL436*0.1)</f>
        <v>0</v>
      </c>
      <c r="BN436" s="14">
        <f ca="1">SUM(BO436*BP436)</f>
        <v>0</v>
      </c>
      <c r="BO436" s="17">
        <f>SUM((BL436+BM436)*0.00833333333333333)</f>
        <v>0</v>
      </c>
      <c r="BP436" s="23">
        <f ca="1">MONTH(TODAY())+49</f>
        <v>53</v>
      </c>
      <c r="BQ436" s="14">
        <f ca="1">SUM(BL436,BM436,BN436)</f>
        <v>0</v>
      </c>
      <c r="BR436" s="14"/>
      <c r="BS436" s="14">
        <f>SUM(BR436*0.1)</f>
        <v>0</v>
      </c>
      <c r="BT436" s="14">
        <f ca="1">SUM(BU436*BV436)</f>
        <v>0</v>
      </c>
      <c r="BU436" s="17">
        <f>SUM((BR436+BS436)*0.00833333333333333)</f>
        <v>0</v>
      </c>
      <c r="BV436" s="23">
        <f ca="1">MONTH(TODAY())+37</f>
        <v>41</v>
      </c>
      <c r="BW436" s="14">
        <f ca="1">SUM(BR436,BS436,BT436)</f>
        <v>0</v>
      </c>
      <c r="BX436" s="14">
        <v>1.88</v>
      </c>
      <c r="BY436" s="14">
        <f>SUM(BX436*0.1)</f>
        <v>0.188</v>
      </c>
      <c r="BZ436" s="14">
        <f ca="1">SUM(CA436*CB436)</f>
        <v>0.49976666666666647</v>
      </c>
      <c r="CA436" s="17">
        <f>SUM((BX436+BY436)*0.00833333333333333)</f>
        <v>1.7233333333333326E-2</v>
      </c>
      <c r="CB436" s="23">
        <f ca="1">MONTH(TODAY())+25</f>
        <v>29</v>
      </c>
      <c r="CC436" s="14">
        <f ca="1">SUM(BX436,BY436,BZ436)</f>
        <v>2.5677666666666665</v>
      </c>
      <c r="CD436" s="14">
        <f>SUM(DJ436*0.0052)</f>
        <v>277.68</v>
      </c>
      <c r="CE436" s="14">
        <f>SUM(CD436*0.1)</f>
        <v>27.768000000000001</v>
      </c>
      <c r="CF436" s="14">
        <f ca="1">SUM(CG436*CH436)</f>
        <v>43.271799999999978</v>
      </c>
      <c r="CG436" s="17">
        <f>SUM((CD436+CE436)*0.00833333333333333)</f>
        <v>2.5453999999999986</v>
      </c>
      <c r="CH436" s="23">
        <f ca="1">MONTH(TODAY())+13</f>
        <v>17</v>
      </c>
      <c r="CI436" s="14">
        <f ca="1">SUM(CD436,CE436,CF436)</f>
        <v>348.71979999999996</v>
      </c>
      <c r="CJ436" s="14">
        <f>SUM(DJ436*0.0052)</f>
        <v>277.68</v>
      </c>
      <c r="CK436" s="14">
        <f>SUM(CJ436*0.1)</f>
        <v>27.768000000000001</v>
      </c>
      <c r="CL436" s="14">
        <f ca="1">SUM(CM436*CN436)</f>
        <v>12.726999999999993</v>
      </c>
      <c r="CM436" s="17">
        <f>SUM((CJ436+CK436)*0.00833333333333333)</f>
        <v>2.5453999999999986</v>
      </c>
      <c r="CN436" s="23">
        <f ca="1">MONTH(TODAY())+1</f>
        <v>5</v>
      </c>
      <c r="CO436" s="14">
        <f ca="1">SUM(CJ436,CK436,CL436)</f>
        <v>318.17499999999995</v>
      </c>
      <c r="CP436" s="14">
        <f>SUM(DJ436*0.0052)/2</f>
        <v>138.84</v>
      </c>
      <c r="CQ436" s="14">
        <f>SUM(BL436, BR436, BX436, CD436, CJ436, CP436)</f>
        <v>696.08</v>
      </c>
      <c r="CR436" s="14">
        <f>SUM(BM436, BS436,BY436,CE436,CK436)</f>
        <v>55.724000000000004</v>
      </c>
      <c r="CS436" s="14">
        <f ca="1">SUM(BN436, BT436,BZ436,CF436,CL436)</f>
        <v>56.498566666666633</v>
      </c>
      <c r="CT436" s="14">
        <f ca="1">SUM(CQ436:CS436)</f>
        <v>808.30256666666673</v>
      </c>
      <c r="CU436" s="47">
        <f ca="1">SUM(CT436/DJ436)</f>
        <v>1.513675218476904E-2</v>
      </c>
      <c r="CV436" s="14">
        <f>19.5+19.5+195+195+58.5+39</f>
        <v>526.5</v>
      </c>
      <c r="CW436" s="32">
        <f>COUNTIF(DC436, "*")+COUNTIF(AO436, "*")+COUNTIF(AJ436, "*")+COUNTIF(AA436, "*")+COUNTIF(DZ436, "*")+COUNTIF(EF436, "*")+COUNTIF(EL436, "*")+COUNTIF(EP436, "*")+COUNTIF(EW436, "*")+COUNTIF(FD436, "*")+COUNTIF(FK436, "*")+COUNTIF(FV436, "*")+COUNTIF(GG436, "*")+COUNTIF(GO436, "*")+COUNTIF(GW436, "*")+COUNTIF(HE436, "*")+COUNTIF(HM436, "*")</f>
        <v>2</v>
      </c>
      <c r="CX436" s="14">
        <f>CW436*0.5+CW436*6.66</f>
        <v>14.32</v>
      </c>
      <c r="CY436" s="14">
        <v>150</v>
      </c>
      <c r="CZ436" s="14">
        <f ca="1">SUM(CT436,CV436,DF436, CY436, CX436,FH436)</f>
        <v>1543.6525666666666</v>
      </c>
      <c r="DA436" s="14">
        <v>44.53</v>
      </c>
      <c r="DB436" s="18"/>
      <c r="DC436" s="18"/>
      <c r="DD436" s="18"/>
      <c r="DE436" s="18"/>
      <c r="DF436" s="14">
        <f>SUM(DA436:DE436)</f>
        <v>44.53</v>
      </c>
      <c r="DG436" s="24" t="s">
        <v>2770</v>
      </c>
      <c r="DH436" s="14">
        <v>40600</v>
      </c>
      <c r="DI436" s="14">
        <v>12800</v>
      </c>
      <c r="DJ436" s="25">
        <f>SUM(DH436+DI436)</f>
        <v>53400</v>
      </c>
      <c r="DK436" s="36">
        <v>5.1100000000000003</v>
      </c>
      <c r="DL436" s="18" t="s">
        <v>3376</v>
      </c>
      <c r="DM436" s="18" t="s">
        <v>3377</v>
      </c>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4"/>
      <c r="IE436" s="18"/>
      <c r="IF436" s="18"/>
      <c r="IG436" s="18"/>
      <c r="IH436" s="18"/>
      <c r="II436" s="18"/>
    </row>
    <row r="437" spans="1:263" s="18" customFormat="1" ht="15" customHeight="1">
      <c r="A437" s="2">
        <v>102024074</v>
      </c>
      <c r="B437" t="s">
        <v>2574</v>
      </c>
      <c r="C437"/>
      <c r="D437" s="1"/>
      <c r="E437" s="3"/>
      <c r="F437"/>
      <c r="G437" s="3"/>
      <c r="H437"/>
      <c r="I437"/>
      <c r="J437" t="s">
        <v>311</v>
      </c>
      <c r="K437" s="18" t="s">
        <v>2575</v>
      </c>
      <c r="L437" s="18" t="s">
        <v>2576</v>
      </c>
      <c r="M437" t="s">
        <v>469</v>
      </c>
      <c r="N437"/>
      <c r="O437" s="3"/>
      <c r="P437"/>
      <c r="Q437"/>
      <c r="R437"/>
      <c r="S437"/>
      <c r="T437"/>
      <c r="U437"/>
      <c r="V437"/>
      <c r="W437"/>
      <c r="X437"/>
      <c r="Y437"/>
      <c r="Z437"/>
      <c r="AA437"/>
      <c r="AB437"/>
      <c r="AC437"/>
      <c r="AD437"/>
      <c r="AE437"/>
      <c r="AF437"/>
      <c r="AG437" s="43"/>
      <c r="AH437"/>
      <c r="AI437"/>
      <c r="AJ437" s="18" t="s">
        <v>2577</v>
      </c>
      <c r="AK437" s="1" t="s">
        <v>258</v>
      </c>
      <c r="AL437" s="18" t="s">
        <v>386</v>
      </c>
      <c r="AM437" t="s">
        <v>260</v>
      </c>
      <c r="AN437"/>
      <c r="AO437" t="s">
        <v>2578</v>
      </c>
      <c r="AP437" s="1" t="s">
        <v>258</v>
      </c>
      <c r="AQ437" t="s">
        <v>2579</v>
      </c>
      <c r="AR437"/>
      <c r="AS437" s="10"/>
      <c r="AT437" s="10"/>
      <c r="AU437" s="10"/>
      <c r="AV437" s="10"/>
      <c r="AW437" s="1"/>
      <c r="AX437"/>
      <c r="AY437" s="1"/>
      <c r="AZ437" s="1"/>
      <c r="BA437" s="1"/>
      <c r="BB437" s="1"/>
      <c r="BC437" s="2"/>
      <c r="BD437" s="115">
        <v>45408</v>
      </c>
      <c r="BE437" s="144">
        <v>45427</v>
      </c>
      <c r="BF437" s="2"/>
      <c r="BG437" s="2"/>
      <c r="BH437" s="2"/>
      <c r="BI437" s="2"/>
      <c r="BJ437" s="2"/>
      <c r="BK437" s="2"/>
      <c r="BL437" s="20">
        <f>SUM(EN437)+220</f>
        <v>1517.3709749999998</v>
      </c>
      <c r="BM437" s="22">
        <f>PMT(10%/12,12,BL437,0,0)</f>
        <v>-133.40101552418969</v>
      </c>
      <c r="BN437" s="22">
        <f>SUM(BM437*-1)</f>
        <v>133.40101552418969</v>
      </c>
      <c r="BO437" s="14">
        <f>SUM(EV437*0.0052)/12</f>
        <v>25.263333333333332</v>
      </c>
      <c r="BP437" s="22">
        <f>SUM(BN437+BO437)</f>
        <v>158.66434885752301</v>
      </c>
      <c r="BQ437" s="14"/>
      <c r="BR437" s="14">
        <f>SUM(BQ437*0.1)</f>
        <v>0</v>
      </c>
      <c r="BS437" s="14">
        <f ca="1">SUM(BT437*BU437)</f>
        <v>0</v>
      </c>
      <c r="BT437" s="17">
        <f>SUM((BQ437+BR437)*0.00833333333333333)</f>
        <v>0</v>
      </c>
      <c r="BU437" s="23">
        <f ca="1">MONTH(TODAY())+61</f>
        <v>65</v>
      </c>
      <c r="BV437" s="14">
        <f ca="1">SUM(BQ437,BR437,BS437)</f>
        <v>0</v>
      </c>
      <c r="BW437" s="14"/>
      <c r="BX437" s="14">
        <f>SUM(BW437*0.1)</f>
        <v>0</v>
      </c>
      <c r="BY437" s="14">
        <f ca="1">SUM(BZ437*CA437)</f>
        <v>0</v>
      </c>
      <c r="BZ437" s="17">
        <f>SUM((BW437+BX437)*0.00833333333333333)</f>
        <v>0</v>
      </c>
      <c r="CA437" s="23">
        <f ca="1">MONTH(TODAY())+49</f>
        <v>53</v>
      </c>
      <c r="CB437" s="14">
        <f ca="1">SUM(BW437,BX437,BY437)</f>
        <v>0</v>
      </c>
      <c r="CC437" s="14">
        <v>0</v>
      </c>
      <c r="CD437" s="14">
        <f>SUM(CC437*0.1)</f>
        <v>0</v>
      </c>
      <c r="CE437" s="14">
        <f ca="1">SUM(CF437*CG437)</f>
        <v>0</v>
      </c>
      <c r="CF437" s="17">
        <f>SUM((CC437+CD437)*0.00833333333333333)</f>
        <v>0</v>
      </c>
      <c r="CG437" s="23">
        <f ca="1">MONTH(TODAY())+37</f>
        <v>41</v>
      </c>
      <c r="CH437" s="14">
        <f ca="1">SUM(CC437,CD437,CE437)</f>
        <v>0</v>
      </c>
      <c r="CI437" s="14">
        <v>0</v>
      </c>
      <c r="CJ437" s="14">
        <f>SUM(CI437*0.1)</f>
        <v>0</v>
      </c>
      <c r="CK437" s="14">
        <f ca="1">SUM(CL437*CM437)</f>
        <v>0</v>
      </c>
      <c r="CL437" s="17">
        <f>SUM((CI437+CJ437)*0.00833333333333333)</f>
        <v>0</v>
      </c>
      <c r="CM437" s="23">
        <f ca="1">MONTH(TODAY())+25</f>
        <v>29</v>
      </c>
      <c r="CN437" s="14">
        <f ca="1">SUM(CI437,CJ437,CK437)</f>
        <v>0</v>
      </c>
      <c r="CO437" s="14">
        <f>SUM(ES437*0.0052)/2</f>
        <v>138.84</v>
      </c>
      <c r="CP437" s="14">
        <f>SUM(CO437*0.1)</f>
        <v>13.884</v>
      </c>
      <c r="CQ437" s="14">
        <f ca="1">SUM(CR437*CS437)</f>
        <v>26.726699999999983</v>
      </c>
      <c r="CR437" s="17">
        <f>SUM((CO437+CP437)*0.00833333333333333)</f>
        <v>1.2726999999999993</v>
      </c>
      <c r="CS437" s="23">
        <f ca="1">MONTH(TODAY())+17</f>
        <v>21</v>
      </c>
      <c r="CT437" s="23">
        <f ca="1">SUM(CO437,CP437,CQ437)</f>
        <v>179.45069999999998</v>
      </c>
      <c r="CU437" s="14">
        <f>SUM(ES437*0.0052)/2</f>
        <v>138.84</v>
      </c>
      <c r="CV437" s="14">
        <f>SUM(CU437*0.1)</f>
        <v>13.884</v>
      </c>
      <c r="CW437" s="14">
        <f ca="1">SUM(CX437*CY437)</f>
        <v>21.635899999999989</v>
      </c>
      <c r="CX437" s="17">
        <f>SUM((CU437+CV437)*0.00833333333333333)</f>
        <v>1.2726999999999993</v>
      </c>
      <c r="CY437" s="23">
        <f ca="1">MONTH(TODAY())+13</f>
        <v>17</v>
      </c>
      <c r="CZ437" s="23">
        <f ca="1">SUM(CU437,CV437,CW437)</f>
        <v>174.35989999999998</v>
      </c>
      <c r="DA437" s="14">
        <f>SUM(EV437*0.0045)/2</f>
        <v>131.17499999999998</v>
      </c>
      <c r="DB437" s="14">
        <f>SUM(DA437*0.1)</f>
        <v>13.1175</v>
      </c>
      <c r="DC437" s="14">
        <f ca="1">SUM(DD437*DE437)</f>
        <v>13.226812499999994</v>
      </c>
      <c r="DD437" s="17">
        <f>SUM((DA437+DB437)*0.00833333333333333)</f>
        <v>1.2024374999999994</v>
      </c>
      <c r="DE437" s="23">
        <f ca="1">MONTH(TODAY())+7</f>
        <v>11</v>
      </c>
      <c r="DF437" s="23">
        <f ca="1">SUM(DA437,DB437,DC437)</f>
        <v>157.51931249999998</v>
      </c>
      <c r="DG437" s="14">
        <f>SUM(EV437*0.0045)/2</f>
        <v>131.17499999999998</v>
      </c>
      <c r="DH437" s="14">
        <f>SUM(DG437*0.1)</f>
        <v>13.1175</v>
      </c>
      <c r="DI437" s="14">
        <f ca="1">SUM(DJ437*DK437)</f>
        <v>6.0121874999999969</v>
      </c>
      <c r="DJ437" s="17">
        <f>SUM((DG437+DH437)*0.00833333333333333)</f>
        <v>1.2024374999999994</v>
      </c>
      <c r="DK437" s="23">
        <f ca="1">MONTH(TODAY())+1</f>
        <v>5</v>
      </c>
      <c r="DL437" s="14">
        <f ca="1">SUM(DG437,DH437,DI437)</f>
        <v>150.3046875</v>
      </c>
      <c r="DM437" s="14">
        <f>SUM(EV437*0.0045)/2</f>
        <v>131.17499999999998</v>
      </c>
      <c r="DN437" s="14">
        <f>0</f>
        <v>0</v>
      </c>
      <c r="DO437" s="14">
        <f>0</f>
        <v>0</v>
      </c>
      <c r="DP437" s="17">
        <f>SUM((DM437+DN437)*0.00833333333333333)</f>
        <v>1.0931249999999995</v>
      </c>
      <c r="DQ437" s="23">
        <f ca="1">MONTH(TODAY())+7</f>
        <v>11</v>
      </c>
      <c r="DR437" s="23">
        <f>SUM(DM437,DN437,DO437)</f>
        <v>131.17499999999998</v>
      </c>
      <c r="DS437" s="14">
        <f>0</f>
        <v>0</v>
      </c>
      <c r="DT437" s="14">
        <f>0</f>
        <v>0</v>
      </c>
      <c r="DU437" s="14">
        <f ca="1">SUM(DV437*DW437)</f>
        <v>0</v>
      </c>
      <c r="DV437" s="17">
        <f>SUM((DS437+DT437)*0.00833333333333333)</f>
        <v>0</v>
      </c>
      <c r="DW437" s="23">
        <f ca="1">MONTH(TODAY())+1</f>
        <v>5</v>
      </c>
      <c r="DX437" s="14">
        <f ca="1">SUM(DS437,DT437,DU437)</f>
        <v>0</v>
      </c>
      <c r="DY437" s="14">
        <f>SUM( BQ437, BW437, CC437, CI437, CO437,CU437,DA437,DG437,DM437,DS437)</f>
        <v>671.20499999999993</v>
      </c>
      <c r="DZ437" s="14">
        <f>SUM(BR437,BX437,CD437,CJ437, CP437,CV437,DB437,DH437,DN437,DT437)</f>
        <v>54.003</v>
      </c>
      <c r="EA437" s="14">
        <f ca="1">SUM(BS437,BY437,CE437,CK437, CQ437,CW437,DC437,DI437,DO437,DU437)</f>
        <v>67.601599999999962</v>
      </c>
      <c r="EB437" s="25">
        <f ca="1">SUM(DY437:EA437)</f>
        <v>792.80959999999993</v>
      </c>
      <c r="EC437" s="47">
        <f ca="1">SUM(EB437/ES437)</f>
        <v>1.4846621722846442E-2</v>
      </c>
      <c r="ED437" s="14">
        <f>20+10+200</f>
        <v>230</v>
      </c>
      <c r="EE437" s="32">
        <f>COUNTIF(AO437, "*")+COUNTIF(AJ437, "*")+COUNTIF(AA437, "*")+COUNTIF(FG437, "*")+COUNTIF(FM437, "*")+COUNTIF(FS437, "*")+COUNTIF(FW437, "*")+COUNTIF(GD437, "*")+COUNTIF(AS437, "*")+COUNTIF(GM437, "*")+COUNTIF(GX437, "*")+COUNTIF(HI437, "*")+COUNTIF(HQ437, "*")+COUNTIF(HY437, "*")+COUNTIF(IG437, "*")</f>
        <v>2</v>
      </c>
      <c r="EF437" s="14">
        <f>1.28+EE437*8</f>
        <v>17.28</v>
      </c>
      <c r="EG437" s="4">
        <v>200</v>
      </c>
      <c r="EH437" s="4">
        <v>32.53</v>
      </c>
      <c r="EI437" s="4"/>
      <c r="EJ437" s="4"/>
      <c r="EK437"/>
      <c r="EL437" s="4"/>
      <c r="EM437" s="14">
        <f>SUM(EH437:EL437)</f>
        <v>32.53</v>
      </c>
      <c r="EN437" s="14">
        <v>1297.3709749999998</v>
      </c>
      <c r="EO437" s="24" t="s">
        <v>4935</v>
      </c>
      <c r="EP437" s="23">
        <v>5.1100000000000003</v>
      </c>
      <c r="EQ437" s="14">
        <v>40600</v>
      </c>
      <c r="ER437" s="14">
        <v>12800</v>
      </c>
      <c r="ES437" s="14">
        <f>SUM(EQ437+ER437)</f>
        <v>53400</v>
      </c>
      <c r="ET437" s="14">
        <v>42600</v>
      </c>
      <c r="EU437" s="14">
        <v>15700</v>
      </c>
      <c r="EV437" s="14">
        <f>SUM(ET437+EU437)</f>
        <v>58300</v>
      </c>
      <c r="EW437" s="10" t="s">
        <v>5681</v>
      </c>
      <c r="EX437" s="10" t="s">
        <v>5680</v>
      </c>
      <c r="EY437" s="10"/>
      <c r="EZ437" s="10"/>
      <c r="FA437" s="10"/>
      <c r="FB437" s="10"/>
      <c r="FC437" s="10"/>
      <c r="FD437" s="10"/>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s="4"/>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s="9"/>
      <c r="IL437"/>
      <c r="IM437"/>
      <c r="IN437"/>
      <c r="IO437"/>
      <c r="IP437"/>
      <c r="IQ437"/>
      <c r="IR437"/>
      <c r="IS437"/>
      <c r="IT437"/>
      <c r="IU437"/>
      <c r="IV437" s="4"/>
      <c r="IW437" s="4"/>
      <c r="IX437" s="4"/>
      <c r="IY437" s="9"/>
      <c r="IZ437" s="9"/>
      <c r="JA437" s="9"/>
      <c r="JB437" s="9"/>
      <c r="JC437" s="9"/>
    </row>
    <row r="438" spans="1:263" ht="15" customHeight="1">
      <c r="A438" s="2">
        <v>102019105</v>
      </c>
      <c r="B438" t="s">
        <v>1504</v>
      </c>
      <c r="E438" s="3" t="s">
        <v>1505</v>
      </c>
      <c r="F438" s="3"/>
      <c r="G438" s="3"/>
      <c r="H438" s="2"/>
      <c r="J438" t="s">
        <v>311</v>
      </c>
      <c r="K438" t="s">
        <v>1036</v>
      </c>
      <c r="L438" t="s">
        <v>1355</v>
      </c>
      <c r="O438" s="1"/>
      <c r="T438" s="1"/>
      <c r="AC438" s="3"/>
      <c r="AG438" s="272"/>
      <c r="CZ438" s="4"/>
      <c r="DA438" s="4"/>
      <c r="DB438" s="4"/>
      <c r="DC438" s="4"/>
      <c r="DE438" s="4"/>
      <c r="DF438" s="234"/>
      <c r="DG438" s="4"/>
      <c r="DS438" s="2"/>
      <c r="IW438" s="240"/>
      <c r="IX438" s="240"/>
      <c r="IY438" s="240"/>
    </row>
    <row r="439" spans="1:263" s="18" customFormat="1" ht="15" customHeight="1">
      <c r="A439" s="19">
        <v>102021115</v>
      </c>
      <c r="B439" t="s">
        <v>2701</v>
      </c>
      <c r="C439"/>
      <c r="D439"/>
      <c r="E439"/>
      <c r="F439"/>
      <c r="G439"/>
      <c r="H439"/>
      <c r="I439"/>
      <c r="J439" t="s">
        <v>311</v>
      </c>
      <c r="K439" t="s">
        <v>2702</v>
      </c>
      <c r="L439" t="s">
        <v>353</v>
      </c>
      <c r="M439" t="s">
        <v>396</v>
      </c>
      <c r="N439" s="4">
        <v>10000</v>
      </c>
      <c r="O439" s="4">
        <v>0</v>
      </c>
      <c r="P439" s="25">
        <f>SUM(N439+O439)</f>
        <v>10000</v>
      </c>
      <c r="Q439" s="25"/>
      <c r="R439" s="25"/>
      <c r="S439" s="25">
        <f>SUM(Q439+R439)</f>
        <v>0</v>
      </c>
      <c r="T439" s="18" t="s">
        <v>328</v>
      </c>
      <c r="U439"/>
      <c r="V439" s="18" t="s">
        <v>386</v>
      </c>
      <c r="W439"/>
      <c r="X439" t="s">
        <v>2703</v>
      </c>
      <c r="Y439" s="3" t="s">
        <v>2704</v>
      </c>
      <c r="Z439" s="3" t="s">
        <v>258</v>
      </c>
      <c r="AA439" t="s">
        <v>2705</v>
      </c>
      <c r="AB439" t="s">
        <v>2269</v>
      </c>
      <c r="AC439"/>
      <c r="AD439" s="13">
        <v>2023</v>
      </c>
      <c r="AE439" s="3"/>
      <c r="AF439" s="3"/>
      <c r="AG439"/>
      <c r="AH439"/>
      <c r="AI439"/>
      <c r="AJ439"/>
      <c r="AK439"/>
      <c r="AL439"/>
      <c r="AM439"/>
      <c r="AN439"/>
      <c r="AO439"/>
      <c r="AP439"/>
      <c r="AQ439"/>
      <c r="AR439"/>
      <c r="AS439"/>
      <c r="AT439" t="s">
        <v>2759</v>
      </c>
      <c r="AU439" t="s">
        <v>311</v>
      </c>
      <c r="AV439" t="s">
        <v>2702</v>
      </c>
      <c r="AW439" s="43" t="s">
        <v>2762</v>
      </c>
      <c r="AX439" t="s">
        <v>2760</v>
      </c>
      <c r="AY439" t="s">
        <v>2761</v>
      </c>
      <c r="AZ439" s="1"/>
      <c r="BA439" s="1"/>
      <c r="BB439" s="1"/>
      <c r="BC439" s="1"/>
      <c r="BD439" s="1"/>
      <c r="BE439" s="2"/>
      <c r="BF439" s="116"/>
      <c r="BG439" s="115">
        <v>44957</v>
      </c>
      <c r="BH439" s="2"/>
      <c r="BI439" s="2"/>
      <c r="BJ439" s="2"/>
      <c r="BK439" s="2"/>
      <c r="BL439" s="2"/>
      <c r="BM439" s="2"/>
      <c r="BN439" s="20">
        <f ca="1">SUM(DR439)+214.5</f>
        <v>987.35666666666668</v>
      </c>
      <c r="BO439" s="22">
        <f ca="1">PMT(10%/12,12,BN439,0,0)</f>
        <v>-86.804337362464835</v>
      </c>
      <c r="BP439" s="22">
        <f ca="1">SUM(BO439*-1)</f>
        <v>86.804337362464835</v>
      </c>
      <c r="BQ439" s="14">
        <f>SUM(S439*0.0052)/12</f>
        <v>0</v>
      </c>
      <c r="BR439" s="22">
        <f ca="1">SUM(BP439+BQ439)</f>
        <v>86.804337362464835</v>
      </c>
      <c r="BS439" s="14"/>
      <c r="BT439" s="14">
        <f>SUM(BS439*0.1)</f>
        <v>0</v>
      </c>
      <c r="BU439" s="14">
        <f ca="1">SUM(BV439*BW439)</f>
        <v>0</v>
      </c>
      <c r="BV439" s="17">
        <f>SUM((BS439+BT439)*0.00833333333333333)</f>
        <v>0</v>
      </c>
      <c r="BW439" s="23">
        <f ca="1">MONTH(TODAY())+49</f>
        <v>53</v>
      </c>
      <c r="BX439" s="14">
        <f ca="1">SUM(BS439,BT439,BU439)</f>
        <v>0</v>
      </c>
      <c r="BY439" s="14">
        <f>SUM(P439*0.0052)</f>
        <v>52</v>
      </c>
      <c r="BZ439" s="14">
        <f>SUM(BY439*0.1)</f>
        <v>5.2</v>
      </c>
      <c r="CA439" s="14">
        <f ca="1">SUM(CB439*CC439)</f>
        <v>19.543333333333326</v>
      </c>
      <c r="CB439" s="17">
        <f>SUM((BY439+BZ439)*0.00833333333333333)</f>
        <v>0.47666666666666646</v>
      </c>
      <c r="CC439" s="23">
        <f ca="1">MONTH(TODAY())+37</f>
        <v>41</v>
      </c>
      <c r="CD439" s="14">
        <f ca="1">SUM(BY439,BZ439,CA439)</f>
        <v>76.743333333333325</v>
      </c>
      <c r="CE439" s="14">
        <f>SUM(P439*0.0052)</f>
        <v>52</v>
      </c>
      <c r="CF439" s="14">
        <f>SUM(CE439*0.1)</f>
        <v>5.2</v>
      </c>
      <c r="CG439" s="14">
        <f ca="1">SUM(CH439*CI439)</f>
        <v>13.823333333333327</v>
      </c>
      <c r="CH439" s="17">
        <f>SUM((CE439+CF439)*0.00833333333333333)</f>
        <v>0.47666666666666646</v>
      </c>
      <c r="CI439" s="23">
        <f ca="1">MONTH(TODAY())+25</f>
        <v>29</v>
      </c>
      <c r="CJ439" s="14">
        <f ca="1">SUM(CE439,CF439,CG439)</f>
        <v>71.023333333333326</v>
      </c>
      <c r="CK439" s="14">
        <f>SUM(P439*0.0052)</f>
        <v>52</v>
      </c>
      <c r="CL439" s="14">
        <f>SUM(CK439*0.1)</f>
        <v>5.2</v>
      </c>
      <c r="CM439" s="14">
        <f ca="1">SUM(CN439*CO439)</f>
        <v>8.1033333333333299</v>
      </c>
      <c r="CN439" s="17">
        <f>SUM((CK439+CL439)*0.00833333333333333)</f>
        <v>0.47666666666666646</v>
      </c>
      <c r="CO439" s="23">
        <f ca="1">MONTH(TODAY())+13</f>
        <v>17</v>
      </c>
      <c r="CP439" s="14">
        <f ca="1">SUM(CK439,CL439,CM439)</f>
        <v>65.303333333333327</v>
      </c>
      <c r="CQ439" s="14">
        <f>SUM(P439*0.0052)/2</f>
        <v>26</v>
      </c>
      <c r="CR439" s="14">
        <f>SUM(CQ439*0.1)</f>
        <v>2.6</v>
      </c>
      <c r="CS439" s="14">
        <f ca="1">SUM(CT439*CU439)</f>
        <v>2.1449999999999991</v>
      </c>
      <c r="CT439" s="17">
        <f>SUM((CQ439+CR439)*0.00833333333333333)</f>
        <v>0.23833333333333323</v>
      </c>
      <c r="CU439" s="23">
        <f ca="1">MONTH(TODAY())+5</f>
        <v>9</v>
      </c>
      <c r="CV439" s="23">
        <f ca="1">SUM(CQ439,CR439,CS439)</f>
        <v>30.745000000000001</v>
      </c>
      <c r="CW439" s="14">
        <f>SUM(P439*0.0052)/2</f>
        <v>26</v>
      </c>
      <c r="CX439" s="14">
        <f>SUM(CW439*0.1)</f>
        <v>2.6</v>
      </c>
      <c r="CY439" s="14">
        <f ca="1">SUM(CZ439*DA439)</f>
        <v>1.1916666666666662</v>
      </c>
      <c r="CZ439" s="17">
        <f>SUM((CW439+CX439)*0.00833333333333333)</f>
        <v>0.23833333333333323</v>
      </c>
      <c r="DA439" s="23">
        <f ca="1">MONTH(TODAY())+1</f>
        <v>5</v>
      </c>
      <c r="DB439" s="23">
        <f ca="1">SUM(CW439,CX439,CY439)</f>
        <v>29.791666666666668</v>
      </c>
      <c r="DC439" s="14">
        <f>SUM( BS439, BY439, CE439, CK439, CQ439,CW439)</f>
        <v>208</v>
      </c>
      <c r="DD439" s="14">
        <f>SUM(BT439,BZ439,CF439,CL439, CR439,CX439)</f>
        <v>20.800000000000004</v>
      </c>
      <c r="DE439" s="14">
        <f ca="1">SUM(BU439,CA439,CG439,CM439, CS439,CY439)</f>
        <v>44.806666666666644</v>
      </c>
      <c r="DF439" s="14">
        <f ca="1">SUM(DC439:DE439)</f>
        <v>273.60666666666668</v>
      </c>
      <c r="DG439" s="47">
        <f ca="1">SUM(DF439/P439)</f>
        <v>2.7360666666666669E-2</v>
      </c>
      <c r="DH439" s="14">
        <f>19.5+200+40</f>
        <v>259.5</v>
      </c>
      <c r="DI439" s="32">
        <f>COUNTIF(DN439, "*")+COUNTIF(Y439, "*")+COUNTIF(T439, "*")+COUNTIF(AQ439, "*")+COUNTIF(EH439, "*")+COUNTIF(EN439, "*")+COUNTIF(ET439, "*")+COUNTIF(EX439, "*")+COUNTIF(FE439, "*")+COUNTIF(FL439, "*")+COUNTIF(FS439, "*")+COUNTIF(GD439, "*")+COUNTIF(GO439, "*")+COUNTIF(GW439, "*")+COUNTIF(HE439, "*")+COUNTIF(HM439, "*")+COUNTIF(HU439, "*")</f>
        <v>5</v>
      </c>
      <c r="DJ439" s="14">
        <f>DI439*0.5+DI439*7.45</f>
        <v>39.75</v>
      </c>
      <c r="DK439" s="4">
        <v>200</v>
      </c>
      <c r="DL439" s="4"/>
      <c r="DM439" s="4"/>
      <c r="DN439" s="4"/>
      <c r="DO439"/>
      <c r="DP439" s="4"/>
      <c r="DQ439" s="14">
        <f>SUM(DL439:DP439)</f>
        <v>0</v>
      </c>
      <c r="DR439" s="14">
        <f ca="1">SUM(DF439,DH439,DQ439, DK439, DJ439,FP439)</f>
        <v>772.85666666666668</v>
      </c>
      <c r="DS439" s="24" t="s">
        <v>3908</v>
      </c>
      <c r="DT439" t="s">
        <v>3996</v>
      </c>
      <c r="DU439" t="s">
        <v>3997</v>
      </c>
      <c r="DV439" t="s">
        <v>3998</v>
      </c>
      <c r="DW439" t="s">
        <v>3999</v>
      </c>
      <c r="DX439" t="s">
        <v>4000</v>
      </c>
      <c r="DY439"/>
      <c r="DZ439"/>
      <c r="EA439"/>
      <c r="EB439"/>
      <c r="EC439"/>
      <c r="ED439"/>
      <c r="EE439"/>
      <c r="EF439" t="s">
        <v>2703</v>
      </c>
      <c r="EG439"/>
      <c r="EH439" t="s">
        <v>2704</v>
      </c>
      <c r="EI439"/>
      <c r="EJ439" t="s">
        <v>1630</v>
      </c>
      <c r="EK439" t="s">
        <v>2269</v>
      </c>
      <c r="EL439" t="s">
        <v>4001</v>
      </c>
      <c r="EM439"/>
      <c r="EN439" t="s">
        <v>2760</v>
      </c>
      <c r="EO439"/>
      <c r="EP439" t="s">
        <v>4002</v>
      </c>
      <c r="EQ439" t="s">
        <v>4003</v>
      </c>
      <c r="ER439" t="s">
        <v>4004</v>
      </c>
      <c r="ES439"/>
      <c r="ET439" t="s">
        <v>4005</v>
      </c>
      <c r="EU439" t="s">
        <v>4006</v>
      </c>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s="9"/>
      <c r="IB439"/>
      <c r="IC439"/>
      <c r="ID439"/>
      <c r="IE439"/>
      <c r="IF439"/>
      <c r="IG439"/>
      <c r="IH439"/>
      <c r="II439"/>
      <c r="IJ439"/>
      <c r="IK439"/>
      <c r="IL439" s="14">
        <f ca="1">SUM(IB439-DR439-FP439-IJ439)</f>
        <v>-772.85666666666668</v>
      </c>
      <c r="IM439" s="9"/>
      <c r="IN439" s="9"/>
      <c r="IO439" s="9"/>
      <c r="IP439" s="9"/>
      <c r="IQ439" s="9"/>
      <c r="IR439"/>
      <c r="IS439"/>
      <c r="IT439"/>
      <c r="IU439"/>
      <c r="IV439"/>
      <c r="IW439"/>
      <c r="IX439"/>
      <c r="IY439"/>
      <c r="IZ439"/>
      <c r="JA439"/>
      <c r="JB439"/>
      <c r="JC439"/>
    </row>
    <row r="440" spans="1:263" ht="15" customHeight="1">
      <c r="A440" s="2">
        <v>102019078</v>
      </c>
      <c r="B440" s="4" t="s">
        <v>728</v>
      </c>
      <c r="C440" s="1"/>
      <c r="D440" s="1"/>
      <c r="E440" s="3"/>
      <c r="F440" s="2"/>
      <c r="K440" t="s">
        <v>729</v>
      </c>
      <c r="O440" s="1"/>
      <c r="AG440"/>
      <c r="AK440" s="3"/>
      <c r="AX440" s="9"/>
      <c r="AY440" s="9"/>
      <c r="AZ440" s="9"/>
      <c r="BA440" s="9"/>
      <c r="BC440" s="9"/>
      <c r="BD440" s="9"/>
      <c r="BE440" s="9"/>
      <c r="BG440" s="66"/>
      <c r="BH440" s="66"/>
      <c r="BI440" s="66"/>
      <c r="BK440" s="66"/>
      <c r="BL440" s="66"/>
      <c r="BO440" s="66"/>
      <c r="BQ440" s="66"/>
      <c r="BR440" s="66"/>
      <c r="BU440" s="66"/>
      <c r="BW440" s="66"/>
      <c r="BX440" s="66"/>
      <c r="CA440" s="66"/>
      <c r="CC440" s="66"/>
      <c r="CD440" s="66"/>
      <c r="CG440" s="66"/>
      <c r="CH440" s="66"/>
      <c r="CI440" s="66"/>
      <c r="CJ440" s="66"/>
      <c r="CM440" s="66"/>
      <c r="CN440" s="66"/>
      <c r="CO440" s="66"/>
      <c r="CP440" s="66"/>
      <c r="CS440" s="66"/>
      <c r="CT440" s="66"/>
      <c r="CU440" s="66"/>
      <c r="CV440" s="66"/>
      <c r="CY440" s="66"/>
      <c r="CZ440" s="66"/>
      <c r="DA440" s="66"/>
      <c r="DB440" s="66"/>
      <c r="DE440" s="66"/>
      <c r="DF440" s="66"/>
      <c r="DG440" s="66"/>
      <c r="DH440" s="66"/>
      <c r="DI440" s="66"/>
      <c r="DJ440" s="66"/>
      <c r="DL440" s="66"/>
      <c r="DN440" s="66"/>
      <c r="DO440" s="66"/>
      <c r="DP440" s="66"/>
      <c r="DS440" s="66"/>
      <c r="DT440" s="66"/>
      <c r="DU440" s="66"/>
      <c r="DV440" s="66"/>
      <c r="DW440" s="66"/>
      <c r="DX440" s="66"/>
      <c r="DY440" s="66"/>
      <c r="FR440" s="9"/>
      <c r="II440" s="9"/>
      <c r="IJ440" s="66"/>
      <c r="IK440" s="66"/>
    </row>
    <row r="441" spans="1:263" ht="15" customHeight="1">
      <c r="A441" s="2">
        <v>102018052</v>
      </c>
      <c r="B441" s="4" t="s">
        <v>1189</v>
      </c>
      <c r="C441" s="3"/>
      <c r="D441" s="3"/>
      <c r="E441" s="3"/>
      <c r="F441" s="3"/>
      <c r="J441" t="s">
        <v>253</v>
      </c>
      <c r="K441" t="s">
        <v>1190</v>
      </c>
      <c r="L441" t="s">
        <v>1191</v>
      </c>
      <c r="M441" t="s">
        <v>850</v>
      </c>
      <c r="O441" s="1"/>
      <c r="T441" s="1"/>
      <c r="AJ441" s="4"/>
      <c r="AK441" s="4"/>
      <c r="AO441" s="4"/>
      <c r="AP441" s="5"/>
      <c r="AQ441" s="34"/>
      <c r="AS441" s="5"/>
      <c r="AT441" s="5"/>
      <c r="AU441" s="1"/>
      <c r="AV441" s="1"/>
      <c r="AW441" s="1"/>
      <c r="AX441" s="1"/>
      <c r="AY441" s="1"/>
      <c r="AZ441" s="1"/>
      <c r="BA441" s="1"/>
      <c r="BB441" s="1"/>
      <c r="BC441" s="1"/>
      <c r="BD441" s="1"/>
      <c r="BE441" s="1"/>
      <c r="BF441" s="1"/>
      <c r="BG441" s="5"/>
      <c r="BH441" s="16"/>
      <c r="BI441" s="16"/>
      <c r="BK441" s="4"/>
      <c r="BL441" s="4"/>
      <c r="BM441" s="6"/>
      <c r="BN441" s="7"/>
      <c r="BO441" s="4"/>
      <c r="BQ441" s="4"/>
      <c r="BR441" s="4"/>
      <c r="BS441" s="6"/>
      <c r="BT441" s="7"/>
      <c r="BU441" s="4"/>
      <c r="BW441" s="4"/>
      <c r="BX441" s="4"/>
      <c r="BY441" s="6"/>
      <c r="BZ441" s="7"/>
      <c r="CA441" s="4"/>
      <c r="CB441" s="4"/>
      <c r="CC441" s="4"/>
      <c r="CD441" s="4"/>
      <c r="CE441" s="6"/>
      <c r="CF441" s="7"/>
      <c r="CG441" s="4"/>
      <c r="CH441" s="6"/>
      <c r="CI441" s="4"/>
      <c r="CJ441" s="4"/>
      <c r="CK441" s="6"/>
      <c r="CL441" s="7"/>
      <c r="CM441" s="4"/>
      <c r="CN441" s="4"/>
      <c r="CO441" s="4"/>
      <c r="CP441" s="4"/>
      <c r="CQ441" s="6"/>
      <c r="CR441" s="7"/>
      <c r="CS441" s="4"/>
      <c r="CT441" s="4"/>
      <c r="CU441" s="4"/>
      <c r="CV441" s="4"/>
      <c r="CW441" s="6"/>
      <c r="CX441" s="7"/>
      <c r="CY441" s="4"/>
      <c r="CZ441" s="4"/>
      <c r="DA441" s="4"/>
      <c r="DB441" s="4"/>
      <c r="DC441" s="6"/>
      <c r="DD441" s="7"/>
      <c r="DE441" s="4"/>
      <c r="DF441" s="4"/>
      <c r="DG441" s="4"/>
      <c r="DH441" s="4"/>
      <c r="DI441" s="6"/>
      <c r="DJ441" s="7"/>
      <c r="DK441" s="4"/>
      <c r="DL441" s="4"/>
      <c r="DM441" s="4"/>
      <c r="DN441" s="4"/>
      <c r="DO441" s="4"/>
      <c r="DQ441" s="4"/>
      <c r="DS441" s="4"/>
      <c r="DT441" s="4"/>
      <c r="DU441" s="4"/>
      <c r="DV441" s="4"/>
      <c r="DW441" s="4"/>
      <c r="DX441" s="4"/>
      <c r="DY441" s="4"/>
      <c r="DZ441" s="4"/>
      <c r="EA441" s="4"/>
      <c r="EB441" s="4"/>
      <c r="EC441" s="4"/>
      <c r="ED441" s="7"/>
      <c r="EE441" s="4"/>
      <c r="EF441" s="4"/>
      <c r="EG441" s="3"/>
      <c r="EH441" s="11"/>
      <c r="EI441" s="11"/>
      <c r="ER441" s="11"/>
      <c r="EX441" s="11"/>
      <c r="EY441" s="11"/>
      <c r="EZ441" s="4"/>
      <c r="FA441" s="4"/>
      <c r="FB441" s="4"/>
      <c r="FC441" s="4"/>
      <c r="FD441" s="4"/>
      <c r="FE441" s="4"/>
      <c r="FF441" s="4"/>
      <c r="FG441" s="4"/>
      <c r="FH441" s="4"/>
      <c r="FI441" s="4"/>
      <c r="FJ441" s="4"/>
      <c r="FK441" s="4"/>
      <c r="FL441" s="4"/>
      <c r="FM441" s="4"/>
      <c r="FQ441" s="9"/>
      <c r="GI441" s="10"/>
      <c r="GS441" s="10"/>
      <c r="HH441" s="9"/>
      <c r="IW441" s="240"/>
      <c r="IX441" s="240"/>
      <c r="IY441" s="240"/>
    </row>
    <row r="442" spans="1:263" ht="15" customHeight="1">
      <c r="A442" s="19">
        <v>102021024</v>
      </c>
      <c r="B442" t="s">
        <v>1189</v>
      </c>
      <c r="F442" t="s">
        <v>2427</v>
      </c>
      <c r="G442">
        <v>210002341</v>
      </c>
      <c r="J442" t="s">
        <v>253</v>
      </c>
      <c r="K442" t="s">
        <v>2026</v>
      </c>
      <c r="L442" t="s">
        <v>1191</v>
      </c>
      <c r="M442" t="s">
        <v>850</v>
      </c>
      <c r="AF442" s="3"/>
      <c r="AG442" s="272"/>
      <c r="AI442" s="3" t="s">
        <v>1157</v>
      </c>
      <c r="AJ442" s="3" t="s">
        <v>258</v>
      </c>
      <c r="AK442" s="3" t="s">
        <v>386</v>
      </c>
      <c r="AL442" s="3" t="s">
        <v>260</v>
      </c>
      <c r="AN442" t="s">
        <v>2417</v>
      </c>
      <c r="AO442" s="1" t="s">
        <v>258</v>
      </c>
      <c r="AP442" s="3" t="s">
        <v>290</v>
      </c>
      <c r="AR442"/>
      <c r="AW442" s="48"/>
      <c r="AX442" s="48"/>
      <c r="AY442" s="70"/>
      <c r="AZ442" s="48"/>
      <c r="BA442" s="19"/>
      <c r="BB442" s="48"/>
      <c r="BC442" s="48"/>
      <c r="BD442" s="2"/>
      <c r="BE442" s="2"/>
      <c r="BF442" s="20"/>
      <c r="BG442" s="22"/>
      <c r="BH442" s="22"/>
      <c r="BI442" s="14"/>
      <c r="BJ442" s="22"/>
      <c r="BK442" s="14"/>
      <c r="BL442" s="14"/>
      <c r="BM442" s="14"/>
      <c r="BN442" s="17"/>
      <c r="BO442" s="23"/>
      <c r="BP442" s="14"/>
      <c r="BQ442" s="14"/>
      <c r="BR442" s="14"/>
      <c r="BS442" s="14"/>
      <c r="BT442" s="17"/>
      <c r="BU442" s="23"/>
      <c r="BV442" s="14"/>
      <c r="BW442" s="14"/>
      <c r="BX442" s="14"/>
      <c r="BY442" s="14"/>
      <c r="BZ442" s="17"/>
      <c r="CA442" s="23"/>
      <c r="CB442" s="14"/>
      <c r="CC442" s="14"/>
      <c r="CD442" s="14"/>
      <c r="CE442" s="14"/>
      <c r="CF442" s="17"/>
      <c r="CG442" s="23"/>
      <c r="CH442" s="14"/>
      <c r="CI442" s="14"/>
      <c r="CJ442" s="14"/>
      <c r="CK442" s="14"/>
      <c r="CL442" s="17"/>
      <c r="CM442" s="23"/>
      <c r="CN442" s="14"/>
      <c r="CO442" s="14"/>
      <c r="CP442" s="14"/>
      <c r="CQ442" s="14"/>
      <c r="CR442" s="17"/>
      <c r="CS442" s="23"/>
      <c r="CT442" s="14"/>
      <c r="CU442" s="14"/>
      <c r="CV442" s="14"/>
      <c r="CW442" s="14"/>
      <c r="CX442" s="17"/>
      <c r="CY442" s="23"/>
      <c r="CZ442" s="14"/>
      <c r="DA442" s="14"/>
      <c r="DB442" s="14"/>
      <c r="DC442" s="14"/>
      <c r="DD442" s="17"/>
      <c r="DE442" s="23"/>
      <c r="DF442" s="14"/>
      <c r="DG442" s="14"/>
      <c r="DH442" s="14">
        <f>SUM(BL442, BR442, BX442, CD442, CJ442, CP442,CV442,DB442)</f>
        <v>0</v>
      </c>
      <c r="DI442" s="14">
        <f>SUM(BM442, BS442, BY442, CE442, CK442, CQ442,CW442,DC442)</f>
        <v>0</v>
      </c>
      <c r="DJ442" s="14">
        <f>SUM(DG442:DI442)</f>
        <v>0</v>
      </c>
      <c r="DK442" s="47">
        <f>SUM(DJ442/DZ442)</f>
        <v>0</v>
      </c>
      <c r="DL442" s="14">
        <f>39+195+195</f>
        <v>429</v>
      </c>
      <c r="DM442" s="32">
        <f>COUNTIF(DS442, "*")+COUNTIF(AN442, "*")+COUNTIF(AI442, "*")+COUNTIF(AA442, "*")+COUNTIF(EP442, "*")+COUNTIF(EV442, "*")+COUNTIF(FB442, "*")+COUNTIF(FF442, "*")+COUNTIF(FM442, "*")+COUNTIF(FU442, "*")+COUNTIF(GB442, "*")+COUNTIF(GM442, "*")+COUNTIF(GX442, "*")+COUNTIF(HF442, "*")+COUNTIF(HN442, "*")+COUNTIF(HV442, "*")+COUNTIF(ID442, "*")</f>
        <v>4</v>
      </c>
      <c r="DN442" s="14">
        <f>DM442*0.5</f>
        <v>2</v>
      </c>
      <c r="DO442" s="14">
        <v>150</v>
      </c>
      <c r="DP442" s="14">
        <f>SUM(DJ442,DL442,DV442, DO442, DN442,FY442)</f>
        <v>625.53</v>
      </c>
      <c r="DQ442" s="14"/>
      <c r="DR442" s="14">
        <v>44.53</v>
      </c>
      <c r="DS442" s="14"/>
      <c r="DT442" s="23"/>
      <c r="DU442" s="25"/>
      <c r="DV442" s="14">
        <f>SUM(DQ442:DU442)</f>
        <v>44.53</v>
      </c>
      <c r="DW442" s="24" t="s">
        <v>1997</v>
      </c>
      <c r="DX442" s="25">
        <v>33000</v>
      </c>
      <c r="DY442" s="25">
        <v>35400</v>
      </c>
      <c r="DZ442" s="25">
        <f>SUM(DX442+DY442)</f>
        <v>68400</v>
      </c>
      <c r="EA442" s="36">
        <v>3.6</v>
      </c>
      <c r="EB442" s="18" t="s">
        <v>2253</v>
      </c>
      <c r="EC442" t="s">
        <v>2254</v>
      </c>
      <c r="FZ442" t="s">
        <v>2255</v>
      </c>
      <c r="GA442" t="s">
        <v>2256</v>
      </c>
      <c r="GB442" t="s">
        <v>2257</v>
      </c>
      <c r="GD442" t="s">
        <v>725</v>
      </c>
      <c r="GE442" t="s">
        <v>726</v>
      </c>
      <c r="GF442" s="9">
        <v>40112</v>
      </c>
      <c r="GG442" t="s">
        <v>1158</v>
      </c>
      <c r="GK442" t="s">
        <v>2259</v>
      </c>
      <c r="GL442" t="s">
        <v>2258</v>
      </c>
      <c r="GM442" t="s">
        <v>866</v>
      </c>
      <c r="GO442" t="s">
        <v>543</v>
      </c>
      <c r="GP442" t="s">
        <v>544</v>
      </c>
      <c r="GQ442" s="9">
        <v>41542</v>
      </c>
      <c r="GR442" t="s">
        <v>1159</v>
      </c>
      <c r="IJ442" s="18"/>
      <c r="IK442" s="18"/>
      <c r="IL442" s="18"/>
      <c r="IM442" s="18"/>
      <c r="IN442" s="18"/>
    </row>
    <row r="443" spans="1:263" ht="15" customHeight="1">
      <c r="A443" s="19">
        <v>102021024</v>
      </c>
      <c r="B443" s="18" t="s">
        <v>1189</v>
      </c>
      <c r="C443" s="10"/>
      <c r="D443" s="161"/>
      <c r="E443" s="147"/>
      <c r="F443" s="160"/>
      <c r="G443" s="147">
        <v>230001439</v>
      </c>
      <c r="H443" s="10"/>
      <c r="I443" s="10"/>
      <c r="J443" s="28" t="s">
        <v>253</v>
      </c>
      <c r="K443" s="28" t="s">
        <v>2026</v>
      </c>
      <c r="L443" s="28" t="s">
        <v>1191</v>
      </c>
      <c r="M443" s="28" t="s">
        <v>850</v>
      </c>
      <c r="N443" s="28"/>
      <c r="O443" s="150"/>
      <c r="P443" s="28"/>
      <c r="Q443" s="28"/>
      <c r="R443" s="28"/>
      <c r="S443" s="28"/>
      <c r="T443" s="10"/>
      <c r="U443" s="10"/>
      <c r="V443" s="10"/>
      <c r="W443" s="10"/>
      <c r="X443" s="10"/>
      <c r="Y443" s="10"/>
      <c r="Z443" s="10"/>
      <c r="AA443" s="10"/>
      <c r="AB443" s="10"/>
      <c r="AC443" s="10"/>
      <c r="AD443" s="10"/>
      <c r="AE443" s="10"/>
      <c r="AF443" s="10"/>
      <c r="AG443" s="141" t="s">
        <v>4549</v>
      </c>
      <c r="AH443" s="10"/>
      <c r="AI443" s="10"/>
      <c r="AJ443" s="18"/>
      <c r="AK443" s="13"/>
      <c r="AL443" s="18"/>
      <c r="AM443" s="18"/>
      <c r="AN443" s="18"/>
      <c r="AO443" s="18" t="s">
        <v>1157</v>
      </c>
      <c r="AP443" s="13" t="s">
        <v>258</v>
      </c>
      <c r="AQ443" s="18" t="s">
        <v>386</v>
      </c>
      <c r="AR443" s="18" t="s">
        <v>260</v>
      </c>
      <c r="AX443" s="1"/>
      <c r="AY443" s="1"/>
      <c r="AZ443" s="1"/>
      <c r="BA443" s="1"/>
      <c r="BB443" s="1"/>
      <c r="BC443" s="70"/>
      <c r="BD443" s="115"/>
      <c r="BE443" s="144"/>
      <c r="BF443" s="70"/>
      <c r="BG443" s="2"/>
      <c r="BH443" s="70"/>
      <c r="BI443" s="70"/>
      <c r="BJ443" s="70"/>
      <c r="BK443" s="70"/>
      <c r="BL443" s="20">
        <f ca="1">SUM(EB443)+220</f>
        <v>2302.5422999999996</v>
      </c>
      <c r="BM443" s="22">
        <f ca="1">PMT(10%/12,12,BL443,0,0)</f>
        <v>-202.43004918912689</v>
      </c>
      <c r="BN443" s="22">
        <f ca="1">SUM(BM443*-1)</f>
        <v>202.43004918912689</v>
      </c>
      <c r="BO443" s="25">
        <f>SUM(EJ443*0.0052)/12</f>
        <v>40.949999999999996</v>
      </c>
      <c r="BP443" s="22">
        <f ca="1">SUM(BN443+BO443)</f>
        <v>243.38004918912688</v>
      </c>
      <c r="BQ443" s="14">
        <v>0</v>
      </c>
      <c r="BR443" s="14">
        <f>SUM(BQ443*0.1)</f>
        <v>0</v>
      </c>
      <c r="BS443" s="14">
        <f ca="1">SUM(BT443*BU443)</f>
        <v>0</v>
      </c>
      <c r="BT443" s="17">
        <f>SUM((BQ443+BR443)*0.00833333333333333)</f>
        <v>0</v>
      </c>
      <c r="BU443" s="23">
        <f ca="1">MONTH(TODAY())+37</f>
        <v>41</v>
      </c>
      <c r="BV443" s="14">
        <f ca="1">SUM(BQ443,BR443,BS443)</f>
        <v>0</v>
      </c>
      <c r="BW443" s="14">
        <f>SUM(EG443*0.0052)</f>
        <v>355.68</v>
      </c>
      <c r="BX443" s="14">
        <f>SUM(BW443*0.1)</f>
        <v>35.568000000000005</v>
      </c>
      <c r="BY443" s="14">
        <f ca="1">SUM(BZ443*CA443)</f>
        <v>133.67639999999994</v>
      </c>
      <c r="BZ443" s="17">
        <f>SUM((BW443+BX443)*0.00833333333333333)</f>
        <v>3.2603999999999984</v>
      </c>
      <c r="CA443" s="23">
        <f ca="1">MONTH(TODAY())+37</f>
        <v>41</v>
      </c>
      <c r="CB443" s="14">
        <f ca="1">SUM(BW443,BX443,BY443)</f>
        <v>524.92439999999988</v>
      </c>
      <c r="CC443" s="14">
        <f>SUM(EG443*0.0052)/2</f>
        <v>177.84</v>
      </c>
      <c r="CD443" s="14">
        <f>SUM(CC443*0.1)</f>
        <v>17.784000000000002</v>
      </c>
      <c r="CE443" s="14">
        <f ca="1">SUM(CF443*CG443)</f>
        <v>53.796599999999977</v>
      </c>
      <c r="CF443" s="17">
        <f>SUM((CC443+CD443)*0.00833333333333333)</f>
        <v>1.6301999999999992</v>
      </c>
      <c r="CG443" s="23">
        <f ca="1">MONTH(TODAY())+29</f>
        <v>33</v>
      </c>
      <c r="CH443" s="23">
        <f ca="1">SUM(CC443,CD443,CE443)</f>
        <v>249.42059999999998</v>
      </c>
      <c r="CI443" s="14">
        <f>SUM(EG443*0.0052)/2</f>
        <v>177.84</v>
      </c>
      <c r="CJ443" s="14">
        <f>SUM(CI443*0.1)</f>
        <v>17.784000000000002</v>
      </c>
      <c r="CK443" s="14">
        <f ca="1">SUM(CL443*CM443)</f>
        <v>47.275799999999975</v>
      </c>
      <c r="CL443" s="17">
        <f>SUM((CI443+CJ443)*0.00833333333333333)</f>
        <v>1.6301999999999992</v>
      </c>
      <c r="CM443" s="23">
        <f ca="1">MONTH(TODAY())+25</f>
        <v>29</v>
      </c>
      <c r="CN443" s="14">
        <f ca="1">SUM(CI443,CJ443,CK443)</f>
        <v>242.89979999999997</v>
      </c>
      <c r="CO443" s="14">
        <f>SUM(EJ443*0.0045)/2</f>
        <v>212.62499999999997</v>
      </c>
      <c r="CP443" s="14">
        <f>SUM(CO443*0.1)</f>
        <v>21.262499999999999</v>
      </c>
      <c r="CQ443" s="14">
        <f ca="1">SUM(CR443*CS443)</f>
        <v>44.828437499999971</v>
      </c>
      <c r="CR443" s="17">
        <f>SUM((CO443+CP443)*0.00833333333333333)</f>
        <v>1.9490624999999988</v>
      </c>
      <c r="CS443" s="23">
        <f ca="1">MONTH(TODAY())+19</f>
        <v>23</v>
      </c>
      <c r="CT443" s="14">
        <f ca="1">SUM(CO443,CP443,CQ443)</f>
        <v>278.71593749999994</v>
      </c>
      <c r="CU443" s="14">
        <f>SUM(EJ443*0.0045)/2</f>
        <v>212.62499999999997</v>
      </c>
      <c r="CV443" s="14">
        <f>SUM(CU443*0.1)</f>
        <v>21.262499999999999</v>
      </c>
      <c r="CW443" s="14">
        <f ca="1">SUM(CX443*CY443)</f>
        <v>33.134062499999978</v>
      </c>
      <c r="CX443" s="17">
        <f>SUM((CU443+CV443)*0.00833333333333333)</f>
        <v>1.9490624999999988</v>
      </c>
      <c r="CY443" s="23">
        <f ca="1">MONTH(TODAY())+13</f>
        <v>17</v>
      </c>
      <c r="CZ443" s="14">
        <f ca="1">SUM(CU443,CV443,CW443)</f>
        <v>267.02156249999996</v>
      </c>
      <c r="DA443" s="14">
        <f>SUM(EJ443*0.0045)/2</f>
        <v>212.62499999999997</v>
      </c>
      <c r="DB443" s="14">
        <f>SUM(DA443*0.1)</f>
        <v>21.262499999999999</v>
      </c>
      <c r="DC443" s="14">
        <f ca="1">SUM(DD443*DE443)</f>
        <v>21.439687499999987</v>
      </c>
      <c r="DD443" s="17">
        <f>SUM((DA443+DB443)*0.00833333333333333)</f>
        <v>1.9490624999999988</v>
      </c>
      <c r="DE443" s="23">
        <f ca="1">MONTH(TODAY())+7</f>
        <v>11</v>
      </c>
      <c r="DF443" s="14">
        <f ca="1">SUM(DA443,DB443,DC443)</f>
        <v>255.32718749999995</v>
      </c>
      <c r="DG443" s="14">
        <f>SUM(EJ443*0.0045)/2</f>
        <v>212.62499999999997</v>
      </c>
      <c r="DH443" s="14">
        <f>SUM(DG443*0.1)</f>
        <v>21.262499999999999</v>
      </c>
      <c r="DI443" s="14">
        <f ca="1">SUM(DJ443*DK443)</f>
        <v>9.7453124999999936</v>
      </c>
      <c r="DJ443" s="17">
        <f>SUM((DG443+DH443)*0.00833333333333333)</f>
        <v>1.9490624999999988</v>
      </c>
      <c r="DK443" s="23">
        <f ca="1">MONTH(TODAY())+1</f>
        <v>5</v>
      </c>
      <c r="DL443" s="14">
        <f ca="1">SUM(DG443,DH443,DI443)</f>
        <v>243.63281249999994</v>
      </c>
      <c r="DM443" s="14">
        <f>SUM(BQ443, BW443, CC443,CI443,CO443,CU443,DA443,DG443)</f>
        <v>1561.86</v>
      </c>
      <c r="DN443" s="14">
        <f>SUM(BR443,BX443, CD443,CJ443,CP443,CV443,DB443,DH443)</f>
        <v>156.18600000000001</v>
      </c>
      <c r="DO443" s="14">
        <f ca="1">SUM(BS443,BY443, CE443,CK443,CQ443,CW443,DC443,DI443)</f>
        <v>343.89629999999983</v>
      </c>
      <c r="DP443" s="25">
        <f ca="1">SUM(DM443:DO443)</f>
        <v>2061.9422999999997</v>
      </c>
      <c r="DQ443" s="47">
        <f ca="1">SUM(DP443/EG443)</f>
        <v>3.014535526315789E-2</v>
      </c>
      <c r="DR443" s="14">
        <v>20</v>
      </c>
      <c r="DS443" s="32">
        <f>COUNTIF(AO443, "*")+COUNTIF(AJ443, "*")+COUNTIF(AA443, "*")+COUNTIF(EU443, "*")+COUNTIF(FA443, "*")+COUNTIF(FG443, "*")+COUNTIF(FK443, "*")+COUNTIF(FR443, "*")+COUNTIF(AT443, "*")+COUNTIF(GA443, "*")+COUNTIF(GL443, "*")+COUNTIF(GW443, "*")+COUNTIF(HE443, "*")+COUNTIF(HM443, "*")+COUNTIF(HU443, "*")</f>
        <v>1</v>
      </c>
      <c r="DT443" s="14">
        <f>DS443*0.6</f>
        <v>0.6</v>
      </c>
      <c r="DU443" s="4"/>
      <c r="DV443" s="4"/>
      <c r="DW443" s="4"/>
      <c r="DX443" s="4"/>
      <c r="DY443" s="4"/>
      <c r="DZ443" s="4"/>
      <c r="EA443" s="14">
        <f>SUM(DU443:DZ443)</f>
        <v>0</v>
      </c>
      <c r="EB443" s="14">
        <f ca="1">SUM(DP443,DR443,EA443,DT443,FX443)</f>
        <v>2082.5422999999996</v>
      </c>
      <c r="EC443" s="24" t="s">
        <v>3879</v>
      </c>
      <c r="ED443" s="23">
        <v>3.6</v>
      </c>
      <c r="EE443" s="14">
        <v>33000</v>
      </c>
      <c r="EF443" s="14">
        <v>35400</v>
      </c>
      <c r="EG443" s="14">
        <f>SUM(EE443+EF443)</f>
        <v>68400</v>
      </c>
      <c r="EH443" s="14">
        <v>35000</v>
      </c>
      <c r="EI443" s="14">
        <v>59500</v>
      </c>
      <c r="EJ443" s="14">
        <f>SUM(EH443+EI443)</f>
        <v>94500</v>
      </c>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9"/>
      <c r="FP443" s="10"/>
      <c r="FQ443" s="10"/>
      <c r="FR443" s="10"/>
      <c r="FS443" s="10"/>
      <c r="FT443" s="10"/>
      <c r="FU443" s="10"/>
      <c r="FV443" s="9"/>
      <c r="FW443" s="10"/>
      <c r="FX443" s="10"/>
      <c r="FY443" s="10"/>
      <c r="FZ443" s="10"/>
      <c r="GA443" s="10"/>
      <c r="GB443" s="10"/>
      <c r="GC443" s="10"/>
      <c r="GD443" s="10"/>
      <c r="GE443" s="9"/>
      <c r="GF443" s="10"/>
      <c r="GG443" s="10"/>
      <c r="GH443" s="10"/>
      <c r="GI443" s="10"/>
      <c r="GJ443" s="10"/>
      <c r="GK443" s="10"/>
      <c r="GL443" s="10"/>
      <c r="GM443" s="10"/>
      <c r="GN443" s="10"/>
      <c r="GO443" s="10"/>
      <c r="GP443" s="9"/>
      <c r="GQ443" s="10"/>
      <c r="GR443" s="10"/>
      <c r="GS443" s="10"/>
      <c r="GT443" s="10"/>
      <c r="GU443" s="10"/>
      <c r="GV443" s="10"/>
      <c r="GW443" s="10"/>
      <c r="GX443" s="10"/>
      <c r="GY443" s="10"/>
      <c r="GZ443" s="10"/>
      <c r="HA443" s="9"/>
      <c r="HB443" s="10"/>
      <c r="HC443" s="10"/>
      <c r="HD443" s="10"/>
      <c r="HE443" s="10"/>
      <c r="HF443" s="10"/>
      <c r="HG443" s="10"/>
      <c r="HH443" s="10"/>
      <c r="HI443" s="9"/>
      <c r="HJ443" s="10"/>
      <c r="HK443" s="10"/>
      <c r="HL443" s="10"/>
      <c r="HM443" s="10"/>
      <c r="HN443" s="10"/>
      <c r="HO443" s="10"/>
      <c r="HP443" s="10"/>
      <c r="HQ443" s="9"/>
      <c r="HR443" s="10"/>
      <c r="HS443" s="10"/>
      <c r="HT443" s="10"/>
      <c r="HU443" s="10"/>
      <c r="HV443" s="10"/>
      <c r="HW443" s="10"/>
      <c r="HX443" s="10"/>
      <c r="HY443" s="9"/>
      <c r="HZ443" s="4"/>
      <c r="IA443" s="4"/>
      <c r="IB443" s="10"/>
      <c r="IC443" s="10"/>
      <c r="ID443" s="10"/>
      <c r="IE443" s="10"/>
      <c r="IF443" s="4"/>
      <c r="IG443" s="4"/>
      <c r="IH443" s="4"/>
      <c r="II443" s="4"/>
      <c r="IJ443" s="4"/>
      <c r="IK443" s="9"/>
      <c r="IL443" s="9"/>
      <c r="IM443" s="9"/>
      <c r="IN443" s="9"/>
      <c r="IO443" s="9"/>
      <c r="IP443" t="s">
        <v>5913</v>
      </c>
    </row>
    <row r="444" spans="1:263" ht="15" customHeight="1">
      <c r="A444" s="19">
        <v>102021056</v>
      </c>
      <c r="B444" t="s">
        <v>2032</v>
      </c>
      <c r="J444" t="s">
        <v>253</v>
      </c>
      <c r="K444" t="s">
        <v>2033</v>
      </c>
      <c r="L444" t="s">
        <v>2034</v>
      </c>
      <c r="M444" t="s">
        <v>357</v>
      </c>
      <c r="AF444" s="3"/>
      <c r="AG444" s="272"/>
      <c r="AL444" s="3"/>
      <c r="AM444"/>
      <c r="AN444" s="1" t="s">
        <v>2183</v>
      </c>
      <c r="AO444" s="1" t="s">
        <v>258</v>
      </c>
      <c r="AP444" s="3" t="s">
        <v>386</v>
      </c>
      <c r="AQ444"/>
      <c r="AR444"/>
      <c r="AW444" s="2"/>
      <c r="AX444" s="2"/>
      <c r="AY444" s="2"/>
      <c r="AZ444" s="2"/>
      <c r="BA444" s="2"/>
      <c r="BB444" s="2"/>
      <c r="BC444" s="2"/>
      <c r="BD444" s="2"/>
      <c r="BE444" s="2"/>
      <c r="BF444" s="20"/>
      <c r="BG444" s="22"/>
      <c r="BH444" s="22"/>
      <c r="BI444" s="14"/>
      <c r="BJ444" s="14"/>
      <c r="BK444" s="14"/>
      <c r="BL444" s="17"/>
      <c r="BM444" s="23"/>
      <c r="BN444" s="14"/>
      <c r="BO444" s="14"/>
      <c r="BP444" s="14"/>
      <c r="BQ444" s="14"/>
      <c r="BR444" s="17"/>
      <c r="BS444" s="23"/>
      <c r="BT444" s="14"/>
      <c r="BU444" s="14"/>
      <c r="BV444" s="14"/>
      <c r="BW444" s="14"/>
      <c r="BX444" s="17"/>
      <c r="BY444" s="23"/>
      <c r="BZ444" s="14"/>
      <c r="CA444" s="14"/>
      <c r="CB444" s="14"/>
      <c r="CC444" s="14"/>
      <c r="CD444" s="17"/>
      <c r="CE444" s="23"/>
      <c r="CF444" s="14"/>
      <c r="CG444" s="14"/>
      <c r="CH444" s="14"/>
      <c r="CI444" s="14"/>
      <c r="CJ444" s="17"/>
      <c r="CK444" s="23"/>
      <c r="CL444" s="14"/>
      <c r="CM444" s="14"/>
      <c r="CN444" s="14"/>
      <c r="CO444" s="14"/>
      <c r="CP444" s="17"/>
      <c r="CQ444" s="23"/>
      <c r="CR444" s="14"/>
      <c r="CS444" s="14"/>
      <c r="CT444" s="14"/>
      <c r="CU444" s="14"/>
      <c r="CV444" s="17"/>
      <c r="CW444" s="23"/>
      <c r="CX444" s="14"/>
      <c r="CY444" s="14"/>
      <c r="CZ444" s="14"/>
      <c r="DA444" s="14"/>
      <c r="DB444" s="17"/>
      <c r="DC444" s="23"/>
      <c r="DD444" s="14"/>
      <c r="DE444" s="14"/>
      <c r="DF444" s="14"/>
      <c r="DG444" s="14"/>
      <c r="DH444" s="14">
        <f>SUM(DE444:DG444)</f>
        <v>0</v>
      </c>
      <c r="DI444" s="47">
        <f>SUM(DH444/DX444)</f>
        <v>0</v>
      </c>
      <c r="DJ444" s="14">
        <v>39</v>
      </c>
      <c r="DK444" s="32">
        <f>COUNTIF(DQ444, "*")+COUNTIF(AN444, "*")+COUNTIF(AJ444, "*")+COUNTIF(AA444, "*")+COUNTIF(EN444, "*")+COUNTIF(ET444, "*")+COUNTIF(EZ444, "*")+COUNTIF(FD444, "*")+COUNTIF(FK444, "*")+COUNTIF(FS444, "*")+COUNTIF(FZ444, "*")+COUNTIF(GK444, "*")+COUNTIF(GV444, "*")+COUNTIF(HD444, "*")+COUNTIF(HL444, "*")+COUNTIF(HT444, "*")+COUNTIF(IB444, "*")</f>
        <v>1</v>
      </c>
      <c r="DL444" s="14">
        <f>DK444*0.5</f>
        <v>0.5</v>
      </c>
      <c r="DM444" s="14"/>
      <c r="DN444" s="14">
        <f>SUM(DH444,DJ444,DT444, DM444, DL444,FW444)</f>
        <v>39.5</v>
      </c>
      <c r="DO444" s="14"/>
      <c r="DP444" s="14"/>
      <c r="DQ444" s="14"/>
      <c r="DR444" s="23"/>
      <c r="DS444" s="25"/>
      <c r="DT444" s="14">
        <f>SUM(DO444:DS444)</f>
        <v>0</v>
      </c>
      <c r="DU444" s="24" t="s">
        <v>1997</v>
      </c>
      <c r="DV444" s="25">
        <v>21400</v>
      </c>
      <c r="DW444" s="25">
        <v>74700</v>
      </c>
      <c r="DX444" s="25">
        <f>SUM(DV444+DW444)</f>
        <v>96100</v>
      </c>
      <c r="DY444" s="36">
        <v>1.27</v>
      </c>
      <c r="DZ444" s="18"/>
      <c r="IJ444" s="18"/>
      <c r="IK444" s="18"/>
      <c r="IL444" s="18"/>
      <c r="IM444" s="14"/>
      <c r="IN444" s="27">
        <v>44377</v>
      </c>
      <c r="IO444" s="18"/>
      <c r="IP444" s="18"/>
      <c r="IQ444" s="18"/>
      <c r="IR444" s="18"/>
    </row>
    <row r="445" spans="1:263" ht="15" customHeight="1">
      <c r="A445" s="2">
        <v>102020040</v>
      </c>
      <c r="B445" t="s">
        <v>1647</v>
      </c>
      <c r="D445" s="1"/>
      <c r="J445" t="s">
        <v>311</v>
      </c>
      <c r="K445" t="s">
        <v>1212</v>
      </c>
      <c r="L445" t="s">
        <v>1355</v>
      </c>
      <c r="M445" t="s">
        <v>256</v>
      </c>
      <c r="N445" t="s">
        <v>341</v>
      </c>
      <c r="AG445" s="248"/>
      <c r="AY445" s="9"/>
      <c r="AZ445" s="9"/>
      <c r="BG445" s="5"/>
      <c r="BH445" s="16"/>
      <c r="BI445" s="16"/>
      <c r="BJ445" s="4"/>
      <c r="BK445" s="4"/>
      <c r="BL445" s="4"/>
      <c r="BM445" s="6"/>
      <c r="BN445" s="7"/>
      <c r="BO445" s="4"/>
      <c r="BP445" s="4"/>
      <c r="BQ445" s="4"/>
      <c r="BR445" s="4"/>
      <c r="BS445" s="6"/>
      <c r="BT445" s="7"/>
      <c r="BU445" s="4"/>
      <c r="BV445" s="4"/>
      <c r="BW445" s="4"/>
      <c r="BX445" s="4"/>
      <c r="BY445" s="6"/>
      <c r="BZ445" s="7"/>
      <c r="CA445" s="4"/>
      <c r="CB445" s="4"/>
      <c r="CC445" s="4"/>
      <c r="CD445" s="4"/>
      <c r="CE445" s="6"/>
      <c r="CF445" s="7"/>
      <c r="CG445" s="4"/>
      <c r="CH445" s="4"/>
      <c r="CI445" s="4"/>
      <c r="CJ445" s="4"/>
      <c r="CK445" s="6"/>
      <c r="CL445" s="7"/>
      <c r="CM445" s="4"/>
      <c r="CN445" s="4"/>
      <c r="CO445" s="4"/>
      <c r="CP445" s="4"/>
      <c r="CQ445" s="6"/>
      <c r="CR445" s="7"/>
      <c r="CS445" s="4"/>
      <c r="CT445" s="4"/>
      <c r="CU445" s="4"/>
      <c r="CV445" s="4"/>
      <c r="CW445" s="6"/>
      <c r="CX445" s="7"/>
      <c r="CY445" s="4"/>
      <c r="CZ445" s="4"/>
      <c r="DA445" s="4"/>
      <c r="DB445" s="4"/>
      <c r="DC445" s="4"/>
      <c r="DD445" s="3"/>
      <c r="DE445" s="4"/>
      <c r="DF445" s="234"/>
      <c r="DG445" s="4"/>
      <c r="DH445" s="4"/>
      <c r="DI445" s="4"/>
      <c r="DJ445" s="4"/>
      <c r="DK445" s="4"/>
      <c r="DL445" s="4"/>
      <c r="DM445" s="7"/>
      <c r="DN445" s="8"/>
      <c r="DO445" s="4"/>
      <c r="DP445" s="8"/>
      <c r="DQ445" s="8"/>
      <c r="DR445" s="8"/>
      <c r="DS445" s="35"/>
      <c r="FX445" s="9"/>
      <c r="GI445" s="9"/>
      <c r="GN445" s="240"/>
      <c r="GO445" s="240"/>
      <c r="GP445" s="240"/>
      <c r="GQ445" s="240"/>
      <c r="GR445" s="268"/>
      <c r="GS445" s="240"/>
      <c r="GT445" s="9"/>
      <c r="GV445" s="240"/>
      <c r="GW445" s="240"/>
      <c r="GX445" s="240"/>
      <c r="GY445" s="240"/>
      <c r="GZ445" s="240"/>
      <c r="HA445" s="240"/>
      <c r="HB445" s="9"/>
      <c r="IW445" s="18"/>
      <c r="IX445" s="18"/>
      <c r="IY445" s="18"/>
    </row>
    <row r="446" spans="1:263" ht="15" customHeight="1">
      <c r="A446" s="19">
        <v>102022170</v>
      </c>
      <c r="B446" t="s">
        <v>2898</v>
      </c>
      <c r="D446" s="1"/>
      <c r="J446" t="s">
        <v>434</v>
      </c>
      <c r="K446" t="s">
        <v>3215</v>
      </c>
      <c r="L446" t="s">
        <v>1143</v>
      </c>
      <c r="M446" t="s">
        <v>537</v>
      </c>
      <c r="P446" t="s">
        <v>1185</v>
      </c>
      <c r="Q446" t="s">
        <v>1615</v>
      </c>
      <c r="R446" t="s">
        <v>256</v>
      </c>
      <c r="AM446"/>
      <c r="AN446"/>
      <c r="AO446" s="3" t="s">
        <v>3216</v>
      </c>
      <c r="AP446" s="3" t="s">
        <v>258</v>
      </c>
      <c r="AQ446" s="3" t="s">
        <v>600</v>
      </c>
      <c r="AR446" t="s">
        <v>260</v>
      </c>
      <c r="AT446" s="1"/>
      <c r="AU446" s="1"/>
      <c r="AV446" s="1"/>
      <c r="AW446" s="1"/>
      <c r="AX446" s="2"/>
      <c r="AY446" s="2"/>
      <c r="AZ446" s="70"/>
      <c r="BA446" s="2"/>
      <c r="BB446" s="2"/>
      <c r="BC446" s="2"/>
      <c r="BD446" s="2"/>
      <c r="BE446" s="2"/>
      <c r="BF446" s="2"/>
      <c r="BG446" s="20"/>
      <c r="BH446" s="22"/>
      <c r="BI446" s="22"/>
      <c r="BJ446" s="14"/>
      <c r="BK446" s="22"/>
      <c r="BL446" s="14"/>
      <c r="BM446" s="14"/>
      <c r="BN446" s="14"/>
      <c r="BO446" s="17"/>
      <c r="BP446" s="23"/>
      <c r="BQ446" s="14"/>
      <c r="BR446" s="14"/>
      <c r="BS446" s="14"/>
      <c r="BT446" s="14"/>
      <c r="BU446" s="17"/>
      <c r="BV446" s="23"/>
      <c r="BW446" s="14"/>
      <c r="BX446" s="14"/>
      <c r="BY446" s="14"/>
      <c r="BZ446" s="14"/>
      <c r="CA446" s="17"/>
      <c r="CB446" s="23"/>
      <c r="CC446" s="14"/>
      <c r="CD446" s="14"/>
      <c r="CE446" s="14"/>
      <c r="CF446" s="14"/>
      <c r="CG446" s="17"/>
      <c r="CH446" s="23"/>
      <c r="CI446" s="14"/>
      <c r="CJ446" s="14"/>
      <c r="CK446" s="14"/>
      <c r="CL446" s="14"/>
      <c r="CM446" s="17"/>
      <c r="CN446" s="23"/>
      <c r="CO446" s="14"/>
      <c r="CP446" s="14"/>
      <c r="CQ446" s="14"/>
      <c r="CR446" s="14"/>
      <c r="CS446" s="14"/>
      <c r="CT446" s="47"/>
      <c r="CU446" s="14"/>
      <c r="CV446" s="32"/>
      <c r="CW446" s="14"/>
      <c r="CY446" s="14"/>
      <c r="DE446" s="14"/>
      <c r="DF446" s="24"/>
      <c r="DG446" s="4"/>
      <c r="DH446" s="4"/>
      <c r="DI446" s="25"/>
      <c r="DJ446" s="35">
        <v>0.98</v>
      </c>
      <c r="IC446" s="4"/>
    </row>
    <row r="447" spans="1:263" ht="15" customHeight="1">
      <c r="A447" s="2">
        <v>102023006</v>
      </c>
      <c r="B447" t="s">
        <v>4071</v>
      </c>
      <c r="J447" t="s">
        <v>311</v>
      </c>
      <c r="K447" t="s">
        <v>1186</v>
      </c>
      <c r="L447" t="s">
        <v>392</v>
      </c>
      <c r="M447" t="s">
        <v>1139</v>
      </c>
      <c r="O447" s="3"/>
      <c r="AG447"/>
      <c r="AJ447" s="18" t="s">
        <v>4083</v>
      </c>
      <c r="AK447" t="s">
        <v>258</v>
      </c>
      <c r="AL447" s="18" t="s">
        <v>600</v>
      </c>
      <c r="AM447" t="s">
        <v>260</v>
      </c>
      <c r="AN447"/>
      <c r="AO447" t="s">
        <v>1300</v>
      </c>
      <c r="AP447" s="3" t="s">
        <v>258</v>
      </c>
      <c r="AQ447" t="s">
        <v>386</v>
      </c>
      <c r="AR447" t="s">
        <v>260</v>
      </c>
      <c r="AX447" s="1"/>
      <c r="AY447" s="1"/>
      <c r="AZ447" s="1"/>
      <c r="BA447" s="1"/>
      <c r="BB447" s="1"/>
      <c r="BC447" s="2"/>
      <c r="BD447" s="116"/>
      <c r="BE447" s="115"/>
      <c r="BF447" s="2"/>
      <c r="BG447" s="2"/>
      <c r="BH447" s="2"/>
      <c r="BI447" s="2"/>
      <c r="BJ447" s="2"/>
      <c r="BK447" s="2"/>
      <c r="BL447" s="20">
        <f ca="1">SUM(DP447)+220</f>
        <v>4247.368833333333</v>
      </c>
      <c r="BM447" s="22">
        <f ca="1">PMT(10%/12,12,BL447,0,0)</f>
        <v>-373.41119937559068</v>
      </c>
      <c r="BN447" s="22">
        <f ca="1">SUM(BM447*-1)</f>
        <v>373.41119937559068</v>
      </c>
      <c r="BO447" s="14">
        <f>SUM(DX447*0.0052)/12</f>
        <v>121.11666666666666</v>
      </c>
      <c r="BP447" s="22">
        <f ca="1">SUM(BN447+BO447)</f>
        <v>494.52786604225736</v>
      </c>
      <c r="BQ447" s="14"/>
      <c r="BR447" s="14">
        <f>SUM(BQ447*0.1)</f>
        <v>0</v>
      </c>
      <c r="BS447" s="14">
        <f ca="1">SUM(BT447*BU447)</f>
        <v>0</v>
      </c>
      <c r="BT447" s="17">
        <f>SUM((BQ447+BR447)*0.00833333333333333)</f>
        <v>0</v>
      </c>
      <c r="BU447" s="23">
        <f ca="1">MONTH(TODAY())+49</f>
        <v>53</v>
      </c>
      <c r="BV447" s="14">
        <f ca="1">SUM(BQ447,BR447,BS447)</f>
        <v>0</v>
      </c>
      <c r="BW447" s="14"/>
      <c r="BX447" s="14">
        <f>SUM(BW447*0.1)</f>
        <v>0</v>
      </c>
      <c r="BY447" s="14">
        <f ca="1">SUM(BZ447*CA447)</f>
        <v>0</v>
      </c>
      <c r="BZ447" s="17">
        <f>SUM((BW447+BX447)*0.00833333333333333)</f>
        <v>0</v>
      </c>
      <c r="CA447" s="23">
        <f ca="1">MONTH(TODAY())+37</f>
        <v>41</v>
      </c>
      <c r="CB447" s="14">
        <f ca="1">SUM(BW447,BX447,BY447)</f>
        <v>0</v>
      </c>
      <c r="CC447" s="14">
        <f>SUM(DU447*0.0052)</f>
        <v>1058.2</v>
      </c>
      <c r="CD447" s="14">
        <f>SUM(CC447*0.1)</f>
        <v>105.82000000000001</v>
      </c>
      <c r="CE447" s="14">
        <f ca="1">SUM(CF447*CG447)</f>
        <v>281.30483333333319</v>
      </c>
      <c r="CF447" s="17">
        <f>SUM((CC447+CD447)*0.00833333333333333)</f>
        <v>9.7001666666666626</v>
      </c>
      <c r="CG447" s="23">
        <f ca="1">MONTH(TODAY())+25</f>
        <v>29</v>
      </c>
      <c r="CH447" s="14">
        <f ca="1">SUM(CC447,CD447,CE447)</f>
        <v>1445.3248333333331</v>
      </c>
      <c r="CI447" s="14">
        <f>SUM(DU447*0.0052)</f>
        <v>1058.2</v>
      </c>
      <c r="CJ447" s="14">
        <f>SUM(CI447*0.1)</f>
        <v>105.82000000000001</v>
      </c>
      <c r="CK447" s="14">
        <f ca="1">SUM(CL447*CM447)</f>
        <v>164.90283333333326</v>
      </c>
      <c r="CL447" s="17">
        <f>SUM((CI447+CJ447)*0.00833333333333333)</f>
        <v>9.7001666666666626</v>
      </c>
      <c r="CM447" s="23">
        <f ca="1">MONTH(TODAY())+13</f>
        <v>17</v>
      </c>
      <c r="CN447" s="14">
        <f ca="1">SUM(CI447,CJ447,CK447)</f>
        <v>1328.9228333333333</v>
      </c>
      <c r="CO447" s="14">
        <f>SUM(DU447*0.0052)/2</f>
        <v>529.1</v>
      </c>
      <c r="CP447" s="14">
        <f>SUM(CO447*0.1)</f>
        <v>52.910000000000004</v>
      </c>
      <c r="CQ447" s="14">
        <f ca="1">SUM(CR447*CS447)</f>
        <v>43.650749999999981</v>
      </c>
      <c r="CR447" s="17">
        <f>SUM((CO447+CP447)*0.00833333333333333)</f>
        <v>4.8500833333333313</v>
      </c>
      <c r="CS447" s="23">
        <f ca="1">MONTH(TODAY())+5</f>
        <v>9</v>
      </c>
      <c r="CT447" s="23">
        <f ca="1">SUM(CO447,CP447,CQ447)</f>
        <v>625.66075000000001</v>
      </c>
      <c r="CU447" s="14">
        <f>SUM(DU447*0.0052)/2</f>
        <v>529.1</v>
      </c>
      <c r="CV447" s="14">
        <f>SUM(CU447*0.1)</f>
        <v>52.910000000000004</v>
      </c>
      <c r="CW447" s="14">
        <f ca="1">SUM(CX447*CY447)</f>
        <v>24.250416666666656</v>
      </c>
      <c r="CX447" s="17">
        <f>SUM((CU447+CV447)*0.00833333333333333)</f>
        <v>4.8500833333333313</v>
      </c>
      <c r="CY447" s="23">
        <f ca="1">MONTH(TODAY())+1</f>
        <v>5</v>
      </c>
      <c r="CZ447" s="23">
        <f ca="1">SUM(CU447,CV447,CW447)</f>
        <v>606.26041666666663</v>
      </c>
      <c r="DA447" s="14">
        <f>SUM( BQ447, BW447, CC447, CI447, CO447,CU447)</f>
        <v>3174.6</v>
      </c>
      <c r="DB447" s="14">
        <f>SUM(BR447,BX447,CD447,CJ447, CP447,CV447)</f>
        <v>317.46000000000004</v>
      </c>
      <c r="DC447" s="14">
        <f ca="1">SUM(BS447,BY447,CE447,CK447, CQ447,CW447)</f>
        <v>514.10883333333311</v>
      </c>
      <c r="DD447" s="25">
        <f ca="1">SUM(DA447:DC447)</f>
        <v>4006.1688333333332</v>
      </c>
      <c r="DE447" s="47">
        <f ca="1">SUM(DD447/DU447)</f>
        <v>1.9686333333333333E-2</v>
      </c>
      <c r="DF447" s="14">
        <v>20</v>
      </c>
      <c r="DG447" s="32">
        <f>COUNTIF(DL447, "*")+COUNTIF(AO447, "*")+COUNTIF(AJ447, "*")+COUNTIF(AA447, "*")+COUNTIF(EM447, "*")+COUNTIF(ES447, "*")+COUNTIF(EY447, "*")+COUNTIF(FC447, "*")+COUNTIF(FJ447, "*")+COUNTIF(AT447, "*")+COUNTIF(FS447, "*")+COUNTIF(GD447, "*")+COUNTIF(GO447, "*")+COUNTIF(GW447, "*")+COUNTIF(HE447, "*")+COUNTIF(HM447, "*")+COUNTIF(HU447, "*")</f>
        <v>2</v>
      </c>
      <c r="DH447" s="14">
        <f>DG447*0.6</f>
        <v>1.2</v>
      </c>
      <c r="DI447" s="4"/>
      <c r="DJ447" s="4"/>
      <c r="DK447" s="4"/>
      <c r="DL447" s="4"/>
      <c r="DN447" s="4"/>
      <c r="DO447" s="14">
        <f>SUM(DJ447:DN447)</f>
        <v>0</v>
      </c>
      <c r="DP447" s="14">
        <f ca="1">SUM(DD447,DF447,DO447, DI447, DH447,FP447)</f>
        <v>4027.368833333333</v>
      </c>
      <c r="DQ447" s="24" t="s">
        <v>3974</v>
      </c>
      <c r="DR447" s="7">
        <v>63.07</v>
      </c>
      <c r="DS447" s="4">
        <v>173200</v>
      </c>
      <c r="DT447" s="4">
        <v>30300</v>
      </c>
      <c r="DU447" s="14">
        <f>SUM(DS447+DT447)</f>
        <v>203500</v>
      </c>
      <c r="DV447" s="14">
        <v>240100</v>
      </c>
      <c r="DW447" s="14">
        <v>39400</v>
      </c>
      <c r="DX447" s="14">
        <f>SUM(DV447+DW447)</f>
        <v>279500</v>
      </c>
      <c r="IA447" s="9"/>
      <c r="IL447" s="14">
        <f ca="1">SUM(IB447-DP447-FP447-IJ447)</f>
        <v>-4027.368833333333</v>
      </c>
      <c r="IM447" s="9"/>
      <c r="IN447" s="9"/>
      <c r="IO447" s="9"/>
      <c r="IP447" s="9"/>
      <c r="IQ447" s="9"/>
    </row>
    <row r="448" spans="1:263" ht="15" customHeight="1">
      <c r="A448" s="19">
        <v>102017065</v>
      </c>
      <c r="B448" s="18" t="s">
        <v>965</v>
      </c>
      <c r="C448" s="18"/>
      <c r="E448" s="18" t="s">
        <v>966</v>
      </c>
      <c r="F448" s="19">
        <v>180005343</v>
      </c>
      <c r="G448" s="18"/>
      <c r="H448" s="18"/>
      <c r="I448" s="18"/>
      <c r="J448" s="18" t="s">
        <v>311</v>
      </c>
      <c r="K448" s="18" t="s">
        <v>967</v>
      </c>
      <c r="L448" s="18" t="s">
        <v>968</v>
      </c>
      <c r="M448" s="18" t="s">
        <v>256</v>
      </c>
      <c r="N448" s="18"/>
      <c r="O448" s="13"/>
      <c r="P448" s="18"/>
      <c r="Q448" s="18"/>
      <c r="R448" s="18"/>
      <c r="S448" s="18"/>
      <c r="T448" s="13"/>
      <c r="U448" s="18"/>
      <c r="V448" s="18"/>
      <c r="AE448" s="1"/>
      <c r="AJ448" s="4"/>
      <c r="AK448" s="4"/>
      <c r="AL448" s="4"/>
      <c r="AO448" s="4"/>
      <c r="AP448" s="13"/>
      <c r="AQ448" s="34"/>
      <c r="AR448" s="34"/>
      <c r="AS448" s="5"/>
      <c r="AT448" s="13"/>
      <c r="AU448" s="1"/>
      <c r="AV448" s="1"/>
      <c r="AW448" s="1"/>
      <c r="AX448" s="1"/>
      <c r="AY448" s="1"/>
      <c r="AZ448" s="1"/>
      <c r="BA448" s="1"/>
      <c r="BB448" s="1"/>
      <c r="BC448" s="1"/>
      <c r="BD448" s="1"/>
      <c r="BE448" s="1"/>
      <c r="BF448" s="1"/>
      <c r="BG448" s="5"/>
      <c r="BH448" s="16"/>
      <c r="BI448" s="16"/>
      <c r="BJ448" s="4"/>
      <c r="BK448" s="4"/>
      <c r="BL448" s="4"/>
      <c r="BM448" s="6"/>
      <c r="BN448" s="7"/>
      <c r="BO448" s="4"/>
      <c r="BQ448" s="4"/>
      <c r="BR448" s="4"/>
      <c r="BS448" s="6"/>
      <c r="BT448" s="7"/>
      <c r="BU448" s="4"/>
      <c r="BV448" s="4"/>
      <c r="BW448" s="4"/>
      <c r="BX448" s="4"/>
      <c r="BY448" s="17"/>
      <c r="BZ448" s="7"/>
      <c r="CA448" s="4"/>
      <c r="CB448" s="4"/>
      <c r="CC448" s="4"/>
      <c r="CD448" s="4"/>
      <c r="CE448" s="17"/>
      <c r="CF448" s="7"/>
      <c r="CG448" s="4"/>
      <c r="CH448" s="4"/>
      <c r="CI448" s="4"/>
      <c r="CJ448" s="4"/>
      <c r="CK448" s="6"/>
      <c r="CL448" s="7"/>
      <c r="CM448" s="4"/>
      <c r="CN448" s="4"/>
      <c r="CO448" s="4"/>
      <c r="CP448" s="4"/>
      <c r="CQ448" s="17"/>
      <c r="CR448" s="7"/>
      <c r="CS448" s="4"/>
      <c r="CT448" s="4"/>
      <c r="CU448" s="4"/>
      <c r="CV448" s="4"/>
      <c r="CW448" s="17"/>
      <c r="CX448" s="7"/>
      <c r="CY448" s="4"/>
      <c r="CZ448" s="4"/>
      <c r="DA448" s="4"/>
      <c r="DB448" s="4"/>
      <c r="DC448" s="17"/>
      <c r="DD448" s="7"/>
      <c r="DE448" s="4"/>
      <c r="DF448" s="4"/>
      <c r="DG448" s="4"/>
      <c r="DH448" s="14"/>
      <c r="DI448" s="14"/>
      <c r="DJ448" s="4"/>
      <c r="DK448" s="3"/>
      <c r="DL448" s="4"/>
      <c r="DM448" s="234"/>
      <c r="DN448" s="4"/>
      <c r="DO448" s="4"/>
      <c r="DP448" s="4"/>
      <c r="DQ448" s="4"/>
      <c r="DR448" s="4"/>
      <c r="DS448" s="4"/>
      <c r="DT448" s="4"/>
      <c r="DU448" s="8"/>
      <c r="DV448" s="4"/>
      <c r="DW448" s="8"/>
      <c r="DX448" s="4"/>
      <c r="DY448" s="4"/>
      <c r="DZ448" s="7"/>
      <c r="EP448" s="11"/>
      <c r="FI448" s="9"/>
      <c r="FJ448" s="10"/>
      <c r="FP448" s="9"/>
      <c r="FQ448" s="10"/>
      <c r="FR448" s="9"/>
      <c r="FX448" s="4"/>
      <c r="GE448" s="9"/>
      <c r="IJ448" s="4"/>
      <c r="IK448" s="4"/>
      <c r="IL448" s="9"/>
      <c r="IS448" s="4"/>
      <c r="IT448" s="4"/>
    </row>
    <row r="449" spans="1:263" ht="15" customHeight="1">
      <c r="A449" s="2">
        <v>102017065</v>
      </c>
      <c r="B449" t="s">
        <v>965</v>
      </c>
      <c r="E449" t="s">
        <v>966</v>
      </c>
      <c r="F449">
        <v>180005343</v>
      </c>
      <c r="J449" t="s">
        <v>311</v>
      </c>
      <c r="K449" t="s">
        <v>967</v>
      </c>
      <c r="L449" t="s">
        <v>968</v>
      </c>
      <c r="M449" t="s">
        <v>256</v>
      </c>
      <c r="X449" s="18"/>
      <c r="Y449" s="18"/>
      <c r="Z449" s="18"/>
      <c r="AA449" s="18"/>
      <c r="AB449" s="18"/>
      <c r="AC449" s="18"/>
      <c r="AD449" s="18"/>
      <c r="AE449" s="13"/>
      <c r="AF449" s="18"/>
      <c r="AG449" s="24"/>
      <c r="AH449" s="14"/>
      <c r="AI449" s="14"/>
      <c r="AJ449" s="14"/>
      <c r="AK449" s="14"/>
      <c r="AL449" s="14"/>
      <c r="AM449" s="63"/>
      <c r="AN449" s="24"/>
      <c r="AO449" s="14"/>
      <c r="AP449" s="13"/>
      <c r="AQ449" s="63"/>
      <c r="AR449" s="63"/>
      <c r="AS449" s="20"/>
      <c r="AT449" s="13"/>
      <c r="AU449" s="13"/>
      <c r="AV449" s="13"/>
      <c r="AW449" s="13"/>
      <c r="AX449" s="21"/>
      <c r="AY449" s="21"/>
      <c r="AZ449" s="21"/>
      <c r="BA449" s="21"/>
      <c r="BB449" s="13"/>
      <c r="BC449" s="21"/>
      <c r="BD449" s="21"/>
      <c r="BE449" s="21"/>
      <c r="BF449" s="21"/>
      <c r="BG449" s="20"/>
      <c r="BH449" s="22"/>
      <c r="BI449" s="22"/>
      <c r="BJ449" s="14"/>
      <c r="BK449" s="14"/>
      <c r="BL449" s="14"/>
      <c r="BM449" s="17"/>
      <c r="BN449" s="23"/>
      <c r="BO449" s="14"/>
      <c r="BP449" s="18"/>
      <c r="BQ449" s="14"/>
      <c r="BR449" s="14"/>
      <c r="BS449" s="17"/>
      <c r="BT449" s="23"/>
      <c r="BU449" s="14"/>
      <c r="BV449" s="14"/>
      <c r="BW449" s="14"/>
      <c r="BX449" s="14"/>
      <c r="BY449" s="17"/>
      <c r="BZ449" s="7"/>
      <c r="CA449" s="14"/>
      <c r="CB449" s="14"/>
      <c r="CC449" s="14"/>
      <c r="CD449" s="14"/>
      <c r="CE449" s="17"/>
      <c r="CF449" s="7"/>
      <c r="CG449" s="14"/>
      <c r="CH449" s="14"/>
      <c r="CI449" s="14"/>
      <c r="CJ449" s="14"/>
      <c r="CK449" s="6"/>
      <c r="CL449" s="7"/>
      <c r="CM449" s="14"/>
      <c r="CN449" s="14"/>
      <c r="CO449" s="14"/>
      <c r="CP449" s="14"/>
      <c r="CQ449" s="6"/>
      <c r="CR449" s="7"/>
      <c r="CS449" s="14"/>
      <c r="CT449" s="14"/>
      <c r="CU449" s="14"/>
      <c r="CV449" s="14"/>
      <c r="CW449" s="17"/>
      <c r="CX449" s="7"/>
      <c r="CY449" s="14"/>
      <c r="CZ449" s="14"/>
      <c r="DA449" s="14"/>
      <c r="DB449" s="14"/>
      <c r="DC449" s="17"/>
      <c r="DD449" s="7"/>
      <c r="DE449" s="14"/>
      <c r="DF449" s="4"/>
      <c r="DG449" s="4"/>
      <c r="DH449" s="14"/>
      <c r="DI449" s="14"/>
      <c r="DJ449" s="14"/>
      <c r="DK449" s="24"/>
      <c r="DL449" s="14"/>
      <c r="DM449" s="234"/>
      <c r="DN449" s="14"/>
      <c r="DO449" s="14"/>
      <c r="DP449" s="4"/>
      <c r="DQ449" s="14"/>
      <c r="DR449" s="14"/>
      <c r="DS449" s="14"/>
      <c r="DT449" s="14"/>
      <c r="DU449" s="25"/>
      <c r="DV449" s="14"/>
      <c r="DW449" s="25"/>
      <c r="DX449" s="14"/>
      <c r="DY449" s="14"/>
      <c r="DZ449" s="23"/>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27"/>
      <c r="FJ449" s="28"/>
      <c r="FK449" s="18"/>
      <c r="FL449" s="18"/>
      <c r="FM449" s="18"/>
      <c r="FN449" s="18"/>
      <c r="FO449" s="18"/>
      <c r="FP449" s="18"/>
      <c r="FQ449" s="28"/>
      <c r="FR449" s="27"/>
      <c r="FS449" s="18"/>
      <c r="FT449" s="18"/>
      <c r="FU449" s="18"/>
      <c r="FV449" s="18"/>
      <c r="FW449" s="18"/>
      <c r="FX449" s="14"/>
      <c r="FY449" s="18"/>
      <c r="FZ449" s="18"/>
      <c r="GA449" s="18"/>
      <c r="GB449" s="18"/>
      <c r="GC449" s="18"/>
      <c r="GD449" s="18"/>
      <c r="GE449" s="27"/>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4"/>
      <c r="IK449" s="14"/>
      <c r="IL449" s="27"/>
      <c r="IM449" s="18"/>
      <c r="IN449" s="18"/>
      <c r="IO449" s="18"/>
      <c r="IP449" s="18"/>
      <c r="IQ449" s="18"/>
      <c r="IR449" s="18"/>
      <c r="IS449" s="14"/>
      <c r="IT449" s="14"/>
      <c r="IU449" s="18"/>
      <c r="IZ449" s="18"/>
      <c r="JA449" s="18"/>
      <c r="JB449" s="18"/>
    </row>
    <row r="450" spans="1:263" ht="15" customHeight="1">
      <c r="A450" s="2">
        <v>102017065</v>
      </c>
      <c r="B450" t="s">
        <v>965</v>
      </c>
      <c r="E450" t="s">
        <v>966</v>
      </c>
      <c r="K450" t="s">
        <v>967</v>
      </c>
      <c r="L450" t="s">
        <v>968</v>
      </c>
      <c r="M450" t="s">
        <v>256</v>
      </c>
      <c r="O450" s="18"/>
      <c r="P450" s="18"/>
      <c r="Q450" s="18"/>
      <c r="R450" s="18"/>
      <c r="S450" s="18"/>
      <c r="T450" s="18"/>
      <c r="U450" s="18"/>
      <c r="V450" s="18"/>
      <c r="W450" s="18"/>
      <c r="X450" s="18"/>
      <c r="Y450" s="18"/>
      <c r="Z450" s="18"/>
      <c r="AA450" s="18"/>
      <c r="AB450" s="18"/>
      <c r="AC450" s="18"/>
      <c r="AD450" s="18"/>
      <c r="AE450" s="18"/>
      <c r="AF450" s="18"/>
      <c r="AG450" s="24"/>
      <c r="AH450" s="18"/>
      <c r="AI450" s="18"/>
      <c r="AJ450" s="18"/>
      <c r="AK450" s="37"/>
      <c r="AL450" s="18"/>
      <c r="AM450" s="24"/>
      <c r="AN450" s="24"/>
      <c r="AO450" s="18"/>
      <c r="AP450" s="13"/>
      <c r="AQ450" s="24"/>
      <c r="AR450" s="24"/>
      <c r="AS450" s="24"/>
      <c r="AT450" s="24"/>
      <c r="AU450" s="24"/>
      <c r="AV450" s="18"/>
      <c r="AW450" s="13"/>
      <c r="AX450" s="13"/>
      <c r="AY450" s="13"/>
      <c r="AZ450" s="13"/>
      <c r="BA450" s="13"/>
      <c r="BB450" s="19"/>
      <c r="BC450" s="19"/>
      <c r="BD450" s="48"/>
      <c r="BE450" s="19"/>
      <c r="BF450" s="19"/>
      <c r="BG450" s="19"/>
      <c r="BH450" s="19"/>
      <c r="BI450" s="19"/>
      <c r="BJ450" s="19"/>
      <c r="BK450" s="18"/>
      <c r="BL450" s="18"/>
      <c r="BM450" s="18"/>
      <c r="BN450" s="14"/>
      <c r="BO450" s="18"/>
      <c r="BP450" s="18"/>
      <c r="BQ450" s="18"/>
      <c r="BR450" s="18"/>
      <c r="BS450" s="18"/>
      <c r="BT450" s="23"/>
      <c r="BU450" s="18"/>
      <c r="BV450" s="18"/>
      <c r="BW450" s="18"/>
      <c r="BX450" s="18"/>
      <c r="BY450" s="18"/>
      <c r="BZ450" s="18"/>
      <c r="CA450" s="18"/>
      <c r="CB450" s="18"/>
      <c r="CC450" s="18"/>
      <c r="CD450" s="18"/>
      <c r="CE450" s="18"/>
      <c r="CF450" s="23"/>
      <c r="CG450" s="18"/>
      <c r="CH450" s="18"/>
      <c r="CI450" s="18"/>
      <c r="CJ450" s="18"/>
      <c r="CK450" s="18"/>
      <c r="CL450" s="23"/>
      <c r="CM450" s="18"/>
      <c r="CN450" s="18"/>
      <c r="CO450" s="18"/>
      <c r="CP450" s="18"/>
      <c r="CQ450" s="18"/>
      <c r="CR450" s="18"/>
      <c r="CS450" s="18"/>
      <c r="CT450" s="18"/>
      <c r="CU450" s="18"/>
      <c r="CV450" s="18"/>
      <c r="CW450" s="18"/>
      <c r="CX450" s="18"/>
      <c r="CY450" s="18"/>
      <c r="CZ450" s="14"/>
      <c r="DA450" s="14"/>
      <c r="DB450" s="14"/>
      <c r="DC450" s="14"/>
      <c r="DD450" s="18"/>
      <c r="DE450" s="18"/>
      <c r="DF450" s="18"/>
      <c r="DG450" s="14"/>
      <c r="DH450" s="18"/>
      <c r="DI450" s="18"/>
      <c r="DJ450" s="18"/>
      <c r="DK450" s="18"/>
      <c r="DL450" s="18"/>
      <c r="DM450" s="18"/>
      <c r="DN450" s="18"/>
      <c r="DO450" s="14">
        <f>SUM(DJ450:DN450)</f>
        <v>0</v>
      </c>
      <c r="DP450" s="18"/>
      <c r="DQ450" s="14"/>
      <c r="DR450" s="14"/>
      <c r="DS450" s="18"/>
      <c r="DT450" s="36"/>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27">
        <v>43694</v>
      </c>
      <c r="HZ450" s="18"/>
      <c r="IA450" s="18"/>
      <c r="IB450" s="18"/>
      <c r="IC450" s="18"/>
      <c r="ID450" s="18"/>
      <c r="IE450" s="18"/>
      <c r="IF450" s="18"/>
      <c r="IG450" s="18"/>
      <c r="IH450" s="18"/>
      <c r="II450" s="18"/>
      <c r="IJ450" s="14">
        <v>10574.76</v>
      </c>
      <c r="IK450" s="18"/>
      <c r="IZ450" s="18"/>
      <c r="JA450" s="18"/>
      <c r="JB450" s="18"/>
    </row>
    <row r="451" spans="1:263" ht="15" customHeight="1">
      <c r="A451" s="19">
        <v>102022102</v>
      </c>
      <c r="B451" t="s">
        <v>965</v>
      </c>
      <c r="D451" s="1"/>
      <c r="J451" t="s">
        <v>311</v>
      </c>
      <c r="K451" t="s">
        <v>1186</v>
      </c>
      <c r="L451" t="s">
        <v>3083</v>
      </c>
      <c r="AG451" s="248"/>
      <c r="AJ451" s="18" t="s">
        <v>3098</v>
      </c>
      <c r="AK451" t="s">
        <v>258</v>
      </c>
      <c r="AL451" t="s">
        <v>600</v>
      </c>
      <c r="AM451" s="3" t="s">
        <v>260</v>
      </c>
      <c r="AO451" t="s">
        <v>773</v>
      </c>
      <c r="AP451" s="1" t="s">
        <v>258</v>
      </c>
      <c r="AQ451" s="3" t="s">
        <v>386</v>
      </c>
      <c r="AR451" s="3" t="s">
        <v>260</v>
      </c>
      <c r="AS451" s="1"/>
      <c r="AT451" s="1"/>
      <c r="AU451" s="1"/>
      <c r="AV451" s="1"/>
      <c r="AW451" s="1"/>
      <c r="AX451" s="2"/>
      <c r="AY451" s="116"/>
      <c r="AZ451" s="115"/>
      <c r="BA451" s="2"/>
      <c r="BB451" s="2"/>
      <c r="BC451" s="2"/>
      <c r="BD451" s="2"/>
      <c r="BE451" s="2"/>
      <c r="BF451" s="2"/>
      <c r="BG451" s="20"/>
      <c r="BH451" s="22"/>
      <c r="BI451" s="22"/>
      <c r="BJ451" s="14"/>
      <c r="BK451" s="22"/>
      <c r="BL451" s="14"/>
      <c r="BM451" s="14"/>
      <c r="BN451" s="14"/>
      <c r="BO451" s="17"/>
      <c r="BP451" s="23"/>
      <c r="BQ451" s="14"/>
      <c r="BR451" s="14"/>
      <c r="BS451" s="14"/>
      <c r="BT451" s="14"/>
      <c r="BU451" s="17"/>
      <c r="BV451" s="23"/>
      <c r="BW451" s="14"/>
      <c r="BX451" s="14"/>
      <c r="BY451" s="14"/>
      <c r="BZ451" s="14"/>
      <c r="CA451" s="17"/>
      <c r="CB451" s="23"/>
      <c r="CC451" s="14"/>
      <c r="CD451" s="14"/>
      <c r="CE451" s="14"/>
      <c r="CF451" s="14"/>
      <c r="CG451" s="17"/>
      <c r="CH451" s="23"/>
      <c r="CI451" s="14"/>
      <c r="CJ451" s="14"/>
      <c r="CK451" s="14"/>
      <c r="CL451" s="14"/>
      <c r="CM451" s="17"/>
      <c r="CN451" s="23"/>
      <c r="CO451" s="14"/>
      <c r="CP451" s="14"/>
      <c r="CQ451" s="14"/>
      <c r="CR451" s="14"/>
      <c r="CS451" s="14"/>
      <c r="CT451" s="47"/>
      <c r="CU451" s="14"/>
      <c r="CV451" s="32"/>
      <c r="CW451" s="14"/>
      <c r="CX451" s="4"/>
      <c r="CY451" s="14"/>
      <c r="CZ451" s="4"/>
      <c r="DE451" s="14"/>
      <c r="DF451" s="24"/>
      <c r="DG451" s="4"/>
      <c r="DH451" s="4"/>
      <c r="DI451" s="25"/>
      <c r="DJ451" s="35">
        <v>3.05</v>
      </c>
      <c r="IC451" s="4"/>
    </row>
    <row r="452" spans="1:263" ht="15" customHeight="1">
      <c r="A452" s="19">
        <v>102022101</v>
      </c>
      <c r="B452" t="s">
        <v>2843</v>
      </c>
      <c r="D452" s="1"/>
      <c r="J452" t="s">
        <v>311</v>
      </c>
      <c r="K452" t="s">
        <v>1186</v>
      </c>
      <c r="L452" t="s">
        <v>3083</v>
      </c>
      <c r="AO452" s="18" t="s">
        <v>328</v>
      </c>
      <c r="AQ452" t="s">
        <v>600</v>
      </c>
      <c r="AR452"/>
      <c r="AT452" s="3" t="s">
        <v>773</v>
      </c>
      <c r="AU452" s="3" t="s">
        <v>258</v>
      </c>
      <c r="AV452" s="3" t="s">
        <v>386</v>
      </c>
      <c r="AW452" t="s">
        <v>260</v>
      </c>
      <c r="AY452" s="116"/>
      <c r="AZ452" s="115"/>
      <c r="BA452" s="2"/>
      <c r="BB452" s="2"/>
      <c r="BC452" s="2"/>
      <c r="BD452" s="2"/>
      <c r="BE452" s="2"/>
      <c r="BF452" s="2"/>
      <c r="BG452" s="20"/>
      <c r="BH452" s="22"/>
      <c r="BI452" s="22"/>
      <c r="BJ452" s="14"/>
      <c r="BK452" s="22"/>
      <c r="BL452" s="14"/>
      <c r="BM452" s="14"/>
      <c r="BN452" s="14"/>
      <c r="BO452" s="17"/>
      <c r="BP452" s="23"/>
      <c r="BQ452" s="14"/>
      <c r="BR452" s="14"/>
      <c r="BS452" s="14"/>
      <c r="BT452" s="14"/>
      <c r="BU452" s="17"/>
      <c r="BV452" s="23"/>
      <c r="BW452" s="14"/>
      <c r="BX452" s="14"/>
      <c r="BY452" s="14"/>
      <c r="BZ452" s="14"/>
      <c r="CA452" s="17"/>
      <c r="CB452" s="23"/>
      <c r="CC452" s="14"/>
      <c r="CD452" s="14"/>
      <c r="CE452" s="14"/>
      <c r="CF452" s="14"/>
      <c r="CG452" s="17"/>
      <c r="CH452" s="23"/>
      <c r="CI452" s="14"/>
      <c r="CJ452" s="14"/>
      <c r="CK452" s="14"/>
      <c r="CL452" s="14"/>
      <c r="CM452" s="17"/>
      <c r="CN452" s="23"/>
      <c r="CO452" s="14"/>
      <c r="CP452" s="14"/>
      <c r="CQ452" s="14"/>
      <c r="CR452" s="14"/>
      <c r="CS452" s="14"/>
      <c r="CT452" s="47"/>
      <c r="CU452" s="14"/>
      <c r="CV452" s="32"/>
      <c r="CW452" s="14"/>
      <c r="CX452" s="4"/>
      <c r="CY452" s="14"/>
      <c r="CZ452" s="4"/>
      <c r="DE452" s="14"/>
      <c r="DF452" s="24"/>
      <c r="DG452" s="4"/>
      <c r="DH452" s="4"/>
      <c r="DI452" s="25"/>
      <c r="DJ452" s="35">
        <v>3.05</v>
      </c>
      <c r="IC452" s="4"/>
    </row>
    <row r="453" spans="1:263" ht="15" customHeight="1">
      <c r="A453" s="19">
        <v>102021110</v>
      </c>
      <c r="B453" t="s">
        <v>2771</v>
      </c>
      <c r="D453" s="13">
        <v>2023</v>
      </c>
      <c r="J453" t="s">
        <v>434</v>
      </c>
      <c r="K453" t="s">
        <v>1020</v>
      </c>
      <c r="L453" t="s">
        <v>896</v>
      </c>
      <c r="M453" t="s">
        <v>357</v>
      </c>
      <c r="P453" t="s">
        <v>2686</v>
      </c>
      <c r="Q453" t="s">
        <v>692</v>
      </c>
      <c r="AJ453" s="18" t="s">
        <v>328</v>
      </c>
      <c r="AK453" s="18"/>
      <c r="AL453" s="18" t="s">
        <v>600</v>
      </c>
      <c r="AM453"/>
      <c r="AN453"/>
      <c r="AO453" s="3" t="s">
        <v>2687</v>
      </c>
      <c r="AP453" s="1" t="s">
        <v>258</v>
      </c>
      <c r="AQ453" s="3" t="s">
        <v>2688</v>
      </c>
      <c r="AR453"/>
      <c r="AT453" s="1"/>
      <c r="AU453" s="1"/>
      <c r="AV453" s="1"/>
      <c r="AW453" s="1"/>
      <c r="AX453" s="2"/>
      <c r="AY453" s="2"/>
      <c r="AZ453" s="70"/>
      <c r="BA453" s="2"/>
      <c r="BB453" s="2"/>
      <c r="BC453" s="2"/>
      <c r="BD453" s="2"/>
      <c r="BE453" s="2"/>
      <c r="BF453" s="2"/>
      <c r="BG453" s="20"/>
      <c r="BH453" s="22"/>
      <c r="BI453" s="22"/>
      <c r="BJ453" s="14"/>
      <c r="BK453" s="22"/>
      <c r="BL453" s="14"/>
      <c r="BM453" s="14"/>
      <c r="BN453" s="14"/>
      <c r="BO453" s="17"/>
      <c r="BP453" s="23"/>
      <c r="BQ453" s="14"/>
      <c r="BR453" s="14"/>
      <c r="BS453" s="14"/>
      <c r="BT453" s="14"/>
      <c r="BU453" s="17"/>
      <c r="BV453" s="23"/>
      <c r="BW453" s="14"/>
      <c r="BX453" s="14"/>
      <c r="BY453" s="14"/>
      <c r="BZ453" s="14"/>
      <c r="CA453" s="17"/>
      <c r="CB453" s="23"/>
      <c r="CC453" s="14"/>
      <c r="CD453" s="14"/>
      <c r="CE453" s="14"/>
      <c r="CF453" s="14"/>
      <c r="CG453" s="17"/>
      <c r="CH453" s="23"/>
      <c r="CI453" s="14"/>
      <c r="CJ453" s="14"/>
      <c r="CK453" s="14"/>
      <c r="CL453" s="14"/>
      <c r="CM453" s="17"/>
      <c r="CN453" s="23"/>
      <c r="CO453" s="14"/>
      <c r="CP453" s="14"/>
      <c r="CQ453" s="14"/>
      <c r="CR453" s="14"/>
      <c r="CS453" s="14"/>
      <c r="CT453" s="47"/>
      <c r="CU453" s="14"/>
      <c r="CV453" s="32"/>
      <c r="CW453" s="14"/>
      <c r="CY453" s="14"/>
      <c r="DE453" s="14"/>
      <c r="DF453" s="24"/>
      <c r="DG453" s="4"/>
      <c r="DH453" s="4"/>
      <c r="DI453" s="25"/>
      <c r="DJ453" s="35">
        <v>1.1120000000000001</v>
      </c>
      <c r="IC453" s="4"/>
    </row>
    <row r="454" spans="1:263" ht="15" customHeight="1">
      <c r="A454" s="19">
        <v>102022049</v>
      </c>
      <c r="B454" t="s">
        <v>2800</v>
      </c>
      <c r="D454" s="1"/>
      <c r="E454" s="3"/>
      <c r="F454" s="3"/>
      <c r="J454" t="s">
        <v>253</v>
      </c>
      <c r="K454" t="s">
        <v>3019</v>
      </c>
      <c r="L454" t="s">
        <v>3020</v>
      </c>
      <c r="M454" t="s">
        <v>650</v>
      </c>
      <c r="O454" s="3"/>
      <c r="AG454" s="43"/>
      <c r="AJ454" t="s">
        <v>3021</v>
      </c>
      <c r="AK454" t="s">
        <v>258</v>
      </c>
      <c r="AL454" t="s">
        <v>349</v>
      </c>
      <c r="AM454" t="s">
        <v>260</v>
      </c>
      <c r="AN454"/>
      <c r="AO454" t="s">
        <v>3022</v>
      </c>
      <c r="AP454" s="3" t="s">
        <v>258</v>
      </c>
      <c r="AQ454" t="s">
        <v>3023</v>
      </c>
      <c r="AR454"/>
      <c r="AX454" s="1"/>
      <c r="AY454" s="1"/>
      <c r="AZ454" s="1"/>
      <c r="BA454" s="1"/>
      <c r="BB454" s="1"/>
      <c r="BC454" s="2"/>
      <c r="BD454" s="115">
        <v>44696</v>
      </c>
      <c r="BE454" s="115"/>
      <c r="BF454" s="2"/>
      <c r="BG454" s="2"/>
      <c r="BH454" s="2"/>
      <c r="BI454" s="2"/>
      <c r="BJ454" s="2"/>
      <c r="BK454" s="2"/>
      <c r="BL454" s="20">
        <f ca="1">SUM(DP454)+220</f>
        <v>1227.7890333333335</v>
      </c>
      <c r="BM454" s="22">
        <f ca="1">PMT(10%/12,12,BL454,0,0)</f>
        <v>-107.94216219677584</v>
      </c>
      <c r="BN454" s="22">
        <f ca="1">SUM(BM454*-1)</f>
        <v>107.94216219677584</v>
      </c>
      <c r="BO454" s="14">
        <f>SUM(DX454*0.0052)/12</f>
        <v>17.203333333333333</v>
      </c>
      <c r="BP454" s="22">
        <f ca="1">SUM(BN454+BO454)</f>
        <v>125.14549553010917</v>
      </c>
      <c r="BQ454" s="14"/>
      <c r="BR454" s="14">
        <f>SUM(BQ454*0.1)</f>
        <v>0</v>
      </c>
      <c r="BS454" s="14">
        <f ca="1">SUM(BT454*BU454)</f>
        <v>0</v>
      </c>
      <c r="BT454" s="17">
        <f>SUM((BQ454+BR454)*0.00833333333333333)</f>
        <v>0</v>
      </c>
      <c r="BU454" s="23">
        <f ca="1">MONTH(TODAY())+49</f>
        <v>53</v>
      </c>
      <c r="BV454" s="14">
        <f ca="1">SUM(BQ454,BR454,BS454)</f>
        <v>0</v>
      </c>
      <c r="BW454" s="14"/>
      <c r="BX454" s="14">
        <f>SUM(BW454*0.1)</f>
        <v>0</v>
      </c>
      <c r="BY454" s="14">
        <f ca="1">SUM(BZ454*CA454)</f>
        <v>0</v>
      </c>
      <c r="BZ454" s="17">
        <f>SUM((BW454+BX454)*0.00833333333333333)</f>
        <v>0</v>
      </c>
      <c r="CA454" s="23">
        <f ca="1">MONTH(TODAY())+37</f>
        <v>41</v>
      </c>
      <c r="CB454" s="14">
        <f ca="1">SUM(BW454,BX454,BY454)</f>
        <v>0</v>
      </c>
      <c r="CC454" s="14">
        <f>SUM(DU454*0.0052)</f>
        <v>243.88</v>
      </c>
      <c r="CD454" s="14">
        <f>SUM(CC454*0.1)</f>
        <v>24.388000000000002</v>
      </c>
      <c r="CE454" s="14">
        <f ca="1">SUM(CF454*CG454)</f>
        <v>64.831433333333294</v>
      </c>
      <c r="CF454" s="17">
        <f>SUM((CC454+CD454)*0.00833333333333333)</f>
        <v>2.2355666666666654</v>
      </c>
      <c r="CG454" s="23">
        <f ca="1">MONTH(TODAY())+25</f>
        <v>29</v>
      </c>
      <c r="CH454" s="14">
        <f ca="1">SUM(CC454,CD454,CE454)</f>
        <v>333.09943333333325</v>
      </c>
      <c r="CI454" s="14">
        <f>SUM(DU454*0.0052)</f>
        <v>243.88</v>
      </c>
      <c r="CJ454" s="14">
        <f>SUM(CI454*0.1)</f>
        <v>24.388000000000002</v>
      </c>
      <c r="CK454" s="14">
        <f ca="1">SUM(CL454*CM454)</f>
        <v>38.00463333333331</v>
      </c>
      <c r="CL454" s="17">
        <f>SUM((CI454+CJ454)*0.00833333333333333)</f>
        <v>2.2355666666666654</v>
      </c>
      <c r="CM454" s="23">
        <f ca="1">MONTH(TODAY())+13</f>
        <v>17</v>
      </c>
      <c r="CN454" s="14">
        <f ca="1">SUM(CI454,CJ454,CK454)</f>
        <v>306.27263333333326</v>
      </c>
      <c r="CO454" s="14">
        <f>SUM(DU454*0.0052)/2</f>
        <v>121.94</v>
      </c>
      <c r="CP454" s="14">
        <f>SUM(CO454*0.1)</f>
        <v>12.194000000000001</v>
      </c>
      <c r="CQ454" s="14">
        <f ca="1">SUM(CR454*CS454)</f>
        <v>10.060049999999993</v>
      </c>
      <c r="CR454" s="17">
        <f>SUM((CO454+CP454)*0.00833333333333333)</f>
        <v>1.1177833333333327</v>
      </c>
      <c r="CS454" s="23">
        <f ca="1">MONTH(TODAY())+5</f>
        <v>9</v>
      </c>
      <c r="CT454" s="23">
        <f ca="1">SUM(CO454,CP454,CQ454)</f>
        <v>144.19404999999998</v>
      </c>
      <c r="CU454" s="14">
        <f>SUM(DU454*0.0052)/2</f>
        <v>121.94</v>
      </c>
      <c r="CV454" s="14">
        <f>SUM(CU454*0.1)</f>
        <v>12.194000000000001</v>
      </c>
      <c r="CW454" s="14">
        <f ca="1">SUM(CX454*CY454)</f>
        <v>5.5889166666666634</v>
      </c>
      <c r="CX454" s="17">
        <f>SUM((CU454+CV454)*0.00833333333333333)</f>
        <v>1.1177833333333327</v>
      </c>
      <c r="CY454" s="23">
        <f ca="1">MONTH(TODAY())+1</f>
        <v>5</v>
      </c>
      <c r="CZ454" s="23">
        <f ca="1">SUM(CU454,CV454,CW454)</f>
        <v>139.72291666666666</v>
      </c>
      <c r="DA454" s="14">
        <f>SUM( BQ454, BW454, CC454, CI454, CO454,CU454)</f>
        <v>731.6400000000001</v>
      </c>
      <c r="DB454" s="14">
        <f>SUM(BR454,BX454,CD454,CJ454, CP454,CV454)</f>
        <v>73.164000000000001</v>
      </c>
      <c r="DC454" s="14">
        <f ca="1">SUM(BS454,BY454,CE454,CK454, CQ454,CW454)</f>
        <v>118.48503333333325</v>
      </c>
      <c r="DD454" s="25">
        <f ca="1">SUM(DA454:DC454)</f>
        <v>923.28903333333335</v>
      </c>
      <c r="DE454" s="47">
        <f ca="1">SUM(DD454/DU454)</f>
        <v>1.9686333333333333E-2</v>
      </c>
      <c r="DF454" s="14">
        <v>19.5</v>
      </c>
      <c r="DG454" s="32">
        <f>COUNTIF(DL454, "*")+COUNTIF(AO454, "*")+COUNTIF(AJ454, "*")+COUNTIF(AA454, "*")+COUNTIF(EM454, "*")+COUNTIF(ES454, "*")+COUNTIF(EY454, "*")+COUNTIF(FC454, "*")+COUNTIF(FJ454, "*")+COUNTIF(AT454, "*")+COUNTIF(FS454, "*")+COUNTIF(GD454, "*")+COUNTIF(GO454, "*")+COUNTIF(GW454, "*")+COUNTIF(HE454, "*")+COUNTIF(HM454, "*")+COUNTIF(HU454, "*")</f>
        <v>2</v>
      </c>
      <c r="DH454" s="14">
        <f>DG454*0.5</f>
        <v>1</v>
      </c>
      <c r="DI454" s="4"/>
      <c r="DJ454" s="4">
        <v>64</v>
      </c>
      <c r="DK454" s="4"/>
      <c r="DL454" s="4"/>
      <c r="DN454" s="4"/>
      <c r="DO454" s="14">
        <f>SUM(DJ454:DN454)</f>
        <v>64</v>
      </c>
      <c r="DP454" s="14">
        <f ca="1">SUM(DD454,DF454,DO454, DI454, DH454,FP454)</f>
        <v>1007.7890333333334</v>
      </c>
      <c r="DQ454" s="24" t="s">
        <v>2773</v>
      </c>
      <c r="DR454" s="7">
        <v>1.6</v>
      </c>
      <c r="DS454" s="4">
        <v>22400</v>
      </c>
      <c r="DT454" s="4">
        <v>24500</v>
      </c>
      <c r="DU454" s="14">
        <f>SUM(DS454+DT454)</f>
        <v>46900</v>
      </c>
      <c r="DV454" s="14">
        <v>27500</v>
      </c>
      <c r="DW454" s="14">
        <v>12200</v>
      </c>
      <c r="DX454" s="14">
        <f>SUM(DV454+DW454)</f>
        <v>39700</v>
      </c>
      <c r="IA454" s="9"/>
      <c r="IL454" s="14">
        <f ca="1">SUM(IB454-DP454-FP454-IJ454)</f>
        <v>-1007.7890333333334</v>
      </c>
      <c r="IM454" s="9"/>
      <c r="IN454" s="9"/>
      <c r="IO454" s="9"/>
      <c r="IP454" s="9"/>
      <c r="IQ454" s="9"/>
    </row>
    <row r="455" spans="1:263" ht="15" customHeight="1">
      <c r="A455" s="2">
        <v>102023026</v>
      </c>
      <c r="B455" t="s">
        <v>4067</v>
      </c>
      <c r="G455" t="s">
        <v>4538</v>
      </c>
      <c r="K455" t="s">
        <v>4068</v>
      </c>
      <c r="O455" s="3"/>
      <c r="Z455" t="s">
        <v>4075</v>
      </c>
      <c r="AA455" t="s">
        <v>1287</v>
      </c>
      <c r="AB455" t="s">
        <v>524</v>
      </c>
      <c r="AC455" t="s">
        <v>260</v>
      </c>
      <c r="AG455"/>
      <c r="AJ455" s="18" t="s">
        <v>328</v>
      </c>
      <c r="AL455" t="s">
        <v>349</v>
      </c>
      <c r="AM455"/>
      <c r="AN455"/>
      <c r="AO455" t="s">
        <v>4103</v>
      </c>
      <c r="AP455" s="3"/>
      <c r="AQ455" t="s">
        <v>290</v>
      </c>
      <c r="AR455"/>
      <c r="AX455" s="1"/>
      <c r="AY455" s="1"/>
      <c r="AZ455" s="1"/>
      <c r="BA455" s="1"/>
      <c r="BB455" s="1"/>
      <c r="BC455" s="2"/>
      <c r="BD455" s="116"/>
      <c r="BE455" s="115"/>
      <c r="BF455" s="2"/>
      <c r="BG455" s="2"/>
      <c r="BH455" s="2"/>
      <c r="BI455" s="2"/>
      <c r="BJ455" s="2"/>
      <c r="BK455" s="2"/>
      <c r="BL455" s="20">
        <f ca="1">SUM(DP455)+220</f>
        <v>610.32243999999992</v>
      </c>
      <c r="BM455" s="22">
        <f ca="1">PMT(10%/12,12,BL455,0,0)</f>
        <v>-53.657038808984289</v>
      </c>
      <c r="BN455" s="22">
        <f ca="1">SUM(BM455*-1)</f>
        <v>53.657038808984289</v>
      </c>
      <c r="BO455" s="14">
        <f>SUM(DX455*0.0052)/12</f>
        <v>46.93</v>
      </c>
      <c r="BP455" s="22">
        <f ca="1">SUM(BN455+BO455)</f>
        <v>100.58703880898429</v>
      </c>
      <c r="BQ455" s="14"/>
      <c r="BR455" s="14">
        <f>SUM(BQ455*0.1)</f>
        <v>0</v>
      </c>
      <c r="BS455" s="14">
        <f ca="1">SUM(BT455*BU455)</f>
        <v>0</v>
      </c>
      <c r="BT455" s="17">
        <f>SUM((BQ455+BR455)*0.00833333333333333)</f>
        <v>0</v>
      </c>
      <c r="BU455" s="23">
        <f ca="1">MONTH(TODAY())+49</f>
        <v>53</v>
      </c>
      <c r="BV455" s="14">
        <f ca="1">SUM(BQ455,BR455,BS455)</f>
        <v>0</v>
      </c>
      <c r="BW455" s="14"/>
      <c r="BX455" s="14">
        <f>SUM(BW455*0.1)</f>
        <v>0</v>
      </c>
      <c r="BY455" s="14">
        <f ca="1">SUM(BZ455*CA455)</f>
        <v>0</v>
      </c>
      <c r="BZ455" s="17">
        <f>SUM((BW455+BX455)*0.00833333333333333)</f>
        <v>0</v>
      </c>
      <c r="CA455" s="23">
        <f ca="1">MONTH(TODAY())+37</f>
        <v>41</v>
      </c>
      <c r="CB455" s="14">
        <f ca="1">SUM(BW455,BX455,BY455)</f>
        <v>0</v>
      </c>
      <c r="CC455" s="14">
        <v>0</v>
      </c>
      <c r="CD455" s="14">
        <f>SUM(CC455*0.1)</f>
        <v>0</v>
      </c>
      <c r="CE455" s="14">
        <f ca="1">SUM(CF455*CG455)</f>
        <v>0</v>
      </c>
      <c r="CF455" s="17">
        <f>SUM((CC455+CD455)*0.00833333333333333)</f>
        <v>0</v>
      </c>
      <c r="CG455" s="23">
        <f ca="1">MONTH(TODAY())+25</f>
        <v>29</v>
      </c>
      <c r="CH455" s="14">
        <f ca="1">SUM(CC455,CD455,CE455)</f>
        <v>0</v>
      </c>
      <c r="CI455" s="14">
        <f>SUM(DU455*0.0052)</f>
        <v>152.28199999999998</v>
      </c>
      <c r="CJ455" s="14">
        <f>SUM(CI455*0.1)</f>
        <v>15.228199999999999</v>
      </c>
      <c r="CK455" s="14">
        <f ca="1">SUM(CL455*CM455)</f>
        <v>23.730611666666654</v>
      </c>
      <c r="CL455" s="17">
        <f>SUM((CI455+CJ455)*0.00833333333333333)</f>
        <v>1.3959183333333325</v>
      </c>
      <c r="CM455" s="23">
        <f ca="1">MONTH(TODAY())+13</f>
        <v>17</v>
      </c>
      <c r="CN455" s="14">
        <f ca="1">SUM(CI455,CJ455,CK455)</f>
        <v>191.24081166666662</v>
      </c>
      <c r="CO455" s="14">
        <f>SUM(DU455*0.0052)/2</f>
        <v>76.140999999999991</v>
      </c>
      <c r="CP455" s="14">
        <f>SUM(CO455*0.1)</f>
        <v>7.6140999999999996</v>
      </c>
      <c r="CQ455" s="14">
        <f ca="1">SUM(CR455*CS455)</f>
        <v>6.2816324999999962</v>
      </c>
      <c r="CR455" s="17">
        <f>SUM((CO455+CP455)*0.00833333333333333)</f>
        <v>0.69795916666666624</v>
      </c>
      <c r="CS455" s="23">
        <f ca="1">MONTH(TODAY())+5</f>
        <v>9</v>
      </c>
      <c r="CT455" s="23">
        <f ca="1">SUM(CO455,CP455,CQ455)</f>
        <v>90.036732499999985</v>
      </c>
      <c r="CU455" s="14">
        <f>SUM(DU455*0.0052)/2</f>
        <v>76.140999999999991</v>
      </c>
      <c r="CV455" s="14">
        <f>SUM(CU455*0.1)</f>
        <v>7.6140999999999996</v>
      </c>
      <c r="CW455" s="14">
        <f ca="1">SUM(CX455*CY455)</f>
        <v>3.4897958333333312</v>
      </c>
      <c r="CX455" s="17">
        <f>SUM((CU455+CV455)*0.00833333333333333)</f>
        <v>0.69795916666666624</v>
      </c>
      <c r="CY455" s="23">
        <f ca="1">MONTH(TODAY())+1</f>
        <v>5</v>
      </c>
      <c r="CZ455" s="23">
        <f ca="1">SUM(CU455,CV455,CW455)</f>
        <v>87.244895833333317</v>
      </c>
      <c r="DA455" s="14">
        <f>SUM( BQ455, BW455, CC455, CI455, CO455,CU455)</f>
        <v>304.56399999999996</v>
      </c>
      <c r="DB455" s="14">
        <f>SUM(BR455,BX455,CD455,CJ455, CP455,CV455)</f>
        <v>30.456399999999999</v>
      </c>
      <c r="DC455" s="14">
        <f ca="1">SUM(BS455,BY455,CE455,CK455, CQ455,CW455)</f>
        <v>33.50203999999998</v>
      </c>
      <c r="DD455" s="25">
        <f ca="1">SUM(DA455:DC455)</f>
        <v>368.5224399999999</v>
      </c>
      <c r="DE455" s="47">
        <f ca="1">SUM(DD455/DU455)</f>
        <v>1.2583999999999996E-2</v>
      </c>
      <c r="DF455" s="14">
        <v>20</v>
      </c>
      <c r="DG455" s="32">
        <f>COUNTIF(DL455, "*")+COUNTIF(AO455, "*")+COUNTIF(AJ455, "*")+COUNTIF(AA455, "*")+COUNTIF(EM455, "*")+COUNTIF(ES455, "*")+COUNTIF(EY455, "*")+COUNTIF(FC455, "*")+COUNTIF(FJ455, "*")+COUNTIF(AT455, "*")+COUNTIF(FS455, "*")+COUNTIF(GD455, "*")+COUNTIF(GO455, "*")+COUNTIF(GW455, "*")+COUNTIF(HE455, "*")+COUNTIF(HM455, "*")+COUNTIF(HU455, "*")</f>
        <v>3</v>
      </c>
      <c r="DH455" s="14">
        <f>DG455*0.6</f>
        <v>1.7999999999999998</v>
      </c>
      <c r="DI455" s="4"/>
      <c r="DJ455" s="4"/>
      <c r="DK455" s="4"/>
      <c r="DL455" s="4"/>
      <c r="DN455" s="4"/>
      <c r="DO455" s="14">
        <f>SUM(DJ455:DN455)</f>
        <v>0</v>
      </c>
      <c r="DP455" s="14">
        <f ca="1">SUM(DD455,DF455,DO455, DI455, DH455,FP455)</f>
        <v>390.32243999999992</v>
      </c>
      <c r="DQ455" s="24" t="s">
        <v>3879</v>
      </c>
      <c r="DR455" s="7">
        <v>60.17</v>
      </c>
      <c r="DS455" s="4">
        <v>97500</v>
      </c>
      <c r="DT455" s="4">
        <v>0</v>
      </c>
      <c r="DU455" s="14">
        <v>29285</v>
      </c>
      <c r="DV455" s="14">
        <v>108300</v>
      </c>
      <c r="DW455" s="14">
        <v>0</v>
      </c>
      <c r="DX455" s="14">
        <f>SUM(DV455+DW455)</f>
        <v>108300</v>
      </c>
      <c r="IA455" s="9"/>
      <c r="IL455" s="14">
        <f ca="1">SUM(IB455-DP455-FP455-IJ455)</f>
        <v>-390.32243999999992</v>
      </c>
      <c r="IM455" s="9"/>
      <c r="IN455" s="9"/>
      <c r="IO455" s="9"/>
      <c r="IP455" s="9"/>
      <c r="IQ455" s="9"/>
    </row>
    <row r="456" spans="1:263" ht="15" customHeight="1">
      <c r="A456" s="2">
        <v>102019106</v>
      </c>
      <c r="B456" t="s">
        <v>1506</v>
      </c>
      <c r="E456" s="3" t="s">
        <v>1507</v>
      </c>
      <c r="F456" s="3"/>
      <c r="G456" s="3"/>
      <c r="H456" s="2"/>
      <c r="J456" t="s">
        <v>253</v>
      </c>
      <c r="K456" t="s">
        <v>1508</v>
      </c>
      <c r="L456" t="s">
        <v>1329</v>
      </c>
      <c r="O456" s="1"/>
      <c r="T456" s="1"/>
      <c r="X456" s="1"/>
      <c r="AC456" s="3"/>
      <c r="AG456" s="272"/>
      <c r="AH456" s="31"/>
      <c r="AJ456" s="4"/>
      <c r="AK456" s="4"/>
      <c r="AO456" s="4"/>
      <c r="AP456" s="5"/>
      <c r="AS456" s="5"/>
      <c r="AT456" s="5"/>
      <c r="AU456" s="1"/>
      <c r="AV456" s="1"/>
      <c r="AW456" s="1"/>
      <c r="AX456" s="1"/>
      <c r="AY456" s="15"/>
      <c r="AZ456" s="1"/>
      <c r="BA456" s="1"/>
      <c r="BB456" s="1"/>
      <c r="BC456" s="1"/>
      <c r="BD456" s="1"/>
      <c r="BE456" s="1"/>
      <c r="BF456" s="1"/>
      <c r="BG456" s="5"/>
      <c r="BH456" s="16"/>
      <c r="BI456" s="16"/>
      <c r="BJ456" s="4"/>
      <c r="BK456" s="4"/>
      <c r="BL456" s="4"/>
      <c r="BM456" s="6"/>
      <c r="BN456" s="7"/>
      <c r="BO456" s="4"/>
      <c r="BP456" s="4"/>
      <c r="BQ456" s="4"/>
      <c r="BR456" s="4"/>
      <c r="BS456" s="6"/>
      <c r="BT456" s="7"/>
      <c r="BU456" s="4"/>
      <c r="BV456" s="4"/>
      <c r="BW456" s="4"/>
      <c r="BX456" s="4"/>
      <c r="BY456" s="6"/>
      <c r="BZ456" s="7"/>
      <c r="CA456" s="4"/>
      <c r="CB456" s="4"/>
      <c r="CC456" s="4"/>
      <c r="CD456" s="4"/>
      <c r="CE456" s="6"/>
      <c r="CF456" s="7"/>
      <c r="CG456" s="4"/>
      <c r="CH456" s="4"/>
      <c r="CI456" s="4"/>
      <c r="CJ456" s="4"/>
      <c r="CK456" s="6"/>
      <c r="CL456" s="7"/>
      <c r="CM456" s="4"/>
      <c r="CN456" s="4"/>
      <c r="CO456" s="4"/>
      <c r="CP456" s="4"/>
      <c r="CQ456" s="6"/>
      <c r="CR456" s="7"/>
      <c r="CS456" s="4"/>
      <c r="CT456" s="4"/>
      <c r="CU456" s="4"/>
      <c r="CV456" s="4"/>
      <c r="CW456" s="6"/>
      <c r="CX456" s="7"/>
      <c r="CY456" s="4"/>
      <c r="CZ456" s="4"/>
      <c r="DA456" s="4"/>
      <c r="DB456" s="4"/>
      <c r="DC456" s="4"/>
      <c r="DD456" s="3"/>
      <c r="DE456" s="4"/>
      <c r="DF456" s="234"/>
      <c r="DG456" s="4"/>
      <c r="DH456" s="4"/>
      <c r="DI456" s="4"/>
      <c r="DJ456" s="4"/>
      <c r="DK456" s="4"/>
      <c r="DL456" s="4"/>
      <c r="DM456" s="7"/>
      <c r="DN456" s="8"/>
      <c r="DO456" s="4"/>
      <c r="DP456" s="8"/>
      <c r="DQ456" s="8"/>
      <c r="DR456" s="8"/>
      <c r="DS456" s="35"/>
      <c r="EB456" s="11"/>
      <c r="EH456" s="11"/>
      <c r="EI456" s="11"/>
      <c r="EJ456" s="4"/>
      <c r="EK456" s="4"/>
      <c r="EL456" s="4"/>
      <c r="EM456" s="4"/>
      <c r="EN456" s="4"/>
      <c r="EO456" s="4"/>
      <c r="EP456" s="4"/>
      <c r="EQ456" s="4"/>
      <c r="ER456" s="4"/>
      <c r="ES456" s="4"/>
      <c r="ET456" s="4"/>
      <c r="EU456" s="4"/>
      <c r="EV456" s="4"/>
      <c r="EW456" s="4"/>
      <c r="EX456" s="4"/>
      <c r="FB456" s="9"/>
      <c r="FK456" s="9"/>
      <c r="FQ456" s="4"/>
      <c r="FV456" s="10"/>
      <c r="GF456" s="10"/>
      <c r="GU456" s="9"/>
      <c r="IC456" s="4"/>
      <c r="ID456" s="4"/>
      <c r="IE456" s="9"/>
      <c r="IW456" s="18"/>
      <c r="IX456" s="18"/>
      <c r="IY456" s="18"/>
    </row>
    <row r="457" spans="1:263" ht="15" customHeight="1">
      <c r="A457" s="19">
        <v>102021052</v>
      </c>
      <c r="B457" t="s">
        <v>2075</v>
      </c>
      <c r="J457" t="s">
        <v>253</v>
      </c>
      <c r="K457" t="s">
        <v>2076</v>
      </c>
      <c r="L457" t="s">
        <v>2077</v>
      </c>
      <c r="M457" t="s">
        <v>850</v>
      </c>
      <c r="AF457" s="3"/>
      <c r="AG457" s="272"/>
      <c r="AI457" s="18" t="s">
        <v>328</v>
      </c>
      <c r="AK457" s="3" t="s">
        <v>349</v>
      </c>
      <c r="AL457" s="3"/>
      <c r="AM457" s="3" t="s">
        <v>2176</v>
      </c>
      <c r="AN457" t="s">
        <v>2177</v>
      </c>
      <c r="AO457" s="1" t="s">
        <v>258</v>
      </c>
      <c r="AP457" s="3" t="s">
        <v>349</v>
      </c>
      <c r="AQ457"/>
      <c r="AR457"/>
      <c r="AW457" s="2"/>
      <c r="AX457" s="2"/>
      <c r="AY457" s="2"/>
      <c r="AZ457" s="2"/>
      <c r="BA457" s="2"/>
      <c r="BB457" s="2"/>
      <c r="BC457" s="2"/>
      <c r="BD457" s="2"/>
      <c r="BE457" s="2"/>
      <c r="BF457" s="20"/>
      <c r="BG457" s="22"/>
      <c r="BH457" s="22"/>
      <c r="BI457" s="14"/>
      <c r="BJ457" s="14"/>
      <c r="BK457" s="14"/>
      <c r="BL457" s="17"/>
      <c r="BM457" s="23"/>
      <c r="BN457" s="14"/>
      <c r="BO457" s="14"/>
      <c r="BP457" s="14"/>
      <c r="BQ457" s="14"/>
      <c r="BR457" s="17"/>
      <c r="BS457" s="23"/>
      <c r="BT457" s="14"/>
      <c r="BU457" s="14"/>
      <c r="BV457" s="14"/>
      <c r="BW457" s="14"/>
      <c r="BX457" s="17"/>
      <c r="BY457" s="23"/>
      <c r="BZ457" s="14"/>
      <c r="CA457" s="14"/>
      <c r="CB457" s="14"/>
      <c r="CC457" s="14"/>
      <c r="CD457" s="17"/>
      <c r="CE457" s="23"/>
      <c r="CF457" s="14"/>
      <c r="CG457" s="14"/>
      <c r="CH457" s="14"/>
      <c r="CI457" s="14"/>
      <c r="CJ457" s="17"/>
      <c r="CK457" s="23"/>
      <c r="CL457" s="14"/>
      <c r="CM457" s="14"/>
      <c r="CN457" s="14"/>
      <c r="CO457" s="14"/>
      <c r="CP457" s="17"/>
      <c r="CQ457" s="23"/>
      <c r="CR457" s="14"/>
      <c r="CS457" s="14"/>
      <c r="CT457" s="14"/>
      <c r="CU457" s="14"/>
      <c r="CV457" s="17"/>
      <c r="CW457" s="23"/>
      <c r="CX457" s="14"/>
      <c r="CY457" s="14"/>
      <c r="CZ457" s="14"/>
      <c r="DA457" s="14"/>
      <c r="DB457" s="17"/>
      <c r="DC457" s="23"/>
      <c r="DD457" s="14"/>
      <c r="DE457" s="14"/>
      <c r="DF457" s="14"/>
      <c r="DG457" s="14"/>
      <c r="DH457" s="14">
        <f>SUM(DE457:DG457)</f>
        <v>0</v>
      </c>
      <c r="DI457" s="47">
        <f>SUM(DH457/DX457)</f>
        <v>0</v>
      </c>
      <c r="DJ457" s="14">
        <v>39</v>
      </c>
      <c r="DK457" s="32">
        <f>COUNTIF(DQ457, "*")+COUNTIF(AN457, "*")+COUNTIF(AI457, "*")+COUNTIF(AA457, "*")+COUNTIF(EN457, "*")+COUNTIF(ET457, "*")+COUNTIF(EZ457, "*")+COUNTIF(FD457, "*")+COUNTIF(FK457, "*")+COUNTIF(FS457, "*")+COUNTIF(FZ457, "*")+COUNTIF(GK457, "*")+COUNTIF(GV457, "*")+COUNTIF(HD457, "*")+COUNTIF(HL457, "*")+COUNTIF(HT457, "*")+COUNTIF(IB457, "*")</f>
        <v>2</v>
      </c>
      <c r="DL457" s="14">
        <f>DK457*0.5</f>
        <v>1</v>
      </c>
      <c r="DM457" s="14"/>
      <c r="DN457" s="14">
        <f>SUM(DH457,DJ457,DT457, DM457, DL457,FW457)</f>
        <v>40</v>
      </c>
      <c r="DO457" s="14"/>
      <c r="DP457" s="14"/>
      <c r="DQ457" s="14"/>
      <c r="DR457" s="23"/>
      <c r="DS457" s="25"/>
      <c r="DT457" s="14">
        <f>SUM(DO457:DS457)</f>
        <v>0</v>
      </c>
      <c r="DU457" s="24" t="s">
        <v>1997</v>
      </c>
      <c r="DV457" s="25">
        <v>16000</v>
      </c>
      <c r="DW457" s="25">
        <v>0</v>
      </c>
      <c r="DX457" s="25">
        <f>SUM(DV457+DW457)</f>
        <v>16000</v>
      </c>
      <c r="DY457" s="36">
        <v>1</v>
      </c>
      <c r="DZ457" s="18"/>
      <c r="IJ457" s="18"/>
      <c r="IK457" s="18"/>
      <c r="IL457" s="18"/>
      <c r="IM457" s="14"/>
      <c r="IN457" s="18"/>
      <c r="IO457" s="18"/>
      <c r="IP457" s="18"/>
      <c r="IQ457" s="18"/>
      <c r="IR457" s="18"/>
    </row>
    <row r="458" spans="1:263" ht="15" customHeight="1">
      <c r="A458" s="19">
        <v>102021032</v>
      </c>
      <c r="B458" s="18" t="s">
        <v>2043</v>
      </c>
      <c r="C458" s="18"/>
      <c r="D458" s="18"/>
      <c r="E458" s="18" t="s">
        <v>2470</v>
      </c>
      <c r="F458" s="18">
        <v>210002683</v>
      </c>
      <c r="G458" s="18"/>
      <c r="H458" s="18"/>
      <c r="I458" s="18"/>
      <c r="J458" s="18" t="s">
        <v>311</v>
      </c>
      <c r="K458" s="18" t="s">
        <v>2044</v>
      </c>
      <c r="L458" s="18" t="s">
        <v>996</v>
      </c>
      <c r="M458" s="18" t="s">
        <v>537</v>
      </c>
      <c r="N458" s="18"/>
      <c r="O458" s="18"/>
      <c r="P458" s="18"/>
      <c r="Q458" s="18"/>
      <c r="R458" s="18"/>
      <c r="S458" s="18"/>
      <c r="T458" s="18"/>
      <c r="U458" s="18"/>
      <c r="V458" s="18"/>
      <c r="W458" s="18"/>
      <c r="X458" s="18"/>
      <c r="Y458" s="18"/>
      <c r="Z458" s="18"/>
      <c r="AA458" s="18"/>
      <c r="AB458" s="18"/>
      <c r="AC458" s="18"/>
      <c r="AD458" s="18" t="s">
        <v>2490</v>
      </c>
      <c r="AE458" s="18" t="s">
        <v>311</v>
      </c>
      <c r="AF458" s="18" t="s">
        <v>2489</v>
      </c>
      <c r="AG458" s="231"/>
      <c r="AH458" s="18" t="s">
        <v>2491</v>
      </c>
      <c r="AI458" s="18"/>
      <c r="AJ458" s="18"/>
      <c r="AK458" s="18"/>
      <c r="AL458" s="18"/>
      <c r="AM458" s="24"/>
      <c r="AN458" s="24"/>
      <c r="AO458" s="18" t="s">
        <v>2155</v>
      </c>
      <c r="AP458" s="13" t="s">
        <v>258</v>
      </c>
      <c r="AQ458" s="24" t="s">
        <v>349</v>
      </c>
      <c r="AR458" s="24" t="s">
        <v>260</v>
      </c>
      <c r="AS458" s="13"/>
      <c r="AT458" s="13"/>
      <c r="AU458" s="13"/>
      <c r="AV458" s="13"/>
      <c r="AW458" s="13"/>
      <c r="AX458" s="48"/>
      <c r="AY458" s="48"/>
      <c r="AZ458" s="48"/>
      <c r="BA458" s="48"/>
      <c r="BB458" s="19"/>
      <c r="BC458" s="48"/>
      <c r="BD458" s="48"/>
      <c r="BE458" s="19"/>
      <c r="BF458" s="19"/>
      <c r="BG458" s="20"/>
      <c r="BH458" s="22"/>
      <c r="BI458" s="22"/>
      <c r="BJ458" s="14"/>
      <c r="BK458" s="22"/>
      <c r="BL458" s="14"/>
      <c r="BM458" s="14"/>
      <c r="BN458" s="14"/>
      <c r="BO458" s="17"/>
      <c r="BP458" s="23"/>
      <c r="BQ458" s="14"/>
      <c r="BR458" s="14"/>
      <c r="BS458" s="14"/>
      <c r="BT458" s="14"/>
      <c r="BU458" s="17"/>
      <c r="BV458" s="23"/>
      <c r="BW458" s="14"/>
      <c r="BX458" s="14"/>
      <c r="BY458" s="14"/>
      <c r="BZ458" s="14"/>
      <c r="CA458" s="17"/>
      <c r="CB458" s="23"/>
      <c r="CC458" s="14"/>
      <c r="CD458" s="14"/>
      <c r="CE458" s="14"/>
      <c r="CF458" s="14"/>
      <c r="CG458" s="17"/>
      <c r="CH458" s="23"/>
      <c r="CI458" s="14"/>
      <c r="CJ458" s="14"/>
      <c r="CK458" s="14"/>
      <c r="CL458" s="14"/>
      <c r="CM458" s="17"/>
      <c r="CN458" s="23"/>
      <c r="CO458" s="14"/>
      <c r="CP458" s="14"/>
      <c r="CQ458" s="14"/>
      <c r="CR458" s="14"/>
      <c r="CS458" s="17"/>
      <c r="CT458" s="23"/>
      <c r="CU458" s="14"/>
      <c r="CV458" s="14"/>
      <c r="CW458" s="14"/>
      <c r="CX458" s="14"/>
      <c r="CY458" s="14"/>
      <c r="CZ458" s="47"/>
      <c r="DA458" s="14"/>
      <c r="DB458" s="32"/>
      <c r="DC458" s="14"/>
      <c r="DD458" s="14"/>
      <c r="DE458" s="14"/>
      <c r="DF458" s="14"/>
      <c r="DG458" s="14"/>
      <c r="DH458" s="14"/>
      <c r="DI458" s="14"/>
      <c r="DJ458" s="25"/>
      <c r="DK458" s="14">
        <f>SUM(DF458:DJ458)</f>
        <v>0</v>
      </c>
      <c r="DL458" s="24" t="s">
        <v>1997</v>
      </c>
      <c r="DM458" s="25">
        <v>19200</v>
      </c>
      <c r="DN458" s="25">
        <v>155100</v>
      </c>
      <c r="DO458" s="25">
        <f>SUM(DM458+DN458)</f>
        <v>174300</v>
      </c>
      <c r="DP458" s="36">
        <v>1.37</v>
      </c>
      <c r="DQ458" s="18" t="s">
        <v>2336</v>
      </c>
      <c r="DR458" s="18" t="s">
        <v>2338</v>
      </c>
      <c r="DS458" s="18" t="s">
        <v>2339</v>
      </c>
      <c r="DT458" s="18"/>
      <c r="DU458" s="18"/>
      <c r="DV458" s="18"/>
      <c r="DW458" s="18"/>
      <c r="DX458" s="18"/>
      <c r="DY458" s="18"/>
      <c r="DZ458" s="18"/>
      <c r="EA458" s="18"/>
      <c r="EB458" s="18"/>
      <c r="EC458" s="18" t="s">
        <v>2340</v>
      </c>
      <c r="ED458" s="18"/>
      <c r="EE458" s="18" t="s">
        <v>2341</v>
      </c>
      <c r="EF458" s="18"/>
      <c r="EG458" s="18" t="s">
        <v>2342</v>
      </c>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O458" s="4"/>
      <c r="IP458" s="9">
        <v>44398</v>
      </c>
    </row>
    <row r="459" spans="1:263" ht="15" customHeight="1">
      <c r="A459" s="19">
        <v>102023125</v>
      </c>
      <c r="B459" s="18" t="s">
        <v>4316</v>
      </c>
      <c r="C459" s="10"/>
      <c r="D459" s="161"/>
      <c r="E459" s="10" t="s">
        <v>4937</v>
      </c>
      <c r="F459" s="160">
        <v>230003227</v>
      </c>
      <c r="G459" s="147" t="s">
        <v>5923</v>
      </c>
      <c r="H459" s="10"/>
      <c r="I459" s="10"/>
      <c r="J459" s="28" t="s">
        <v>311</v>
      </c>
      <c r="K459" s="28" t="s">
        <v>4417</v>
      </c>
      <c r="L459" s="28" t="s">
        <v>1054</v>
      </c>
      <c r="M459" s="28" t="s">
        <v>256</v>
      </c>
      <c r="N459" s="28"/>
      <c r="O459" s="149"/>
      <c r="P459" s="28" t="s">
        <v>4417</v>
      </c>
      <c r="Q459" s="28" t="s">
        <v>5911</v>
      </c>
      <c r="R459" s="28" t="s">
        <v>1220</v>
      </c>
      <c r="S459" s="28"/>
      <c r="T459" s="10"/>
      <c r="U459" s="10"/>
      <c r="V459" s="10"/>
      <c r="W459" s="10"/>
      <c r="X459" s="10"/>
      <c r="Y459" s="10"/>
      <c r="Z459" s="10"/>
      <c r="AA459" s="10"/>
      <c r="AB459" s="10"/>
      <c r="AC459" s="10"/>
      <c r="AD459" s="10"/>
      <c r="AE459" s="10"/>
      <c r="AF459" s="10"/>
      <c r="AG459" s="141" t="s">
        <v>5910</v>
      </c>
      <c r="AH459" s="10"/>
      <c r="AI459" s="10"/>
      <c r="AJ459" s="18"/>
      <c r="AK459" s="1"/>
      <c r="AM459"/>
      <c r="AN459"/>
      <c r="AO459" t="s">
        <v>4418</v>
      </c>
      <c r="AP459" s="1" t="s">
        <v>258</v>
      </c>
      <c r="AQ459" t="s">
        <v>349</v>
      </c>
      <c r="AR459" t="s">
        <v>260</v>
      </c>
      <c r="AX459" s="1"/>
      <c r="AY459" s="1" t="s">
        <v>258</v>
      </c>
      <c r="AZ459" s="1"/>
      <c r="BA459" s="1" t="s">
        <v>258</v>
      </c>
      <c r="BB459" s="1" t="s">
        <v>258</v>
      </c>
      <c r="BC459" s="70">
        <v>45098</v>
      </c>
      <c r="BD459" s="115">
        <v>45060</v>
      </c>
      <c r="BE459" s="144">
        <v>45054</v>
      </c>
      <c r="BF459" s="70"/>
      <c r="BG459" s="2"/>
      <c r="BH459" s="70"/>
      <c r="BI459" s="70"/>
      <c r="BJ459" s="70">
        <v>45420</v>
      </c>
      <c r="BK459" s="70" t="s">
        <v>5242</v>
      </c>
      <c r="BL459" s="20">
        <f ca="1">SUM(EB459)+220</f>
        <v>3291.0439166666665</v>
      </c>
      <c r="BM459" s="22">
        <f ca="1">PMT(10%/12,12,BL459,0,0)</f>
        <v>-289.33504584667577</v>
      </c>
      <c r="BN459" s="22">
        <f ca="1">SUM(BM459*-1)</f>
        <v>289.33504584667577</v>
      </c>
      <c r="BO459" s="14">
        <f>SUM(EJ459*0.0052)/12</f>
        <v>34.75333333333333</v>
      </c>
      <c r="BP459" s="22">
        <f ca="1">SUM(BN459+BO459)</f>
        <v>324.0883791800091</v>
      </c>
      <c r="BQ459" s="14">
        <v>0</v>
      </c>
      <c r="BR459" s="14">
        <f>SUM(BQ459*0.1)</f>
        <v>0</v>
      </c>
      <c r="BS459" s="14">
        <f ca="1">SUM(BT459*BU459)</f>
        <v>0</v>
      </c>
      <c r="BT459" s="17">
        <f>SUM((BQ459+BR459)*0.00833333333333333)</f>
        <v>0</v>
      </c>
      <c r="BU459" s="23">
        <f ca="1">MONTH(TODAY())+37</f>
        <v>41</v>
      </c>
      <c r="BV459" s="14">
        <f ca="1">SUM(BQ459,BR459,BS459)</f>
        <v>0</v>
      </c>
      <c r="BW459" s="14">
        <v>0</v>
      </c>
      <c r="BX459" s="14">
        <f>SUM(BW459*0.1)</f>
        <v>0</v>
      </c>
      <c r="BY459" s="14">
        <f ca="1">SUM(BZ459*CA459)</f>
        <v>0</v>
      </c>
      <c r="BZ459" s="17">
        <f>SUM((BW459+BX459)*0.00833333333333333)</f>
        <v>0</v>
      </c>
      <c r="CA459" s="23">
        <f ca="1">MONTH(TODAY())+37</f>
        <v>41</v>
      </c>
      <c r="CB459" s="14">
        <f ca="1">SUM(BW459,BX459,BY459)</f>
        <v>0</v>
      </c>
      <c r="CC459" s="14">
        <v>0</v>
      </c>
      <c r="CD459" s="14">
        <f>SUM(CC459*0.1)</f>
        <v>0</v>
      </c>
      <c r="CE459" s="14">
        <f ca="1">SUM(CF459*CG459)</f>
        <v>0</v>
      </c>
      <c r="CF459" s="17">
        <f>SUM((CC459+CD459)*0.00833333333333333)</f>
        <v>0</v>
      </c>
      <c r="CG459" s="23">
        <f ca="1">MONTH(TODAY())+29</f>
        <v>33</v>
      </c>
      <c r="CH459" s="23">
        <f ca="1">SUM(CC459,CD459,CE459)</f>
        <v>0</v>
      </c>
      <c r="CI459" s="14">
        <v>0</v>
      </c>
      <c r="CJ459" s="14">
        <f>SUM(CI459*0.1)</f>
        <v>0</v>
      </c>
      <c r="CK459" s="14">
        <f ca="1">SUM(CL459*CM459)</f>
        <v>0</v>
      </c>
      <c r="CL459" s="17">
        <f>SUM((CI459+CJ459)*0.00833333333333333)</f>
        <v>0</v>
      </c>
      <c r="CM459" s="23">
        <f ca="1">MONTH(TODAY())+25</f>
        <v>29</v>
      </c>
      <c r="CN459" s="14">
        <f ca="1">SUM(CI459,CJ459,CK459)</f>
        <v>0</v>
      </c>
      <c r="CO459" s="14">
        <v>0</v>
      </c>
      <c r="CP459" s="14">
        <f>SUM(CO459*0.1)</f>
        <v>0</v>
      </c>
      <c r="CQ459" s="14">
        <f ca="1">SUM(CR459*CS459)</f>
        <v>0</v>
      </c>
      <c r="CR459" s="17">
        <f>SUM((CO459+CP459)*0.00833333333333333)</f>
        <v>0</v>
      </c>
      <c r="CS459" s="23">
        <f ca="1">MONTH(TODAY())+19</f>
        <v>23</v>
      </c>
      <c r="CT459" s="14">
        <f ca="1">SUM(CO459,CP459,CQ459)</f>
        <v>0</v>
      </c>
      <c r="CU459" s="14">
        <v>0</v>
      </c>
      <c r="CV459" s="14">
        <f>SUM(CU459*0.1)</f>
        <v>0</v>
      </c>
      <c r="CW459" s="14">
        <f ca="1">SUM(CX459*CY459)</f>
        <v>0</v>
      </c>
      <c r="CX459" s="17">
        <f>SUM((CU459+CV459)*0.00833333333333333)</f>
        <v>0</v>
      </c>
      <c r="CY459" s="23">
        <f ca="1">MONTH(TODAY())+13</f>
        <v>17</v>
      </c>
      <c r="CZ459" s="14">
        <f ca="1">SUM(CU459,CV459,CW459)</f>
        <v>0</v>
      </c>
      <c r="DA459" s="14">
        <v>0</v>
      </c>
      <c r="DB459" s="14">
        <f>SUM(DA459*0.1)</f>
        <v>0</v>
      </c>
      <c r="DC459" s="14">
        <f ca="1">SUM(DD459*DE459)</f>
        <v>0</v>
      </c>
      <c r="DD459" s="17">
        <f>SUM((DA459+DB459)*0.00833333333333333)</f>
        <v>0</v>
      </c>
      <c r="DE459" s="23">
        <f ca="1">MONTH(TODAY())+7</f>
        <v>11</v>
      </c>
      <c r="DF459" s="14">
        <f ca="1">SUM(DA459,DB459,DC459)</f>
        <v>0</v>
      </c>
      <c r="DG459" s="14">
        <f>SUM(EJ459*0.0045)/2-34.75</f>
        <v>145.69999999999999</v>
      </c>
      <c r="DH459" s="14">
        <f>SUM(DG459*0.1)</f>
        <v>14.57</v>
      </c>
      <c r="DI459" s="14">
        <f ca="1">SUM(DJ459*DK459)</f>
        <v>6.6779166666666629</v>
      </c>
      <c r="DJ459" s="17">
        <f>SUM((DG459+DH459)*0.00833333333333333)</f>
        <v>1.3355833333333327</v>
      </c>
      <c r="DK459" s="23">
        <f ca="1">MONTH(TODAY())+1</f>
        <v>5</v>
      </c>
      <c r="DL459" s="14">
        <f ca="1">SUM(DG459,DH459,DI459)</f>
        <v>166.94791666666666</v>
      </c>
      <c r="DM459" s="14">
        <f>SUM(BQ459, BW459, CC459,CI459,CO459,CU459,DA459,DG459)</f>
        <v>145.69999999999999</v>
      </c>
      <c r="DN459" s="14">
        <f>SUM(BR459,BX459, CD459,CJ459,CP459,CV459,DB459,DH459)</f>
        <v>14.57</v>
      </c>
      <c r="DO459" s="14">
        <f ca="1">SUM(BS459,BY459, CE459,CK459,CQ459,CW459,DC459,DI459)</f>
        <v>6.6779166666666629</v>
      </c>
      <c r="DP459" s="25">
        <f ca="1">SUM(DM459:DO459)</f>
        <v>166.94791666666666</v>
      </c>
      <c r="DQ459" s="47">
        <f ca="1">SUM(DP459/EG459)</f>
        <v>2.1966831140350874E-3</v>
      </c>
      <c r="DR459" s="14">
        <f>1410+60+40+160+60+40-400-310.25-365.25</f>
        <v>694.5</v>
      </c>
      <c r="DS459" s="32">
        <f>COUNTIF(AO459, "*")+COUNTIF(AJ459, "*")+COUNTIF(AA459, "*")+COUNTIF(EU459, "*")+COUNTIF(FA459, "*")+COUNTIF(FG459, "*")+COUNTIF(FK459, "*")+COUNTIF(FR459, "*")+COUNTIF(AT459, "*")+COUNTIF(GA459, "*")+COUNTIF(GL459, "*")+COUNTIF(GW459, "*")+COUNTIF(HE459, "*")+COUNTIF(HM459, "*")+COUNTIF(HU459, "*")</f>
        <v>2</v>
      </c>
      <c r="DT459" s="14">
        <f>0.6+DS459*7.45+7.81</f>
        <v>23.31</v>
      </c>
      <c r="DU459" s="4">
        <f>36.76+807.92</f>
        <v>844.68</v>
      </c>
      <c r="DV459" s="4">
        <v>150</v>
      </c>
      <c r="DW459" s="4">
        <f>93.75+275</f>
        <v>368.75</v>
      </c>
      <c r="DX459" s="4">
        <v>212.85599999999999</v>
      </c>
      <c r="DY459" s="4"/>
      <c r="DZ459" s="4">
        <v>610</v>
      </c>
      <c r="EA459" s="14">
        <f>SUM(DU459:DZ459)</f>
        <v>2186.2860000000001</v>
      </c>
      <c r="EB459" s="14">
        <f ca="1">SUM(DP459,DR459,EA459,DT459,FX459)</f>
        <v>3071.0439166666665</v>
      </c>
      <c r="EC459" s="24" t="s">
        <v>4944</v>
      </c>
      <c r="ED459" s="23">
        <v>1</v>
      </c>
      <c r="EE459" s="14">
        <v>20000</v>
      </c>
      <c r="EF459" s="14">
        <v>56000</v>
      </c>
      <c r="EG459" s="14">
        <v>76000</v>
      </c>
      <c r="EH459" s="14">
        <v>25000</v>
      </c>
      <c r="EI459" s="14">
        <v>55200</v>
      </c>
      <c r="EJ459" s="14">
        <f>SUM(EH459+EI459)</f>
        <v>80200</v>
      </c>
      <c r="EK459" s="10" t="s">
        <v>4765</v>
      </c>
      <c r="EL459" s="10" t="s">
        <v>4766</v>
      </c>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9"/>
      <c r="FP459" s="10"/>
      <c r="FQ459" s="10"/>
      <c r="FR459" s="10"/>
      <c r="FS459" s="10"/>
      <c r="FT459" s="10"/>
      <c r="FU459" s="10"/>
      <c r="FV459" s="9"/>
      <c r="FW459" s="10"/>
      <c r="FX459" s="10"/>
      <c r="FY459" s="10" t="s">
        <v>439</v>
      </c>
      <c r="FZ459" s="10" t="s">
        <v>1530</v>
      </c>
      <c r="GA459" s="10" t="s">
        <v>4768</v>
      </c>
      <c r="GB459" s="10" t="s">
        <v>440</v>
      </c>
      <c r="GC459" s="10" t="s">
        <v>274</v>
      </c>
      <c r="GD459" s="10" t="s">
        <v>275</v>
      </c>
      <c r="GE459" s="9">
        <v>41596</v>
      </c>
      <c r="GF459" s="10" t="s">
        <v>4767</v>
      </c>
      <c r="GG459" s="10"/>
      <c r="GH459" s="10"/>
      <c r="GI459" s="10"/>
      <c r="GJ459" s="10"/>
      <c r="GK459" s="10"/>
      <c r="GL459" s="10"/>
      <c r="GM459" s="10"/>
      <c r="GN459" s="10"/>
      <c r="GO459" s="10"/>
      <c r="GP459" s="9"/>
      <c r="GQ459" s="10"/>
      <c r="GR459" s="10"/>
      <c r="GS459" s="10"/>
      <c r="GT459" s="10"/>
      <c r="GU459" s="10"/>
      <c r="GV459" s="10"/>
      <c r="GW459" s="10"/>
      <c r="GX459" s="10"/>
      <c r="GY459" s="10"/>
      <c r="GZ459" s="10"/>
      <c r="HA459" s="9"/>
      <c r="HB459" s="10"/>
      <c r="HC459" s="10"/>
      <c r="HD459" s="10"/>
      <c r="HE459" s="10"/>
      <c r="HF459" s="10"/>
      <c r="HG459" s="10"/>
      <c r="HH459" s="10"/>
      <c r="HI459" s="9"/>
      <c r="HJ459" s="10"/>
      <c r="HK459" s="10"/>
      <c r="HL459" s="10"/>
      <c r="HM459" s="10"/>
      <c r="HN459" s="10"/>
      <c r="HO459" s="10"/>
      <c r="HP459" s="10"/>
      <c r="HQ459" s="9"/>
      <c r="HR459" s="10"/>
      <c r="HS459" s="10"/>
      <c r="HT459" s="10"/>
      <c r="HU459" s="10"/>
      <c r="HV459" s="10"/>
      <c r="HW459" s="10"/>
      <c r="HX459" s="10"/>
      <c r="HY459" s="9"/>
      <c r="HZ459" s="4"/>
      <c r="IA459" s="4"/>
      <c r="IB459" s="10"/>
      <c r="IC459" s="10"/>
      <c r="ID459" s="10"/>
      <c r="IE459" s="10"/>
      <c r="IF459" s="4"/>
      <c r="IG459" s="4"/>
      <c r="IH459" s="14">
        <f ca="1">SUM(HZ459-EB459-FX459-IF459)</f>
        <v>-3071.0439166666665</v>
      </c>
      <c r="II459" s="14"/>
      <c r="IJ459" s="14"/>
      <c r="IK459" s="9"/>
      <c r="IL459" s="9"/>
      <c r="IM459" s="9"/>
      <c r="IN459" s="9"/>
      <c r="IO459" s="9"/>
      <c r="IP459" s="27" t="s">
        <v>5913</v>
      </c>
    </row>
    <row r="460" spans="1:263" ht="15" customHeight="1">
      <c r="A460" s="2">
        <v>102017058</v>
      </c>
      <c r="B460" t="s">
        <v>947</v>
      </c>
      <c r="E460" t="s">
        <v>948</v>
      </c>
      <c r="F460" s="2">
        <v>190001363</v>
      </c>
      <c r="G460" s="2"/>
      <c r="H460" s="2"/>
      <c r="J460" t="s">
        <v>510</v>
      </c>
      <c r="K460" t="s">
        <v>949</v>
      </c>
      <c r="L460" t="s">
        <v>950</v>
      </c>
      <c r="O460" s="1" t="s">
        <v>258</v>
      </c>
      <c r="T460" s="1"/>
      <c r="X460" s="1"/>
      <c r="Y460" s="1"/>
      <c r="Z460" s="1"/>
      <c r="AF460" s="3"/>
      <c r="BF460" s="4"/>
      <c r="BG460" s="4"/>
      <c r="BH460" s="6"/>
      <c r="BI460" s="7"/>
      <c r="BJ460" s="4"/>
      <c r="BL460" s="4"/>
      <c r="BM460" s="4"/>
      <c r="BN460" s="6"/>
      <c r="BO460" s="7"/>
      <c r="BP460" s="4"/>
      <c r="BQ460" s="4"/>
      <c r="BR460" s="4"/>
      <c r="BS460" s="4"/>
      <c r="BT460" s="6"/>
      <c r="BU460" s="7"/>
      <c r="BV460" s="4"/>
      <c r="BX460" s="4"/>
      <c r="BY460" s="4"/>
      <c r="BZ460" s="6"/>
      <c r="CA460" s="7"/>
      <c r="CB460" s="4"/>
      <c r="CC460" s="4"/>
      <c r="CD460" s="4"/>
      <c r="CE460" s="4"/>
      <c r="CF460" s="6"/>
      <c r="CG460" s="7"/>
      <c r="CH460" s="4"/>
      <c r="CI460" s="4"/>
      <c r="CJ460" s="4"/>
      <c r="CK460" s="4"/>
      <c r="CL460" s="6"/>
      <c r="CM460" s="7"/>
      <c r="CN460" s="4"/>
      <c r="CO460" s="4"/>
      <c r="CP460" s="4"/>
      <c r="CQ460" s="4"/>
      <c r="CR460" s="6"/>
      <c r="CS460" s="7"/>
      <c r="CT460" s="4"/>
      <c r="CU460" s="4"/>
      <c r="CV460" s="4"/>
      <c r="CW460" s="4"/>
      <c r="CX460" s="6"/>
      <c r="CY460" s="7"/>
      <c r="CZ460" s="4"/>
      <c r="DA460" s="4"/>
      <c r="DB460" s="4"/>
      <c r="DC460" s="4"/>
      <c r="DD460" s="6"/>
      <c r="DE460" s="7"/>
      <c r="DF460" s="4"/>
      <c r="DG460" s="4"/>
      <c r="DH460" s="4"/>
      <c r="DI460" s="4"/>
      <c r="DJ460" s="4"/>
      <c r="DK460" s="4"/>
      <c r="DL460" s="4"/>
      <c r="DM460" s="4"/>
      <c r="DN460" s="4"/>
      <c r="DO460" s="4"/>
      <c r="DP460" s="4"/>
      <c r="DQ460" s="4"/>
      <c r="DR460" s="4"/>
      <c r="DS460" s="4"/>
      <c r="DT460" s="4"/>
      <c r="DU460" s="4"/>
      <c r="DV460" s="4"/>
      <c r="DW460" s="4"/>
      <c r="DX460" s="4"/>
      <c r="DY460" s="4"/>
      <c r="DZ460" s="4"/>
      <c r="EC460" s="4"/>
      <c r="ED460" s="4"/>
      <c r="EE460" s="4"/>
      <c r="EG460" s="4"/>
      <c r="EH460" s="4"/>
      <c r="EI460" s="4"/>
      <c r="EJ460" s="3"/>
      <c r="EK460" s="11"/>
      <c r="EY460" s="4"/>
      <c r="EZ460" s="4"/>
      <c r="FA460" s="4"/>
      <c r="FB460" s="4"/>
    </row>
    <row r="461" spans="1:263" ht="15" customHeight="1">
      <c r="A461" s="2">
        <v>102017058</v>
      </c>
      <c r="B461" t="s">
        <v>947</v>
      </c>
      <c r="E461" t="s">
        <v>948</v>
      </c>
      <c r="F461">
        <v>190001363</v>
      </c>
      <c r="J461" t="s">
        <v>510</v>
      </c>
      <c r="K461" t="s">
        <v>949</v>
      </c>
      <c r="L461" t="s">
        <v>950</v>
      </c>
      <c r="O461" t="s">
        <v>258</v>
      </c>
      <c r="AE461" s="1"/>
      <c r="AJ461" s="4"/>
      <c r="AK461" s="4"/>
      <c r="AL461" s="14"/>
      <c r="AM461" s="34"/>
      <c r="AO461" s="4"/>
      <c r="AP461" s="13"/>
      <c r="AQ461" s="34"/>
      <c r="AR461" s="34"/>
      <c r="AS461" s="5"/>
      <c r="AT461" s="13"/>
      <c r="AU461" s="1"/>
      <c r="AV461" s="1"/>
      <c r="AW461" s="1"/>
      <c r="AX461" s="1"/>
      <c r="AY461" s="1"/>
      <c r="AZ461" s="1"/>
      <c r="BA461" s="1"/>
      <c r="BB461" s="1"/>
      <c r="BC461" s="1"/>
      <c r="BD461" s="1"/>
      <c r="BE461" s="1"/>
      <c r="BF461" s="1"/>
      <c r="BG461" s="5"/>
      <c r="BH461" s="16"/>
      <c r="BI461" s="16"/>
      <c r="BJ461" s="4"/>
      <c r="BK461" s="4"/>
      <c r="BL461" s="4"/>
      <c r="BM461" s="6"/>
      <c r="BN461" s="7"/>
      <c r="BO461" s="4"/>
      <c r="BQ461" s="4"/>
      <c r="BR461" s="4"/>
      <c r="BS461" s="6"/>
      <c r="BT461" s="7"/>
      <c r="BU461" s="4"/>
      <c r="BV461" s="4"/>
      <c r="BW461" s="4"/>
      <c r="BX461" s="4"/>
      <c r="BY461" s="6"/>
      <c r="BZ461" s="7"/>
      <c r="CA461" s="4"/>
      <c r="CB461" s="4"/>
      <c r="CC461" s="4"/>
      <c r="CD461" s="4"/>
      <c r="CE461" s="6"/>
      <c r="CF461" s="7"/>
      <c r="CG461" s="4"/>
      <c r="CH461" s="4"/>
      <c r="CI461" s="4"/>
      <c r="CJ461" s="4"/>
      <c r="CK461" s="17"/>
      <c r="CL461" s="7"/>
      <c r="CM461" s="4"/>
      <c r="CN461" s="4"/>
      <c r="CO461" s="4"/>
      <c r="CP461" s="4"/>
      <c r="CQ461" s="6"/>
      <c r="CR461" s="7"/>
      <c r="CS461" s="4"/>
      <c r="CT461" s="4"/>
      <c r="CU461" s="4"/>
      <c r="CV461" s="4"/>
      <c r="CW461" s="6"/>
      <c r="CX461" s="7"/>
      <c r="CY461" s="4"/>
      <c r="CZ461" s="4"/>
      <c r="DA461" s="4"/>
      <c r="DB461" s="4"/>
      <c r="DC461" s="6"/>
      <c r="DD461" s="7"/>
      <c r="DE461" s="4"/>
      <c r="DF461" s="4"/>
      <c r="DG461" s="14"/>
      <c r="DH461" s="14"/>
      <c r="DI461" s="4"/>
      <c r="DJ461" s="3"/>
      <c r="DK461" s="4"/>
      <c r="DL461" s="234"/>
      <c r="DM461" s="4"/>
      <c r="DN461" s="4"/>
      <c r="DO461" s="4"/>
      <c r="DP461" s="4"/>
      <c r="DQ461" s="4"/>
      <c r="DR461" s="4"/>
      <c r="DS461" s="4"/>
      <c r="DT461" s="8"/>
      <c r="DU461" s="4"/>
      <c r="DV461" s="8"/>
      <c r="DW461" s="4"/>
      <c r="DX461" s="4"/>
      <c r="DY461" s="7"/>
      <c r="FH461" s="9"/>
      <c r="FI461" s="10"/>
      <c r="FP461" s="10"/>
      <c r="FQ461" s="9"/>
      <c r="GC461" s="9"/>
      <c r="IL461" s="4"/>
      <c r="IS461" s="18"/>
      <c r="IT461" s="18"/>
      <c r="IU461" s="18"/>
    </row>
    <row r="462" spans="1:263" ht="15" customHeight="1">
      <c r="A462" s="2">
        <v>102020081</v>
      </c>
      <c r="B462" t="s">
        <v>947</v>
      </c>
      <c r="E462" t="s">
        <v>948</v>
      </c>
      <c r="F462">
        <v>190001363</v>
      </c>
      <c r="J462" t="s">
        <v>510</v>
      </c>
      <c r="K462" t="s">
        <v>949</v>
      </c>
      <c r="L462" t="s">
        <v>950</v>
      </c>
      <c r="O462" t="s">
        <v>258</v>
      </c>
      <c r="AJ462" t="s">
        <v>328</v>
      </c>
      <c r="AL462" t="s">
        <v>349</v>
      </c>
      <c r="AM462" s="3" t="s">
        <v>260</v>
      </c>
      <c r="AX462" s="2"/>
      <c r="AY462" s="70"/>
      <c r="AZ462" s="70"/>
      <c r="BA462" s="70"/>
      <c r="BB462" s="2"/>
      <c r="BC462" s="70"/>
      <c r="BD462" s="70"/>
      <c r="BE462" s="70"/>
      <c r="BF462" s="2"/>
      <c r="BG462" s="20"/>
      <c r="BH462" s="22"/>
      <c r="BI462" s="22"/>
      <c r="BJ462" s="66"/>
      <c r="BK462" s="66"/>
      <c r="BL462" s="66"/>
      <c r="BO462" s="66"/>
      <c r="BP462" s="66"/>
      <c r="BQ462" s="66"/>
      <c r="BR462" s="66"/>
      <c r="BU462" s="66"/>
      <c r="BV462" s="66"/>
      <c r="BW462" s="66"/>
      <c r="BX462" s="66"/>
      <c r="CA462" s="66"/>
      <c r="CB462" s="66"/>
      <c r="CC462" s="66"/>
      <c r="CD462" s="66"/>
      <c r="CG462" s="66"/>
      <c r="CH462" s="66"/>
      <c r="CI462" s="66"/>
      <c r="CJ462" s="66"/>
      <c r="CM462" s="66"/>
      <c r="CN462" s="66"/>
      <c r="CO462" s="66"/>
      <c r="CP462" s="66"/>
      <c r="CS462" s="66"/>
      <c r="CT462" s="66"/>
      <c r="CU462" s="66"/>
      <c r="CV462" s="66"/>
      <c r="CY462" s="66"/>
      <c r="CZ462" s="66"/>
      <c r="DA462" s="66"/>
      <c r="DB462" s="66"/>
      <c r="DC462" s="66"/>
      <c r="DE462" s="66"/>
      <c r="DG462" s="66"/>
      <c r="DH462" s="66"/>
      <c r="DI462" s="66"/>
      <c r="DJ462" s="66"/>
      <c r="DK462" s="66"/>
      <c r="DL462" s="66"/>
      <c r="DM462" s="66"/>
      <c r="DN462" s="66"/>
      <c r="DO462" s="66"/>
      <c r="DP462" s="66"/>
      <c r="DQ462" s="66"/>
      <c r="DR462" s="66">
        <v>16000</v>
      </c>
      <c r="DS462" s="66">
        <v>0</v>
      </c>
      <c r="DT462" s="66">
        <v>16000</v>
      </c>
      <c r="DU462">
        <v>1</v>
      </c>
      <c r="DV462" t="s">
        <v>1426</v>
      </c>
      <c r="DW462" t="s">
        <v>1427</v>
      </c>
      <c r="DX462" t="s">
        <v>1428</v>
      </c>
      <c r="DY462" t="s">
        <v>1429</v>
      </c>
      <c r="DZ462" t="s">
        <v>1430</v>
      </c>
      <c r="EA462" t="s">
        <v>1431</v>
      </c>
      <c r="EB462" t="s">
        <v>1432</v>
      </c>
      <c r="EC462" t="s">
        <v>1433</v>
      </c>
      <c r="ED462" t="s">
        <v>1434</v>
      </c>
      <c r="EE462" t="s">
        <v>1435</v>
      </c>
      <c r="EF462" s="280" t="s">
        <v>1929</v>
      </c>
      <c r="FM462" s="9"/>
      <c r="ID462" s="9">
        <v>43694</v>
      </c>
      <c r="IE462" s="4">
        <v>4388.1000000000004</v>
      </c>
      <c r="IF462" s="66">
        <v>0</v>
      </c>
      <c r="II462" t="s">
        <v>1410</v>
      </c>
      <c r="IJ462" t="s">
        <v>846</v>
      </c>
      <c r="IK462" t="s">
        <v>386</v>
      </c>
    </row>
    <row r="463" spans="1:263" ht="15" customHeight="1">
      <c r="A463" s="19">
        <v>102021066</v>
      </c>
      <c r="B463" s="18" t="s">
        <v>2090</v>
      </c>
      <c r="C463" s="18"/>
      <c r="D463" s="18"/>
      <c r="E463" s="18" t="s">
        <v>2525</v>
      </c>
      <c r="F463" s="18">
        <v>210004663</v>
      </c>
      <c r="G463" s="18"/>
      <c r="H463" s="18"/>
      <c r="I463" s="18"/>
      <c r="J463" s="18" t="s">
        <v>554</v>
      </c>
      <c r="K463" s="18" t="s">
        <v>1039</v>
      </c>
      <c r="L463" s="18" t="s">
        <v>1096</v>
      </c>
      <c r="M463" s="18"/>
      <c r="N463" s="18"/>
      <c r="O463" s="18"/>
      <c r="P463" s="18" t="s">
        <v>1039</v>
      </c>
      <c r="Q463" s="18" t="s">
        <v>2091</v>
      </c>
      <c r="R463" s="18"/>
      <c r="S463" s="18"/>
      <c r="T463" s="18"/>
      <c r="U463" s="18"/>
      <c r="V463" s="18"/>
      <c r="W463" s="18"/>
      <c r="X463" s="18"/>
      <c r="Y463" s="18"/>
      <c r="Z463" s="18"/>
      <c r="AA463" s="18"/>
      <c r="AB463" s="18"/>
      <c r="AC463" s="18"/>
      <c r="AD463" s="18" t="s">
        <v>2534</v>
      </c>
      <c r="AE463" s="18" t="s">
        <v>311</v>
      </c>
      <c r="AF463" s="18" t="s">
        <v>2535</v>
      </c>
      <c r="AG463" s="231" t="s">
        <v>2536</v>
      </c>
      <c r="AH463" s="18"/>
      <c r="AI463" s="18"/>
      <c r="AJ463" s="18" t="s">
        <v>328</v>
      </c>
      <c r="AK463" s="18"/>
      <c r="AL463" s="24" t="s">
        <v>349</v>
      </c>
      <c r="AM463" s="24"/>
      <c r="AN463" s="24"/>
      <c r="AO463" s="18" t="s">
        <v>2191</v>
      </c>
      <c r="AP463" s="13" t="s">
        <v>258</v>
      </c>
      <c r="AQ463" s="24" t="s">
        <v>2192</v>
      </c>
      <c r="AR463" s="24"/>
      <c r="AS463" s="13"/>
      <c r="AT463" s="13"/>
      <c r="AU463" s="13"/>
      <c r="AV463" s="13"/>
      <c r="AW463" s="13"/>
      <c r="AX463" s="48"/>
      <c r="AY463" s="48"/>
      <c r="AZ463" s="48"/>
      <c r="BA463" s="48"/>
      <c r="BB463" s="19"/>
      <c r="BC463" s="48"/>
      <c r="BD463" s="48"/>
      <c r="BE463" s="48"/>
      <c r="BF463" s="19"/>
      <c r="BG463" s="20"/>
      <c r="BH463" s="22"/>
      <c r="BI463" s="22"/>
      <c r="BJ463" s="14"/>
      <c r="BK463" s="22"/>
      <c r="BL463" s="14"/>
      <c r="BM463" s="14"/>
      <c r="BN463" s="14"/>
      <c r="BO463" s="17"/>
      <c r="BP463" s="23"/>
      <c r="BQ463" s="14"/>
      <c r="BR463" s="14"/>
      <c r="BS463" s="14"/>
      <c r="BT463" s="14"/>
      <c r="BU463" s="17"/>
      <c r="BV463" s="23"/>
      <c r="BW463" s="14"/>
      <c r="BX463" s="14"/>
      <c r="BY463" s="14"/>
      <c r="BZ463" s="14"/>
      <c r="CA463" s="17"/>
      <c r="CB463" s="23"/>
      <c r="CC463" s="14"/>
      <c r="CD463" s="14"/>
      <c r="CE463" s="14"/>
      <c r="CF463" s="14"/>
      <c r="CG463" s="17"/>
      <c r="CH463" s="23"/>
      <c r="CI463" s="14"/>
      <c r="CJ463" s="14"/>
      <c r="CK463" s="14"/>
      <c r="CL463" s="14"/>
      <c r="CM463" s="17"/>
      <c r="CN463" s="23"/>
      <c r="CO463" s="14"/>
      <c r="CP463" s="14"/>
      <c r="CQ463" s="14"/>
      <c r="CR463" s="14"/>
      <c r="CS463" s="17"/>
      <c r="CT463" s="23"/>
      <c r="CU463" s="14"/>
      <c r="CV463" s="14"/>
      <c r="CW463" s="14"/>
      <c r="CX463" s="14"/>
      <c r="CY463" s="14"/>
      <c r="CZ463" s="14"/>
      <c r="DA463" s="14"/>
      <c r="DB463" s="14"/>
      <c r="DC463" s="14"/>
      <c r="DD463" s="14"/>
      <c r="DE463" s="14"/>
      <c r="DF463" s="47"/>
      <c r="DG463" s="14"/>
      <c r="DH463" s="32"/>
      <c r="DI463" s="14"/>
      <c r="DJ463" s="14">
        <v>150</v>
      </c>
      <c r="DK463" s="14">
        <f>SUM(DE463,DG463,DQ463, DJ463, DI463,FS463)</f>
        <v>1362.03</v>
      </c>
      <c r="DL463" s="14">
        <f>24.53+373</f>
        <v>397.53</v>
      </c>
      <c r="DM463" s="14">
        <f>93.75+147.5</f>
        <v>241.25</v>
      </c>
      <c r="DN463" s="14">
        <v>63.25</v>
      </c>
      <c r="DO463" s="23"/>
      <c r="DP463" s="25">
        <v>510</v>
      </c>
      <c r="DQ463" s="14">
        <f>SUM(DL463:DP463)</f>
        <v>1212.03</v>
      </c>
      <c r="DR463" s="24" t="s">
        <v>1997</v>
      </c>
      <c r="DS463" s="25">
        <v>23200</v>
      </c>
      <c r="DT463" s="25">
        <v>0</v>
      </c>
      <c r="DU463" s="25">
        <f>SUM(DS463+DT463)</f>
        <v>23200</v>
      </c>
      <c r="DV463" s="36">
        <v>2</v>
      </c>
      <c r="DW463" s="18" t="s">
        <v>2448</v>
      </c>
      <c r="DX463" s="18" t="s">
        <v>2507</v>
      </c>
      <c r="DY463" s="18" t="s">
        <v>2449</v>
      </c>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240"/>
      <c r="IM463" s="240"/>
      <c r="IN463" s="254"/>
      <c r="IO463" s="267">
        <v>44468</v>
      </c>
      <c r="IP463" s="240"/>
      <c r="IQ463" s="240"/>
      <c r="IR463" s="240"/>
      <c r="IS463" s="240"/>
    </row>
    <row r="464" spans="1:263" ht="15" customHeight="1">
      <c r="A464" s="19">
        <v>102021066</v>
      </c>
      <c r="B464" s="18" t="s">
        <v>2090</v>
      </c>
      <c r="C464" s="18"/>
      <c r="D464" s="18"/>
      <c r="E464" s="18" t="s">
        <v>2525</v>
      </c>
      <c r="F464" s="18"/>
      <c r="G464" s="18"/>
      <c r="H464" s="18"/>
      <c r="I464" s="18"/>
      <c r="J464" s="18"/>
      <c r="K464" s="18" t="s">
        <v>1039</v>
      </c>
      <c r="L464" s="18" t="s">
        <v>1096</v>
      </c>
      <c r="M464" s="18"/>
      <c r="N464" s="18"/>
      <c r="O464" s="18"/>
      <c r="P464" s="18" t="s">
        <v>1039</v>
      </c>
      <c r="Q464" s="18" t="s">
        <v>2091</v>
      </c>
      <c r="R464" s="18"/>
      <c r="S464" s="18"/>
      <c r="T464" s="18"/>
      <c r="U464" s="18"/>
      <c r="V464" s="18"/>
      <c r="W464" s="18"/>
      <c r="X464" s="18"/>
      <c r="Y464" s="18"/>
      <c r="Z464" s="18"/>
      <c r="AA464" s="18"/>
      <c r="AB464" s="18"/>
      <c r="AC464" s="18"/>
      <c r="AD464" s="18"/>
      <c r="AE464" s="18"/>
      <c r="AF464" s="18"/>
      <c r="AG464" s="18"/>
      <c r="AH464" s="18"/>
      <c r="AI464" s="18"/>
      <c r="AJ464" s="18" t="s">
        <v>328</v>
      </c>
      <c r="AK464" s="24" t="s">
        <v>349</v>
      </c>
      <c r="AL464" s="18"/>
      <c r="AM464" s="18"/>
      <c r="AN464" s="24" t="s">
        <v>2191</v>
      </c>
      <c r="AO464" s="24" t="s">
        <v>2192</v>
      </c>
      <c r="AP464" s="18"/>
      <c r="AQ464" s="25">
        <v>23200</v>
      </c>
      <c r="AR464" s="25">
        <v>0</v>
      </c>
      <c r="AS464" s="25">
        <v>23200</v>
      </c>
      <c r="AT464" s="36">
        <v>2</v>
      </c>
      <c r="AU464" s="18" t="s">
        <v>2448</v>
      </c>
      <c r="AV464" s="18" t="s">
        <v>2507</v>
      </c>
      <c r="AW464" s="18" t="s">
        <v>2449</v>
      </c>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4">
        <f>SUM(BQ464, BW464, CC464, CI464,CO464,CU464,DA464,DG464,DM464)</f>
        <v>0</v>
      </c>
      <c r="DT464" s="14">
        <f>SUM(BR464,BX464,CD464, CJ464,CP464,CV464,DB464,DH464,DN464)</f>
        <v>0</v>
      </c>
      <c r="DU464" s="14">
        <f>SUM(BS464,BY464,CE464, CK464,CQ464,CW464,DC464,DI464,DO464)</f>
        <v>0</v>
      </c>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t="s">
        <v>2727</v>
      </c>
      <c r="II464" s="18" t="s">
        <v>2728</v>
      </c>
      <c r="IJ464" s="18" t="s">
        <v>349</v>
      </c>
      <c r="IK464" s="18"/>
      <c r="IL464" s="18"/>
      <c r="IM464" s="18"/>
      <c r="IN464" s="14">
        <v>6222.3511333333336</v>
      </c>
      <c r="IO464" s="18"/>
      <c r="IP464" s="18"/>
      <c r="IQ464" s="18"/>
      <c r="IR464" s="27">
        <v>44453</v>
      </c>
      <c r="IS464" s="27">
        <v>44501</v>
      </c>
      <c r="IT464" s="27">
        <v>44505</v>
      </c>
      <c r="IU464" s="27">
        <v>44529</v>
      </c>
      <c r="IV464" s="18"/>
      <c r="IW464" s="18"/>
      <c r="IX464" s="18"/>
      <c r="IY464" s="18"/>
      <c r="IZ464" s="18"/>
      <c r="JA464" s="18"/>
      <c r="JB464" s="18"/>
      <c r="JC464" s="18"/>
    </row>
    <row r="465" spans="1:263" ht="15" customHeight="1">
      <c r="A465" s="2">
        <v>102024110</v>
      </c>
      <c r="B465" t="s">
        <v>2090</v>
      </c>
      <c r="D465" s="1"/>
      <c r="E465" s="3"/>
      <c r="G465" s="3"/>
      <c r="J465" t="s">
        <v>253</v>
      </c>
      <c r="K465" t="s">
        <v>5423</v>
      </c>
      <c r="L465" t="s">
        <v>1059</v>
      </c>
      <c r="M465" t="s">
        <v>5424</v>
      </c>
      <c r="O465" s="3"/>
      <c r="AG465" s="43"/>
      <c r="AJ465" s="18" t="s">
        <v>328</v>
      </c>
      <c r="AK465" s="1"/>
      <c r="AL465" s="18" t="s">
        <v>349</v>
      </c>
      <c r="AM465"/>
      <c r="AN465"/>
      <c r="AO465" t="s">
        <v>2728</v>
      </c>
      <c r="AP465" s="1" t="s">
        <v>258</v>
      </c>
      <c r="AQ465" s="18" t="s">
        <v>349</v>
      </c>
      <c r="AR465" t="s">
        <v>260</v>
      </c>
      <c r="AS465" s="10"/>
      <c r="AT465" s="10"/>
      <c r="AU465" s="10"/>
      <c r="AV465" s="10"/>
      <c r="AW465" s="1"/>
      <c r="AY465" s="1"/>
      <c r="AZ465" s="1"/>
      <c r="BA465" s="1"/>
      <c r="BB465" s="1"/>
      <c r="BC465" s="2"/>
      <c r="BD465" s="115">
        <v>45415</v>
      </c>
      <c r="BE465" s="144">
        <v>45442</v>
      </c>
      <c r="BF465" s="2"/>
      <c r="BG465" s="2"/>
      <c r="BH465" s="2"/>
      <c r="BI465" s="2"/>
      <c r="BJ465" s="2"/>
      <c r="BK465" s="2"/>
      <c r="BL465" s="20">
        <f ca="1">SUM(EH465)+220</f>
        <v>859.30899999999997</v>
      </c>
      <c r="BM465" s="22">
        <f ca="1">PMT(10%/12,12,BL465,0,0)</f>
        <v>-75.546913139732325</v>
      </c>
      <c r="BN465" s="22">
        <f ca="1">SUM(BM465*-1)</f>
        <v>75.546913139732325</v>
      </c>
      <c r="BO465" s="14">
        <f>SUM(EP465*0.0052)/12</f>
        <v>12.306666666666667</v>
      </c>
      <c r="BP465" s="22">
        <f ca="1">SUM(BN465+BO465)</f>
        <v>87.853579806398997</v>
      </c>
      <c r="BQ465" s="14"/>
      <c r="BR465" s="14">
        <f>SUM(BQ465*0.1)</f>
        <v>0</v>
      </c>
      <c r="BS465" s="14">
        <f ca="1">SUM(BT465*BU465)</f>
        <v>0</v>
      </c>
      <c r="BT465" s="17">
        <f>SUM((BQ465+BR465)*0.00833333333333333)</f>
        <v>0</v>
      </c>
      <c r="BU465" s="23">
        <f ca="1">MONTH(TODAY())+49</f>
        <v>53</v>
      </c>
      <c r="BV465" s="14">
        <f ca="1">SUM(BQ465,BR465,BS465)</f>
        <v>0</v>
      </c>
      <c r="BW465" s="14">
        <v>0</v>
      </c>
      <c r="BX465" s="14">
        <f>SUM(BW465*0.1)</f>
        <v>0</v>
      </c>
      <c r="BY465" s="14">
        <f ca="1">SUM(BZ465*CA465)</f>
        <v>0</v>
      </c>
      <c r="BZ465" s="17">
        <f>SUM((BW465+BX465)*0.00833333333333333)</f>
        <v>0</v>
      </c>
      <c r="CA465" s="23">
        <f ca="1">MONTH(TODAY())+37</f>
        <v>41</v>
      </c>
      <c r="CB465" s="14">
        <f ca="1">SUM(BW465,BX465,BY465)</f>
        <v>0</v>
      </c>
      <c r="CC465" s="14">
        <v>0</v>
      </c>
      <c r="CD465" s="14">
        <f>SUM(CC465*0.1)</f>
        <v>0</v>
      </c>
      <c r="CE465" s="14">
        <f ca="1">SUM(CF465*CG465)</f>
        <v>0</v>
      </c>
      <c r="CF465" s="17">
        <f>SUM((CC465+CD465)*0.00833333333333333)</f>
        <v>0</v>
      </c>
      <c r="CG465" s="23">
        <f ca="1">MONTH(TODAY())+25</f>
        <v>29</v>
      </c>
      <c r="CH465" s="14">
        <f ca="1">SUM(CC465,CD465,CE465)</f>
        <v>0</v>
      </c>
      <c r="CI465" s="14">
        <v>0</v>
      </c>
      <c r="CJ465" s="14">
        <f>SUM(CI465*0.1)</f>
        <v>0</v>
      </c>
      <c r="CK465" s="14">
        <f ca="1">SUM(CL465*CM465)</f>
        <v>0</v>
      </c>
      <c r="CL465" s="17">
        <f>SUM((CI465+CJ465)*0.00833333333333333)</f>
        <v>0</v>
      </c>
      <c r="CM465" s="23">
        <f ca="1">MONTH(TODAY())+17</f>
        <v>21</v>
      </c>
      <c r="CN465" s="23">
        <f ca="1">SUM(CI465,CJ465,CK465)</f>
        <v>0</v>
      </c>
      <c r="CO465" s="14">
        <f>SUM(EM465*0.0052)/2-59.12</f>
        <v>1.2000000000000028</v>
      </c>
      <c r="CP465" s="14">
        <f>SUM(CO465*0.1)</f>
        <v>0.12000000000000029</v>
      </c>
      <c r="CQ465" s="14">
        <f ca="1">SUM(CR465*CS465)</f>
        <v>0.18700000000000036</v>
      </c>
      <c r="CR465" s="17">
        <f>SUM((CO465+CP465)*0.00833333333333333)</f>
        <v>1.1000000000000022E-2</v>
      </c>
      <c r="CS465" s="23">
        <f ca="1">MONTH(TODAY())+13</f>
        <v>17</v>
      </c>
      <c r="CT465" s="23">
        <f ca="1">SUM(CO465,CP465,CQ465)</f>
        <v>1.5070000000000034</v>
      </c>
      <c r="CU465" s="14">
        <f>SUM(EP465*0.0045)/2</f>
        <v>63.9</v>
      </c>
      <c r="CV465" s="14">
        <f>SUM(CU465*0.1)</f>
        <v>6.3900000000000006</v>
      </c>
      <c r="CW465" s="14">
        <f ca="1">SUM(CX465*CY465)</f>
        <v>6.4432499999999964</v>
      </c>
      <c r="CX465" s="17">
        <f>SUM((CU465+CV465)*0.00833333333333333)</f>
        <v>0.58574999999999966</v>
      </c>
      <c r="CY465" s="23">
        <f ca="1">MONTH(TODAY())+7</f>
        <v>11</v>
      </c>
      <c r="CZ465" s="23">
        <f ca="1">SUM(CU465,CV465,CW465)</f>
        <v>76.733249999999984</v>
      </c>
      <c r="DA465" s="14">
        <f>SUM(EP465*0.0045)/2</f>
        <v>63.9</v>
      </c>
      <c r="DB465" s="14">
        <f>SUM(DA465*0.1)</f>
        <v>6.3900000000000006</v>
      </c>
      <c r="DC465" s="14">
        <f ca="1">SUM(DD465*DE465)</f>
        <v>2.9287499999999982</v>
      </c>
      <c r="DD465" s="17">
        <f>SUM((DA465+DB465)*0.00833333333333333)</f>
        <v>0.58574999999999966</v>
      </c>
      <c r="DE465" s="23">
        <f ca="1">MONTH(TODAY())+1</f>
        <v>5</v>
      </c>
      <c r="DF465" s="14">
        <f ca="1">SUM(DA465,DB465,DC465)</f>
        <v>73.218749999999986</v>
      </c>
      <c r="DG465" s="14">
        <f>SUM(EP465*0.0045)/2</f>
        <v>63.9</v>
      </c>
      <c r="DH465" s="14">
        <f>0</f>
        <v>0</v>
      </c>
      <c r="DI465" s="14">
        <f>0</f>
        <v>0</v>
      </c>
      <c r="DJ465" s="17">
        <f>SUM((DG465+DH465)*0.00833333333333333)</f>
        <v>0.53249999999999975</v>
      </c>
      <c r="DK465" s="23">
        <f ca="1">MONTH(TODAY())+7</f>
        <v>11</v>
      </c>
      <c r="DL465" s="23">
        <f>SUM(DG465,DH465,DI465)</f>
        <v>63.9</v>
      </c>
      <c r="DM465" s="14">
        <f>0</f>
        <v>0</v>
      </c>
      <c r="DN465" s="14">
        <f>0</f>
        <v>0</v>
      </c>
      <c r="DO465" s="14">
        <f ca="1">SUM(DP465*DQ465)</f>
        <v>0</v>
      </c>
      <c r="DP465" s="17">
        <f>SUM((DM465+DN465)*0.00833333333333333)</f>
        <v>0</v>
      </c>
      <c r="DQ465" s="23">
        <f ca="1">MONTH(TODAY())+1</f>
        <v>5</v>
      </c>
      <c r="DR465" s="14">
        <f ca="1">SUM(DM465,DN465,DO465)</f>
        <v>0</v>
      </c>
      <c r="DS465" s="14">
        <f>SUM(BQ465, BW465, CC465, CI465,CO465,CU465,DA465,DG465,DM465)</f>
        <v>192.9</v>
      </c>
      <c r="DT465" s="14">
        <f>SUM(BR465,BX465,CD465, CJ465,CP465,CV465,DB465,DH465,DN465)</f>
        <v>12.900000000000002</v>
      </c>
      <c r="DU465" s="14">
        <f ca="1">SUM(BS465,BY465,CE465, CK465,CQ465,CW465,DC465,DI465,DO465)</f>
        <v>9.5589999999999939</v>
      </c>
      <c r="DV465" s="25">
        <f ca="1">SUM(DS465:DU465)</f>
        <v>215.35900000000001</v>
      </c>
      <c r="DW465" s="47">
        <f ca="1">SUM(DV465/EM465)</f>
        <v>9.2827155172413803E-3</v>
      </c>
      <c r="DX465" s="14">
        <f>20+10+200</f>
        <v>230</v>
      </c>
      <c r="DY465" s="32">
        <f>COUNTIF(AO465, "*")+COUNTIF(AJ465, "*")+COUNTIF(AA465, "*")+COUNTIF(FA465, "*")+COUNTIF(FG465, "*")+COUNTIF(FM465, "*")+COUNTIF(FQ465, "*")+COUNTIF(FX465, "*")+COUNTIF(AS465, "*")+COUNTIF(GG465, "*")+COUNTIF(GR465, "*")+COUNTIF(HC465, "*")+COUNTIF(HK465, "*")+COUNTIF(HS465, "*")+COUNTIF(IA465, "*")</f>
        <v>2</v>
      </c>
      <c r="DZ465" s="14">
        <f>1.28+DY465*8</f>
        <v>17.28</v>
      </c>
      <c r="EA465" s="25">
        <v>150</v>
      </c>
      <c r="EB465" s="4">
        <v>26.67</v>
      </c>
      <c r="EC465" s="4"/>
      <c r="ED465" s="4"/>
      <c r="EF465" s="4"/>
      <c r="EG465" s="14">
        <f>SUM(EB465:EF465)</f>
        <v>26.67</v>
      </c>
      <c r="EH465" s="14">
        <f ca="1">SUM(DV465,DX465,EG465, EA465, DZ465,GD465)</f>
        <v>639.30899999999997</v>
      </c>
      <c r="EI465" s="24" t="s">
        <v>4935</v>
      </c>
      <c r="EJ465" s="23">
        <v>2</v>
      </c>
      <c r="EK465" s="14">
        <v>23200</v>
      </c>
      <c r="EL465" s="14">
        <v>0</v>
      </c>
      <c r="EM465" s="14">
        <f>SUM(EK465+EL465)</f>
        <v>23200</v>
      </c>
      <c r="EN465" s="14">
        <v>28400</v>
      </c>
      <c r="EO465" s="14">
        <v>0</v>
      </c>
      <c r="EP465" s="14">
        <f>SUM(EN465+EO465)</f>
        <v>28400</v>
      </c>
      <c r="EQ465" s="10" t="s">
        <v>2448</v>
      </c>
      <c r="ER465" s="10" t="s">
        <v>5795</v>
      </c>
      <c r="ES465" s="10" t="s">
        <v>5796</v>
      </c>
      <c r="ET465" s="10"/>
      <c r="EU465" s="10"/>
      <c r="EV465" s="10"/>
      <c r="EW465" s="10"/>
      <c r="EX465" s="10"/>
      <c r="GD465" s="4"/>
      <c r="IE465" s="9"/>
      <c r="IN465" s="4"/>
      <c r="IO465" s="4"/>
      <c r="IP465" s="4"/>
      <c r="IQ465" s="9"/>
      <c r="IR465" s="9"/>
      <c r="IS465" s="9"/>
      <c r="IT465" s="9"/>
      <c r="IU465" s="9"/>
    </row>
    <row r="466" spans="1:263" ht="15" customHeight="1">
      <c r="A466" s="2">
        <v>102024168</v>
      </c>
      <c r="B466" t="s">
        <v>5556</v>
      </c>
      <c r="D466" s="1"/>
      <c r="E466" s="3"/>
      <c r="G466" s="3"/>
      <c r="J466" t="s">
        <v>554</v>
      </c>
      <c r="K466" t="s">
        <v>5557</v>
      </c>
      <c r="L466" t="s">
        <v>2656</v>
      </c>
      <c r="M466" t="s">
        <v>537</v>
      </c>
      <c r="O466" s="3"/>
      <c r="P466" t="s">
        <v>5557</v>
      </c>
      <c r="Q466" t="s">
        <v>5558</v>
      </c>
      <c r="R466" t="s">
        <v>326</v>
      </c>
      <c r="AG466" s="43"/>
      <c r="AJ466" s="18" t="s">
        <v>328</v>
      </c>
      <c r="AK466" s="1"/>
      <c r="AL466" s="18" t="s">
        <v>349</v>
      </c>
      <c r="AM466"/>
      <c r="AN466"/>
      <c r="AO466" t="s">
        <v>5559</v>
      </c>
      <c r="AQ466" s="18" t="s">
        <v>349</v>
      </c>
      <c r="AR466"/>
      <c r="AS466" s="10"/>
      <c r="AT466" s="10"/>
      <c r="AU466" s="10"/>
      <c r="AV466" s="10"/>
      <c r="AW466" s="10"/>
      <c r="AX466" s="1"/>
      <c r="AY466" s="1"/>
      <c r="AZ466" s="1"/>
      <c r="BA466" s="1"/>
      <c r="BB466" s="1"/>
      <c r="BC466" s="2"/>
      <c r="BD466" s="115">
        <v>45415</v>
      </c>
      <c r="BE466" s="144"/>
      <c r="BF466" s="2"/>
      <c r="BG466" s="2"/>
      <c r="BH466" s="2"/>
      <c r="BI466" s="2"/>
      <c r="BJ466" s="2"/>
      <c r="BK466" s="2"/>
      <c r="BL466" s="20">
        <f ca="1">SUM(EN466)+220</f>
        <v>560.2217333333333</v>
      </c>
      <c r="BM466" s="22">
        <f ca="1">PMT(10%/12,12,BL466,0,0)</f>
        <v>-49.252390731533843</v>
      </c>
      <c r="BN466" s="22">
        <f ca="1">SUM(BM466*-1)</f>
        <v>49.252390731533843</v>
      </c>
      <c r="BO466" s="14">
        <f>SUM(EV466*0.0052)/12</f>
        <v>9.5333333333333332</v>
      </c>
      <c r="BP466" s="22">
        <f ca="1">SUM(BN466+BO466)</f>
        <v>58.785724064867175</v>
      </c>
      <c r="BQ466" s="14"/>
      <c r="BR466" s="14">
        <f>SUM(BQ466*0.1)</f>
        <v>0</v>
      </c>
      <c r="BS466" s="14">
        <f ca="1">SUM(BT466*BU466)</f>
        <v>0</v>
      </c>
      <c r="BT466" s="17">
        <f>SUM((BQ466+BR466)*0.00833333333333333)</f>
        <v>0</v>
      </c>
      <c r="BU466" s="23">
        <f ca="1">MONTH(TODAY())+61</f>
        <v>65</v>
      </c>
      <c r="BV466" s="14">
        <f ca="1">SUM(BQ466,BR466,BS466)</f>
        <v>0</v>
      </c>
      <c r="BW466" s="14"/>
      <c r="BX466" s="14">
        <f>SUM(BW466*0.1)</f>
        <v>0</v>
      </c>
      <c r="BY466" s="14">
        <f ca="1">SUM(BZ466*CA466)</f>
        <v>0</v>
      </c>
      <c r="BZ466" s="17">
        <f>SUM((BW466+BX466)*0.00833333333333333)</f>
        <v>0</v>
      </c>
      <c r="CA466" s="23">
        <f ca="1">MONTH(TODAY())+49</f>
        <v>53</v>
      </c>
      <c r="CB466" s="14">
        <f ca="1">SUM(BW466,BX466,BY466)</f>
        <v>0</v>
      </c>
      <c r="CC466" s="14">
        <v>0</v>
      </c>
      <c r="CD466" s="14">
        <f>SUM(CC466*0.1)</f>
        <v>0</v>
      </c>
      <c r="CE466" s="14">
        <f ca="1">SUM(CF466*CG466)</f>
        <v>0</v>
      </c>
      <c r="CF466" s="17">
        <f>SUM((CC466+CD466)*0.00833333333333333)</f>
        <v>0</v>
      </c>
      <c r="CG466" s="23">
        <f ca="1">MONTH(TODAY())+37</f>
        <v>41</v>
      </c>
      <c r="CH466" s="14">
        <f ca="1">SUM(CC466,CD466,CE466)</f>
        <v>0</v>
      </c>
      <c r="CI466" s="14">
        <v>0</v>
      </c>
      <c r="CJ466" s="14">
        <f>SUM(CI466*0.1)</f>
        <v>0</v>
      </c>
      <c r="CK466" s="14">
        <f ca="1">SUM(CL466*CM466)</f>
        <v>0</v>
      </c>
      <c r="CL466" s="17">
        <f>SUM((CI466+CJ466)*0.00833333333333333)</f>
        <v>0</v>
      </c>
      <c r="CM466" s="23">
        <f ca="1">MONTH(TODAY())+25</f>
        <v>29</v>
      </c>
      <c r="CN466" s="14">
        <f ca="1">SUM(CI466,CJ466,CK466)</f>
        <v>0</v>
      </c>
      <c r="CO466" s="14">
        <f>SUM(ES466*0.0052)/2</f>
        <v>45.76</v>
      </c>
      <c r="CP466" s="14">
        <f>SUM(CO466*0.1)</f>
        <v>4.5759999999999996</v>
      </c>
      <c r="CQ466" s="14">
        <f ca="1">SUM(CR466*CS466)</f>
        <v>8.8087999999999962</v>
      </c>
      <c r="CR466" s="17">
        <f>SUM((CO466+CP466)*0.00833333333333333)</f>
        <v>0.41946666666666649</v>
      </c>
      <c r="CS466" s="23">
        <f ca="1">MONTH(TODAY())+17</f>
        <v>21</v>
      </c>
      <c r="CT466" s="23">
        <f ca="1">SUM(CO466,CP466,CQ466)</f>
        <v>59.144799999999996</v>
      </c>
      <c r="CU466" s="14">
        <f>SUM(ES466*0.0052)/2</f>
        <v>45.76</v>
      </c>
      <c r="CV466" s="14">
        <f>SUM(CU466*0.1)</f>
        <v>4.5759999999999996</v>
      </c>
      <c r="CW466" s="14">
        <f ca="1">SUM(CX466*CY466)</f>
        <v>7.1309333333333305</v>
      </c>
      <c r="CX466" s="17">
        <f>SUM((CU466+CV466)*0.00833333333333333)</f>
        <v>0.41946666666666649</v>
      </c>
      <c r="CY466" s="23">
        <f ca="1">MONTH(TODAY())+13</f>
        <v>17</v>
      </c>
      <c r="CZ466" s="23">
        <f ca="1">SUM(CU466,CV466,CW466)</f>
        <v>57.46693333333333</v>
      </c>
      <c r="DA466" s="14">
        <f>SUM(EV466*0.0045)/2</f>
        <v>49.499999999999993</v>
      </c>
      <c r="DB466" s="14">
        <f>SUM(DA466*0.1)</f>
        <v>4.9499999999999993</v>
      </c>
      <c r="DC466" s="14">
        <f ca="1">SUM(DD466*DE466)</f>
        <v>4.9912499999999964</v>
      </c>
      <c r="DD466" s="17">
        <f>SUM((DA466+DB466)*0.00833333333333333)</f>
        <v>0.45374999999999971</v>
      </c>
      <c r="DE466" s="23">
        <f ca="1">MONTH(TODAY())+7</f>
        <v>11</v>
      </c>
      <c r="DF466" s="23">
        <f ca="1">SUM(DA466,DB466,DC466)</f>
        <v>59.441249999999982</v>
      </c>
      <c r="DG466" s="14">
        <f>SUM(EV466*0.0045)/2</f>
        <v>49.499999999999993</v>
      </c>
      <c r="DH466" s="14">
        <f>SUM(DG466*0.1)</f>
        <v>4.9499999999999993</v>
      </c>
      <c r="DI466" s="14">
        <f ca="1">SUM(DJ466*DK466)</f>
        <v>2.2687499999999985</v>
      </c>
      <c r="DJ466" s="17">
        <f>SUM((DG466+DH466)*0.00833333333333333)</f>
        <v>0.45374999999999971</v>
      </c>
      <c r="DK466" s="23">
        <f ca="1">MONTH(TODAY())+1</f>
        <v>5</v>
      </c>
      <c r="DL466" s="14">
        <f ca="1">SUM(DG466,DH466,DI466)</f>
        <v>56.718749999999986</v>
      </c>
      <c r="DM466" s="14">
        <f>SUM(EV466*0.0045)/2</f>
        <v>49.499999999999993</v>
      </c>
      <c r="DN466" s="14">
        <f>0</f>
        <v>0</v>
      </c>
      <c r="DO466" s="14">
        <f>0</f>
        <v>0</v>
      </c>
      <c r="DP466" s="17">
        <f>SUM((DM466+DN466)*0.00833333333333333)</f>
        <v>0.41249999999999976</v>
      </c>
      <c r="DQ466" s="23">
        <f ca="1">MONTH(TODAY())+7</f>
        <v>11</v>
      </c>
      <c r="DR466" s="23">
        <f>SUM(DM466,DN466,DO466)</f>
        <v>49.499999999999993</v>
      </c>
      <c r="DS466" s="14">
        <f>0</f>
        <v>0</v>
      </c>
      <c r="DT466" s="14">
        <f>0</f>
        <v>0</v>
      </c>
      <c r="DU466" s="14">
        <f ca="1">SUM(DV466*DW466)</f>
        <v>0</v>
      </c>
      <c r="DV466" s="17">
        <f>SUM((DS466+DT466)*0.00833333333333333)</f>
        <v>0</v>
      </c>
      <c r="DW466" s="23">
        <f ca="1">MONTH(TODAY())+1</f>
        <v>5</v>
      </c>
      <c r="DX466" s="14">
        <f ca="1">SUM(DS466,DT466,DU466)</f>
        <v>0</v>
      </c>
      <c r="DY466" s="14">
        <f>SUM( BQ466, BW466, CC466, CI466, CO466,CU466,DA466,DG466,DM466,DS466)</f>
        <v>240.01999999999998</v>
      </c>
      <c r="DZ466" s="14">
        <f>SUM(BR466,BX466,CD466,CJ466, CP466,CV466,DB466,DH466,DN466,DT466)</f>
        <v>19.052</v>
      </c>
      <c r="EA466" s="14">
        <f ca="1">SUM(BS466,BY466,CE466,CK466, CQ466,CW466,DC466,DI466,DO466,DU466)</f>
        <v>23.19973333333332</v>
      </c>
      <c r="EB466" s="25">
        <f ca="1">SUM(DY466:EA466)</f>
        <v>282.27173333333332</v>
      </c>
      <c r="EC466" s="47">
        <f ca="1">SUM(EB466/ET466)</f>
        <v>1.2830533333333333E-2</v>
      </c>
      <c r="ED466" s="14">
        <f>20+10</f>
        <v>30</v>
      </c>
      <c r="EE466" s="32">
        <f>COUNTIF(AO466, "*")+COUNTIF(AJ466, "*")+COUNTIF(AA466, "*")+COUNTIF(FG466, "*")+COUNTIF(FM466, "*")+COUNTIF(FS466, "*")+COUNTIF(FW466, "*")+COUNTIF(GD466, "*")+COUNTIF(AT466, "*")+COUNTIF(GM466, "*")+COUNTIF(GX466, "*")+COUNTIF(HI466, "*")+COUNTIF(HQ466, "*")+COUNTIF(HY466, "*")+COUNTIF(IG466, "*")</f>
        <v>2</v>
      </c>
      <c r="EF466" s="14">
        <f>EE466*0.64</f>
        <v>1.28</v>
      </c>
      <c r="EG466" s="4"/>
      <c r="EH466" s="4">
        <v>26.67</v>
      </c>
      <c r="EI466" s="4"/>
      <c r="EJ466" s="4"/>
      <c r="EL466" s="4"/>
      <c r="EM466" s="14">
        <f>SUM(EH466:EL466)</f>
        <v>26.67</v>
      </c>
      <c r="EN466" s="14">
        <f ca="1">SUM(EB466,ED466,EM466, EG466, EF466,GJ466)</f>
        <v>340.2217333333333</v>
      </c>
      <c r="EO466" s="24" t="s">
        <v>4935</v>
      </c>
      <c r="EP466" s="23">
        <v>0.88</v>
      </c>
      <c r="EQ466" s="14">
        <v>17600</v>
      </c>
      <c r="ER466" s="14">
        <v>0</v>
      </c>
      <c r="ES466" s="4">
        <f>SUM(EQ466+ER466)</f>
        <v>17600</v>
      </c>
      <c r="ET466" s="14">
        <v>22000</v>
      </c>
      <c r="EU466" s="14">
        <v>0</v>
      </c>
      <c r="EV466" s="4">
        <f>SUM(ET466+EU466)</f>
        <v>22000</v>
      </c>
      <c r="EW466" s="10"/>
      <c r="EX466" s="10"/>
      <c r="EY466" s="10"/>
      <c r="EZ466" s="10"/>
      <c r="FA466" s="10"/>
      <c r="FB466" s="10"/>
      <c r="FC466" s="10"/>
      <c r="FD466" s="10"/>
      <c r="GJ466" s="4"/>
      <c r="IK466" s="9"/>
      <c r="IV466" s="4"/>
      <c r="IW466" s="4"/>
      <c r="IX466" s="4"/>
      <c r="IY466" s="9"/>
      <c r="IZ466" s="9"/>
      <c r="JA466" s="9"/>
      <c r="JB466" s="9"/>
      <c r="JC466" s="9"/>
    </row>
    <row r="467" spans="1:263" ht="15" customHeight="1">
      <c r="A467" s="19">
        <v>102023103</v>
      </c>
      <c r="B467" s="18" t="s">
        <v>4379</v>
      </c>
      <c r="D467" s="1"/>
      <c r="E467" s="3"/>
      <c r="F467" s="3"/>
      <c r="J467" s="18" t="s">
        <v>554</v>
      </c>
      <c r="K467" s="18" t="s">
        <v>4403</v>
      </c>
      <c r="L467" s="130" t="s">
        <v>4404</v>
      </c>
      <c r="M467" s="130" t="s">
        <v>396</v>
      </c>
      <c r="N467" s="130"/>
      <c r="O467" s="288"/>
      <c r="P467" s="130" t="s">
        <v>4403</v>
      </c>
      <c r="Q467" s="130" t="s">
        <v>4405</v>
      </c>
      <c r="R467" s="130"/>
      <c r="S467" s="130"/>
      <c r="AG467" s="43"/>
      <c r="AM467"/>
      <c r="AN467"/>
      <c r="AO467" s="18" t="s">
        <v>4406</v>
      </c>
      <c r="AP467" s="3" t="s">
        <v>258</v>
      </c>
      <c r="AQ467" s="18" t="s">
        <v>349</v>
      </c>
      <c r="AR467" s="18" t="s">
        <v>260</v>
      </c>
      <c r="AX467" s="1"/>
      <c r="AY467" s="1"/>
      <c r="AZ467" s="1"/>
      <c r="BA467" s="1"/>
      <c r="BB467" s="1"/>
      <c r="BC467" s="2"/>
      <c r="BD467" s="116"/>
      <c r="BE467" s="115"/>
      <c r="BF467" s="2"/>
      <c r="BG467" s="2"/>
      <c r="BH467" s="2"/>
      <c r="BI467" s="2"/>
      <c r="BJ467" s="2"/>
      <c r="BK467" s="2"/>
      <c r="BL467" s="20">
        <f ca="1">SUM(DP467)+220</f>
        <v>662.16399999999999</v>
      </c>
      <c r="BM467" s="22">
        <f ca="1">PMT(10%/12,12,BL467,0,0)</f>
        <v>-58.214735551772073</v>
      </c>
      <c r="BN467" s="22">
        <f ca="1">SUM(BM467*-1)</f>
        <v>58.214735551772073</v>
      </c>
      <c r="BO467" s="14">
        <f>SUM(DX467*0.0052)/12</f>
        <v>17.29</v>
      </c>
      <c r="BP467" s="22">
        <f ca="1">SUM(BN467+BO467)</f>
        <v>75.504735551772072</v>
      </c>
      <c r="BQ467" s="14"/>
      <c r="BR467" s="14">
        <f>SUM(BQ467*0.1)</f>
        <v>0</v>
      </c>
      <c r="BS467" s="14">
        <f ca="1">SUM(BT467*BU467)</f>
        <v>0</v>
      </c>
      <c r="BT467" s="17">
        <f>SUM((BQ467+BR467)*0.00833333333333333)</f>
        <v>0</v>
      </c>
      <c r="BU467" s="23">
        <f ca="1">MONTH(TODAY())+49</f>
        <v>53</v>
      </c>
      <c r="BV467" s="14">
        <f ca="1">SUM(BQ467,BR467,BS467)</f>
        <v>0</v>
      </c>
      <c r="BW467" s="14"/>
      <c r="BX467" s="14">
        <f>SUM(BW467*0.1)</f>
        <v>0</v>
      </c>
      <c r="BY467" s="14">
        <f ca="1">SUM(BZ467*CA467)</f>
        <v>0</v>
      </c>
      <c r="BZ467" s="17">
        <f>SUM((BW467+BX467)*0.00833333333333333)</f>
        <v>0</v>
      </c>
      <c r="CA467" s="23">
        <f ca="1">MONTH(TODAY())+37</f>
        <v>41</v>
      </c>
      <c r="CB467" s="14">
        <f ca="1">SUM(BW467,BX467,BY467)</f>
        <v>0</v>
      </c>
      <c r="CC467" s="14">
        <v>0</v>
      </c>
      <c r="CD467" s="14">
        <f>SUM(CC467*0.1)</f>
        <v>0</v>
      </c>
      <c r="CE467" s="14">
        <f ca="1">SUM(CF467*CG467)</f>
        <v>0</v>
      </c>
      <c r="CF467" s="17">
        <f>SUM((CC467+CD467)*0.00833333333333333)</f>
        <v>0</v>
      </c>
      <c r="CG467" s="23">
        <f ca="1">MONTH(TODAY())+25</f>
        <v>29</v>
      </c>
      <c r="CH467" s="14">
        <f ca="1">SUM(CC467,CD467,CE467)</f>
        <v>0</v>
      </c>
      <c r="CI467" s="14">
        <f>SUM(DU467*0.0052)</f>
        <v>174.2</v>
      </c>
      <c r="CJ467" s="14">
        <f>SUM(CI467*0.1)</f>
        <v>17.419999999999998</v>
      </c>
      <c r="CK467" s="14">
        <f ca="1">SUM(CL467*CM467)</f>
        <v>27.146166666666652</v>
      </c>
      <c r="CL467" s="17">
        <f>SUM((CI467+CJ467)*0.00833333333333333)</f>
        <v>1.5968333333333324</v>
      </c>
      <c r="CM467" s="23">
        <f ca="1">MONTH(TODAY())+13</f>
        <v>17</v>
      </c>
      <c r="CN467" s="14">
        <f ca="1">SUM(CI467,CJ467,CK467)</f>
        <v>218.76616666666663</v>
      </c>
      <c r="CO467" s="14">
        <f>SUM(DU467*0.0052)/2</f>
        <v>87.1</v>
      </c>
      <c r="CP467" s="14">
        <f>SUM(CO467*0.1)</f>
        <v>8.7099999999999991</v>
      </c>
      <c r="CQ467" s="14">
        <f ca="1">SUM(CR467*CS467)</f>
        <v>7.1857499999999961</v>
      </c>
      <c r="CR467" s="17">
        <f>SUM((CO467+CP467)*0.00833333333333333)</f>
        <v>0.79841666666666622</v>
      </c>
      <c r="CS467" s="23">
        <f ca="1">MONTH(TODAY())+5</f>
        <v>9</v>
      </c>
      <c r="CT467" s="23">
        <f ca="1">SUM(CO467,CP467,CQ467)</f>
        <v>102.99574999999999</v>
      </c>
      <c r="CU467" s="14">
        <f>SUM(DU467*0.0052)/2</f>
        <v>87.1</v>
      </c>
      <c r="CV467" s="14">
        <f>SUM(CU467*0.1)</f>
        <v>8.7099999999999991</v>
      </c>
      <c r="CW467" s="14">
        <f ca="1">SUM(CX467*CY467)</f>
        <v>3.9920833333333312</v>
      </c>
      <c r="CX467" s="17">
        <f>SUM((CU467+CV467)*0.00833333333333333)</f>
        <v>0.79841666666666622</v>
      </c>
      <c r="CY467" s="23">
        <f ca="1">MONTH(TODAY())+1</f>
        <v>5</v>
      </c>
      <c r="CZ467" s="23">
        <f ca="1">SUM(CU467,CV467,CW467)</f>
        <v>99.802083333333314</v>
      </c>
      <c r="DA467" s="14">
        <f>SUM( BQ467, BW467, CC467, CI467, CO467,CU467)</f>
        <v>348.4</v>
      </c>
      <c r="DB467" s="14">
        <f>SUM(BR467,BX467,CD467,CJ467, CP467,CV467)</f>
        <v>34.839999999999996</v>
      </c>
      <c r="DC467" s="14">
        <f ca="1">SUM(BS467,BY467,CE467,CK467, CQ467,CW467)</f>
        <v>38.323999999999984</v>
      </c>
      <c r="DD467" s="25">
        <f ca="1">SUM(DA467:DC467)</f>
        <v>421.56399999999996</v>
      </c>
      <c r="DE467" s="47">
        <f ca="1">SUM(DD467/DU467)</f>
        <v>1.2584E-2</v>
      </c>
      <c r="DF467" s="14">
        <v>20</v>
      </c>
      <c r="DG467" s="32">
        <f>COUNTIF(DL467, "*")+COUNTIF(AO467, "*")+COUNTIF(AJ467, "*")+COUNTIF(AA467, "*")+COUNTIF(EM467, "*")+COUNTIF(ES467, "*")+COUNTIF(EY467, "*")+COUNTIF(FC467, "*")+COUNTIF(FJ467, "*")+COUNTIF(AT467, "*")+COUNTIF(FS467, "*")+COUNTIF(GD467, "*")+COUNTIF(GO467, "*")+COUNTIF(GW467, "*")+COUNTIF(HE467, "*")+COUNTIF(HM467, "*")+COUNTIF(HU467, "*")</f>
        <v>1</v>
      </c>
      <c r="DH467" s="14">
        <f>DG467*0.6</f>
        <v>0.6</v>
      </c>
      <c r="DI467" s="4"/>
      <c r="DJ467" s="4"/>
      <c r="DK467" s="4"/>
      <c r="DL467" s="4"/>
      <c r="DN467" s="4"/>
      <c r="DO467" s="14">
        <f>SUM(DJ467:DN467)</f>
        <v>0</v>
      </c>
      <c r="DP467" s="14">
        <f ca="1">SUM(DD467,DF467,DO467, DI467, DH467,FP467)</f>
        <v>442.16399999999999</v>
      </c>
      <c r="DQ467" s="24" t="s">
        <v>3879</v>
      </c>
      <c r="DR467" s="130">
        <v>3.11</v>
      </c>
      <c r="DS467" s="14">
        <v>24700</v>
      </c>
      <c r="DT467" s="14">
        <v>8800</v>
      </c>
      <c r="DU467" s="14">
        <v>33500</v>
      </c>
      <c r="DV467" s="14">
        <v>30500</v>
      </c>
      <c r="DW467" s="14">
        <v>9400</v>
      </c>
      <c r="DX467" s="14">
        <f>SUM(DV467+DW467)</f>
        <v>39900</v>
      </c>
      <c r="IA467" s="9"/>
      <c r="IL467" s="14">
        <f ca="1">SUM(IB467-DP467-FP467-IJ467)</f>
        <v>-442.16399999999999</v>
      </c>
      <c r="IM467" s="9"/>
      <c r="IN467" s="9"/>
      <c r="IO467" s="9"/>
      <c r="IP467" s="9"/>
      <c r="IQ467" s="9"/>
    </row>
    <row r="468" spans="1:263" ht="15" customHeight="1">
      <c r="A468" s="18">
        <v>102021085</v>
      </c>
      <c r="B468" s="18" t="s">
        <v>2599</v>
      </c>
      <c r="C468" s="18"/>
      <c r="D468" s="13"/>
      <c r="E468" s="24" t="s">
        <v>3721</v>
      </c>
      <c r="F468" s="19">
        <v>220002136</v>
      </c>
      <c r="G468" s="24">
        <v>220005781</v>
      </c>
      <c r="H468" s="18"/>
      <c r="I468" s="18"/>
      <c r="J468" s="18" t="s">
        <v>253</v>
      </c>
      <c r="K468" s="18" t="s">
        <v>1151</v>
      </c>
      <c r="L468" s="18" t="s">
        <v>2598</v>
      </c>
      <c r="M468" s="18" t="s">
        <v>256</v>
      </c>
      <c r="N468" s="18"/>
      <c r="O468" s="24"/>
      <c r="P468" s="18"/>
      <c r="Q468" s="18"/>
      <c r="R468" s="18"/>
      <c r="S468" s="18"/>
      <c r="T468" s="18"/>
      <c r="U468" s="18"/>
      <c r="V468" s="18"/>
      <c r="W468" s="18"/>
      <c r="X468" s="18"/>
      <c r="Y468" s="18"/>
      <c r="Z468" s="18"/>
      <c r="AA468" s="18"/>
      <c r="AB468" s="18"/>
      <c r="AC468" s="18"/>
      <c r="AD468" s="18"/>
      <c r="AE468" s="18"/>
      <c r="AF468" s="18"/>
      <c r="AG468" s="26"/>
      <c r="AH468" s="18"/>
      <c r="AI468" s="18"/>
      <c r="AK468" s="1"/>
      <c r="AM468"/>
      <c r="AN468" s="18"/>
      <c r="AO468" s="18" t="s">
        <v>2600</v>
      </c>
      <c r="AP468" s="13" t="s">
        <v>258</v>
      </c>
      <c r="AQ468" s="18" t="s">
        <v>349</v>
      </c>
      <c r="AR468" s="18" t="s">
        <v>260</v>
      </c>
      <c r="AS468" s="28"/>
      <c r="AT468" s="28"/>
      <c r="AU468" s="28"/>
      <c r="AV468" s="28"/>
      <c r="AW468" s="28"/>
      <c r="AX468" s="13"/>
      <c r="AY468" s="13" t="s">
        <v>258</v>
      </c>
      <c r="AZ468" s="13"/>
      <c r="BA468" s="13"/>
      <c r="BB468" s="13"/>
      <c r="BC468" s="70">
        <v>44648</v>
      </c>
      <c r="BD468" s="115">
        <v>44598</v>
      </c>
      <c r="BE468" s="143">
        <v>44615</v>
      </c>
      <c r="BF468" s="19"/>
      <c r="BG468" s="19"/>
      <c r="BH468" s="19"/>
      <c r="BI468" s="19"/>
      <c r="BJ468" s="48"/>
      <c r="BK468" s="48"/>
      <c r="BL468" s="20">
        <f ca="1">SUM(EH468)+220</f>
        <v>2147.79</v>
      </c>
      <c r="BM468" s="22">
        <f ca="1">PMT(10%/12,12,BL468,0,0)</f>
        <v>-188.82486343374231</v>
      </c>
      <c r="BN468" s="22">
        <f ca="1">SUM(BM468*-1)</f>
        <v>188.82486343374231</v>
      </c>
      <c r="BO468" s="14">
        <f>SUM(EP468*0.0052)/12</f>
        <v>16.899999999999999</v>
      </c>
      <c r="BP468" s="22">
        <f ca="1">SUM(BN468+BO468)</f>
        <v>205.72486343374231</v>
      </c>
      <c r="BQ468" s="14">
        <v>0</v>
      </c>
      <c r="BR468" s="14">
        <f>SUM(BQ468*0.1)</f>
        <v>0</v>
      </c>
      <c r="BS468" s="254">
        <v>0</v>
      </c>
      <c r="BT468" s="17">
        <f>SUM((BQ468+BR468)*0.00833333333333333)</f>
        <v>0</v>
      </c>
      <c r="BU468" s="23">
        <f ca="1">MONTH(TODAY())+49</f>
        <v>53</v>
      </c>
      <c r="BV468" s="14">
        <f>SUM(BQ468,BR468,BS468)</f>
        <v>0</v>
      </c>
      <c r="BW468" s="14">
        <v>0</v>
      </c>
      <c r="BX468" s="14">
        <f>SUM(BW468*0.1)</f>
        <v>0</v>
      </c>
      <c r="BY468" s="14">
        <f ca="1">SUM(BZ468*CA468)</f>
        <v>0</v>
      </c>
      <c r="BZ468" s="17">
        <f>SUM((BW468+BX468)*0.00833333333333333)</f>
        <v>0</v>
      </c>
      <c r="CA468" s="23">
        <f ca="1">MONTH(TODAY())+37</f>
        <v>41</v>
      </c>
      <c r="CB468" s="14">
        <f ca="1">SUM(BW468,BX468,BY468)</f>
        <v>0</v>
      </c>
      <c r="CC468" s="14">
        <v>0</v>
      </c>
      <c r="CD468" s="14">
        <f>SUM(CC468*0.1)</f>
        <v>0</v>
      </c>
      <c r="CE468" s="14">
        <f ca="1">SUM(CF468*CG468)</f>
        <v>0</v>
      </c>
      <c r="CF468" s="17">
        <f>SUM((CC468+CD468)*0.00833333333333333)</f>
        <v>0</v>
      </c>
      <c r="CG468" s="23">
        <f ca="1">MONTH(TODAY())+25</f>
        <v>29</v>
      </c>
      <c r="CH468" s="14">
        <f ca="1">SUM(CC468,CD468,CE468)</f>
        <v>0</v>
      </c>
      <c r="CI468" s="14">
        <v>0</v>
      </c>
      <c r="CJ468" s="14">
        <f>SUM(CI468*0.1)</f>
        <v>0</v>
      </c>
      <c r="CK468" s="14">
        <f ca="1">SUM(CL468*CM468)</f>
        <v>0</v>
      </c>
      <c r="CL468" s="17">
        <f>SUM((CI468+CJ468)*0.00833333333333333)</f>
        <v>0</v>
      </c>
      <c r="CM468" s="23">
        <f ca="1">MONTH(TODAY())+17</f>
        <v>21</v>
      </c>
      <c r="CN468" s="23">
        <f ca="1">SUM(CI468,CJ468,CK468)</f>
        <v>0</v>
      </c>
      <c r="CO468" s="14">
        <v>0</v>
      </c>
      <c r="CP468" s="14">
        <f>SUM(CO468*0.1)</f>
        <v>0</v>
      </c>
      <c r="CQ468" s="14">
        <f ca="1">SUM(CR468*CS468)</f>
        <v>0</v>
      </c>
      <c r="CR468" s="17">
        <f>SUM((CO468+CP468)*0.00833333333333333)</f>
        <v>0</v>
      </c>
      <c r="CS468" s="23">
        <f ca="1">MONTH(TODAY())+13</f>
        <v>17</v>
      </c>
      <c r="CT468" s="23">
        <f ca="1">SUM(CO468,CP468,CQ468)</f>
        <v>0</v>
      </c>
      <c r="CU468" s="14">
        <v>0</v>
      </c>
      <c r="CV468" s="14">
        <f>SUM(CU468*0.1)</f>
        <v>0</v>
      </c>
      <c r="CW468" s="14">
        <f ca="1">SUM(CX468*CY468)</f>
        <v>0</v>
      </c>
      <c r="CX468" s="17">
        <f>SUM((CU468+CV468)*0.00833333333333333)</f>
        <v>0</v>
      </c>
      <c r="CY468" s="23">
        <f ca="1">MONTH(TODAY())+7</f>
        <v>11</v>
      </c>
      <c r="CZ468" s="23">
        <f ca="1">SUM(CU468,CV468,CW468)</f>
        <v>0</v>
      </c>
      <c r="DA468" s="14">
        <v>0</v>
      </c>
      <c r="DB468" s="14">
        <f>SUM(DA468*0.1)</f>
        <v>0</v>
      </c>
      <c r="DC468" s="14">
        <f ca="1">SUM(DD468*DE468)</f>
        <v>0</v>
      </c>
      <c r="DD468" s="17">
        <f>SUM((DA468+DB468)*0.00833333333333333)</f>
        <v>0</v>
      </c>
      <c r="DE468" s="23">
        <f ca="1">MONTH(TODAY())+1</f>
        <v>5</v>
      </c>
      <c r="DF468" s="14">
        <f ca="1">SUM(DA468,DB468,DC468)</f>
        <v>0</v>
      </c>
      <c r="DG468" s="14">
        <f>SUM(EP468*0.0045)/2-27.38</f>
        <v>60.370000000000005</v>
      </c>
      <c r="DH468" s="14">
        <f>0</f>
        <v>0</v>
      </c>
      <c r="DI468" s="14">
        <f>0</f>
        <v>0</v>
      </c>
      <c r="DJ468" s="17">
        <f>SUM((DG468+DH468)*0.00833333333333333)</f>
        <v>0.5030833333333331</v>
      </c>
      <c r="DK468" s="23">
        <f ca="1">MONTH(TODAY())+7</f>
        <v>11</v>
      </c>
      <c r="DL468" s="23">
        <f>SUM(DG468,DH468,DI468)</f>
        <v>60.370000000000005</v>
      </c>
      <c r="DM468" s="14">
        <f>0</f>
        <v>0</v>
      </c>
      <c r="DN468" s="14">
        <f>0</f>
        <v>0</v>
      </c>
      <c r="DO468" s="14">
        <f ca="1">SUM(DP468*DQ468)</f>
        <v>0</v>
      </c>
      <c r="DP468" s="17">
        <f>SUM((DM468+DN468)*0.00833333333333333)</f>
        <v>0</v>
      </c>
      <c r="DQ468" s="23">
        <f ca="1">MONTH(TODAY())+1</f>
        <v>5</v>
      </c>
      <c r="DR468" s="14">
        <f ca="1">SUM(DM468,DN468,DO468)</f>
        <v>0</v>
      </c>
      <c r="DS468" s="14">
        <f>SUM(BQ468, BW468, CC468, CI468,CO468,CU468,DA468,DG468,DM468)</f>
        <v>60.370000000000005</v>
      </c>
      <c r="DT468" s="14">
        <f>SUM(BR468,BX468,CD468, CJ468,CP468,CV468,DB468,DH468,DN468)</f>
        <v>0</v>
      </c>
      <c r="DU468" s="14">
        <f ca="1">SUM(BS468,BY468,CE468, CK468,CQ468,CW468,DC468,DI468,DO468)</f>
        <v>0</v>
      </c>
      <c r="DV468" s="25">
        <f ca="1">SUM(DS468:DU468)</f>
        <v>60.370000000000005</v>
      </c>
      <c r="DW468" s="47">
        <f ca="1">SUM(DV468/EM468)</f>
        <v>1.9104430379746837E-3</v>
      </c>
      <c r="DX468" s="14">
        <f>19.5+19.5+195+195+39+39+97.5+97.5+39+58.5+58.5+156+60</f>
        <v>1074</v>
      </c>
      <c r="DY468" s="32">
        <f>COUNTIF(AO468, "*")+COUNTIF(AJ468, "*")+COUNTIF(AA468, "*")+COUNTIF(FA468, "*")+COUNTIF(FG468, "*")+COUNTIF(FM468, "*")+COUNTIF(FQ468, "*")+COUNTIF(FX468, "*")+COUNTIF(AT468, "*")+COUNTIF(GG468, "*")+COUNTIF(GR468, "*")+COUNTIF(HC468, "*")+COUNTIF(HK468, "*")+COUNTIF(HS468, "*")+COUNTIF(IA468, "*")</f>
        <v>1</v>
      </c>
      <c r="DZ468" s="14">
        <f>0.53+6.66+8</f>
        <v>15.190000000000001</v>
      </c>
      <c r="EA468" s="14">
        <f>150+150</f>
        <v>300</v>
      </c>
      <c r="EB468" s="14">
        <v>50.23</v>
      </c>
      <c r="EC468" s="14"/>
      <c r="ED468" s="14">
        <v>36</v>
      </c>
      <c r="EE468" s="18">
        <v>42</v>
      </c>
      <c r="EF468" s="14">
        <v>350</v>
      </c>
      <c r="EG468" s="14">
        <f>SUM(EB468:EF468)</f>
        <v>478.23</v>
      </c>
      <c r="EH468" s="14">
        <f ca="1">SUM(DV468,DX468,EG468, EA468, DZ468,GD468)</f>
        <v>1927.79</v>
      </c>
      <c r="EI468" s="24" t="s">
        <v>2770</v>
      </c>
      <c r="EJ468" s="23">
        <v>3.08</v>
      </c>
      <c r="EK468" s="14">
        <v>24600</v>
      </c>
      <c r="EL468" s="14">
        <v>7000</v>
      </c>
      <c r="EM468" s="14">
        <f>SUM(EK468+EL468)</f>
        <v>31600</v>
      </c>
      <c r="EN468" s="14">
        <v>30300</v>
      </c>
      <c r="EO468" s="14">
        <v>8700</v>
      </c>
      <c r="EP468" s="14">
        <f>SUM(EN468+EO468)</f>
        <v>39000</v>
      </c>
      <c r="EQ468" s="28" t="s">
        <v>3439</v>
      </c>
      <c r="ER468" s="28" t="s">
        <v>3432</v>
      </c>
      <c r="ES468" s="28"/>
      <c r="ET468" s="28"/>
      <c r="EU468" s="28"/>
      <c r="EV468" s="28"/>
      <c r="EW468" s="28"/>
      <c r="EX468" s="2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4"/>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27"/>
      <c r="IF468" s="18"/>
      <c r="IG468" s="18"/>
      <c r="IH468" s="18"/>
      <c r="II468" s="18"/>
      <c r="IJ468" s="18"/>
      <c r="IK468" s="18"/>
      <c r="IL468" s="18"/>
      <c r="IM468" s="18"/>
      <c r="IN468" s="14">
        <f ca="1">SUM(IF468-EH468-GD468-IL468)</f>
        <v>-1927.79</v>
      </c>
      <c r="IO468" s="14"/>
      <c r="IP468" s="14"/>
      <c r="IQ468" s="27"/>
      <c r="IR468" s="27"/>
      <c r="IS468" s="27"/>
      <c r="IT468" s="27"/>
      <c r="IU468" s="27"/>
    </row>
    <row r="469" spans="1:263" ht="15" customHeight="1">
      <c r="A469" s="19">
        <v>102021033</v>
      </c>
      <c r="B469" s="18" t="s">
        <v>2045</v>
      </c>
      <c r="C469" s="18"/>
      <c r="D469" s="18"/>
      <c r="E469" s="18" t="s">
        <v>2464</v>
      </c>
      <c r="F469" s="18">
        <v>210002688</v>
      </c>
      <c r="G469" s="18"/>
      <c r="H469" s="18"/>
      <c r="I469" s="18"/>
      <c r="J469" s="18" t="s">
        <v>311</v>
      </c>
      <c r="K469" s="18" t="s">
        <v>2044</v>
      </c>
      <c r="L469" s="18" t="s">
        <v>996</v>
      </c>
      <c r="M469" s="18" t="s">
        <v>537</v>
      </c>
      <c r="N469" s="18"/>
      <c r="O469" s="18"/>
      <c r="P469" s="18"/>
      <c r="Q469" s="18"/>
      <c r="R469" s="18"/>
      <c r="S469" s="18"/>
      <c r="T469" s="18"/>
      <c r="U469" s="18"/>
      <c r="V469" s="18"/>
      <c r="W469" s="18"/>
      <c r="X469" s="18"/>
      <c r="Y469" s="18"/>
      <c r="Z469" s="18"/>
      <c r="AA469" s="18"/>
      <c r="AB469" s="18"/>
      <c r="AC469" s="18"/>
      <c r="AD469" s="18" t="s">
        <v>2490</v>
      </c>
      <c r="AE469" s="18" t="s">
        <v>311</v>
      </c>
      <c r="AF469" s="18" t="s">
        <v>2489</v>
      </c>
      <c r="AG469" s="231"/>
      <c r="AH469" s="18" t="s">
        <v>2491</v>
      </c>
      <c r="AI469" s="18"/>
      <c r="AJ469" s="18" t="s">
        <v>328</v>
      </c>
      <c r="AK469" s="18"/>
      <c r="AL469" s="24" t="s">
        <v>349</v>
      </c>
      <c r="AM469" s="24"/>
      <c r="AN469" s="24"/>
      <c r="AO469" s="18" t="s">
        <v>2155</v>
      </c>
      <c r="AP469" s="13" t="s">
        <v>258</v>
      </c>
      <c r="AQ469" s="24" t="s">
        <v>349</v>
      </c>
      <c r="AR469" s="24" t="s">
        <v>260</v>
      </c>
      <c r="AS469" s="13"/>
      <c r="AT469" s="13"/>
      <c r="AU469" s="13"/>
      <c r="AV469" s="13"/>
      <c r="AW469" s="13"/>
      <c r="AX469" s="48"/>
      <c r="AY469" s="48"/>
      <c r="AZ469" s="48"/>
      <c r="BA469" s="48"/>
      <c r="BB469" s="19"/>
      <c r="BC469" s="48"/>
      <c r="BD469" s="48"/>
      <c r="BE469" s="19"/>
      <c r="BF469" s="19"/>
      <c r="BG469" s="20"/>
      <c r="BH469" s="22"/>
      <c r="BI469" s="22"/>
      <c r="BJ469" s="14"/>
      <c r="BK469" s="22"/>
      <c r="BL469" s="14"/>
      <c r="BM469" s="14"/>
      <c r="BN469" s="14"/>
      <c r="BO469" s="17"/>
      <c r="BP469" s="23"/>
      <c r="BQ469" s="14"/>
      <c r="BR469" s="14"/>
      <c r="BS469" s="14"/>
      <c r="BT469" s="14"/>
      <c r="BU469" s="17"/>
      <c r="BV469" s="23"/>
      <c r="BW469" s="14"/>
      <c r="BX469" s="14"/>
      <c r="BY469" s="14"/>
      <c r="BZ469" s="14"/>
      <c r="CA469" s="17"/>
      <c r="CB469" s="23"/>
      <c r="CC469" s="14"/>
      <c r="CD469" s="14"/>
      <c r="CE469" s="14"/>
      <c r="CF469" s="14"/>
      <c r="CG469" s="17"/>
      <c r="CH469" s="23"/>
      <c r="CI469" s="14"/>
      <c r="CJ469" s="14"/>
      <c r="CK469" s="14"/>
      <c r="CL469" s="14"/>
      <c r="CM469" s="17"/>
      <c r="CN469" s="23"/>
      <c r="CO469" s="14"/>
      <c r="CP469" s="14"/>
      <c r="CQ469" s="14"/>
      <c r="CR469" s="14"/>
      <c r="CS469" s="17"/>
      <c r="CT469" s="23"/>
      <c r="CU469" s="14"/>
      <c r="CV469" s="14"/>
      <c r="CW469" s="14"/>
      <c r="CX469" s="14"/>
      <c r="CY469" s="14"/>
      <c r="CZ469" s="47"/>
      <c r="DA469" s="14"/>
      <c r="DB469" s="32"/>
      <c r="DC469" s="14"/>
      <c r="DD469" s="14"/>
      <c r="DE469" s="14"/>
      <c r="DF469" s="14"/>
      <c r="DG469" s="14"/>
      <c r="DH469" s="14"/>
      <c r="DI469" s="23"/>
      <c r="DJ469" s="25"/>
      <c r="DK469" s="14">
        <f>SUM(DF469:DJ469)</f>
        <v>0</v>
      </c>
      <c r="DL469" s="24" t="s">
        <v>1997</v>
      </c>
      <c r="DM469" s="25">
        <v>23000</v>
      </c>
      <c r="DN469" s="25">
        <v>0</v>
      </c>
      <c r="DO469" s="25">
        <f>SUM(DM469+DN469)</f>
        <v>23000</v>
      </c>
      <c r="DP469" s="36">
        <v>1.9</v>
      </c>
      <c r="DQ469" s="18" t="s">
        <v>2337</v>
      </c>
      <c r="DR469" s="18" t="s">
        <v>2338</v>
      </c>
      <c r="DS469" s="18" t="s">
        <v>2339</v>
      </c>
      <c r="DT469" s="18"/>
      <c r="DU469" s="18"/>
      <c r="DV469" s="18"/>
      <c r="DW469" s="18"/>
      <c r="DX469" s="18"/>
      <c r="DY469" s="18"/>
      <c r="DZ469" s="18"/>
      <c r="EA469" s="18"/>
      <c r="EB469" s="18"/>
      <c r="EC469" s="18" t="s">
        <v>2340</v>
      </c>
      <c r="ED469" s="18"/>
      <c r="EE469" s="18" t="s">
        <v>2341</v>
      </c>
      <c r="EF469" s="18"/>
      <c r="EG469" s="18" t="s">
        <v>2342</v>
      </c>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O469" s="4"/>
    </row>
    <row r="470" spans="1:263" ht="15" customHeight="1">
      <c r="A470" s="2">
        <v>102018026</v>
      </c>
      <c r="B470" s="4" t="s">
        <v>1127</v>
      </c>
      <c r="J470" t="s">
        <v>311</v>
      </c>
      <c r="K470" t="s">
        <v>1125</v>
      </c>
      <c r="L470" t="s">
        <v>1126</v>
      </c>
      <c r="M470" t="s">
        <v>537</v>
      </c>
      <c r="O470" s="1"/>
      <c r="T470" s="1"/>
      <c r="AJ470" s="4"/>
      <c r="AK470" s="4"/>
      <c r="AO470" s="4"/>
      <c r="AP470" s="5"/>
      <c r="AQ470" s="34"/>
      <c r="AS470" s="1"/>
      <c r="AT470" s="1"/>
      <c r="AU470" s="29"/>
      <c r="AV470" s="1"/>
      <c r="AW470" s="1"/>
      <c r="AX470" s="1"/>
      <c r="AY470" s="1"/>
      <c r="AZ470" s="1"/>
      <c r="BA470" s="1"/>
      <c r="BB470" s="1"/>
      <c r="BC470" s="1"/>
      <c r="BD470" s="1"/>
      <c r="BE470" s="5"/>
      <c r="BF470" s="16"/>
      <c r="BG470" s="16"/>
      <c r="BI470" s="4"/>
      <c r="BJ470" s="4"/>
      <c r="BK470" s="6"/>
      <c r="BL470" s="7"/>
      <c r="BM470" s="4"/>
      <c r="BO470" s="4"/>
      <c r="BP470" s="4"/>
      <c r="BQ470" s="6"/>
      <c r="BR470" s="7"/>
      <c r="BS470" s="4"/>
      <c r="BU470" s="4"/>
      <c r="BV470" s="4"/>
      <c r="BW470" s="6"/>
      <c r="BX470" s="7"/>
      <c r="BY470" s="4"/>
      <c r="BZ470" s="6"/>
      <c r="CA470" s="4"/>
      <c r="CB470" s="4"/>
      <c r="CC470" s="6"/>
      <c r="CD470" s="7"/>
      <c r="CE470" s="4"/>
      <c r="CF470" s="6"/>
      <c r="CG470" s="4"/>
      <c r="CH470" s="4"/>
      <c r="CI470" s="6"/>
      <c r="CJ470" s="7"/>
      <c r="CK470" s="4"/>
      <c r="CL470" s="4"/>
      <c r="CM470" s="4"/>
      <c r="CN470" s="4"/>
      <c r="CO470" s="6"/>
      <c r="CP470" s="7"/>
      <c r="CQ470" s="4"/>
      <c r="CR470" s="4"/>
      <c r="CS470" s="4"/>
      <c r="CT470" s="4"/>
      <c r="CU470" s="6"/>
      <c r="CV470" s="7"/>
      <c r="CW470" s="4"/>
      <c r="CX470" s="4"/>
      <c r="CY470" s="4"/>
      <c r="CZ470" s="4"/>
      <c r="DA470" s="6"/>
      <c r="DB470" s="7"/>
      <c r="DC470" s="4"/>
      <c r="DD470" s="4"/>
      <c r="DE470" s="4"/>
      <c r="DF470" s="4"/>
      <c r="DG470" s="6"/>
      <c r="DH470" s="7"/>
      <c r="DI470" s="4"/>
      <c r="DJ470" s="4"/>
      <c r="DK470" s="4"/>
      <c r="DL470" s="4"/>
      <c r="DM470" s="4"/>
      <c r="DO470" s="4"/>
      <c r="DP470" s="4"/>
      <c r="DQ470" s="4"/>
      <c r="DR470" s="7"/>
      <c r="DS470" s="4"/>
      <c r="DT470" s="4"/>
      <c r="DU470" s="4"/>
      <c r="DV470" s="4"/>
      <c r="DW470" s="4"/>
      <c r="DX470" s="4"/>
      <c r="DY470" s="7"/>
      <c r="DZ470" s="4"/>
      <c r="EA470" s="4"/>
      <c r="EB470" s="4"/>
      <c r="EC470" s="4"/>
      <c r="ED470" s="11"/>
      <c r="EM470" s="11"/>
      <c r="ES470" s="11"/>
      <c r="ET470" s="4"/>
      <c r="EU470" s="4"/>
      <c r="EV470" s="4"/>
      <c r="EW470" s="4"/>
      <c r="EX470" s="4"/>
      <c r="EY470" s="4"/>
      <c r="EZ470" s="4"/>
      <c r="FA470" s="4"/>
      <c r="FB470" s="4"/>
      <c r="FC470" s="4"/>
      <c r="FD470" s="4"/>
      <c r="FE470" s="4"/>
      <c r="FF470" s="4"/>
      <c r="FG470" s="4"/>
      <c r="FM470" s="9"/>
      <c r="GC470" s="10"/>
      <c r="GM470" s="10"/>
      <c r="HB470" s="9"/>
      <c r="IZ470" s="18"/>
      <c r="JA470" s="18"/>
    </row>
    <row r="471" spans="1:263" ht="15" customHeight="1">
      <c r="A471" s="19">
        <v>102023053</v>
      </c>
      <c r="B471" s="18" t="s">
        <v>4227</v>
      </c>
      <c r="C471" s="10"/>
      <c r="D471" s="161"/>
      <c r="E471" s="10" t="s">
        <v>4919</v>
      </c>
      <c r="F471" s="160">
        <v>230002974</v>
      </c>
      <c r="G471" s="147"/>
      <c r="H471" s="10"/>
      <c r="I471" s="10"/>
      <c r="J471" s="28" t="s">
        <v>311</v>
      </c>
      <c r="K471" s="28" t="s">
        <v>1142</v>
      </c>
      <c r="L471" s="28" t="s">
        <v>4226</v>
      </c>
      <c r="M471" s="10"/>
      <c r="N471" s="28"/>
      <c r="O471" s="150"/>
      <c r="P471" s="28"/>
      <c r="Q471" s="28"/>
      <c r="R471" s="28"/>
      <c r="S471" s="28"/>
      <c r="T471" s="10"/>
      <c r="U471" s="10"/>
      <c r="V471" s="10"/>
      <c r="W471" s="10"/>
      <c r="X471" s="10"/>
      <c r="Y471" s="10"/>
      <c r="Z471" s="10"/>
      <c r="AA471" s="10"/>
      <c r="AB471" s="10"/>
      <c r="AC471" s="10"/>
      <c r="AD471" s="10"/>
      <c r="AE471" s="10"/>
      <c r="AF471" s="10"/>
      <c r="AG471" s="141"/>
      <c r="AH471" s="10"/>
      <c r="AI471" s="10"/>
      <c r="AJ471" s="18" t="s">
        <v>4225</v>
      </c>
      <c r="AK471" s="13" t="s">
        <v>258</v>
      </c>
      <c r="AL471" s="18" t="s">
        <v>349</v>
      </c>
      <c r="AM471" s="18" t="s">
        <v>260</v>
      </c>
      <c r="AN471" s="18" t="s">
        <v>4280</v>
      </c>
      <c r="AO471" s="18" t="s">
        <v>4224</v>
      </c>
      <c r="AP471" s="13" t="s">
        <v>258</v>
      </c>
      <c r="AQ471" s="18" t="s">
        <v>567</v>
      </c>
      <c r="AR471" s="18" t="s">
        <v>821</v>
      </c>
      <c r="AX471" s="1"/>
      <c r="AY471" s="1"/>
      <c r="AZ471" s="1" t="s">
        <v>258</v>
      </c>
      <c r="BA471" s="1" t="s">
        <v>258</v>
      </c>
      <c r="BB471" s="1" t="s">
        <v>258</v>
      </c>
      <c r="BC471" s="70">
        <v>45096</v>
      </c>
      <c r="BD471" s="115">
        <v>45060</v>
      </c>
      <c r="BE471" s="144">
        <v>45056</v>
      </c>
      <c r="BF471" s="70">
        <v>45251</v>
      </c>
      <c r="BG471" t="s">
        <v>318</v>
      </c>
      <c r="BH471" s="9">
        <v>45240</v>
      </c>
      <c r="BI471" s="9">
        <v>45240</v>
      </c>
      <c r="BJ471" s="70">
        <v>45268</v>
      </c>
      <c r="BK471" s="70" t="s">
        <v>319</v>
      </c>
      <c r="BL471" s="20">
        <f ca="1">SUM(EB471)+220</f>
        <v>5050.5962</v>
      </c>
      <c r="BM471" s="22">
        <f ca="1">PMT(10%/12,12,BL471,0,0)</f>
        <v>-444.027645963515</v>
      </c>
      <c r="BN471" s="22">
        <f ca="1">SUM(BM471*-1)</f>
        <v>444.027645963515</v>
      </c>
      <c r="BO471" s="14">
        <f>SUM(EJ471*0.0052)/12</f>
        <v>13.606666666666667</v>
      </c>
      <c r="BP471" s="22">
        <f ca="1">SUM(BN471+BO471)</f>
        <v>457.63431263018168</v>
      </c>
      <c r="BQ471" s="14">
        <v>0</v>
      </c>
      <c r="BR471" s="14">
        <f>SUM(BQ471*0.1)</f>
        <v>0</v>
      </c>
      <c r="BS471" s="14">
        <f ca="1">SUM(BT471*BU471)</f>
        <v>0</v>
      </c>
      <c r="BT471" s="17">
        <f>SUM((BQ471+BR471)*0.00833333333333333)</f>
        <v>0</v>
      </c>
      <c r="BU471" s="23">
        <f ca="1">MONTH(TODAY())+37</f>
        <v>41</v>
      </c>
      <c r="BV471" s="14">
        <f ca="1">SUM(BQ471,BR471,BS471)</f>
        <v>0</v>
      </c>
      <c r="BW471" s="14">
        <f>SUM(EG471*0.0052)</f>
        <v>135.72</v>
      </c>
      <c r="BX471" s="14">
        <f>SUM(BW471*0.1)</f>
        <v>13.572000000000001</v>
      </c>
      <c r="BY471" s="14">
        <f ca="1">SUM(BZ471*CA471)</f>
        <v>51.008099999999985</v>
      </c>
      <c r="BZ471" s="17">
        <f>SUM((BW471+BX471)*0.00833333333333333)</f>
        <v>1.2440999999999995</v>
      </c>
      <c r="CA471" s="23">
        <f ca="1">MONTH(TODAY())+37</f>
        <v>41</v>
      </c>
      <c r="CB471" s="14">
        <f ca="1">SUM(BW471,BX471,BY471)</f>
        <v>200.30009999999999</v>
      </c>
      <c r="CC471" s="14">
        <f>SUM(EG471*0.0052)/2</f>
        <v>67.86</v>
      </c>
      <c r="CD471" s="14">
        <f>SUM(CC471*0.1)</f>
        <v>6.7860000000000005</v>
      </c>
      <c r="CE471" s="14">
        <f ca="1">SUM(CF471*CG471)</f>
        <v>20.527649999999994</v>
      </c>
      <c r="CF471" s="17">
        <f>SUM((CC471+CD471)*0.00833333333333333)</f>
        <v>0.62204999999999977</v>
      </c>
      <c r="CG471" s="23">
        <f ca="1">MONTH(TODAY())+29</f>
        <v>33</v>
      </c>
      <c r="CH471" s="23">
        <f ca="1">SUM(CC471,CD471,CE471)</f>
        <v>95.173649999999995</v>
      </c>
      <c r="CI471" s="14">
        <f>SUM(EG471*0.0052)/2</f>
        <v>67.86</v>
      </c>
      <c r="CJ471" s="14">
        <f>SUM(CI471*0.1)</f>
        <v>6.7860000000000005</v>
      </c>
      <c r="CK471" s="14">
        <f ca="1">SUM(CL471*CM471)</f>
        <v>18.039449999999995</v>
      </c>
      <c r="CL471" s="17">
        <f>SUM((CI471+CJ471)*0.00833333333333333)</f>
        <v>0.62204999999999977</v>
      </c>
      <c r="CM471" s="23">
        <f ca="1">MONTH(TODAY())+25</f>
        <v>29</v>
      </c>
      <c r="CN471" s="14">
        <f ca="1">SUM(CI471,CJ471,CK471)</f>
        <v>92.685450000000003</v>
      </c>
      <c r="CO471" s="14">
        <f>SUM(EJ471*0.0045)/2</f>
        <v>70.649999999999991</v>
      </c>
      <c r="CP471" s="14">
        <f>SUM(CO471*0.1)</f>
        <v>7.0649999999999995</v>
      </c>
      <c r="CQ471" s="14">
        <f ca="1">SUM(CR471*CS471)</f>
        <v>14.895374999999992</v>
      </c>
      <c r="CR471" s="17">
        <f>SUM((CO471+CP471)*0.00833333333333333)</f>
        <v>0.64762499999999967</v>
      </c>
      <c r="CS471" s="23">
        <f ca="1">MONTH(TODAY())+19</f>
        <v>23</v>
      </c>
      <c r="CT471" s="14">
        <f ca="1">SUM(CO471,CP471,CQ471)</f>
        <v>92.610374999999976</v>
      </c>
      <c r="CU471" s="14">
        <f>SUM(EJ471*0.0045)/2</f>
        <v>70.649999999999991</v>
      </c>
      <c r="CV471" s="14">
        <f>SUM(CU471*0.1)</f>
        <v>7.0649999999999995</v>
      </c>
      <c r="CW471" s="14">
        <f ca="1">SUM(CX471*CY471)</f>
        <v>11.009624999999994</v>
      </c>
      <c r="CX471" s="17">
        <f>SUM((CU471+CV471)*0.00833333333333333)</f>
        <v>0.64762499999999967</v>
      </c>
      <c r="CY471" s="23">
        <f ca="1">MONTH(TODAY())+13</f>
        <v>17</v>
      </c>
      <c r="CZ471" s="14">
        <f ca="1">SUM(CU471,CV471,CW471)</f>
        <v>88.724624999999989</v>
      </c>
      <c r="DA471" s="14">
        <f>SUM(EJ471*0.0045)/2</f>
        <v>70.649999999999991</v>
      </c>
      <c r="DB471" s="14">
        <f>SUM(DA471*0.1)</f>
        <v>7.0649999999999995</v>
      </c>
      <c r="DC471" s="14">
        <f ca="1">SUM(DD471*DE471)</f>
        <v>7.1238749999999964</v>
      </c>
      <c r="DD471" s="17">
        <f>SUM((DA471+DB471)*0.00833333333333333)</f>
        <v>0.64762499999999967</v>
      </c>
      <c r="DE471" s="23">
        <f ca="1">MONTH(TODAY())+7</f>
        <v>11</v>
      </c>
      <c r="DF471" s="14">
        <f ca="1">SUM(DA471,DB471,DC471)</f>
        <v>84.838874999999987</v>
      </c>
      <c r="DG471" s="14">
        <f>SUM(EJ471*0.0045)/2</f>
        <v>70.649999999999991</v>
      </c>
      <c r="DH471" s="14">
        <f>SUM(DG471*0.1)</f>
        <v>7.0649999999999995</v>
      </c>
      <c r="DI471" s="14">
        <f ca="1">SUM(DJ471*DK471)</f>
        <v>3.2381249999999984</v>
      </c>
      <c r="DJ471" s="17">
        <f>SUM((DG471+DH471)*0.00833333333333333)</f>
        <v>0.64762499999999967</v>
      </c>
      <c r="DK471" s="23">
        <f ca="1">MONTH(TODAY())+1</f>
        <v>5</v>
      </c>
      <c r="DL471" s="14">
        <f ca="1">SUM(DG471,DH471,DI471)</f>
        <v>80.953124999999986</v>
      </c>
      <c r="DM471" s="14">
        <f>SUM(BQ471, BW471, CC471,CI471,CO471,CU471,DA471,DG471)</f>
        <v>554.04</v>
      </c>
      <c r="DN471" s="14">
        <f>SUM(BR471,BX471, CD471,CJ471,CP471,CV471,DB471,DH471)</f>
        <v>55.403999999999996</v>
      </c>
      <c r="DO471" s="14">
        <f ca="1">SUM(BS471,BY471, CE471,CK471,CQ471,CW471,DC471,DI471)</f>
        <v>125.84219999999995</v>
      </c>
      <c r="DP471" s="25">
        <f ca="1">SUM(DM471:DO471)</f>
        <v>735.28619999999989</v>
      </c>
      <c r="DQ471" s="47">
        <f ca="1">SUM(DP471/EG471)</f>
        <v>2.8171885057471261E-2</v>
      </c>
      <c r="DR471" s="14">
        <f>20+200+10+200+40+40+40+80+100+40+40+240+60+40+40+40+40+40+100+100</f>
        <v>1510</v>
      </c>
      <c r="DS471" s="32">
        <f>COUNTIF(AO471, "*")+COUNTIF(AJ471, "*")+COUNTIF(AA471, "*")+COUNTIF(EU471, "*")+COUNTIF(FA471, "*")+COUNTIF(FG471, "*")+COUNTIF(FK471, "*")+COUNTIF(FR471, "*")+COUNTIF(AT471, "*")+COUNTIF(GA471, "*")+COUNTIF(GL471, "*")+COUNTIF(GW471, "*")+COUNTIF(HE471, "*")+COUNTIF(HM471, "*")+COUNTIF(HU471, "*")</f>
        <v>2</v>
      </c>
      <c r="DT471" s="14">
        <f>1.2+DS471*7.45</f>
        <v>16.100000000000001</v>
      </c>
      <c r="DU471" s="4">
        <f>36.76+415.6+756.2</f>
        <v>1208.56</v>
      </c>
      <c r="DV471" s="4">
        <v>300</v>
      </c>
      <c r="DW471" s="4">
        <f>93.75+182.5</f>
        <v>276.25</v>
      </c>
      <c r="DX471" s="4">
        <v>172</v>
      </c>
      <c r="DY471" s="14">
        <f>IF(SUM(EE471*0.004)&lt;100, 100, SUM(EE471*0.004))</f>
        <v>102.4</v>
      </c>
      <c r="DZ471" s="4">
        <v>510</v>
      </c>
      <c r="EA471" s="14">
        <f>SUM(DU471:DZ471)</f>
        <v>2569.21</v>
      </c>
      <c r="EB471" s="14">
        <f ca="1">SUM(DP471,DR471,EA471,DT471,FX471)</f>
        <v>4830.5962</v>
      </c>
      <c r="EC471" s="24" t="s">
        <v>5892</v>
      </c>
      <c r="ED471" s="23">
        <v>2.4</v>
      </c>
      <c r="EE471" s="14">
        <v>25600</v>
      </c>
      <c r="EF471" s="14">
        <v>500</v>
      </c>
      <c r="EG471" s="14">
        <v>26100</v>
      </c>
      <c r="EH471" s="14">
        <v>30900</v>
      </c>
      <c r="EI471" s="14">
        <v>500</v>
      </c>
      <c r="EJ471" s="14">
        <f>SUM(EH471+EI471)</f>
        <v>31400</v>
      </c>
      <c r="EK471" s="10" t="s">
        <v>4807</v>
      </c>
      <c r="EL471" s="10" t="s">
        <v>4811</v>
      </c>
      <c r="EM471" s="10" t="s">
        <v>4812</v>
      </c>
      <c r="EN471" s="10" t="s">
        <v>4813</v>
      </c>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9"/>
      <c r="FP471" s="10"/>
      <c r="FQ471" s="10"/>
      <c r="FR471" s="10"/>
      <c r="FS471" s="10"/>
      <c r="FT471" s="10"/>
      <c r="FU471" s="10"/>
      <c r="FV471" s="9"/>
      <c r="FW471" s="10"/>
      <c r="FX471" s="10"/>
      <c r="FY471" s="10"/>
      <c r="FZ471" s="10"/>
      <c r="GA471" s="10"/>
      <c r="GB471" s="10"/>
      <c r="GC471" s="10"/>
      <c r="GD471" s="10"/>
      <c r="GE471" s="9"/>
      <c r="GF471" s="10"/>
      <c r="GG471" s="10"/>
      <c r="GH471" s="10"/>
      <c r="GI471" s="10"/>
      <c r="GJ471" s="10"/>
      <c r="GK471" s="10"/>
      <c r="GL471" s="10"/>
      <c r="GM471" s="10"/>
      <c r="GN471" s="10"/>
      <c r="GO471" s="10"/>
      <c r="GP471" s="9"/>
      <c r="GQ471" s="10"/>
      <c r="GR471" s="10"/>
      <c r="GS471" s="10"/>
      <c r="GT471" s="10"/>
      <c r="GU471" s="10"/>
      <c r="GV471" s="10"/>
      <c r="GW471" s="10"/>
      <c r="GX471" s="10"/>
      <c r="GY471" s="10"/>
      <c r="GZ471" s="10"/>
      <c r="HA471" s="9"/>
      <c r="HB471" s="10"/>
      <c r="HC471" s="10"/>
      <c r="HD471" s="10"/>
      <c r="HE471" s="10"/>
      <c r="HF471" s="10"/>
      <c r="HG471" s="10"/>
      <c r="HH471" s="10"/>
      <c r="HI471" s="9"/>
      <c r="HJ471" s="10"/>
      <c r="HK471" s="10"/>
      <c r="HL471" s="10"/>
      <c r="HM471" s="10"/>
      <c r="HN471" s="10"/>
      <c r="HO471" s="10"/>
      <c r="HP471" s="10"/>
      <c r="HQ471" s="9"/>
      <c r="HR471" s="10"/>
      <c r="HS471" s="10"/>
      <c r="HT471" s="10"/>
      <c r="HU471" s="10"/>
      <c r="HV471" s="10"/>
      <c r="HW471" s="10"/>
      <c r="HX471" s="10"/>
      <c r="HY471" s="9"/>
      <c r="HZ471" s="4"/>
      <c r="IA471" s="4"/>
      <c r="IB471" s="10"/>
      <c r="IC471" s="10"/>
      <c r="ID471" s="10"/>
      <c r="IE471" s="10"/>
      <c r="IF471" s="4"/>
      <c r="IG471" s="4"/>
      <c r="IH471" s="14">
        <f ca="1">SUM(HZ471-EB471-FX471-IF471)</f>
        <v>-4830.5962</v>
      </c>
      <c r="II471" s="14"/>
      <c r="IJ471" s="14"/>
      <c r="IK471" s="9">
        <v>45278</v>
      </c>
      <c r="IL471" s="9"/>
      <c r="IM471" s="9"/>
      <c r="IN471" s="9"/>
      <c r="IO471" s="9"/>
      <c r="IP471" s="27" t="s">
        <v>5913</v>
      </c>
    </row>
    <row r="472" spans="1:263" ht="15" customHeight="1">
      <c r="A472" s="19">
        <v>102023093</v>
      </c>
      <c r="B472" s="18" t="s">
        <v>4305</v>
      </c>
      <c r="D472" s="1"/>
      <c r="E472" s="3"/>
      <c r="F472" s="3"/>
      <c r="J472" s="18" t="s">
        <v>554</v>
      </c>
      <c r="K472" s="18" t="s">
        <v>4337</v>
      </c>
      <c r="L472" s="130" t="s">
        <v>848</v>
      </c>
      <c r="M472" s="130" t="s">
        <v>256</v>
      </c>
      <c r="N472" s="130"/>
      <c r="O472" s="288"/>
      <c r="P472" s="130" t="s">
        <v>4337</v>
      </c>
      <c r="Q472" s="130" t="s">
        <v>1329</v>
      </c>
      <c r="R472" s="130" t="s">
        <v>326</v>
      </c>
      <c r="S472" s="130"/>
      <c r="AG472" s="43"/>
      <c r="AJ472" s="18" t="s">
        <v>328</v>
      </c>
      <c r="AL472" s="18" t="s">
        <v>349</v>
      </c>
      <c r="AM472"/>
      <c r="AN472"/>
      <c r="AO472" s="18" t="s">
        <v>4338</v>
      </c>
      <c r="AP472" s="3" t="s">
        <v>258</v>
      </c>
      <c r="AQ472" s="18" t="s">
        <v>290</v>
      </c>
      <c r="AR472" s="18" t="s">
        <v>260</v>
      </c>
      <c r="AX472" s="1"/>
      <c r="AY472" s="1"/>
      <c r="AZ472" s="1"/>
      <c r="BA472" s="1"/>
      <c r="BB472" s="1"/>
      <c r="BC472" s="2"/>
      <c r="BD472" s="116"/>
      <c r="BE472" s="115"/>
      <c r="BF472" s="2"/>
      <c r="BG472" s="2"/>
      <c r="BH472" s="2"/>
      <c r="BI472" s="2"/>
      <c r="BJ472" s="2"/>
      <c r="BK472" s="2"/>
      <c r="BL472" s="20">
        <f ca="1">SUM(DP472)+220</f>
        <v>918.2192</v>
      </c>
      <c r="BM472" s="22">
        <f ca="1">PMT(10%/12,12,BL472,0,0)</f>
        <v>-80.726055639629621</v>
      </c>
      <c r="BN472" s="22">
        <f ca="1">SUM(BM472*-1)</f>
        <v>80.726055639629621</v>
      </c>
      <c r="BO472" s="14">
        <f>SUM(DX472*0.0052)/12</f>
        <v>25.176666666666666</v>
      </c>
      <c r="BP472" s="22">
        <f ca="1">SUM(BN472+BO472)</f>
        <v>105.90272230629628</v>
      </c>
      <c r="BQ472" s="14"/>
      <c r="BR472" s="14">
        <f>SUM(BQ472*0.1)</f>
        <v>0</v>
      </c>
      <c r="BS472" s="14">
        <f ca="1">SUM(BT472*BU472)</f>
        <v>0</v>
      </c>
      <c r="BT472" s="17">
        <f>SUM((BQ472+BR472)*0.00833333333333333)</f>
        <v>0</v>
      </c>
      <c r="BU472" s="23">
        <f ca="1">MONTH(TODAY())+49</f>
        <v>53</v>
      </c>
      <c r="BV472" s="14">
        <f ca="1">SUM(BQ472,BR472,BS472)</f>
        <v>0</v>
      </c>
      <c r="BW472" s="14"/>
      <c r="BX472" s="14">
        <f>SUM(BW472*0.1)</f>
        <v>0</v>
      </c>
      <c r="BY472" s="14">
        <f ca="1">SUM(BZ472*CA472)</f>
        <v>0</v>
      </c>
      <c r="BZ472" s="17">
        <f>SUM((BW472+BX472)*0.00833333333333333)</f>
        <v>0</v>
      </c>
      <c r="CA472" s="23">
        <f ca="1">MONTH(TODAY())+37</f>
        <v>41</v>
      </c>
      <c r="CB472" s="14">
        <f ca="1">SUM(BW472,BX472,BY472)</f>
        <v>0</v>
      </c>
      <c r="CC472" s="14">
        <v>0</v>
      </c>
      <c r="CD472" s="14">
        <f>SUM(CC472*0.1)</f>
        <v>0</v>
      </c>
      <c r="CE472" s="14">
        <f ca="1">SUM(CF472*CG472)</f>
        <v>0</v>
      </c>
      <c r="CF472" s="17">
        <f>SUM((CC472+CD472)*0.00833333333333333)</f>
        <v>0</v>
      </c>
      <c r="CG472" s="23">
        <f ca="1">MONTH(TODAY())+25</f>
        <v>29</v>
      </c>
      <c r="CH472" s="14">
        <f ca="1">SUM(CC472,CD472,CE472)</f>
        <v>0</v>
      </c>
      <c r="CI472" s="14">
        <f>SUM(DU472*0.0052)</f>
        <v>279.76</v>
      </c>
      <c r="CJ472" s="14">
        <f>SUM(CI472*0.1)</f>
        <v>27.975999999999999</v>
      </c>
      <c r="CK472" s="14">
        <f ca="1">SUM(CL472*CM472)</f>
        <v>43.595933333333313</v>
      </c>
      <c r="CL472" s="17">
        <f>SUM((CI472+CJ472)*0.00833333333333333)</f>
        <v>2.5644666666666653</v>
      </c>
      <c r="CM472" s="23">
        <f ca="1">MONTH(TODAY())+13</f>
        <v>17</v>
      </c>
      <c r="CN472" s="14">
        <f ca="1">SUM(CI472,CJ472,CK472)</f>
        <v>351.33193333333332</v>
      </c>
      <c r="CO472" s="14">
        <f>SUM(DU472*0.0052)/2</f>
        <v>139.88</v>
      </c>
      <c r="CP472" s="14">
        <f>SUM(CO472*0.1)</f>
        <v>13.988</v>
      </c>
      <c r="CQ472" s="14">
        <f ca="1">SUM(CR472*CS472)</f>
        <v>11.540099999999994</v>
      </c>
      <c r="CR472" s="17">
        <f>SUM((CO472+CP472)*0.00833333333333333)</f>
        <v>1.2822333333333327</v>
      </c>
      <c r="CS472" s="23">
        <f ca="1">MONTH(TODAY())+5</f>
        <v>9</v>
      </c>
      <c r="CT472" s="23">
        <f ca="1">SUM(CO472,CP472,CQ472)</f>
        <v>165.40809999999999</v>
      </c>
      <c r="CU472" s="14">
        <f>SUM(DU472*0.0052)/2</f>
        <v>139.88</v>
      </c>
      <c r="CV472" s="14">
        <f>SUM(CU472*0.1)</f>
        <v>13.988</v>
      </c>
      <c r="CW472" s="14">
        <f ca="1">SUM(CX472*CY472)</f>
        <v>6.4111666666666629</v>
      </c>
      <c r="CX472" s="17">
        <f>SUM((CU472+CV472)*0.00833333333333333)</f>
        <v>1.2822333333333327</v>
      </c>
      <c r="CY472" s="23">
        <f ca="1">MONTH(TODAY())+1</f>
        <v>5</v>
      </c>
      <c r="CZ472" s="23">
        <f ca="1">SUM(CU472,CV472,CW472)</f>
        <v>160.27916666666667</v>
      </c>
      <c r="DA472" s="14">
        <f>SUM( BQ472, BW472, CC472, CI472, CO472,CU472)</f>
        <v>559.52</v>
      </c>
      <c r="DB472" s="14">
        <f>SUM(BR472,BX472,CD472,CJ472, CP472,CV472)</f>
        <v>55.951999999999998</v>
      </c>
      <c r="DC472" s="14">
        <f ca="1">SUM(BS472,BY472,CE472,CK472, CQ472,CW472)</f>
        <v>61.547199999999975</v>
      </c>
      <c r="DD472" s="25">
        <f ca="1">SUM(DA472:DC472)</f>
        <v>677.01919999999996</v>
      </c>
      <c r="DE472" s="47">
        <f ca="1">SUM(DD472/DU472)</f>
        <v>1.2584E-2</v>
      </c>
      <c r="DF472" s="14">
        <v>20</v>
      </c>
      <c r="DG472" s="32">
        <f>COUNTIF(DL472, "*")+COUNTIF(AO472, "*")+COUNTIF(AJ472, "*")+COUNTIF(AA472, "*")+COUNTIF(EM472, "*")+COUNTIF(ES472, "*")+COUNTIF(EY472, "*")+COUNTIF(FC472, "*")+COUNTIF(FJ472, "*")+COUNTIF(AT472, "*")+COUNTIF(FS472, "*")+COUNTIF(GD472, "*")+COUNTIF(GO472, "*")+COUNTIF(GW472, "*")+COUNTIF(HE472, "*")+COUNTIF(HM472, "*")+COUNTIF(HU472, "*")</f>
        <v>2</v>
      </c>
      <c r="DH472" s="14">
        <f>DG472*0.6</f>
        <v>1.2</v>
      </c>
      <c r="DI472" s="4"/>
      <c r="DJ472" s="4"/>
      <c r="DK472" s="4"/>
      <c r="DL472" s="4"/>
      <c r="DN472" s="4"/>
      <c r="DO472" s="14">
        <f>SUM(DJ472:DN472)</f>
        <v>0</v>
      </c>
      <c r="DP472" s="14">
        <f ca="1">SUM(DD472,DF472,DO472, DI472, DH472,FP472)</f>
        <v>698.2192</v>
      </c>
      <c r="DQ472" s="24" t="s">
        <v>3879</v>
      </c>
      <c r="DR472" s="130">
        <v>21.52</v>
      </c>
      <c r="DS472" s="14">
        <v>53800</v>
      </c>
      <c r="DT472" s="14">
        <v>0</v>
      </c>
      <c r="DU472" s="14">
        <v>53800</v>
      </c>
      <c r="DV472" s="14">
        <v>58100</v>
      </c>
      <c r="DW472" s="14">
        <v>0</v>
      </c>
      <c r="DX472" s="14">
        <f>SUM(DV472+DW472)</f>
        <v>58100</v>
      </c>
      <c r="IA472" s="9"/>
      <c r="IL472" s="14">
        <f ca="1">SUM(IB472-DP472-FP472-IJ472)</f>
        <v>-698.2192</v>
      </c>
      <c r="IM472" s="9"/>
      <c r="IN472" s="9"/>
      <c r="IO472" s="9"/>
      <c r="IP472" s="9"/>
      <c r="IQ472" s="9"/>
    </row>
    <row r="473" spans="1:263" ht="15" customHeight="1">
      <c r="A473" s="19">
        <v>102021037</v>
      </c>
      <c r="B473" s="18" t="s">
        <v>2092</v>
      </c>
      <c r="C473" s="18"/>
      <c r="D473" s="13"/>
      <c r="E473" s="24" t="s">
        <v>2504</v>
      </c>
      <c r="F473" s="24">
        <v>210003621</v>
      </c>
      <c r="G473" s="18">
        <v>210004516</v>
      </c>
      <c r="H473" s="18"/>
      <c r="I473" s="18"/>
      <c r="J473" s="18" t="s">
        <v>253</v>
      </c>
      <c r="K473" s="18" t="s">
        <v>2361</v>
      </c>
      <c r="L473" s="18" t="s">
        <v>2362</v>
      </c>
      <c r="M473" s="18"/>
      <c r="N473" s="18"/>
      <c r="O473" s="18"/>
      <c r="P473" s="18"/>
      <c r="Q473" s="18"/>
      <c r="R473" s="18"/>
      <c r="S473" s="18"/>
      <c r="T473" s="18"/>
      <c r="U473" s="18"/>
      <c r="V473" s="18"/>
      <c r="W473" s="18"/>
      <c r="X473" s="18"/>
      <c r="Y473" s="18"/>
      <c r="Z473" s="18"/>
      <c r="AA473" s="18"/>
      <c r="AB473" s="18"/>
      <c r="AC473" s="18"/>
      <c r="AD473" s="18"/>
      <c r="AE473" s="18"/>
      <c r="AF473" s="18"/>
      <c r="AG473" s="26"/>
      <c r="AH473" s="18"/>
      <c r="AI473" s="18"/>
      <c r="AJ473" s="18" t="s">
        <v>328</v>
      </c>
      <c r="AK473" s="18"/>
      <c r="AL473" s="24" t="s">
        <v>349</v>
      </c>
      <c r="AM473" s="18"/>
      <c r="AN473" s="18"/>
      <c r="AO473" s="24" t="s">
        <v>2538</v>
      </c>
      <c r="AP473" s="24" t="s">
        <v>258</v>
      </c>
      <c r="AQ473" s="18" t="s">
        <v>2539</v>
      </c>
      <c r="AR473" s="18"/>
      <c r="AS473" s="13"/>
      <c r="AT473" s="13"/>
      <c r="AU473" s="13" t="s">
        <v>258</v>
      </c>
      <c r="AV473" s="13" t="s">
        <v>258</v>
      </c>
      <c r="AW473" s="13" t="s">
        <v>258</v>
      </c>
      <c r="AX473" s="48">
        <v>44328</v>
      </c>
      <c r="AY473" s="114">
        <v>44262</v>
      </c>
      <c r="AZ473" s="114">
        <v>44251</v>
      </c>
      <c r="BA473" s="48">
        <v>44358</v>
      </c>
      <c r="BB473" s="19" t="s">
        <v>318</v>
      </c>
      <c r="BC473" s="48">
        <v>44344</v>
      </c>
      <c r="BD473" s="48">
        <v>44351</v>
      </c>
      <c r="BE473" s="70">
        <v>44813</v>
      </c>
      <c r="BF473" s="19" t="s">
        <v>319</v>
      </c>
      <c r="BG473" s="20">
        <f ca="1">SUM(DK473)+214.5</f>
        <v>2860.4017583333334</v>
      </c>
      <c r="BH473" s="22">
        <f ca="1">PMT(10%/12,12,BG473,0,0)</f>
        <v>-251.47475841815449</v>
      </c>
      <c r="BI473" s="22">
        <f ca="1">SUM(BH473*-1)</f>
        <v>251.47475841815449</v>
      </c>
      <c r="BJ473" s="14">
        <f>SUM(DU473*0.0052)/12</f>
        <v>8.58</v>
      </c>
      <c r="BK473" s="22">
        <f ca="1">SUM(BI473+BJ473)</f>
        <v>260.05475841815451</v>
      </c>
      <c r="BL473" s="14"/>
      <c r="BM473" s="14">
        <f>SUM(BL473*0.1)</f>
        <v>0</v>
      </c>
      <c r="BN473" s="14">
        <f ca="1">SUM(BO473*BP473)</f>
        <v>0</v>
      </c>
      <c r="BO473" s="17">
        <f>SUM((BL473+BM473)*0.00833333333333333)</f>
        <v>0</v>
      </c>
      <c r="BP473" s="23">
        <f ca="1">MONTH(TODAY())+49</f>
        <v>53</v>
      </c>
      <c r="BQ473" s="14">
        <f ca="1">SUM(BL473,BM473,BN473)</f>
        <v>0</v>
      </c>
      <c r="BR473" s="14">
        <v>10.39</v>
      </c>
      <c r="BS473" s="14">
        <f>SUM(BR473*0.1)</f>
        <v>1.0390000000000001</v>
      </c>
      <c r="BT473" s="14">
        <f ca="1">SUM(BU473*BV473)</f>
        <v>3.9049083333333319</v>
      </c>
      <c r="BU473" s="17">
        <f>SUM((BR473+BS473)*0.00833333333333333)</f>
        <v>9.5241666666666627E-2</v>
      </c>
      <c r="BV473" s="23">
        <f ca="1">MONTH(TODAY())+37</f>
        <v>41</v>
      </c>
      <c r="BW473" s="14">
        <f ca="1">SUM(BR473,BS473,BT473)</f>
        <v>15.333908333333332</v>
      </c>
      <c r="BX473" s="14">
        <f>SUM(DU473*0.0052)</f>
        <v>102.96</v>
      </c>
      <c r="BY473" s="14">
        <f>SUM(BX473*0.1)</f>
        <v>10.295999999999999</v>
      </c>
      <c r="BZ473" s="14">
        <f ca="1">SUM(CA473*CB473)</f>
        <v>27.37019999999999</v>
      </c>
      <c r="CA473" s="17">
        <f>SUM((BX473+BY473)*0.00833333333333333)</f>
        <v>0.94379999999999964</v>
      </c>
      <c r="CB473" s="23">
        <f ca="1">MONTH(TODAY())+25</f>
        <v>29</v>
      </c>
      <c r="CC473" s="14">
        <f ca="1">SUM(BX473,BY473,BZ473)</f>
        <v>140.62619999999998</v>
      </c>
      <c r="CD473" s="14">
        <f>SUM(DU473*0.0052)</f>
        <v>102.96</v>
      </c>
      <c r="CE473" s="14">
        <f>SUM(CD473*0.1)</f>
        <v>10.295999999999999</v>
      </c>
      <c r="CF473" s="14">
        <f ca="1">SUM(CG473*CH473)</f>
        <v>16.044599999999996</v>
      </c>
      <c r="CG473" s="17">
        <f>SUM((CD473+CE473)*0.00833333333333333)</f>
        <v>0.94379999999999964</v>
      </c>
      <c r="CH473" s="23">
        <f ca="1">MONTH(TODAY())+13</f>
        <v>17</v>
      </c>
      <c r="CI473" s="14">
        <f ca="1">SUM(CD473,CE473,CF473)</f>
        <v>129.3006</v>
      </c>
      <c r="CJ473" s="14">
        <f>SUM(DU473*0.0052)-8.58</f>
        <v>94.38</v>
      </c>
      <c r="CK473" s="14">
        <f>SUM(CJ473*0.1)</f>
        <v>9.4380000000000006</v>
      </c>
      <c r="CL473" s="14">
        <f ca="1">SUM(CM473*CN473)</f>
        <v>4.3257499999999984</v>
      </c>
      <c r="CM473" s="17">
        <f>SUM((CJ473+CK473)*0.00833333333333333)</f>
        <v>0.86514999999999964</v>
      </c>
      <c r="CN473" s="23">
        <f ca="1">MONTH(TODAY())+1</f>
        <v>5</v>
      </c>
      <c r="CO473" s="14">
        <f ca="1">SUM(CJ473,CK473,CL473)</f>
        <v>108.14375</v>
      </c>
      <c r="CP473" s="14">
        <f>SUM(DU473*0.0052)/2</f>
        <v>51.48</v>
      </c>
      <c r="CQ473" s="14">
        <f>SUM(CP473*0.1)</f>
        <v>5.1479999999999997</v>
      </c>
      <c r="CR473" s="14">
        <f ca="1">SUM(CS473*CT473)</f>
        <v>-1.4156999999999995</v>
      </c>
      <c r="CS473" s="17">
        <f>SUM((CP473+CQ473)*0.00833333333333333)</f>
        <v>0.47189999999999982</v>
      </c>
      <c r="CT473" s="23">
        <f ca="1">MONTH(TODAY())-7</f>
        <v>-3</v>
      </c>
      <c r="CU473" s="23">
        <f ca="1">SUM(CP473,CQ473,CR473)</f>
        <v>55.212299999999999</v>
      </c>
      <c r="CV473" s="14">
        <f>SUM(DU473*0.0052)/2</f>
        <v>51.48</v>
      </c>
      <c r="CW473" s="14">
        <v>0</v>
      </c>
      <c r="CX473" s="14">
        <v>0</v>
      </c>
      <c r="CY473" s="17">
        <f>SUM((CV473+CW473)*0.00833333333333333)</f>
        <v>0.42899999999999977</v>
      </c>
      <c r="CZ473" s="23">
        <f ca="1">MONTH(TODAY())-7</f>
        <v>-3</v>
      </c>
      <c r="DA473" s="23">
        <f>SUM(CV473,CW473,CX473)</f>
        <v>51.48</v>
      </c>
      <c r="DB473" s="14">
        <f>SUM(BL473, BR473, BX473, CD473, CJ473, CP473,CV473)</f>
        <v>413.65000000000003</v>
      </c>
      <c r="DC473" s="14">
        <f>SUM(BM473, BS473,BY473,CE473,CK473, CQ473,CW473)</f>
        <v>36.216999999999999</v>
      </c>
      <c r="DD473" s="14">
        <f ca="1">SUM(BN473, BT473,BZ473,CF473,CL473, CR473,CX473)</f>
        <v>50.229758333333315</v>
      </c>
      <c r="DE473" s="14">
        <f ca="1">SUM(DB473:DD473)</f>
        <v>500.09675833333336</v>
      </c>
      <c r="DF473" s="47">
        <f ca="1">SUM(DE473/DU473)</f>
        <v>2.5257412037037037E-2</v>
      </c>
      <c r="DG473" s="14">
        <f>39+97.5+19.5+39+19.5+97.5+58.5+39+156+97.5+58+58.5+39+39+39+97.5+97.5+39+58.5</f>
        <v>1189</v>
      </c>
      <c r="DH473" s="32">
        <f>COUNTIF(DN473, "*")+COUNTIF(AO473, "*")+COUNTIF(AJ473, "*")+COUNTIF(AA473, "*")+COUNTIF(EK473, "*")+COUNTIF(EQ473, "*")+COUNTIF(EW473, "*")+COUNTIF(FA473, "*")+COUNTIF(FH473, "*")+COUNTIF(FO473, "*")+COUNTIF(FV473, "*")+COUNTIF(GG473, "*")+COUNTIF(GR473, "*")+COUNTIF(GZ473, "*")+COUNTIF(HH473, "*")+COUNTIF(HP473, "*")+COUNTIF(HX473, "*")</f>
        <v>2</v>
      </c>
      <c r="DI473" s="14">
        <f>1+29.11+28+6.37</f>
        <v>64.48</v>
      </c>
      <c r="DJ473" s="14">
        <v>150</v>
      </c>
      <c r="DK473" s="14">
        <f ca="1">SUM(DE473,DG473,DQ473, DJ473, DI473,FS473)</f>
        <v>2645.9017583333334</v>
      </c>
      <c r="DL473" s="14">
        <f>47.41+24.54</f>
        <v>71.949999999999989</v>
      </c>
      <c r="DM473" s="14">
        <f>93.75+85</f>
        <v>178.75</v>
      </c>
      <c r="DN473" s="14">
        <f>88.75/2</f>
        <v>44.375</v>
      </c>
      <c r="DO473" s="23">
        <v>97.25</v>
      </c>
      <c r="DP473" s="25">
        <v>350</v>
      </c>
      <c r="DQ473" s="14">
        <f>SUM(DL473:DP473)</f>
        <v>742.32500000000005</v>
      </c>
      <c r="DR473" s="24" t="s">
        <v>2769</v>
      </c>
      <c r="DS473" s="25">
        <v>19800</v>
      </c>
      <c r="DT473" s="25">
        <v>0</v>
      </c>
      <c r="DU473" s="25">
        <f>SUM(DS473+DT473)</f>
        <v>19800</v>
      </c>
      <c r="DV473" s="36">
        <v>10.75</v>
      </c>
      <c r="DW473" s="18" t="s">
        <v>2363</v>
      </c>
      <c r="DX473" s="18" t="s">
        <v>2506</v>
      </c>
      <c r="DY473" s="18" t="s">
        <v>2364</v>
      </c>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9"/>
      <c r="IE473" s="18"/>
      <c r="IF473" s="18"/>
      <c r="IG473" s="18"/>
      <c r="IH473" s="18"/>
      <c r="II473" s="18"/>
      <c r="IJ473" s="18"/>
      <c r="IK473" s="18"/>
      <c r="IL473" s="18"/>
      <c r="IM473" s="18"/>
      <c r="IN473" s="18"/>
      <c r="IO473" s="14"/>
      <c r="IP473" s="18"/>
      <c r="IQ473" s="18"/>
      <c r="IR473" s="18"/>
      <c r="IS473" s="18"/>
      <c r="IT473" s="18"/>
      <c r="IZ473" s="18"/>
      <c r="JA473" s="18"/>
      <c r="JB473" s="18"/>
      <c r="JC473" s="18"/>
    </row>
    <row r="474" spans="1:263" ht="15" customHeight="1">
      <c r="A474" s="19">
        <v>102021038</v>
      </c>
      <c r="B474" s="18" t="s">
        <v>2093</v>
      </c>
      <c r="C474" s="18"/>
      <c r="D474" s="13"/>
      <c r="E474" s="24" t="s">
        <v>2505</v>
      </c>
      <c r="F474" s="18">
        <v>210003620</v>
      </c>
      <c r="G474" s="3">
        <v>220006527</v>
      </c>
      <c r="H474">
        <v>230000569</v>
      </c>
      <c r="I474" s="27">
        <v>45007</v>
      </c>
      <c r="J474" s="18" t="s">
        <v>253</v>
      </c>
      <c r="K474" s="18" t="s">
        <v>2361</v>
      </c>
      <c r="L474" s="18" t="s">
        <v>2362</v>
      </c>
      <c r="M474" s="18"/>
      <c r="N474" s="18"/>
      <c r="O474" s="24"/>
      <c r="P474" s="18"/>
      <c r="Q474" s="18"/>
      <c r="R474" s="18"/>
      <c r="S474" s="18"/>
      <c r="T474" s="18"/>
      <c r="U474" s="18"/>
      <c r="V474" s="18"/>
      <c r="W474" s="18"/>
      <c r="X474" s="18"/>
      <c r="Y474" s="18"/>
      <c r="Z474" s="18"/>
      <c r="AA474" s="18"/>
      <c r="AB474" s="18"/>
      <c r="AC474" s="18"/>
      <c r="AD474" s="18" t="s">
        <v>4985</v>
      </c>
      <c r="AE474" s="18" t="s">
        <v>253</v>
      </c>
      <c r="AF474" s="18" t="s">
        <v>4986</v>
      </c>
      <c r="AG474" s="26"/>
      <c r="AH474" s="31" t="s">
        <v>3935</v>
      </c>
      <c r="AI474" s="18"/>
      <c r="AJ474" s="18" t="s">
        <v>328</v>
      </c>
      <c r="AK474" s="18"/>
      <c r="AL474" s="18" t="s">
        <v>349</v>
      </c>
      <c r="AM474" s="18"/>
      <c r="AN474" s="18"/>
      <c r="AO474" s="18" t="s">
        <v>2538</v>
      </c>
      <c r="AP474" s="24" t="s">
        <v>258</v>
      </c>
      <c r="AQ474" s="18" t="s">
        <v>2539</v>
      </c>
      <c r="AR474" s="18"/>
      <c r="AS474" s="18"/>
      <c r="AT474" s="18"/>
      <c r="AU474" s="18"/>
      <c r="AV474" s="18"/>
      <c r="AW474" s="18"/>
      <c r="AX474" s="13"/>
      <c r="AY474" s="13"/>
      <c r="AZ474" s="13" t="s">
        <v>258</v>
      </c>
      <c r="BA474" s="13" t="s">
        <v>258</v>
      </c>
      <c r="BB474" s="13" t="s">
        <v>258</v>
      </c>
      <c r="BC474" s="48">
        <v>44328</v>
      </c>
      <c r="BD474" s="114">
        <v>44262</v>
      </c>
      <c r="BE474" s="114">
        <v>44251</v>
      </c>
      <c r="BF474" s="48">
        <v>44358</v>
      </c>
      <c r="BG474" s="19" t="s">
        <v>318</v>
      </c>
      <c r="BH474" s="48">
        <v>44344</v>
      </c>
      <c r="BI474" s="48">
        <v>44351</v>
      </c>
      <c r="BJ474" s="21">
        <v>45163</v>
      </c>
      <c r="BK474" s="2" t="s">
        <v>319</v>
      </c>
      <c r="BL474" s="20">
        <f ca="1">SUM(EB474)+220</f>
        <v>4112.0700166666666</v>
      </c>
      <c r="BM474" s="22">
        <f ca="1">PMT(10%/12,12,BL474,0,0)</f>
        <v>-361.51628386717033</v>
      </c>
      <c r="BN474" s="22">
        <f ca="1">SUM(BM474*-1)</f>
        <v>361.51628386717033</v>
      </c>
      <c r="BO474" s="14">
        <f>SUM(EJ474*0.0052)/12</f>
        <v>5.5466666666666669</v>
      </c>
      <c r="BP474" s="22">
        <f ca="1">SUM(BN474+BO474)</f>
        <v>367.06295053383701</v>
      </c>
      <c r="BQ474" s="14">
        <v>0</v>
      </c>
      <c r="BR474" s="14">
        <f>SUM(BQ474*0.1)</f>
        <v>0</v>
      </c>
      <c r="BS474" s="14">
        <f ca="1">SUM(BT474*BU474)</f>
        <v>0</v>
      </c>
      <c r="BT474" s="17">
        <f>SUM((BQ474+BR474)*0.00833333333333333)</f>
        <v>0</v>
      </c>
      <c r="BU474" s="23">
        <f ca="1">MONTH(TODAY())+49</f>
        <v>53</v>
      </c>
      <c r="BV474" s="14">
        <f ca="1">SUM(BQ474,BR474,BS474)</f>
        <v>0</v>
      </c>
      <c r="BW474" s="14">
        <v>0</v>
      </c>
      <c r="BX474" s="14">
        <f>SUM(BW474*0.1)</f>
        <v>0</v>
      </c>
      <c r="BY474" s="14">
        <f ca="1">SUM(BZ474*CA474)</f>
        <v>0</v>
      </c>
      <c r="BZ474" s="17">
        <f>SUM((BW474+BX474)*0.00833333333333333)</f>
        <v>0</v>
      </c>
      <c r="CA474" s="23">
        <f ca="1">MONTH(TODAY())+37</f>
        <v>41</v>
      </c>
      <c r="CB474" s="14">
        <f ca="1">SUM(BW474,BX474,BY474)</f>
        <v>0</v>
      </c>
      <c r="CC474" s="14">
        <v>0</v>
      </c>
      <c r="CD474" s="14">
        <f>SUM(CC474*0.1)</f>
        <v>0</v>
      </c>
      <c r="CE474" s="14">
        <f ca="1">SUM(CF474*CG474)</f>
        <v>0</v>
      </c>
      <c r="CF474" s="17">
        <f>SUM((CC474+CD474)*0.00833333333333333)</f>
        <v>0</v>
      </c>
      <c r="CG474" s="23">
        <f ca="1">MONTH(TODAY())+25</f>
        <v>29</v>
      </c>
      <c r="CH474" s="254">
        <v>0</v>
      </c>
      <c r="CI474" s="14">
        <v>0</v>
      </c>
      <c r="CJ474" s="14">
        <f>SUM(CI474*0.1)</f>
        <v>0</v>
      </c>
      <c r="CK474" s="14">
        <f ca="1">SUM(CL474*CM474)</f>
        <v>0</v>
      </c>
      <c r="CL474" s="17">
        <f>SUM((CI474+CJ474)*0.00833333333333333)</f>
        <v>0</v>
      </c>
      <c r="CM474" s="23">
        <f ca="1">MONTH(TODAY())+13</f>
        <v>17</v>
      </c>
      <c r="CN474" s="14">
        <f ca="1">SUM(CI474,CJ474,CK474)</f>
        <v>0</v>
      </c>
      <c r="CO474" s="14">
        <v>8.26</v>
      </c>
      <c r="CP474" s="14">
        <f>SUM(CO474*0.1)</f>
        <v>0.82600000000000007</v>
      </c>
      <c r="CQ474" s="14">
        <f>SUM(CR474*CS474)</f>
        <v>1.1357499999999996</v>
      </c>
      <c r="CR474" s="17">
        <f>SUM((CO474+CP474)*0.00833333333333333)</f>
        <v>7.571666666666664E-2</v>
      </c>
      <c r="CS474" s="23">
        <v>15</v>
      </c>
      <c r="CT474" s="23">
        <f>SUM(CO474,CP474,CQ474)</f>
        <v>10.22175</v>
      </c>
      <c r="CU474" s="14">
        <f>SUM(EG474*0.0052)/2</f>
        <v>29.119999999999997</v>
      </c>
      <c r="CV474" s="14">
        <f>SUM(CU474*0.1)</f>
        <v>2.9119999999999999</v>
      </c>
      <c r="CW474" s="14">
        <f>SUM(CX474*CY474)</f>
        <v>2.9362666666666652</v>
      </c>
      <c r="CX474" s="17">
        <f>SUM((CU474+CV474)*0.00833333333333333)</f>
        <v>0.26693333333333319</v>
      </c>
      <c r="CY474" s="23">
        <v>11</v>
      </c>
      <c r="CZ474" s="23">
        <f>SUM(CU474,CV474,CW474)</f>
        <v>34.968266666666665</v>
      </c>
      <c r="DA474" s="14">
        <f>SUM(EJ474*0.0045)/2</f>
        <v>28.799999999999997</v>
      </c>
      <c r="DB474" s="14">
        <f>SUM(DA474*0.1)</f>
        <v>2.88</v>
      </c>
      <c r="DC474" s="14">
        <f>SUM(DD474*DE474)</f>
        <v>1.3199999999999992</v>
      </c>
      <c r="DD474" s="17">
        <f>SUM((DA474+DB474)*0.00833333333333333)</f>
        <v>0.26399999999999985</v>
      </c>
      <c r="DE474" s="23">
        <v>5</v>
      </c>
      <c r="DF474" s="23">
        <f>SUM(DA474,DB474,DC474)</f>
        <v>32.999999999999993</v>
      </c>
      <c r="DG474" s="14">
        <f>SUM(EJ474*0.0045)/2</f>
        <v>28.799999999999997</v>
      </c>
      <c r="DH474" s="14">
        <v>0</v>
      </c>
      <c r="DI474" s="14">
        <v>0</v>
      </c>
      <c r="DJ474" s="17">
        <f>SUM((DG474+DH474)*0.00833333333333333)</f>
        <v>0.23999999999999988</v>
      </c>
      <c r="DK474" s="23">
        <f ca="1">MONTH(TODAY())+1</f>
        <v>5</v>
      </c>
      <c r="DL474" s="14">
        <f>SUM(DG474,DH474,DI474)</f>
        <v>28.799999999999997</v>
      </c>
      <c r="DM474" s="14">
        <f>SUM( BQ474, BW474, CC474, CI474, CO474,CU474,DA474,DG474)</f>
        <v>94.97999999999999</v>
      </c>
      <c r="DN474" s="14">
        <f>SUM(BR474,BX474,CD474,CJ474, CP474,CV474,DB474,DH474)</f>
        <v>6.6180000000000003</v>
      </c>
      <c r="DO474" s="14">
        <f ca="1">SUM(BS474,BY474,CE474,CK474, CQ474,CW474,DC474,DI474)</f>
        <v>5.392016666666664</v>
      </c>
      <c r="DP474" s="25">
        <f ca="1">SUM(DM474:DO474)</f>
        <v>106.99001666666665</v>
      </c>
      <c r="DQ474" s="47">
        <f ca="1">SUM(DP474/EG474)</f>
        <v>9.5526800595238087E-3</v>
      </c>
      <c r="DR474" s="14">
        <f>39+97.5+19.5+39+19.5+97.5+58.5+39+156+97.5+58+58.5+39+39+39+97.5+97.5+39+58.5+58.5+60+60+80+200+40+60+100+40+40+40+40</f>
        <v>2007.5</v>
      </c>
      <c r="DS474" s="32">
        <f>COUNTIF(DX474, "*")+COUNTIF(AO474, "*")+COUNTIF(AJ474, "*")+COUNTIF(AA474, "*")+COUNTIF(EY474, "*")+COUNTIF(FE474, "*")+COUNTIF(FK474, "*")+COUNTIF(FO474, "*")+COUNTIF(FV474, "*")+COUNTIF(AT474, "*")+COUNTIF(GE474, "*")+COUNTIF(GP474, "*")+COUNTIF(HA474, "*")+COUNTIF(HI474, "*")+COUNTIF(HQ474, "*")+COUNTIF(HY474, "*")</f>
        <v>2</v>
      </c>
      <c r="DT474" s="14">
        <f>1+29.11+28+6.37+7.45+7.45</f>
        <v>79.38000000000001</v>
      </c>
      <c r="DU474" s="14">
        <f>150+150</f>
        <v>300</v>
      </c>
      <c r="DV474" s="14">
        <f>47.41+24.54</f>
        <v>71.949999999999989</v>
      </c>
      <c r="DW474" s="14">
        <f>93.75+85+330</f>
        <v>508.75</v>
      </c>
      <c r="DX474" s="14">
        <v>157.5</v>
      </c>
      <c r="DY474" s="23"/>
      <c r="DZ474" s="25">
        <v>660</v>
      </c>
      <c r="EA474" s="14">
        <f>SUM(DV474:DZ474)</f>
        <v>1398.2</v>
      </c>
      <c r="EB474" s="14">
        <f ca="1">SUM(DP474,DR474,EA474, DU474, DT474,GB474)</f>
        <v>3892.0700166666666</v>
      </c>
      <c r="EC474" s="24" t="s">
        <v>2769</v>
      </c>
      <c r="ED474" s="23">
        <v>5</v>
      </c>
      <c r="EE474" s="14">
        <v>11200</v>
      </c>
      <c r="EF474" s="14">
        <v>0</v>
      </c>
      <c r="EG474" s="14">
        <f>SUM(EE474+EF474)</f>
        <v>11200</v>
      </c>
      <c r="EH474" s="14">
        <v>12800</v>
      </c>
      <c r="EI474" s="14">
        <v>0</v>
      </c>
      <c r="EJ474" s="14">
        <f>SUM(EH474+EI474)</f>
        <v>12800</v>
      </c>
      <c r="EK474" s="18" t="s">
        <v>2363</v>
      </c>
      <c r="EL474" s="18" t="s">
        <v>2365</v>
      </c>
      <c r="EM474" s="18" t="s">
        <v>4608</v>
      </c>
      <c r="EN474" s="18" t="s">
        <v>4609</v>
      </c>
      <c r="EO474" s="18" t="s">
        <v>4610</v>
      </c>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4"/>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9"/>
      <c r="IF474" s="18"/>
      <c r="IG474" s="18"/>
      <c r="IH474" s="18"/>
      <c r="II474" s="18"/>
      <c r="IJ474" s="18"/>
      <c r="IK474" s="18"/>
      <c r="IL474" s="18"/>
      <c r="IM474" s="18"/>
      <c r="IN474" s="18"/>
      <c r="IO474" s="18"/>
      <c r="IP474" s="14">
        <f ca="1">SUM(IF474-EB474-GB474-IN474)</f>
        <v>-3892.0700166666666</v>
      </c>
      <c r="IQ474" s="27"/>
      <c r="IR474" s="27"/>
      <c r="IS474" s="27"/>
      <c r="IT474" s="27"/>
      <c r="IU474" s="27"/>
    </row>
    <row r="475" spans="1:263" ht="15" customHeight="1">
      <c r="A475" s="2">
        <v>102017091</v>
      </c>
      <c r="B475" t="s">
        <v>1038</v>
      </c>
      <c r="J475" t="s">
        <v>305</v>
      </c>
      <c r="K475" t="s">
        <v>1039</v>
      </c>
      <c r="L475" t="s">
        <v>309</v>
      </c>
      <c r="M475" t="s">
        <v>1040</v>
      </c>
      <c r="O475" s="1"/>
      <c r="P475" t="s">
        <v>1039</v>
      </c>
      <c r="Q475" t="s">
        <v>1041</v>
      </c>
      <c r="R475" t="s">
        <v>403</v>
      </c>
      <c r="T475" s="1"/>
      <c r="AF475" s="1"/>
      <c r="AK475" s="4"/>
      <c r="AL475" s="4"/>
      <c r="AM475" s="34"/>
      <c r="AN475" s="34"/>
      <c r="AQ475" s="24"/>
      <c r="AS475" s="4"/>
      <c r="AT475" s="5"/>
      <c r="AU475" s="13"/>
      <c r="AV475" s="1"/>
      <c r="AW475" s="1"/>
      <c r="AX475" s="1"/>
      <c r="AY475" s="1"/>
      <c r="AZ475" s="1"/>
      <c r="BA475" s="15"/>
      <c r="BB475" s="1"/>
      <c r="BC475" s="1"/>
      <c r="BD475" s="1"/>
      <c r="BE475" s="1"/>
      <c r="BF475" s="1"/>
      <c r="BG475" s="1"/>
      <c r="BH475" s="5"/>
      <c r="BI475" s="16"/>
      <c r="BJ475" s="16"/>
      <c r="BK475" s="4"/>
      <c r="BL475" s="4"/>
      <c r="BM475" s="4"/>
      <c r="BN475" s="6"/>
      <c r="BO475" s="23"/>
      <c r="BP475" s="4"/>
      <c r="BR475" s="4"/>
      <c r="BS475" s="4"/>
      <c r="BT475" s="6"/>
      <c r="BU475" s="7"/>
      <c r="BV475" s="4"/>
      <c r="BW475" s="4"/>
      <c r="BX475" s="4"/>
      <c r="BY475" s="4"/>
      <c r="BZ475" s="6"/>
      <c r="CA475" s="23"/>
      <c r="CB475" s="4"/>
      <c r="CC475" s="4"/>
      <c r="CD475" s="4"/>
      <c r="CE475" s="4"/>
      <c r="CF475" s="6"/>
      <c r="CG475" s="7"/>
      <c r="CH475" s="4"/>
      <c r="CI475" s="4"/>
      <c r="CJ475" s="4"/>
      <c r="CK475" s="4"/>
      <c r="CL475" s="6"/>
      <c r="CM475" s="23"/>
      <c r="CN475" s="4"/>
      <c r="CO475" s="4"/>
      <c r="CP475" s="4"/>
      <c r="CQ475" s="4"/>
      <c r="CR475" s="6"/>
      <c r="CS475" s="7"/>
      <c r="CT475" s="4"/>
      <c r="CU475" s="4"/>
      <c r="CV475" s="4"/>
      <c r="CW475" s="4"/>
      <c r="CX475" s="6"/>
      <c r="CY475" s="23"/>
      <c r="CZ475" s="4"/>
      <c r="DA475" s="4"/>
      <c r="DB475" s="4"/>
      <c r="DC475" s="4"/>
      <c r="DD475" s="6"/>
      <c r="DE475" s="7"/>
      <c r="DF475" s="4"/>
      <c r="DG475" s="4"/>
      <c r="DH475" s="4"/>
      <c r="DI475" s="14"/>
      <c r="DJ475" s="14"/>
      <c r="DK475" s="4"/>
      <c r="DL475" s="3"/>
      <c r="DM475" s="4"/>
      <c r="DN475" s="234"/>
      <c r="DO475" s="4"/>
      <c r="DP475" s="4"/>
      <c r="DQ475" s="4"/>
      <c r="DR475" s="4"/>
      <c r="DS475" s="4"/>
      <c r="DT475" s="4"/>
      <c r="DU475" s="4"/>
      <c r="DV475" s="8"/>
      <c r="DW475" s="4"/>
      <c r="DX475" s="8"/>
      <c r="DY475" s="4"/>
      <c r="DZ475" s="4"/>
      <c r="EA475" s="7"/>
      <c r="FJ475" s="9"/>
      <c r="FK475" s="10"/>
      <c r="FR475" s="10"/>
      <c r="FS475" s="9"/>
      <c r="FY475" s="4"/>
      <c r="GF475" s="9"/>
      <c r="IJ475" s="27"/>
      <c r="IK475" s="4"/>
      <c r="IP475" s="4"/>
      <c r="IZ475" s="240"/>
      <c r="JA475" s="240"/>
      <c r="JB475" s="240"/>
      <c r="JC475" s="240"/>
    </row>
    <row r="476" spans="1:263" ht="15" customHeight="1">
      <c r="A476" s="2">
        <v>102017046</v>
      </c>
      <c r="B476" t="s">
        <v>909</v>
      </c>
      <c r="J476" t="s">
        <v>829</v>
      </c>
      <c r="K476" t="s">
        <v>910</v>
      </c>
      <c r="L476" t="s">
        <v>911</v>
      </c>
      <c r="M476" t="s">
        <v>537</v>
      </c>
      <c r="O476" s="1" t="s">
        <v>258</v>
      </c>
      <c r="T476" s="1"/>
      <c r="AE476" s="1"/>
      <c r="AL476" s="4"/>
      <c r="AP476" s="13"/>
      <c r="AQ476" s="34"/>
      <c r="AR476" s="34"/>
      <c r="AS476" s="1"/>
      <c r="AT476" s="13"/>
      <c r="AU476" s="1"/>
      <c r="AV476" s="1"/>
      <c r="AW476" s="1"/>
      <c r="AX476" s="1"/>
      <c r="AY476" s="15"/>
      <c r="AZ476" s="15"/>
      <c r="BA476" s="1"/>
      <c r="BB476" s="1"/>
      <c r="BC476" s="1"/>
      <c r="BD476" s="1"/>
      <c r="BE476" s="1"/>
      <c r="BF476" s="1"/>
      <c r="BG476" s="5"/>
      <c r="BH476" s="16"/>
      <c r="BI476" s="16"/>
      <c r="BK476" s="4"/>
      <c r="BL476" s="4"/>
      <c r="BM476" s="6"/>
      <c r="BN476" s="7"/>
      <c r="BO476" s="4"/>
      <c r="BQ476" s="4"/>
      <c r="BR476" s="4"/>
      <c r="BS476" s="6"/>
      <c r="BT476" s="7"/>
      <c r="BU476" s="4"/>
      <c r="BV476" s="4"/>
      <c r="BW476" s="4"/>
      <c r="BX476" s="4"/>
      <c r="BY476" s="6"/>
      <c r="BZ476" s="7"/>
      <c r="CA476" s="4"/>
      <c r="CC476" s="4"/>
      <c r="CD476" s="4"/>
      <c r="CE476" s="6"/>
      <c r="CF476" s="7"/>
      <c r="CG476" s="4"/>
      <c r="CH476" s="4"/>
      <c r="CI476" s="4"/>
      <c r="CJ476" s="4"/>
      <c r="CK476" s="6"/>
      <c r="CL476" s="7"/>
      <c r="CM476" s="4"/>
      <c r="CN476" s="4"/>
      <c r="CO476" s="4"/>
      <c r="CP476" s="4"/>
      <c r="CQ476" s="6"/>
      <c r="CR476" s="7"/>
      <c r="CS476" s="4"/>
      <c r="CT476" s="4"/>
      <c r="CU476" s="4"/>
      <c r="CV476" s="4"/>
      <c r="CW476" s="6"/>
      <c r="CX476" s="7"/>
      <c r="CY476" s="4"/>
      <c r="CZ476" s="4"/>
      <c r="DA476" s="4"/>
      <c r="DB476" s="4"/>
      <c r="DC476" s="6"/>
      <c r="DD476" s="7"/>
      <c r="DE476" s="4"/>
      <c r="DF476" s="4"/>
      <c r="DG476" s="4"/>
      <c r="DH476" s="4"/>
      <c r="DI476" s="6"/>
      <c r="DJ476" s="7"/>
      <c r="DK476" s="4"/>
      <c r="DL476" s="4"/>
      <c r="DM476" s="4"/>
      <c r="DN476" s="4"/>
      <c r="DO476" s="4"/>
      <c r="DP476" s="3"/>
      <c r="DQ476" s="4"/>
      <c r="DR476" s="4"/>
      <c r="DS476" s="4"/>
      <c r="DT476" s="4"/>
      <c r="DU476" s="4"/>
      <c r="DV476" s="4"/>
      <c r="DW476" s="4"/>
      <c r="DX476" s="4"/>
      <c r="DY476" s="4"/>
      <c r="DZ476" s="4"/>
      <c r="EA476" s="4"/>
      <c r="EB476" s="4"/>
      <c r="EC476" s="4"/>
      <c r="ED476" s="4"/>
      <c r="EE476" s="4"/>
      <c r="EF476" s="4"/>
      <c r="EG476" s="4"/>
      <c r="EH476" s="4"/>
      <c r="EI476" s="4"/>
      <c r="FQ476" s="9"/>
      <c r="FR476" s="10"/>
      <c r="FY476" s="10"/>
      <c r="GK476" s="9"/>
      <c r="IZ476" s="18"/>
    </row>
    <row r="477" spans="1:263" ht="15" customHeight="1">
      <c r="A477" s="19">
        <v>102022100</v>
      </c>
      <c r="B477" t="s">
        <v>2842</v>
      </c>
      <c r="D477" s="1"/>
      <c r="E477" s="3"/>
      <c r="F477" s="3"/>
      <c r="J477" t="s">
        <v>311</v>
      </c>
      <c r="K477" t="s">
        <v>1186</v>
      </c>
      <c r="L477" t="s">
        <v>3083</v>
      </c>
      <c r="AG477" s="43"/>
      <c r="AJ477" t="s">
        <v>3097</v>
      </c>
      <c r="AK477" t="s">
        <v>258</v>
      </c>
      <c r="AL477" t="s">
        <v>349</v>
      </c>
      <c r="AM477" t="s">
        <v>260</v>
      </c>
      <c r="AN477"/>
      <c r="AO477" s="3" t="s">
        <v>773</v>
      </c>
      <c r="AP477" s="3" t="s">
        <v>258</v>
      </c>
      <c r="AQ477" t="s">
        <v>386</v>
      </c>
      <c r="AR477" t="s">
        <v>260</v>
      </c>
      <c r="AS477" s="1"/>
      <c r="AT477" s="1"/>
      <c r="AU477" s="1"/>
      <c r="AV477" s="1"/>
      <c r="AW477" s="1"/>
      <c r="AX477" s="2"/>
      <c r="AY477" s="116"/>
      <c r="AZ477" s="115"/>
      <c r="BA477" s="2"/>
      <c r="BB477" s="2"/>
      <c r="BC477" s="2"/>
      <c r="BD477" s="2"/>
      <c r="BE477" s="2"/>
      <c r="BF477" s="2"/>
      <c r="BG477" s="20">
        <f ca="1">SUM(CY477)+58.5+58.5</f>
        <v>1017.9509999999999</v>
      </c>
      <c r="BH477" s="22">
        <f ca="1">PMT(10%/12,12,BG477,0,0)</f>
        <v>-89.494065321675478</v>
      </c>
      <c r="BI477" s="22">
        <f ca="1">SUM(BH477*-1)</f>
        <v>89.494065321675478</v>
      </c>
      <c r="BJ477" s="14">
        <f>SUM(DI477*0.0052)/12</f>
        <v>30.549999999999997</v>
      </c>
      <c r="BK477" s="22">
        <f ca="1">SUM(BI477+BJ477)</f>
        <v>120.04406532167548</v>
      </c>
      <c r="BL477" s="14"/>
      <c r="BM477" s="14">
        <f>SUM(BL477*0.1)</f>
        <v>0</v>
      </c>
      <c r="BN477" s="14">
        <f ca="1">SUM(BO477*BP477)</f>
        <v>0</v>
      </c>
      <c r="BO477" s="17">
        <f>SUM((BL477+BM477)*0.00833333333333333)</f>
        <v>0</v>
      </c>
      <c r="BP477" s="23">
        <f ca="1">MONTH(TODAY())+49</f>
        <v>53</v>
      </c>
      <c r="BQ477" s="14">
        <f ca="1">SUM(BL477,BM477,BN477)</f>
        <v>0</v>
      </c>
      <c r="BR477" s="14"/>
      <c r="BS477" s="14">
        <f>SUM(BR477*0.1)</f>
        <v>0</v>
      </c>
      <c r="BT477" s="14">
        <f ca="1">SUM(BU477*BV477)</f>
        <v>0</v>
      </c>
      <c r="BU477" s="17">
        <f>SUM((BR477+BS477)*0.00833333333333333)</f>
        <v>0</v>
      </c>
      <c r="BV477" s="23">
        <f ca="1">MONTH(TODAY())+37</f>
        <v>41</v>
      </c>
      <c r="BW477" s="14">
        <f ca="1">SUM(BR477,BS477,BT477)</f>
        <v>0</v>
      </c>
      <c r="BX477" s="14"/>
      <c r="BY477" s="14">
        <f>SUM(BX477*0.1)</f>
        <v>0</v>
      </c>
      <c r="BZ477" s="14">
        <f ca="1">SUM(CA477*CB477)</f>
        <v>0</v>
      </c>
      <c r="CA477" s="17">
        <f>SUM((BX477+BY477)*0.00833333333333333)</f>
        <v>0</v>
      </c>
      <c r="CB477" s="23">
        <f ca="1">MONTH(TODAY())+25</f>
        <v>29</v>
      </c>
      <c r="CC477" s="14">
        <f ca="1">SUM(BX477,BY477,BZ477)</f>
        <v>0</v>
      </c>
      <c r="CD477" s="14">
        <f>SUM(DI477*0.0052)</f>
        <v>366.59999999999997</v>
      </c>
      <c r="CE477" s="14">
        <f>SUM(CD477*0.1)</f>
        <v>36.659999999999997</v>
      </c>
      <c r="CF477" s="14">
        <f ca="1">SUM(CG477*CH477)</f>
        <v>57.128499999999974</v>
      </c>
      <c r="CG477" s="17">
        <f>SUM((CD477+CE477)*0.00833333333333333)</f>
        <v>3.3604999999999983</v>
      </c>
      <c r="CH477" s="23">
        <f ca="1">MONTH(TODAY())+13</f>
        <v>17</v>
      </c>
      <c r="CI477" s="14">
        <f ca="1">SUM(CD477,CE477,CF477)</f>
        <v>460.38849999999996</v>
      </c>
      <c r="CJ477" s="14">
        <f>SUM(DI477*0.0052)</f>
        <v>366.59999999999997</v>
      </c>
      <c r="CK477" s="14">
        <f>SUM(CJ477*0.1)</f>
        <v>36.659999999999997</v>
      </c>
      <c r="CL477" s="14">
        <f ca="1">SUM(CM477*CN477)</f>
        <v>16.802499999999991</v>
      </c>
      <c r="CM477" s="17">
        <f>SUM((CJ477+CK477)*0.00833333333333333)</f>
        <v>3.3604999999999983</v>
      </c>
      <c r="CN477" s="23">
        <f ca="1">MONTH(TODAY())+1</f>
        <v>5</v>
      </c>
      <c r="CO477" s="14">
        <f ca="1">SUM(CJ477,CK477,CL477)</f>
        <v>420.0625</v>
      </c>
      <c r="CP477" s="14">
        <f>SUM(BL477, BR477,BX477,CD477,CJ477)</f>
        <v>733.19999999999993</v>
      </c>
      <c r="CQ477" s="14">
        <f>SUM(BM477, BS477,BY477,CE477,CK477)</f>
        <v>73.319999999999993</v>
      </c>
      <c r="CR477" s="14">
        <f ca="1">SUM(BN477, BT477,BZ477,CF477,CL477)</f>
        <v>73.930999999999969</v>
      </c>
      <c r="CS477" s="14">
        <f ca="1">SUM(CP477:CR477)</f>
        <v>880.45099999999991</v>
      </c>
      <c r="CT477" s="47">
        <f ca="1">SUM(CS477/DI477)</f>
        <v>1.2488666666666665E-2</v>
      </c>
      <c r="CU477" s="14">
        <v>19.5</v>
      </c>
      <c r="CV477" s="32">
        <f>COUNTIF(DB477, "*")+COUNTIF(AO477, "*")+COUNTIF(AJ477, "*")+COUNTIF(AA477, "*")+COUNTIF(DY477, "*")+COUNTIF(EE477, "*")+COUNTIF(EK477, "*")+COUNTIF(EO477, "*")+COUNTIF(EV477, "*")+COUNTIF(FC477, "*")+COUNTIF(FJ477, "*")+COUNTIF(FU477, "*")+COUNTIF(GF477, "*")+COUNTIF(GN477, "*")+COUNTIF(GV477, "*")+COUNTIF(HD477, "*")+COUNTIF(HL477, "*")</f>
        <v>2</v>
      </c>
      <c r="CW477" s="14">
        <f>CV477*0.5</f>
        <v>1</v>
      </c>
      <c r="CX477" s="4"/>
      <c r="CY477" s="14">
        <f ca="1">SUM(CS477,CU477,DE477, CX477, CW477,FG477)</f>
        <v>900.95099999999991</v>
      </c>
      <c r="CZ477" s="4"/>
      <c r="DE477" s="14">
        <f>SUM(CZ477:DD477)</f>
        <v>0</v>
      </c>
      <c r="DF477" s="24" t="s">
        <v>2773</v>
      </c>
      <c r="DG477" s="4">
        <v>17800</v>
      </c>
      <c r="DH477" s="4">
        <v>52700</v>
      </c>
      <c r="DI477" s="25">
        <f>SUM(DG477+DH477)</f>
        <v>70500</v>
      </c>
      <c r="DJ477" s="35">
        <v>0.89</v>
      </c>
      <c r="IC477" s="4"/>
    </row>
    <row r="478" spans="1:263" ht="15" customHeight="1">
      <c r="A478" s="2">
        <v>102023029</v>
      </c>
      <c r="B478" t="s">
        <v>4049</v>
      </c>
      <c r="G478" s="3"/>
      <c r="J478" t="s">
        <v>554</v>
      </c>
      <c r="K478" t="s">
        <v>4050</v>
      </c>
      <c r="L478" t="s">
        <v>4051</v>
      </c>
      <c r="M478" t="s">
        <v>403</v>
      </c>
      <c r="O478" s="3"/>
      <c r="P478" t="s">
        <v>4050</v>
      </c>
      <c r="Q478" t="s">
        <v>4052</v>
      </c>
      <c r="R478" t="s">
        <v>1220</v>
      </c>
      <c r="AG478"/>
      <c r="AJ478" s="18" t="s">
        <v>328</v>
      </c>
      <c r="AL478" t="s">
        <v>349</v>
      </c>
      <c r="AM478"/>
      <c r="AN478"/>
      <c r="AO478" t="s">
        <v>4109</v>
      </c>
      <c r="AP478" s="3" t="s">
        <v>258</v>
      </c>
      <c r="AQ478" t="s">
        <v>4110</v>
      </c>
      <c r="AR478"/>
      <c r="AX478" s="1"/>
      <c r="AY478" s="1"/>
      <c r="AZ478" s="1"/>
      <c r="BA478" s="1"/>
      <c r="BB478" s="1"/>
      <c r="BC478" s="2"/>
      <c r="BD478" s="115">
        <v>45060</v>
      </c>
      <c r="BE478" s="115">
        <v>45055</v>
      </c>
      <c r="BF478" s="2"/>
      <c r="BG478" s="2"/>
      <c r="BH478" s="2"/>
      <c r="BI478" s="2"/>
      <c r="BJ478" s="2"/>
      <c r="BK478" s="2"/>
      <c r="BL478" s="20">
        <f ca="1">SUM(EB478)+220</f>
        <v>1139.1906799999999</v>
      </c>
      <c r="BM478" s="22">
        <f ca="1">PMT(10%/12,12,BL478,0,0)</f>
        <v>-100.15295935635794</v>
      </c>
      <c r="BN478" s="22">
        <f ca="1">SUM(BM478*-1)</f>
        <v>100.15295935635794</v>
      </c>
      <c r="BO478" s="14">
        <f>SUM(EJ478*0.0052)/12</f>
        <v>38.826666666666661</v>
      </c>
      <c r="BP478" s="22">
        <f ca="1">SUM(BN478+BO478)</f>
        <v>138.97962602302459</v>
      </c>
      <c r="BQ478" s="14"/>
      <c r="BR478" s="14">
        <f>SUM(BQ478*0.1)</f>
        <v>0</v>
      </c>
      <c r="BS478" s="14">
        <f ca="1">SUM(BT478*BU478)</f>
        <v>0</v>
      </c>
      <c r="BT478" s="17">
        <f>SUM((BQ478+BR478)*0.00833333333333333)</f>
        <v>0</v>
      </c>
      <c r="BU478" s="23">
        <f ca="1">MONTH(TODAY())+49</f>
        <v>53</v>
      </c>
      <c r="BV478" s="14">
        <f ca="1">SUM(BQ478,BR478,BS478)</f>
        <v>0</v>
      </c>
      <c r="BW478" s="14"/>
      <c r="BX478" s="14">
        <f>SUM(BW478*0.1)</f>
        <v>0</v>
      </c>
      <c r="BY478" s="14">
        <f ca="1">SUM(BZ478*CA478)</f>
        <v>0</v>
      </c>
      <c r="BZ478" s="17">
        <f>SUM((BW478+BX478)*0.00833333333333333)</f>
        <v>0</v>
      </c>
      <c r="CA478" s="23">
        <f ca="1">MONTH(TODAY())+37</f>
        <v>41</v>
      </c>
      <c r="CB478" s="14">
        <f ca="1">SUM(BW478,BX478,BY478)</f>
        <v>0</v>
      </c>
      <c r="CC478" s="14">
        <v>0</v>
      </c>
      <c r="CD478" s="14">
        <f>SUM(CC478*0.1)</f>
        <v>0</v>
      </c>
      <c r="CE478" s="14">
        <f ca="1">SUM(CF478*CG478)</f>
        <v>0</v>
      </c>
      <c r="CF478" s="17">
        <f>SUM((CC478+CD478)*0.00833333333333333)</f>
        <v>0</v>
      </c>
      <c r="CG478" s="23">
        <f ca="1">MONTH(TODAY())+25</f>
        <v>29</v>
      </c>
      <c r="CH478" s="14">
        <f ca="1">SUM(CC478,CD478,CE478)</f>
        <v>0</v>
      </c>
      <c r="CI478" s="14">
        <f>SUM(EG478*0.0052)</f>
        <v>112.55399999999999</v>
      </c>
      <c r="CJ478" s="14">
        <f>SUM(CI478*0.1)</f>
        <v>11.2554</v>
      </c>
      <c r="CK478" s="14">
        <f ca="1">SUM(CL478*CM478)</f>
        <v>17.539664999999992</v>
      </c>
      <c r="CL478" s="17">
        <f>SUM((CI478+CJ478)*0.00833333333333333)</f>
        <v>1.0317449999999995</v>
      </c>
      <c r="CM478" s="23">
        <f ca="1">MONTH(TODAY())+13</f>
        <v>17</v>
      </c>
      <c r="CN478" s="14">
        <f ca="1">SUM(CI478,CJ478,CK478)</f>
        <v>141.34906499999997</v>
      </c>
      <c r="CO478" s="14">
        <f>SUM(EG478*0.0052)/2</f>
        <v>56.276999999999994</v>
      </c>
      <c r="CP478" s="14">
        <f>SUM(CO478*0.1)</f>
        <v>5.6276999999999999</v>
      </c>
      <c r="CQ478" s="14">
        <f ca="1">SUM(CR478*CS478)</f>
        <v>4.6428524999999974</v>
      </c>
      <c r="CR478" s="17">
        <f>SUM((CO478+CP478)*0.00833333333333333)</f>
        <v>0.51587249999999973</v>
      </c>
      <c r="CS478" s="23">
        <f ca="1">MONTH(TODAY())+5</f>
        <v>9</v>
      </c>
      <c r="CT478" s="23">
        <f ca="1">SUM(CO478,CP478,CQ478)</f>
        <v>66.547552499999995</v>
      </c>
      <c r="CU478" s="14">
        <f>SUM(EG478*0.0052)/2</f>
        <v>56.276999999999994</v>
      </c>
      <c r="CV478" s="14">
        <f>SUM(CU478*0.1)</f>
        <v>5.6276999999999999</v>
      </c>
      <c r="CW478" s="14">
        <f ca="1">SUM(CX478*CY478)</f>
        <v>2.5793624999999984</v>
      </c>
      <c r="CX478" s="17">
        <f>SUM((CU478+CV478)*0.00833333333333333)</f>
        <v>0.51587249999999973</v>
      </c>
      <c r="CY478" s="23">
        <f ca="1">MONTH(TODAY())+1</f>
        <v>5</v>
      </c>
      <c r="CZ478" s="23">
        <f ca="1">SUM(CU478,CV478,CW478)</f>
        <v>64.484062499999993</v>
      </c>
      <c r="DA478" s="14">
        <f>SUM(EJ478*0.0045)/2</f>
        <v>201.6</v>
      </c>
      <c r="DB478" s="14">
        <v>0</v>
      </c>
      <c r="DC478" s="14">
        <v>0</v>
      </c>
      <c r="DD478" s="17">
        <f>SUM((DA478+DB478)*0.00833333333333333)</f>
        <v>1.6799999999999993</v>
      </c>
      <c r="DE478" s="23">
        <f ca="1">MONTH(TODAY())-5</f>
        <v>-1</v>
      </c>
      <c r="DF478" s="23">
        <f>SUM(DA478,DB478,DC478)</f>
        <v>201.6</v>
      </c>
      <c r="DG478" s="14">
        <v>0</v>
      </c>
      <c r="DH478" s="14">
        <v>0</v>
      </c>
      <c r="DI478" s="14">
        <v>0</v>
      </c>
      <c r="DJ478" s="17">
        <f>SUM((DG478+DH478)*0.00833333333333333)</f>
        <v>0</v>
      </c>
      <c r="DK478" s="23">
        <f ca="1">MONTH(TODAY())+1</f>
        <v>5</v>
      </c>
      <c r="DL478" s="23">
        <f>SUM(DG478,DH478,DI478)</f>
        <v>0</v>
      </c>
      <c r="DM478" s="14">
        <f>SUM( BQ478, BW478, CC478, CI478, CO478,CU478,DA478,DG478)</f>
        <v>426.70799999999997</v>
      </c>
      <c r="DN478" s="14">
        <f>SUM(BR478,BX478,CD478,CJ478, CP478,CV478,DB478,DH478)</f>
        <v>22.5108</v>
      </c>
      <c r="DO478" s="14">
        <f ca="1">SUM(BS478,BY478,CE478,CK478, CQ478,CW478,DC478,DI478)</f>
        <v>24.761879999999987</v>
      </c>
      <c r="DP478" s="25">
        <f ca="1">SUM(DM478:DO478)</f>
        <v>473.98067999999995</v>
      </c>
      <c r="DQ478" s="47">
        <f ca="1">SUM(DP478/EG478)</f>
        <v>2.1897929313929313E-2</v>
      </c>
      <c r="DR478" s="14">
        <f>20+200</f>
        <v>220</v>
      </c>
      <c r="DS478" s="32">
        <f>COUNTIF(DX478, "*")+COUNTIF(AO478, "*")+COUNTIF(AJ478, "*")+COUNTIF(AA478, "*")+COUNTIF(EY478, "*")+COUNTIF(FE478, "*")+COUNTIF(FK478, "*")+COUNTIF(FO478, "*")+COUNTIF(FV478, "*")+COUNTIF(AT478, "*")+COUNTIF(GE478, "*")+COUNTIF(GP478, "*")+COUNTIF(HA478, "*")+COUNTIF(HI478, "*")+COUNTIF(HQ478, "*")+COUNTIF(HY478, "*")+COUNTIF(IG478, "*")</f>
        <v>5</v>
      </c>
      <c r="DT478" s="14">
        <f>1.2+DS478*7.45</f>
        <v>38.450000000000003</v>
      </c>
      <c r="DU478" s="4">
        <v>150</v>
      </c>
      <c r="DV478" s="4">
        <v>36.76</v>
      </c>
      <c r="DW478" s="4"/>
      <c r="DX478" s="4"/>
      <c r="DZ478" s="4"/>
      <c r="EA478" s="14">
        <f>SUM(DV478:DZ478)</f>
        <v>36.76</v>
      </c>
      <c r="EB478" s="14">
        <f ca="1">SUM(DP478,DR478,EA478, DU478, DT478,GB478)</f>
        <v>919.19067999999993</v>
      </c>
      <c r="EC478" s="24" t="s">
        <v>3974</v>
      </c>
      <c r="ED478" s="7">
        <v>43.29</v>
      </c>
      <c r="EE478" s="4">
        <v>77900</v>
      </c>
      <c r="EF478" s="4">
        <v>0</v>
      </c>
      <c r="EG478" s="14">
        <v>21645</v>
      </c>
      <c r="EH478" s="14">
        <v>89600</v>
      </c>
      <c r="EI478" s="14">
        <v>0</v>
      </c>
      <c r="EJ478" s="14">
        <f>SUM(EH478+EI478)</f>
        <v>89600</v>
      </c>
      <c r="EK478" t="s">
        <v>4788</v>
      </c>
      <c r="EL478" t="s">
        <v>4789</v>
      </c>
      <c r="EM478" t="s">
        <v>4790</v>
      </c>
      <c r="EN478" t="s">
        <v>4791</v>
      </c>
      <c r="EO478" t="s">
        <v>4792</v>
      </c>
      <c r="EW478" t="s">
        <v>4800</v>
      </c>
      <c r="EY478" t="s">
        <v>4801</v>
      </c>
      <c r="FA478" t="s">
        <v>4802</v>
      </c>
      <c r="FN478" t="s">
        <v>4793</v>
      </c>
      <c r="FO478" t="s">
        <v>4794</v>
      </c>
      <c r="FQ478" t="s">
        <v>4795</v>
      </c>
      <c r="FR478" t="s">
        <v>4796</v>
      </c>
      <c r="FS478" s="9">
        <v>43881</v>
      </c>
      <c r="FT478" t="s">
        <v>4818</v>
      </c>
      <c r="FU478" t="s">
        <v>4797</v>
      </c>
      <c r="FV478" t="s">
        <v>4798</v>
      </c>
      <c r="FX478" t="s">
        <v>4799</v>
      </c>
      <c r="FY478" t="s">
        <v>3004</v>
      </c>
      <c r="FZ478" s="9">
        <v>43881</v>
      </c>
      <c r="GA478">
        <v>200001068</v>
      </c>
      <c r="IM478" s="9"/>
      <c r="IX478" s="14">
        <f ca="1">SUM(IN478-EB478-GB478-IV478)</f>
        <v>-919.19067999999993</v>
      </c>
      <c r="IY478" s="9"/>
      <c r="IZ478" s="9"/>
      <c r="JA478" s="9"/>
      <c r="JB478" s="9"/>
      <c r="JC478" s="9"/>
    </row>
    <row r="479" spans="1:263" ht="15" customHeight="1">
      <c r="A479" s="2">
        <v>102018108</v>
      </c>
      <c r="B479" t="s">
        <v>1314</v>
      </c>
      <c r="E479" s="3" t="s">
        <v>1315</v>
      </c>
      <c r="F479" s="3"/>
      <c r="J479" t="s">
        <v>311</v>
      </c>
      <c r="K479" t="s">
        <v>933</v>
      </c>
      <c r="L479" t="s">
        <v>453</v>
      </c>
      <c r="M479" t="s">
        <v>354</v>
      </c>
      <c r="O479" s="1"/>
      <c r="T479" s="1"/>
      <c r="AH479" s="1"/>
      <c r="AJ479" s="4"/>
      <c r="AK479" s="4"/>
      <c r="AO479" s="4"/>
      <c r="AP479" s="5"/>
      <c r="AS479" s="5"/>
      <c r="AT479" s="5"/>
      <c r="AU479" s="1"/>
      <c r="AV479" s="1"/>
      <c r="AW479" s="1"/>
      <c r="AX479" s="1"/>
      <c r="AY479" s="1"/>
      <c r="AZ479" s="1"/>
      <c r="BA479" s="1"/>
      <c r="BB479" s="1"/>
      <c r="BC479" s="1"/>
      <c r="BD479" s="1"/>
      <c r="BE479" s="1"/>
      <c r="BF479" s="1"/>
      <c r="BG479" s="5"/>
      <c r="BH479" s="16"/>
      <c r="BI479" s="16"/>
      <c r="BK479" s="4"/>
      <c r="BL479" s="4"/>
      <c r="BM479" s="6"/>
      <c r="BN479" s="7"/>
      <c r="BO479" s="4"/>
      <c r="BP479" s="4"/>
      <c r="BQ479" s="4"/>
      <c r="BR479" s="4"/>
      <c r="BS479" s="6"/>
      <c r="BT479" s="7"/>
      <c r="BU479" s="4"/>
      <c r="BV479" s="4"/>
      <c r="BW479" s="4"/>
      <c r="BX479" s="4"/>
      <c r="BY479" s="6"/>
      <c r="BZ479" s="7"/>
      <c r="CA479" s="4"/>
      <c r="CB479" s="4"/>
      <c r="CC479" s="4"/>
      <c r="CD479" s="4"/>
      <c r="CE479" s="6"/>
      <c r="CF479" s="7"/>
      <c r="CG479" s="4"/>
      <c r="CH479" s="4"/>
      <c r="CI479" s="4"/>
      <c r="CJ479" s="4"/>
      <c r="CK479" s="6"/>
      <c r="CL479" s="7"/>
      <c r="CM479" s="4"/>
      <c r="CN479" s="4"/>
      <c r="CO479" s="4"/>
      <c r="CP479" s="4"/>
      <c r="CQ479" s="6"/>
      <c r="CR479" s="7"/>
      <c r="CS479" s="4"/>
      <c r="CT479" s="4"/>
      <c r="CU479" s="4"/>
      <c r="CV479" s="4"/>
      <c r="CW479" s="6"/>
      <c r="CX479" s="7"/>
      <c r="CY479" s="4"/>
      <c r="CZ479" s="4"/>
      <c r="DA479" s="4"/>
      <c r="DB479" s="4"/>
      <c r="DC479" s="6"/>
      <c r="DD479" s="7"/>
      <c r="DE479" s="4"/>
      <c r="DF479" s="4"/>
      <c r="DG479" s="14"/>
      <c r="DH479" s="14"/>
      <c r="DI479" s="4"/>
      <c r="DJ479" s="3"/>
      <c r="DK479" s="4"/>
      <c r="DL479" s="234"/>
      <c r="DM479" s="4"/>
      <c r="DN479" s="4"/>
      <c r="DO479" s="4"/>
      <c r="DP479" s="4"/>
      <c r="DQ479" s="4"/>
      <c r="DR479" s="4"/>
      <c r="DS479" s="7"/>
      <c r="DT479" s="4"/>
      <c r="DU479" s="4"/>
      <c r="DV479" s="8"/>
      <c r="DW479" s="4"/>
      <c r="DX479" s="4"/>
      <c r="EG479" s="11"/>
      <c r="EM479" s="11"/>
      <c r="EN479" s="11"/>
      <c r="EO479" s="4"/>
      <c r="EP479" s="4"/>
      <c r="EQ479" s="4"/>
      <c r="ER479" s="4"/>
      <c r="ES479" s="4"/>
      <c r="ET479" s="4"/>
      <c r="EU479" s="4"/>
      <c r="EV479" s="4"/>
      <c r="EW479" s="4"/>
      <c r="EX479" s="4"/>
      <c r="EY479" s="4"/>
      <c r="EZ479" s="4"/>
      <c r="FA479" s="4"/>
      <c r="FB479" s="4"/>
      <c r="FC479" s="4"/>
      <c r="FG479" s="9"/>
      <c r="FP479" s="9"/>
      <c r="FZ479" s="10"/>
      <c r="GJ479" s="10"/>
      <c r="GY479" s="9"/>
      <c r="IK479" s="4"/>
      <c r="IL479" s="18"/>
      <c r="IM479" s="18"/>
      <c r="IN479" s="14"/>
      <c r="IO479" s="14"/>
      <c r="IP479" s="27">
        <v>43931</v>
      </c>
      <c r="IQ479" s="27">
        <v>43965</v>
      </c>
      <c r="IR479" s="18"/>
      <c r="IS479" s="18"/>
      <c r="IT479" s="18"/>
      <c r="IU479" s="18"/>
      <c r="IV479" s="18"/>
    </row>
    <row r="480" spans="1:263" ht="15" customHeight="1">
      <c r="A480" s="2">
        <v>102017050</v>
      </c>
      <c r="B480" t="s">
        <v>918</v>
      </c>
      <c r="F480" s="2"/>
      <c r="G480" s="2"/>
      <c r="H480" s="2"/>
      <c r="J480" t="s">
        <v>305</v>
      </c>
      <c r="K480" t="s">
        <v>919</v>
      </c>
      <c r="L480" t="s">
        <v>920</v>
      </c>
      <c r="N480" t="s">
        <v>341</v>
      </c>
      <c r="O480" s="1"/>
      <c r="P480" t="s">
        <v>919</v>
      </c>
      <c r="Q480" t="s">
        <v>921</v>
      </c>
      <c r="R480" t="s">
        <v>598</v>
      </c>
      <c r="T480" s="1"/>
      <c r="W480" s="18"/>
      <c r="X480" s="18"/>
      <c r="Y480" s="18"/>
      <c r="Z480" s="18"/>
      <c r="AA480" s="18"/>
      <c r="AB480" s="18"/>
      <c r="AC480" s="18"/>
      <c r="AD480" s="18"/>
      <c r="AE480" s="13"/>
      <c r="AF480" s="18"/>
      <c r="AG480" s="24"/>
      <c r="AH480" s="18"/>
      <c r="AI480" s="18"/>
      <c r="AJ480" s="14"/>
      <c r="AK480" s="14"/>
      <c r="AL480" s="14"/>
      <c r="AM480" s="24"/>
      <c r="AN480" s="24"/>
      <c r="AO480" s="14"/>
      <c r="AP480" s="13"/>
      <c r="AQ480" s="34"/>
      <c r="AR480" s="63"/>
      <c r="AS480" s="20"/>
      <c r="AT480" s="13"/>
      <c r="AU480" s="13"/>
      <c r="AV480" s="13"/>
      <c r="AW480" s="13"/>
      <c r="AX480" s="13"/>
      <c r="AY480" s="13"/>
      <c r="AZ480" s="13"/>
      <c r="BA480" s="13"/>
      <c r="BB480" s="13"/>
      <c r="BC480" s="13"/>
      <c r="BD480" s="13"/>
      <c r="BE480" s="13"/>
      <c r="BF480" s="13"/>
      <c r="BG480" s="5"/>
      <c r="BH480" s="22"/>
      <c r="BI480" s="22"/>
      <c r="BJ480" s="14"/>
      <c r="BK480" s="14"/>
      <c r="BL480" s="14"/>
      <c r="BM480" s="17"/>
      <c r="BN480" s="7"/>
      <c r="BO480" s="14"/>
      <c r="BP480" s="18"/>
      <c r="BQ480" s="14"/>
      <c r="BR480" s="14"/>
      <c r="BS480" s="17"/>
      <c r="BT480" s="7"/>
      <c r="BU480" s="14"/>
      <c r="BV480" s="14"/>
      <c r="BW480" s="14"/>
      <c r="BX480" s="14"/>
      <c r="BY480" s="17"/>
      <c r="BZ480" s="23"/>
      <c r="CA480" s="14"/>
      <c r="CB480" s="14"/>
      <c r="CC480" s="14"/>
      <c r="CD480" s="14"/>
      <c r="CE480" s="17"/>
      <c r="CF480" s="7"/>
      <c r="CG480" s="4"/>
      <c r="CH480" s="14"/>
      <c r="CI480" s="14"/>
      <c r="CJ480" s="14"/>
      <c r="CK480" s="17"/>
      <c r="CL480" s="7"/>
      <c r="CM480" s="4"/>
      <c r="CN480" s="14"/>
      <c r="CO480" s="14"/>
      <c r="CP480" s="14"/>
      <c r="CQ480" s="17"/>
      <c r="CR480" s="23"/>
      <c r="CS480" s="4"/>
      <c r="CT480" s="14"/>
      <c r="CU480" s="14"/>
      <c r="CV480" s="14"/>
      <c r="CW480" s="17"/>
      <c r="CX480" s="23"/>
      <c r="CY480" s="4"/>
      <c r="CZ480" s="4"/>
      <c r="DA480" s="14"/>
      <c r="DB480" s="14"/>
      <c r="DC480" s="17"/>
      <c r="DD480" s="7"/>
      <c r="DE480" s="4"/>
      <c r="DF480" s="4"/>
      <c r="DG480" s="14"/>
      <c r="DH480" s="14"/>
      <c r="DI480" s="14"/>
      <c r="DJ480" s="24"/>
      <c r="DK480" s="14"/>
      <c r="DL480" s="234"/>
      <c r="DM480" s="14"/>
      <c r="DN480" s="14"/>
      <c r="DO480" s="14"/>
      <c r="DP480" s="14"/>
      <c r="DQ480" s="14"/>
      <c r="DR480" s="14"/>
      <c r="DS480" s="14"/>
      <c r="DT480" s="14"/>
      <c r="DU480" s="14"/>
      <c r="DV480" s="25"/>
      <c r="DW480" s="14"/>
      <c r="DX480" s="14"/>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27"/>
      <c r="FH480" s="28"/>
      <c r="FI480" s="18"/>
      <c r="FJ480" s="18"/>
      <c r="FK480" s="18"/>
      <c r="FL480" s="18"/>
      <c r="FM480" s="18"/>
      <c r="FN480" s="18"/>
      <c r="FO480" s="28"/>
      <c r="FP480" s="9"/>
      <c r="FQ480" s="18"/>
      <c r="FR480" s="18"/>
      <c r="FS480" s="18"/>
      <c r="FT480" s="18"/>
      <c r="FU480" s="18"/>
      <c r="FV480" s="18"/>
      <c r="FW480" s="18"/>
      <c r="FX480" s="18"/>
      <c r="FY480" s="18"/>
      <c r="FZ480" s="18"/>
      <c r="GA480" s="18"/>
      <c r="GB480" s="27"/>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4"/>
      <c r="IL480" s="18"/>
      <c r="IM480" s="18"/>
      <c r="IN480" s="18"/>
      <c r="IO480" s="18"/>
      <c r="IP480" s="18"/>
      <c r="IQ480" s="18"/>
    </row>
    <row r="481" spans="1:263" ht="15" customHeight="1">
      <c r="A481" s="2">
        <v>102017085</v>
      </c>
      <c r="B481" t="s">
        <v>1024</v>
      </c>
      <c r="F481" s="2"/>
      <c r="G481">
        <v>180001902</v>
      </c>
      <c r="J481" t="s">
        <v>311</v>
      </c>
      <c r="K481" t="s">
        <v>775</v>
      </c>
      <c r="L481" t="s">
        <v>776</v>
      </c>
      <c r="M481" t="s">
        <v>850</v>
      </c>
      <c r="O481" s="1"/>
      <c r="T481" s="1"/>
      <c r="AD481" s="1"/>
      <c r="AI481" s="4"/>
      <c r="AJ481" s="4"/>
      <c r="AK481" s="4"/>
      <c r="AL481" s="4"/>
      <c r="AO481" s="18"/>
      <c r="AQ481" s="34"/>
      <c r="AR481" s="34"/>
      <c r="AS481" s="13"/>
      <c r="AT481" s="1"/>
      <c r="AU481" s="1"/>
      <c r="AV481" s="1"/>
      <c r="AW481" s="15"/>
      <c r="AX481" s="15"/>
      <c r="AY481" s="15"/>
      <c r="AZ481" s="15"/>
      <c r="BA481" s="1"/>
      <c r="BB481" s="15"/>
      <c r="BC481" s="15"/>
      <c r="BD481" s="15"/>
      <c r="BE481" s="15"/>
      <c r="BF481" s="5"/>
      <c r="BG481" s="16"/>
      <c r="BH481" s="16"/>
      <c r="BJ481" s="4"/>
      <c r="BK481" s="4"/>
      <c r="BL481" s="6"/>
      <c r="BM481" s="7"/>
      <c r="BN481" s="4"/>
      <c r="BP481" s="4"/>
      <c r="BQ481" s="4"/>
      <c r="BR481" s="6"/>
      <c r="BS481" s="7"/>
      <c r="BT481" s="4"/>
      <c r="BU481" s="4"/>
      <c r="BV481" s="4"/>
      <c r="BW481" s="4"/>
      <c r="BX481" s="6"/>
      <c r="BY481" s="7"/>
      <c r="BZ481" s="4"/>
      <c r="CB481" s="4"/>
      <c r="CC481" s="4"/>
      <c r="CD481" s="6"/>
      <c r="CE481" s="7"/>
      <c r="CF481" s="4"/>
      <c r="CG481" s="4"/>
      <c r="CH481" s="4"/>
      <c r="CI481" s="4"/>
      <c r="CJ481" s="6"/>
      <c r="CK481" s="7"/>
      <c r="CL481" s="4"/>
      <c r="CM481" s="4"/>
      <c r="CN481" s="4"/>
      <c r="CO481" s="4"/>
      <c r="CP481" s="6"/>
      <c r="CQ481" s="7"/>
      <c r="CR481" s="4"/>
      <c r="CS481" s="4"/>
      <c r="CT481" s="4"/>
      <c r="CU481" s="4"/>
      <c r="CV481" s="6"/>
      <c r="CW481" s="7"/>
      <c r="CX481" s="4"/>
      <c r="CY481" s="4"/>
      <c r="CZ481" s="4"/>
      <c r="DA481" s="4"/>
      <c r="DB481" s="6"/>
      <c r="DC481" s="7"/>
      <c r="DD481" s="4"/>
      <c r="DE481" s="4"/>
      <c r="DF481" s="4"/>
      <c r="DG481" s="4"/>
      <c r="DH481" s="6"/>
      <c r="DI481" s="7"/>
      <c r="DJ481" s="4"/>
      <c r="DK481" s="4"/>
      <c r="DL481" s="4"/>
      <c r="DM481" s="4"/>
      <c r="DN481" s="4"/>
      <c r="DO481" s="4"/>
      <c r="DP481" s="3"/>
      <c r="DQ481" s="4"/>
      <c r="DR481" s="4"/>
      <c r="DS481" s="4"/>
      <c r="DT481" s="4"/>
      <c r="DU481" s="4"/>
      <c r="DV481" s="4"/>
      <c r="DW481" s="4"/>
      <c r="DX481" s="4"/>
      <c r="DY481" s="4"/>
      <c r="DZ481" s="4"/>
      <c r="EA481" s="4"/>
      <c r="EB481" s="4"/>
      <c r="EC481" s="4"/>
      <c r="FK481" s="9"/>
      <c r="FL481" s="10"/>
      <c r="FS481" s="10"/>
      <c r="FT481" s="9"/>
      <c r="GF481" s="9"/>
      <c r="IP481" s="4"/>
      <c r="IW481" s="18"/>
      <c r="IX481" s="18"/>
      <c r="IY481" s="18"/>
    </row>
    <row r="482" spans="1:263" ht="15" customHeight="1">
      <c r="A482" s="19">
        <v>102019104</v>
      </c>
      <c r="B482" s="18" t="s">
        <v>774</v>
      </c>
      <c r="C482" s="13"/>
      <c r="D482" s="13"/>
      <c r="E482" s="24"/>
      <c r="F482" s="19"/>
      <c r="G482" s="18">
        <v>190003864</v>
      </c>
      <c r="H482" s="18"/>
      <c r="I482" s="18"/>
      <c r="J482" s="18" t="s">
        <v>311</v>
      </c>
      <c r="K482" s="18" t="s">
        <v>775</v>
      </c>
      <c r="L482" s="18" t="s">
        <v>776</v>
      </c>
      <c r="M482" s="18"/>
      <c r="N482" s="18"/>
      <c r="O482" s="13"/>
      <c r="P482" s="18"/>
      <c r="Q482" s="18"/>
      <c r="R482" s="18"/>
      <c r="S482" s="18"/>
      <c r="T482" s="13"/>
      <c r="U482" s="18"/>
      <c r="V482" s="18"/>
      <c r="W482" s="18"/>
      <c r="X482" s="18"/>
      <c r="Y482" s="18"/>
      <c r="Z482" s="18"/>
      <c r="AA482" s="18"/>
      <c r="AB482" s="18"/>
      <c r="AC482" s="18"/>
      <c r="AD482" s="18"/>
      <c r="AE482" s="18"/>
      <c r="AF482" s="18"/>
      <c r="AG482" s="231" t="s">
        <v>777</v>
      </c>
      <c r="AH482" s="18"/>
      <c r="AI482" s="18"/>
      <c r="AJ482" s="14" t="s">
        <v>328</v>
      </c>
      <c r="AK482" s="14"/>
      <c r="AL482" s="18" t="s">
        <v>349</v>
      </c>
      <c r="AM482" s="24" t="s">
        <v>260</v>
      </c>
      <c r="AN482" s="24"/>
      <c r="AO482" s="14" t="s">
        <v>778</v>
      </c>
      <c r="AP482" s="20" t="s">
        <v>258</v>
      </c>
      <c r="AQ482" s="24" t="s">
        <v>349</v>
      </c>
      <c r="AR482" s="24" t="s">
        <v>260</v>
      </c>
      <c r="AS482" s="20"/>
      <c r="AT482" s="20"/>
      <c r="AU482" s="13"/>
      <c r="AV482" s="13"/>
      <c r="AW482" s="13"/>
      <c r="AX482" s="19"/>
      <c r="AY482" s="19"/>
      <c r="AZ482" s="48"/>
      <c r="BA482" s="19"/>
      <c r="BB482" s="19"/>
      <c r="BC482" s="19"/>
      <c r="BD482" s="19"/>
      <c r="BE482" s="19"/>
      <c r="BF482" s="19"/>
      <c r="BG482" s="20"/>
      <c r="BH482" s="22"/>
      <c r="BI482" s="22"/>
      <c r="BJ482" s="14"/>
      <c r="BK482" s="22"/>
      <c r="BL482" s="14"/>
      <c r="BM482" s="14"/>
      <c r="BN482" s="14"/>
      <c r="BO482" s="17"/>
      <c r="BP482" s="23"/>
      <c r="BQ482" s="14"/>
      <c r="BR482" s="14"/>
      <c r="BS482" s="14"/>
      <c r="BT482" s="14"/>
      <c r="BU482" s="17"/>
      <c r="BV482" s="23"/>
      <c r="BW482" s="14"/>
      <c r="BX482" s="14"/>
      <c r="BY482" s="14"/>
      <c r="BZ482" s="14"/>
      <c r="CA482" s="17"/>
      <c r="CB482" s="23"/>
      <c r="CC482" s="14"/>
      <c r="CD482" s="14"/>
      <c r="CE482" s="14"/>
      <c r="CF482" s="14"/>
      <c r="CG482" s="17"/>
      <c r="CH482" s="23"/>
      <c r="CI482" s="14"/>
      <c r="CJ482" s="14"/>
      <c r="CK482" s="14"/>
      <c r="CL482" s="14"/>
      <c r="CM482" s="17"/>
      <c r="CN482" s="23"/>
      <c r="CO482" s="14"/>
      <c r="CP482" s="14"/>
      <c r="CQ482" s="14"/>
      <c r="CR482" s="14"/>
      <c r="CS482" s="17"/>
      <c r="CT482" s="23"/>
      <c r="CU482" s="14"/>
      <c r="CV482" s="14"/>
      <c r="CW482" s="14"/>
      <c r="CX482" s="14"/>
      <c r="CY482" s="14"/>
      <c r="CZ482" s="14"/>
      <c r="DA482" s="47"/>
      <c r="DB482" s="14"/>
      <c r="DC482" s="32"/>
      <c r="DD482" s="14"/>
      <c r="DE482" s="14"/>
      <c r="DF482" s="14"/>
      <c r="DG482" s="14"/>
      <c r="DH482" s="14"/>
      <c r="DI482" s="14"/>
      <c r="DJ482" s="23"/>
      <c r="DK482" s="25"/>
      <c r="DL482" s="14">
        <f>SUM(DG482:DK482)</f>
        <v>0</v>
      </c>
      <c r="DM482" s="24" t="s">
        <v>320</v>
      </c>
      <c r="DN482" s="25">
        <v>20100</v>
      </c>
      <c r="DO482" s="25">
        <v>138600</v>
      </c>
      <c r="DP482" s="25">
        <f>SUM(DN482+DO482)</f>
        <v>158700</v>
      </c>
      <c r="DQ482" s="36">
        <v>1.85</v>
      </c>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27"/>
      <c r="FA482" s="18"/>
      <c r="FB482" s="18"/>
      <c r="FC482" s="18"/>
      <c r="FD482" s="18"/>
      <c r="FE482" s="18"/>
      <c r="FF482" s="18"/>
      <c r="FG482" s="18"/>
      <c r="FH482" s="18"/>
      <c r="FI482" s="18"/>
      <c r="FJ482" s="18"/>
      <c r="FK482" s="18"/>
      <c r="FL482" s="18"/>
      <c r="FM482" s="18"/>
      <c r="FN482" s="14"/>
      <c r="FO482" s="18"/>
      <c r="FP482" s="18"/>
      <c r="FQ482" s="18"/>
      <c r="FR482" s="18"/>
      <c r="FS482" s="28"/>
      <c r="FT482" s="18"/>
      <c r="FU482" s="18"/>
      <c r="FV482" s="18"/>
      <c r="FW482" s="18"/>
      <c r="FX482" s="18"/>
      <c r="FY482" s="18"/>
      <c r="FZ482" s="18"/>
      <c r="GA482" s="18"/>
      <c r="GB482" s="18"/>
      <c r="GC482" s="28"/>
      <c r="GD482" s="18"/>
      <c r="GE482" s="18"/>
      <c r="GF482" s="18"/>
      <c r="GG482" s="18"/>
      <c r="GH482" s="18"/>
      <c r="GI482" s="18"/>
      <c r="GJ482" s="18"/>
      <c r="GK482" s="18"/>
      <c r="GL482" s="18"/>
      <c r="GM482" s="18"/>
      <c r="GN482" s="18"/>
      <c r="GO482" s="18"/>
      <c r="GP482" s="18"/>
      <c r="GQ482" s="18"/>
      <c r="GR482" s="27"/>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4"/>
      <c r="IA482" s="14"/>
      <c r="IB482" s="27"/>
      <c r="IC482" s="18"/>
      <c r="ID482" s="18"/>
      <c r="IE482" s="18"/>
      <c r="IF482" s="18"/>
      <c r="IG482" s="18"/>
      <c r="IH482" s="18"/>
      <c r="II482" s="14"/>
      <c r="IJ482" s="14"/>
      <c r="IK482" s="18"/>
      <c r="IL482" s="18"/>
      <c r="IM482" s="18"/>
      <c r="IN482" s="18"/>
      <c r="IO482" s="18"/>
      <c r="IP482" s="27">
        <v>44068</v>
      </c>
      <c r="IQ482" s="18"/>
      <c r="IR482" s="18"/>
      <c r="IS482" s="18"/>
      <c r="IT482" s="18"/>
      <c r="IU482" s="243"/>
      <c r="IV482" s="243"/>
      <c r="IZ482" s="18"/>
      <c r="JA482" s="18"/>
      <c r="JB482" s="18"/>
      <c r="JC482" s="18"/>
    </row>
    <row r="483" spans="1:263" ht="15" customHeight="1">
      <c r="A483" s="2">
        <v>102017098</v>
      </c>
      <c r="B483" t="s">
        <v>1055</v>
      </c>
      <c r="J483" t="s">
        <v>311</v>
      </c>
      <c r="K483" t="s">
        <v>1040</v>
      </c>
      <c r="L483" t="s">
        <v>1054</v>
      </c>
      <c r="M483" t="s">
        <v>357</v>
      </c>
      <c r="O483" s="1"/>
      <c r="T483" s="1"/>
    </row>
    <row r="484" spans="1:263" ht="15" customHeight="1">
      <c r="A484" s="2">
        <v>102019073</v>
      </c>
      <c r="B484" s="4" t="s">
        <v>1437</v>
      </c>
      <c r="D484" s="3"/>
      <c r="E484" s="3"/>
      <c r="F484" s="3"/>
      <c r="G484" s="3"/>
      <c r="H484" s="3"/>
      <c r="J484" t="s">
        <v>253</v>
      </c>
      <c r="K484" t="s">
        <v>1421</v>
      </c>
      <c r="L484" t="s">
        <v>1243</v>
      </c>
      <c r="M484" t="s">
        <v>392</v>
      </c>
      <c r="O484" s="1"/>
      <c r="T484" s="1"/>
      <c r="AX484" s="9"/>
      <c r="AY484" s="9"/>
      <c r="AZ484" s="9"/>
      <c r="BA484" s="9"/>
      <c r="BC484" s="9"/>
      <c r="BD484" s="9"/>
      <c r="BE484" s="9"/>
      <c r="BG484" s="66"/>
      <c r="BH484" s="66"/>
      <c r="BI484" s="66"/>
      <c r="BK484" s="66"/>
      <c r="BL484" s="66"/>
      <c r="BO484" s="66"/>
      <c r="BQ484" s="66"/>
      <c r="BR484" s="66"/>
      <c r="BU484" s="66"/>
      <c r="BV484" s="66"/>
      <c r="BW484" s="66"/>
      <c r="BX484" s="66"/>
      <c r="CA484" s="66"/>
      <c r="CB484" s="66"/>
      <c r="CC484" s="66"/>
      <c r="CD484" s="66"/>
      <c r="CG484" s="66"/>
      <c r="CH484" s="66"/>
      <c r="CI484" s="66"/>
      <c r="CJ484" s="66"/>
      <c r="CM484" s="66"/>
      <c r="CN484" s="66"/>
      <c r="CO484" s="66"/>
      <c r="CP484" s="66"/>
      <c r="CS484" s="66"/>
      <c r="CT484" s="66"/>
      <c r="CU484" s="66"/>
      <c r="CV484" s="66"/>
      <c r="CY484" s="66"/>
      <c r="CZ484" s="66"/>
      <c r="DA484" s="66"/>
      <c r="DB484" s="66"/>
      <c r="DE484" s="66"/>
      <c r="DF484" s="66"/>
      <c r="DG484" s="66"/>
      <c r="DH484" s="66"/>
      <c r="DI484" s="66"/>
      <c r="DJ484" s="66"/>
      <c r="DL484" s="66"/>
      <c r="DN484" s="66"/>
      <c r="DO484" s="66"/>
      <c r="DP484" s="66"/>
      <c r="DQ484" s="66"/>
      <c r="DR484" s="66"/>
      <c r="DS484" s="66"/>
      <c r="DT484" s="66"/>
      <c r="DU484" s="66"/>
      <c r="DV484" s="66"/>
      <c r="DW484" s="66"/>
      <c r="DX484" s="66"/>
      <c r="DY484" s="66"/>
      <c r="FR484" s="9"/>
      <c r="II484" s="9"/>
      <c r="IJ484" s="66"/>
      <c r="IK484" s="66"/>
      <c r="IL484" s="4"/>
      <c r="IM484" s="4"/>
    </row>
    <row r="485" spans="1:263" ht="15" customHeight="1">
      <c r="A485" s="19">
        <v>102022173</v>
      </c>
      <c r="B485" t="s">
        <v>1437</v>
      </c>
      <c r="D485" s="1"/>
      <c r="J485" t="s">
        <v>253</v>
      </c>
      <c r="K485" t="s">
        <v>1242</v>
      </c>
      <c r="L485" t="s">
        <v>817</v>
      </c>
      <c r="M485" t="s">
        <v>763</v>
      </c>
      <c r="AG485" s="248"/>
      <c r="AJ485" t="s">
        <v>1345</v>
      </c>
      <c r="AK485" t="s">
        <v>258</v>
      </c>
      <c r="AL485" t="s">
        <v>349</v>
      </c>
      <c r="AO485" t="s">
        <v>3221</v>
      </c>
      <c r="AP485" s="1" t="s">
        <v>258</v>
      </c>
      <c r="AQ485" s="3" t="s">
        <v>279</v>
      </c>
      <c r="AR485" s="3" t="s">
        <v>260</v>
      </c>
      <c r="AS485" s="1"/>
      <c r="AT485" s="1"/>
      <c r="AU485" s="1"/>
      <c r="AV485" s="1"/>
      <c r="AW485" s="1"/>
      <c r="AX485" s="2"/>
      <c r="AY485" s="116"/>
      <c r="AZ485" s="115"/>
      <c r="BA485" s="2"/>
      <c r="BB485" s="2"/>
      <c r="BC485" s="2"/>
      <c r="BD485" s="2"/>
      <c r="BE485" s="2"/>
      <c r="BF485" s="2"/>
      <c r="BG485" s="20"/>
      <c r="BH485" s="22"/>
      <c r="BI485" s="22"/>
      <c r="BJ485" s="14"/>
      <c r="BK485" s="22"/>
      <c r="BL485" s="14"/>
      <c r="BM485" s="14"/>
      <c r="BN485" s="14"/>
      <c r="BO485" s="17"/>
      <c r="BP485" s="23"/>
      <c r="BQ485" s="14"/>
      <c r="BR485" s="14"/>
      <c r="BS485" s="14"/>
      <c r="BT485" s="14"/>
      <c r="BU485" s="17"/>
      <c r="BV485" s="23"/>
      <c r="BW485" s="14"/>
      <c r="BX485" s="14"/>
      <c r="BY485" s="14"/>
      <c r="BZ485" s="14"/>
      <c r="CA485" s="17"/>
      <c r="CB485" s="23"/>
      <c r="CC485" s="14"/>
      <c r="CD485" s="14"/>
      <c r="CE485" s="14"/>
      <c r="CF485" s="14"/>
      <c r="CG485" s="17"/>
      <c r="CH485" s="23"/>
      <c r="CI485" s="14"/>
      <c r="CJ485" s="14"/>
      <c r="CK485" s="14"/>
      <c r="CL485" s="14"/>
      <c r="CM485" s="17"/>
      <c r="CN485" s="23"/>
      <c r="CO485" s="14"/>
      <c r="CP485" s="14"/>
      <c r="CQ485" s="14"/>
      <c r="CR485" s="14"/>
      <c r="CS485" s="14"/>
      <c r="CT485" s="47"/>
      <c r="CU485" s="14"/>
      <c r="CV485" s="32"/>
      <c r="CW485" s="14"/>
      <c r="CX485" s="4"/>
      <c r="CY485" s="14"/>
      <c r="CZ485" s="4"/>
      <c r="DE485" s="14"/>
      <c r="DF485" s="24"/>
      <c r="DG485" s="4"/>
      <c r="DH485" s="4"/>
      <c r="DI485" s="25"/>
      <c r="DJ485" s="35">
        <v>1</v>
      </c>
      <c r="IC485" s="4"/>
      <c r="II485" s="240"/>
      <c r="IJ485" s="240"/>
      <c r="IK485" s="240"/>
    </row>
    <row r="486" spans="1:263" ht="15" customHeight="1">
      <c r="A486" s="19">
        <v>102022146</v>
      </c>
      <c r="B486" t="s">
        <v>2878</v>
      </c>
      <c r="D486" s="1"/>
      <c r="J486" t="s">
        <v>253</v>
      </c>
      <c r="K486" t="s">
        <v>2087</v>
      </c>
      <c r="L486" t="s">
        <v>3165</v>
      </c>
      <c r="AG486" s="43"/>
      <c r="AJ486" t="s">
        <v>3166</v>
      </c>
      <c r="AK486" t="s">
        <v>258</v>
      </c>
      <c r="AL486" t="s">
        <v>349</v>
      </c>
      <c r="AM486" t="s">
        <v>260</v>
      </c>
      <c r="AN486"/>
      <c r="AO486" s="3" t="s">
        <v>3167</v>
      </c>
      <c r="AP486" s="3" t="s">
        <v>258</v>
      </c>
      <c r="AQ486" s="3" t="s">
        <v>3168</v>
      </c>
      <c r="AR486" t="s">
        <v>821</v>
      </c>
      <c r="AS486" s="1"/>
      <c r="AT486" s="1"/>
      <c r="AU486" s="1"/>
      <c r="AV486" s="1"/>
      <c r="AW486" s="1"/>
      <c r="AX486" s="2"/>
      <c r="AY486" s="116"/>
      <c r="AZ486" s="115"/>
      <c r="BA486" s="2"/>
      <c r="BB486" s="2"/>
      <c r="BC486" s="2"/>
      <c r="BD486" s="2"/>
      <c r="BE486" s="2"/>
      <c r="BF486" s="2"/>
      <c r="BG486" s="20">
        <f ca="1">SUM(CY486)+214.5</f>
        <v>843.19806666666659</v>
      </c>
      <c r="BH486" s="22">
        <f ca="1">PMT(10%/12,12,BG486,0,0)</f>
        <v>-74.130506141628771</v>
      </c>
      <c r="BI486" s="22">
        <f ca="1">SUM(BH486*-1)</f>
        <v>74.130506141628771</v>
      </c>
      <c r="BJ486" s="14">
        <f>SUM(DI486*0.0052)/12</f>
        <v>21.103333333333332</v>
      </c>
      <c r="BK486" s="22">
        <f ca="1">SUM(BI486+BJ486)</f>
        <v>95.23383947496211</v>
      </c>
      <c r="BL486" s="14"/>
      <c r="BM486" s="14">
        <f>SUM(BL486*0.1)</f>
        <v>0</v>
      </c>
      <c r="BN486" s="14">
        <f ca="1">SUM(BO486*BP486)</f>
        <v>0</v>
      </c>
      <c r="BO486" s="17">
        <f>SUM((BL486+BM486)*0.00833333333333333)</f>
        <v>0</v>
      </c>
      <c r="BP486" s="23">
        <f ca="1">MONTH(TODAY())+49</f>
        <v>53</v>
      </c>
      <c r="BQ486" s="14">
        <f ca="1">SUM(BL486,BM486,BN486)</f>
        <v>0</v>
      </c>
      <c r="BR486" s="14"/>
      <c r="BS486" s="14">
        <f>SUM(BR486*0.1)</f>
        <v>0</v>
      </c>
      <c r="BT486" s="14">
        <f ca="1">SUM(BU486*BV486)</f>
        <v>0</v>
      </c>
      <c r="BU486" s="17">
        <f>SUM((BR486+BS486)*0.00833333333333333)</f>
        <v>0</v>
      </c>
      <c r="BV486" s="23">
        <f ca="1">MONTH(TODAY())+37</f>
        <v>41</v>
      </c>
      <c r="BW486" s="14">
        <f ca="1">SUM(BR486,BS486,BT486)</f>
        <v>0</v>
      </c>
      <c r="BX486" s="14"/>
      <c r="BY486" s="14">
        <f>SUM(BX486*0.1)</f>
        <v>0</v>
      </c>
      <c r="BZ486" s="14">
        <f ca="1">SUM(CA486*CB486)</f>
        <v>0</v>
      </c>
      <c r="CA486" s="17">
        <f>SUM((BX486+BY486)*0.00833333333333333)</f>
        <v>0</v>
      </c>
      <c r="CB486" s="23">
        <f ca="1">MONTH(TODAY())+25</f>
        <v>29</v>
      </c>
      <c r="CC486" s="14">
        <f ca="1">SUM(BX486,BY486,BZ486)</f>
        <v>0</v>
      </c>
      <c r="CD486" s="14">
        <f>SUM(DI486*0.0052)</f>
        <v>253.23999999999998</v>
      </c>
      <c r="CE486" s="14">
        <f>SUM(CD486*0.1)</f>
        <v>25.323999999999998</v>
      </c>
      <c r="CF486" s="14">
        <f ca="1">SUM(CG486*CH486)</f>
        <v>39.463233333333307</v>
      </c>
      <c r="CG486" s="17">
        <f>SUM((CD486+CE486)*0.00833333333333333)</f>
        <v>2.3213666666666652</v>
      </c>
      <c r="CH486" s="23">
        <f ca="1">MONTH(TODAY())+13</f>
        <v>17</v>
      </c>
      <c r="CI486" s="14">
        <f ca="1">SUM(CD486,CE486,CF486)</f>
        <v>318.02723333333324</v>
      </c>
      <c r="CJ486" s="14">
        <f>SUM(DI486*0.0052)</f>
        <v>253.23999999999998</v>
      </c>
      <c r="CK486" s="14">
        <f>SUM(CJ486*0.1)</f>
        <v>25.323999999999998</v>
      </c>
      <c r="CL486" s="14">
        <f ca="1">SUM(CM486*CN486)</f>
        <v>11.606833333333327</v>
      </c>
      <c r="CM486" s="17">
        <f>SUM((CJ486+CK486)*0.00833333333333333)</f>
        <v>2.3213666666666652</v>
      </c>
      <c r="CN486" s="23">
        <f ca="1">MONTH(TODAY())+1</f>
        <v>5</v>
      </c>
      <c r="CO486" s="14">
        <f ca="1">SUM(CJ486,CK486,CL486)</f>
        <v>290.17083333333329</v>
      </c>
      <c r="CP486" s="14">
        <f>SUM(BL486, BR486,BX486,CD486,CJ486)</f>
        <v>506.47999999999996</v>
      </c>
      <c r="CQ486" s="14">
        <f>SUM(BM486, BS486,BY486,CE486,CK486)</f>
        <v>50.647999999999996</v>
      </c>
      <c r="CR486" s="14">
        <f ca="1">SUM(BN486, BT486,BZ486,CF486,CL486)</f>
        <v>51.070066666666634</v>
      </c>
      <c r="CS486" s="14">
        <f ca="1">SUM(CP486:CR486)</f>
        <v>608.19806666666659</v>
      </c>
      <c r="CT486" s="47">
        <f ca="1">SUM(CS486/DI486)</f>
        <v>1.2488666666666665E-2</v>
      </c>
      <c r="CU486" s="14">
        <v>19.5</v>
      </c>
      <c r="CV486" s="32">
        <f>COUNTIF(DB486, "*")+COUNTIF(AO486, "*")+COUNTIF(AJ486, "*")+COUNTIF(AA486, "*")+COUNTIF(DY486, "*")+COUNTIF(EE486, "*")+COUNTIF(EK486, "*")+COUNTIF(EO486, "*")+COUNTIF(EV486, "*")+COUNTIF(FC486, "*")+COUNTIF(FJ486, "*")+COUNTIF(FU486, "*")+COUNTIF(GF486, "*")+COUNTIF(GN486, "*")+COUNTIF(GV486, "*")+COUNTIF(HD486, "*")+COUNTIF(HL486, "*")</f>
        <v>2</v>
      </c>
      <c r="CW486" s="14">
        <f>CV486*0.5</f>
        <v>1</v>
      </c>
      <c r="CX486" s="4"/>
      <c r="CY486" s="14">
        <f ca="1">SUM(CS486,CU486,DE486, CX486, CW486,FG486)</f>
        <v>628.69806666666659</v>
      </c>
      <c r="CZ486" s="4"/>
      <c r="DE486" s="14">
        <f>SUM(CZ486:DD486)</f>
        <v>0</v>
      </c>
      <c r="DF486" s="24" t="s">
        <v>2773</v>
      </c>
      <c r="DG486" s="4">
        <v>11700</v>
      </c>
      <c r="DH486" s="4">
        <v>37000</v>
      </c>
      <c r="DI486" s="25">
        <f>SUM(DG486+DH486)</f>
        <v>48700</v>
      </c>
      <c r="DJ486" s="35">
        <v>0.65</v>
      </c>
      <c r="IC486" s="4"/>
      <c r="IZ486" s="18"/>
      <c r="JA486" s="18"/>
      <c r="JB486" s="18"/>
      <c r="JC486" s="18"/>
    </row>
    <row r="487" spans="1:263" ht="15" customHeight="1">
      <c r="A487" s="19">
        <v>102021095</v>
      </c>
      <c r="B487" s="18" t="s">
        <v>2628</v>
      </c>
      <c r="D487" s="1"/>
      <c r="E487" s="3"/>
      <c r="F487" s="3"/>
      <c r="G487">
        <v>210008270</v>
      </c>
      <c r="J487" s="18" t="s">
        <v>311</v>
      </c>
      <c r="K487" s="18" t="s">
        <v>910</v>
      </c>
      <c r="L487" s="18" t="s">
        <v>1054</v>
      </c>
      <c r="M487" s="18" t="s">
        <v>357</v>
      </c>
      <c r="AD487" t="s">
        <v>2708</v>
      </c>
      <c r="AE487" t="s">
        <v>311</v>
      </c>
      <c r="AF487" t="s">
        <v>910</v>
      </c>
      <c r="AG487" s="43" t="s">
        <v>2710</v>
      </c>
      <c r="AH487" s="3" t="s">
        <v>2709</v>
      </c>
      <c r="AI487" s="18" t="s">
        <v>349</v>
      </c>
      <c r="AJ487" s="18" t="s">
        <v>328</v>
      </c>
      <c r="AK487" s="18"/>
      <c r="AL487" s="18" t="s">
        <v>349</v>
      </c>
      <c r="AM487"/>
      <c r="AN487"/>
      <c r="AO487" s="3" t="s">
        <v>2624</v>
      </c>
      <c r="AP487" s="3" t="s">
        <v>258</v>
      </c>
      <c r="AQ487" t="s">
        <v>349</v>
      </c>
      <c r="AR487" s="18" t="s">
        <v>260</v>
      </c>
      <c r="AS487" s="1"/>
      <c r="AT487" s="1"/>
      <c r="AU487" s="1"/>
      <c r="AV487" s="1"/>
      <c r="AW487" s="1"/>
      <c r="AX487" s="2"/>
      <c r="AY487" s="116"/>
      <c r="AZ487" s="115"/>
      <c r="BA487" s="2"/>
      <c r="BB487" s="2"/>
      <c r="BC487" s="2"/>
      <c r="BD487" s="2"/>
      <c r="BE487" s="2"/>
      <c r="BF487" s="2"/>
      <c r="BG487" s="20">
        <f ca="1">SUM(DK487)+214.5</f>
        <v>950.44299999999987</v>
      </c>
      <c r="BH487" s="22">
        <f ca="1">PMT(10%/12,12,BG487,0,0)</f>
        <v>-83.559039606552005</v>
      </c>
      <c r="BI487" s="22">
        <f ca="1">SUM(BH487*-1)</f>
        <v>83.559039606552005</v>
      </c>
      <c r="BJ487" s="14">
        <f>SUM(DU487*0.0052)/12</f>
        <v>11.006666666666666</v>
      </c>
      <c r="BK487" s="22">
        <f ca="1">SUM(BI487+BJ487)</f>
        <v>94.565706273218666</v>
      </c>
      <c r="BL487" s="14"/>
      <c r="BM487" s="14">
        <f>SUM(BL487*0.1)</f>
        <v>0</v>
      </c>
      <c r="BN487" s="14">
        <f ca="1">SUM(BO487*BP487)</f>
        <v>0</v>
      </c>
      <c r="BO487" s="17">
        <f>SUM((BL487+BM487)*0.00833333333333333)</f>
        <v>0</v>
      </c>
      <c r="BP487" s="23">
        <f ca="1">MONTH(TODAY())+49</f>
        <v>53</v>
      </c>
      <c r="BQ487" s="14">
        <f ca="1">SUM(BL487,BM487,BN487)</f>
        <v>0</v>
      </c>
      <c r="BR487" s="14"/>
      <c r="BS487" s="14">
        <f>SUM(BR487*0.1)</f>
        <v>0</v>
      </c>
      <c r="BT487" s="14">
        <f ca="1">SUM(BU487*BV487)</f>
        <v>0</v>
      </c>
      <c r="BU487" s="17">
        <f>SUM((BR487+BS487)*0.00833333333333333)</f>
        <v>0</v>
      </c>
      <c r="BV487" s="23">
        <f ca="1">MONTH(TODAY())+37</f>
        <v>41</v>
      </c>
      <c r="BW487" s="14">
        <f ca="1">SUM(BR487,BS487,BT487)</f>
        <v>0</v>
      </c>
      <c r="BX487" s="14">
        <v>0</v>
      </c>
      <c r="BY487" s="14">
        <f>SUM(BX487*0.1)</f>
        <v>0</v>
      </c>
      <c r="BZ487" s="14">
        <f ca="1">SUM(CA487*CB487)</f>
        <v>0</v>
      </c>
      <c r="CA487" s="17">
        <f>SUM((BX487+BY487)*0.00833333333333333)</f>
        <v>0</v>
      </c>
      <c r="CB487" s="23">
        <f ca="1">MONTH(TODAY())+25</f>
        <v>29</v>
      </c>
      <c r="CC487" s="14">
        <f ca="1">SUM(BX487,BY487,BZ487)</f>
        <v>0</v>
      </c>
      <c r="CD487" s="14">
        <v>116.24</v>
      </c>
      <c r="CE487" s="14">
        <f>SUM(CD487*0.1)</f>
        <v>11.624000000000001</v>
      </c>
      <c r="CF487" s="14">
        <f ca="1">SUM(CG487*CH487)</f>
        <v>18.114066666666659</v>
      </c>
      <c r="CG487" s="17">
        <f>SUM((CD487+CE487)*0.00833333333333333)</f>
        <v>1.0655333333333328</v>
      </c>
      <c r="CH487" s="23">
        <f ca="1">MONTH(TODAY())+13</f>
        <v>17</v>
      </c>
      <c r="CI487" s="14">
        <f ca="1">SUM(CD487,CE487,CF487)</f>
        <v>145.97806666666665</v>
      </c>
      <c r="CJ487" s="14">
        <f>SUM(DU487*0.0052)</f>
        <v>132.07999999999998</v>
      </c>
      <c r="CK487" s="14">
        <f>SUM(CJ487*0.1)</f>
        <v>13.207999999999998</v>
      </c>
      <c r="CL487" s="14">
        <f ca="1">SUM(CM487*CN487)</f>
        <v>6.0536666666666639</v>
      </c>
      <c r="CM487" s="17">
        <f>SUM((CJ487+CK487)*0.00833333333333333)</f>
        <v>1.2107333333333328</v>
      </c>
      <c r="CN487" s="23">
        <f ca="1">MONTH(TODAY())+1</f>
        <v>5</v>
      </c>
      <c r="CO487" s="14">
        <f ca="1">SUM(CJ487,CK487,CL487)</f>
        <v>151.34166666666664</v>
      </c>
      <c r="CP487" s="14">
        <f>SUM(DU487*0.0052)/2</f>
        <v>66.039999999999992</v>
      </c>
      <c r="CQ487" s="14">
        <f>SUM(CP487*0.1)</f>
        <v>6.6039999999999992</v>
      </c>
      <c r="CR487" s="14">
        <f ca="1">SUM(CS487*CT487)</f>
        <v>-1.2107333333333328</v>
      </c>
      <c r="CS487" s="17">
        <f>SUM((CP487+CQ487)*0.00833333333333333)</f>
        <v>0.60536666666666639</v>
      </c>
      <c r="CT487" s="23">
        <f ca="1">MONTH(TODAY())-6</f>
        <v>-2</v>
      </c>
      <c r="CU487" s="23">
        <f ca="1">SUM(CP487,CQ487,CR487)</f>
        <v>71.433266666666654</v>
      </c>
      <c r="CV487" s="14">
        <f>SUM(DU487*0.0052)/2</f>
        <v>66.039999999999992</v>
      </c>
      <c r="CW487" s="14">
        <v>0</v>
      </c>
      <c r="CX487" s="14">
        <v>0</v>
      </c>
      <c r="CY487" s="17">
        <f>SUM((CV487+CW487)*0.00833333333333333)</f>
        <v>0.55033333333333301</v>
      </c>
      <c r="CZ487" s="23">
        <f ca="1">MONTH(TODAY())-6</f>
        <v>-2</v>
      </c>
      <c r="DA487" s="23">
        <f>SUM(CV487,CW487,CX487)</f>
        <v>66.039999999999992</v>
      </c>
      <c r="DB487" s="14">
        <f>SUM(BL487, BR487, BX487, CD487, CJ487, CP487,CV487)</f>
        <v>380.4</v>
      </c>
      <c r="DC487" s="14">
        <f t="shared" ref="DC487:DD489" si="97">SUM(BM487, BS487,BY487,CE487,CK487, CQ487,CW487)</f>
        <v>31.436</v>
      </c>
      <c r="DD487" s="14">
        <f t="shared" ca="1" si="97"/>
        <v>22.95699999999999</v>
      </c>
      <c r="DE487" s="14">
        <f ca="1">SUM(DB487:DD487)</f>
        <v>434.79299999999995</v>
      </c>
      <c r="DF487" s="47">
        <f ca="1">SUM(DE487/DU487)</f>
        <v>1.7117834645669291E-2</v>
      </c>
      <c r="DG487" s="14">
        <f>235+58.5</f>
        <v>293.5</v>
      </c>
      <c r="DH487" s="32">
        <f>COUNTIF(DN487, "*")+COUNTIF(AO487, "*")+COUNTIF(AJ487, "*")+COUNTIF(AA487, "*")+COUNTIF(EK487, "*")+COUNTIF(EQ487, "*")+COUNTIF(EW487, "*")+COUNTIF(FA487, "*")+COUNTIF(FH487, "*")+COUNTIF(FO487, "*")+COUNTIF(FV487, "*")+COUNTIF(GG487, "*")+COUNTIF(GR487, "*")+COUNTIF(GZ487, "*")+COUNTIF(HH487, "*")+COUNTIF(HP487, "*")+COUNTIF(HX487, "*")</f>
        <v>2</v>
      </c>
      <c r="DI487" s="14">
        <f>DH487*0.5+6.65</f>
        <v>7.65</v>
      </c>
      <c r="DJ487" s="4"/>
      <c r="DK487" s="14">
        <f ca="1">SUM(DE487,DG487,DQ487, DJ487, DI487,FS487)</f>
        <v>735.94299999999987</v>
      </c>
      <c r="DL487" s="4"/>
      <c r="DM487" s="4"/>
      <c r="DN487" s="4"/>
      <c r="DP487" s="4"/>
      <c r="DQ487" s="14">
        <f>SUM(DL487:DP487)</f>
        <v>0</v>
      </c>
      <c r="DR487" s="24" t="s">
        <v>2770</v>
      </c>
      <c r="DS487" s="4">
        <v>25400</v>
      </c>
      <c r="DT487" s="4">
        <v>0</v>
      </c>
      <c r="DU487" s="25">
        <f>SUM(DS487+DT487)</f>
        <v>25400</v>
      </c>
      <c r="DV487" s="35">
        <v>2.4700000000000002</v>
      </c>
      <c r="IO487" s="4"/>
    </row>
    <row r="488" spans="1:263" s="18" customFormat="1" ht="15" customHeight="1">
      <c r="A488" s="19">
        <v>102021092</v>
      </c>
      <c r="B488" s="18" t="s">
        <v>2623</v>
      </c>
      <c r="C488"/>
      <c r="D488" s="1"/>
      <c r="E488" s="3"/>
      <c r="F488" s="3"/>
      <c r="G488">
        <v>210007804</v>
      </c>
      <c r="H488"/>
      <c r="I488"/>
      <c r="J488" s="18" t="s">
        <v>253</v>
      </c>
      <c r="K488" s="18" t="s">
        <v>910</v>
      </c>
      <c r="L488" s="18" t="s">
        <v>657</v>
      </c>
      <c r="M488" s="18" t="s">
        <v>309</v>
      </c>
      <c r="N488"/>
      <c r="O488"/>
      <c r="P488"/>
      <c r="Q488"/>
      <c r="R488"/>
      <c r="S488"/>
      <c r="T488"/>
      <c r="U488"/>
      <c r="V488"/>
      <c r="W488"/>
      <c r="X488"/>
      <c r="Y488"/>
      <c r="Z488"/>
      <c r="AA488"/>
      <c r="AB488"/>
      <c r="AC488"/>
      <c r="AD488" t="s">
        <v>2708</v>
      </c>
      <c r="AE488" t="s">
        <v>311</v>
      </c>
      <c r="AF488" t="s">
        <v>910</v>
      </c>
      <c r="AG488" s="43" t="s">
        <v>2710</v>
      </c>
      <c r="AH488" s="3" t="s">
        <v>2709</v>
      </c>
      <c r="AI488" s="18" t="s">
        <v>349</v>
      </c>
      <c r="AJ488" s="18" t="s">
        <v>328</v>
      </c>
      <c r="AL488" s="18" t="s">
        <v>349</v>
      </c>
      <c r="AM488"/>
      <c r="AN488"/>
      <c r="AO488" s="3" t="s">
        <v>2624</v>
      </c>
      <c r="AP488" s="3" t="s">
        <v>258</v>
      </c>
      <c r="AQ488" t="s">
        <v>349</v>
      </c>
      <c r="AR488" s="18" t="s">
        <v>260</v>
      </c>
      <c r="AS488" s="1"/>
      <c r="AT488" s="1"/>
      <c r="AU488" s="1"/>
      <c r="AV488" s="1"/>
      <c r="AW488" s="1"/>
      <c r="AX488" s="2"/>
      <c r="AY488" s="116"/>
      <c r="AZ488" s="115"/>
      <c r="BA488" s="2"/>
      <c r="BB488" s="2"/>
      <c r="BC488" s="2"/>
      <c r="BD488" s="2"/>
      <c r="BE488" s="2"/>
      <c r="BF488" s="2"/>
      <c r="BG488" s="20">
        <f ca="1">SUM(DK488)+214.5</f>
        <v>950.43044166666664</v>
      </c>
      <c r="BH488" s="22">
        <f ca="1">PMT(10%/12,12,BG488,0,0)</f>
        <v>-83.557935529534873</v>
      </c>
      <c r="BI488" s="22">
        <f ca="1">SUM(BH488*-1)</f>
        <v>83.557935529534873</v>
      </c>
      <c r="BJ488" s="14">
        <f>SUM(DU488*0.0052)/12</f>
        <v>11.006666666666666</v>
      </c>
      <c r="BK488" s="22">
        <f ca="1">SUM(BI488+BJ488)</f>
        <v>94.564602196201534</v>
      </c>
      <c r="BL488" s="14"/>
      <c r="BM488" s="14">
        <f>SUM(BL488*0.1)</f>
        <v>0</v>
      </c>
      <c r="BN488" s="14">
        <f ca="1">SUM(BO488*BP488)</f>
        <v>0</v>
      </c>
      <c r="BO488" s="17">
        <f>SUM((BL488+BM488)*0.00833333333333333)</f>
        <v>0</v>
      </c>
      <c r="BP488" s="23">
        <f ca="1">MONTH(TODAY())+49</f>
        <v>53</v>
      </c>
      <c r="BQ488" s="14">
        <f ca="1">SUM(BL488,BM488,BN488)</f>
        <v>0</v>
      </c>
      <c r="BR488" s="14"/>
      <c r="BS488" s="14">
        <f>SUM(BR488*0.1)</f>
        <v>0</v>
      </c>
      <c r="BT488" s="14">
        <f ca="1">SUM(BU488*BV488)</f>
        <v>0</v>
      </c>
      <c r="BU488" s="17">
        <f>SUM((BR488+BS488)*0.00833333333333333)</f>
        <v>0</v>
      </c>
      <c r="BV488" s="23">
        <f ca="1">MONTH(TODAY())+37</f>
        <v>41</v>
      </c>
      <c r="BW488" s="14">
        <f ca="1">SUM(BR488,BS488,BT488)</f>
        <v>0</v>
      </c>
      <c r="BX488" s="14">
        <v>0</v>
      </c>
      <c r="BY488" s="14">
        <f>SUM(BX488*0.1)</f>
        <v>0</v>
      </c>
      <c r="BZ488" s="14">
        <f ca="1">SUM(CA488*CB488)</f>
        <v>0</v>
      </c>
      <c r="CA488" s="17">
        <f>SUM((BX488+BY488)*0.00833333333333333)</f>
        <v>0</v>
      </c>
      <c r="CB488" s="23">
        <f ca="1">MONTH(TODAY())+25</f>
        <v>29</v>
      </c>
      <c r="CC488" s="14">
        <f ca="1">SUM(BX488,BY488,BZ488)</f>
        <v>0</v>
      </c>
      <c r="CD488" s="14">
        <v>116.23</v>
      </c>
      <c r="CE488" s="14">
        <f>SUM(CD488*0.1)</f>
        <v>11.623000000000001</v>
      </c>
      <c r="CF488" s="14">
        <f ca="1">SUM(CG488*CH488)</f>
        <v>18.112508333333324</v>
      </c>
      <c r="CG488" s="17">
        <f>SUM((CD488+CE488)*0.00833333333333333)</f>
        <v>1.0654416666666662</v>
      </c>
      <c r="CH488" s="23">
        <f ca="1">MONTH(TODAY())+13</f>
        <v>17</v>
      </c>
      <c r="CI488" s="14">
        <f ca="1">SUM(CD488,CE488,CF488)</f>
        <v>145.96550833333333</v>
      </c>
      <c r="CJ488" s="14">
        <f>SUM(DU488*0.0052)</f>
        <v>132.07999999999998</v>
      </c>
      <c r="CK488" s="14">
        <f>SUM(CJ488*0.1)</f>
        <v>13.207999999999998</v>
      </c>
      <c r="CL488" s="14">
        <f ca="1">SUM(CM488*CN488)</f>
        <v>6.0536666666666639</v>
      </c>
      <c r="CM488" s="17">
        <f>SUM((CJ488+CK488)*0.00833333333333333)</f>
        <v>1.2107333333333328</v>
      </c>
      <c r="CN488" s="23">
        <f ca="1">MONTH(TODAY())+1</f>
        <v>5</v>
      </c>
      <c r="CO488" s="14">
        <f ca="1">SUM(CJ488,CK488,CL488)</f>
        <v>151.34166666666664</v>
      </c>
      <c r="CP488" s="14">
        <f>SUM(DU488*0.0052)/2</f>
        <v>66.039999999999992</v>
      </c>
      <c r="CQ488" s="14">
        <f>SUM(CP488*0.1)</f>
        <v>6.6039999999999992</v>
      </c>
      <c r="CR488" s="14">
        <f ca="1">SUM(CS488*CT488)</f>
        <v>-1.2107333333333328</v>
      </c>
      <c r="CS488" s="17">
        <f>SUM((CP488+CQ488)*0.00833333333333333)</f>
        <v>0.60536666666666639</v>
      </c>
      <c r="CT488" s="23">
        <f ca="1">MONTH(TODAY())-6</f>
        <v>-2</v>
      </c>
      <c r="CU488" s="23">
        <f ca="1">SUM(CP488,CQ488,CR488)</f>
        <v>71.433266666666654</v>
      </c>
      <c r="CV488" s="14">
        <f>SUM(DU488*0.0052)/2</f>
        <v>66.039999999999992</v>
      </c>
      <c r="CW488" s="14">
        <v>0</v>
      </c>
      <c r="CX488" s="14">
        <v>0</v>
      </c>
      <c r="CY488" s="17">
        <f>SUM((CV488+CW488)*0.00833333333333333)</f>
        <v>0.55033333333333301</v>
      </c>
      <c r="CZ488" s="23">
        <f ca="1">MONTH(TODAY())-6</f>
        <v>-2</v>
      </c>
      <c r="DA488" s="23">
        <f>SUM(CV488,CW488,CX488)</f>
        <v>66.039999999999992</v>
      </c>
      <c r="DB488" s="14">
        <f>SUM(BL488, BR488, BX488, CD488, CJ488, CP488,CV488)</f>
        <v>380.39</v>
      </c>
      <c r="DC488" s="14">
        <f t="shared" si="97"/>
        <v>31.434999999999999</v>
      </c>
      <c r="DD488" s="14">
        <f t="shared" ca="1" si="97"/>
        <v>22.955441666666655</v>
      </c>
      <c r="DE488" s="14">
        <f ca="1">SUM(DB488:DD488)</f>
        <v>434.78044166666666</v>
      </c>
      <c r="DF488" s="47">
        <f ca="1">SUM(DE488/DU488)</f>
        <v>1.7117340223097112E-2</v>
      </c>
      <c r="DG488" s="14">
        <f>235+58.5</f>
        <v>293.5</v>
      </c>
      <c r="DH488" s="32">
        <f>COUNTIF(DN488, "*")+COUNTIF(AO488, "*")+COUNTIF(AJ488, "*")+COUNTIF(AA488, "*")+COUNTIF(EK488, "*")+COUNTIF(EQ488, "*")+COUNTIF(EW488, "*")+COUNTIF(FA488, "*")+COUNTIF(FH488, "*")+COUNTIF(FO488, "*")+COUNTIF(FV488, "*")+COUNTIF(GG488, "*")+COUNTIF(GR488, "*")+COUNTIF(GZ488, "*")+COUNTIF(HH488, "*")+COUNTIF(HP488, "*")+COUNTIF(HX488, "*")</f>
        <v>2</v>
      </c>
      <c r="DI488" s="14">
        <f>DH488*0.5+6.65</f>
        <v>7.65</v>
      </c>
      <c r="DJ488" s="4"/>
      <c r="DK488" s="14">
        <f ca="1">SUM(DE488,DG488,DQ488, DJ488, DI488,FS488)</f>
        <v>735.93044166666664</v>
      </c>
      <c r="DL488" s="4"/>
      <c r="DM488" s="4"/>
      <c r="DN488" s="4"/>
      <c r="DO488"/>
      <c r="DP488" s="4"/>
      <c r="DQ488" s="14">
        <f>SUM(DL488:DP488)</f>
        <v>0</v>
      </c>
      <c r="DR488" s="24" t="s">
        <v>2770</v>
      </c>
      <c r="DS488" s="4">
        <v>25400</v>
      </c>
      <c r="DT488" s="4">
        <v>0</v>
      </c>
      <c r="DU488" s="25">
        <f>SUM(DS488+DT488)</f>
        <v>25400</v>
      </c>
      <c r="DV488" s="35">
        <v>2.4729999999999999</v>
      </c>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s="4"/>
      <c r="IP488"/>
      <c r="IQ488"/>
      <c r="IR488"/>
      <c r="IS488"/>
      <c r="IT488"/>
      <c r="IU488"/>
      <c r="IV488"/>
      <c r="IW488"/>
      <c r="IX488"/>
      <c r="IY488"/>
      <c r="IZ488"/>
      <c r="JA488"/>
      <c r="JB488"/>
      <c r="JC488"/>
    </row>
    <row r="489" spans="1:263" ht="15" customHeight="1">
      <c r="A489" s="19">
        <v>102021094</v>
      </c>
      <c r="B489" s="18" t="s">
        <v>2626</v>
      </c>
      <c r="D489" s="1"/>
      <c r="E489" s="3"/>
      <c r="F489" s="3"/>
      <c r="G489">
        <v>210007803</v>
      </c>
      <c r="J489" s="18" t="s">
        <v>311</v>
      </c>
      <c r="K489" s="18" t="s">
        <v>910</v>
      </c>
      <c r="L489" s="18" t="s">
        <v>2627</v>
      </c>
      <c r="M489" s="18" t="s">
        <v>426</v>
      </c>
      <c r="N489" s="18" t="s">
        <v>579</v>
      </c>
      <c r="AD489" t="s">
        <v>2708</v>
      </c>
      <c r="AE489" t="s">
        <v>311</v>
      </c>
      <c r="AF489" t="s">
        <v>910</v>
      </c>
      <c r="AG489" s="43" t="s">
        <v>2710</v>
      </c>
      <c r="AH489" s="3" t="s">
        <v>2709</v>
      </c>
      <c r="AI489" s="18" t="s">
        <v>349</v>
      </c>
      <c r="AJ489" s="18" t="s">
        <v>328</v>
      </c>
      <c r="AK489" s="18"/>
      <c r="AL489" s="18" t="s">
        <v>349</v>
      </c>
      <c r="AM489"/>
      <c r="AN489"/>
      <c r="AO489" s="3" t="s">
        <v>2624</v>
      </c>
      <c r="AP489" s="3" t="s">
        <v>258</v>
      </c>
      <c r="AQ489" t="s">
        <v>349</v>
      </c>
      <c r="AR489" s="18" t="s">
        <v>260</v>
      </c>
      <c r="AS489" s="1"/>
      <c r="AT489" s="1"/>
      <c r="AU489" s="1"/>
      <c r="AV489" s="1"/>
      <c r="AW489" s="1"/>
      <c r="AX489" s="2"/>
      <c r="AY489" s="116"/>
      <c r="AZ489" s="115"/>
      <c r="BA489" s="2"/>
      <c r="BB489" s="2"/>
      <c r="BC489" s="2"/>
      <c r="BD489" s="2"/>
      <c r="BE489" s="2"/>
      <c r="BF489" s="2"/>
      <c r="BG489" s="20">
        <f ca="1">SUM(DK489)+214.5</f>
        <v>948.45196666666664</v>
      </c>
      <c r="BH489" s="22">
        <f ca="1">PMT(10%/12,12,BG489,0,0)</f>
        <v>-83.383996144547481</v>
      </c>
      <c r="BI489" s="22">
        <f ca="1">SUM(BH489*-1)</f>
        <v>83.383996144547481</v>
      </c>
      <c r="BJ489" s="14">
        <f>SUM(DU489*0.0052)/12</f>
        <v>10.963333333333333</v>
      </c>
      <c r="BK489" s="22">
        <f ca="1">SUM(BI489+BJ489)</f>
        <v>94.34732947788082</v>
      </c>
      <c r="BL489" s="14"/>
      <c r="BM489" s="14">
        <f>SUM(BL489*0.1)</f>
        <v>0</v>
      </c>
      <c r="BN489" s="14">
        <f ca="1">SUM(BO489*BP489)</f>
        <v>0</v>
      </c>
      <c r="BO489" s="17">
        <f>SUM((BL489+BM489)*0.00833333333333333)</f>
        <v>0</v>
      </c>
      <c r="BP489" s="23">
        <f ca="1">MONTH(TODAY())+49</f>
        <v>53</v>
      </c>
      <c r="BQ489" s="14">
        <f ca="1">SUM(BL489,BM489,BN489)</f>
        <v>0</v>
      </c>
      <c r="BR489" s="14"/>
      <c r="BS489" s="14">
        <f>SUM(BR489*0.1)</f>
        <v>0</v>
      </c>
      <c r="BT489" s="14">
        <f ca="1">SUM(BU489*BV489)</f>
        <v>0</v>
      </c>
      <c r="BU489" s="17">
        <f>SUM((BR489+BS489)*0.00833333333333333)</f>
        <v>0</v>
      </c>
      <c r="BV489" s="23">
        <f ca="1">MONTH(TODAY())+37</f>
        <v>41</v>
      </c>
      <c r="BW489" s="14">
        <f ca="1">SUM(BR489,BS489,BT489)</f>
        <v>0</v>
      </c>
      <c r="BX489" s="14">
        <v>0</v>
      </c>
      <c r="BY489" s="14">
        <f>SUM(BX489*0.1)</f>
        <v>0</v>
      </c>
      <c r="BZ489" s="14">
        <f ca="1">SUM(CA489*CB489)</f>
        <v>0</v>
      </c>
      <c r="CA489" s="17">
        <f>SUM((BX489+BY489)*0.00833333333333333)</f>
        <v>0</v>
      </c>
      <c r="CB489" s="23">
        <f ca="1">MONTH(TODAY())+25</f>
        <v>29</v>
      </c>
      <c r="CC489" s="14">
        <f ca="1">SUM(BX489,BY489,BZ489)</f>
        <v>0</v>
      </c>
      <c r="CD489" s="14">
        <v>115.56</v>
      </c>
      <c r="CE489" s="14">
        <f>SUM(CD489*0.1)</f>
        <v>11.556000000000001</v>
      </c>
      <c r="CF489" s="14">
        <f ca="1">SUM(CG489*CH489)</f>
        <v>18.008099999999992</v>
      </c>
      <c r="CG489" s="17">
        <f>SUM((CD489+CE489)*0.00833333333333333)</f>
        <v>1.0592999999999995</v>
      </c>
      <c r="CH489" s="23">
        <f ca="1">MONTH(TODAY())+13</f>
        <v>17</v>
      </c>
      <c r="CI489" s="14">
        <f ca="1">SUM(CD489,CE489,CF489)</f>
        <v>145.1241</v>
      </c>
      <c r="CJ489" s="14">
        <f>SUM(DU489*0.0052)</f>
        <v>131.56</v>
      </c>
      <c r="CK489" s="14">
        <f>SUM(CJ489*0.1)</f>
        <v>13.156000000000001</v>
      </c>
      <c r="CL489" s="14">
        <f ca="1">SUM(CM489*CN489)</f>
        <v>6.0298333333333307</v>
      </c>
      <c r="CM489" s="17">
        <f>SUM((CJ489+CK489)*0.00833333333333333)</f>
        <v>1.2059666666666662</v>
      </c>
      <c r="CN489" s="23">
        <f ca="1">MONTH(TODAY())+1</f>
        <v>5</v>
      </c>
      <c r="CO489" s="14">
        <f ca="1">SUM(CJ489,CK489,CL489)</f>
        <v>150.74583333333334</v>
      </c>
      <c r="CP489" s="14">
        <f>SUM(DU489*0.0052)/2</f>
        <v>65.78</v>
      </c>
      <c r="CQ489" s="14">
        <f>SUM(CP489*0.1)</f>
        <v>6.5780000000000003</v>
      </c>
      <c r="CR489" s="14">
        <f ca="1">SUM(CS489*CT489)</f>
        <v>-1.2059666666666662</v>
      </c>
      <c r="CS489" s="17">
        <f>SUM((CP489+CQ489)*0.00833333333333333)</f>
        <v>0.60298333333333309</v>
      </c>
      <c r="CT489" s="23">
        <f ca="1">MONTH(TODAY())-6</f>
        <v>-2</v>
      </c>
      <c r="CU489" s="23">
        <f ca="1">SUM(CP489,CQ489,CR489)</f>
        <v>71.152033333333335</v>
      </c>
      <c r="CV489" s="14">
        <f>SUM(DU489*0.0052)/2</f>
        <v>65.78</v>
      </c>
      <c r="CW489" s="14">
        <v>0</v>
      </c>
      <c r="CX489" s="14">
        <v>0</v>
      </c>
      <c r="CY489" s="17">
        <f>SUM((CV489+CW489)*0.00833333333333333)</f>
        <v>0.54816666666666647</v>
      </c>
      <c r="CZ489" s="23">
        <f ca="1">MONTH(TODAY())-6</f>
        <v>-2</v>
      </c>
      <c r="DA489" s="23">
        <f>SUM(CV489,CW489,CX489)</f>
        <v>65.78</v>
      </c>
      <c r="DB489" s="14">
        <f>SUM(BL489, BR489, BX489, CD489, CJ489, CP489,CV489)</f>
        <v>378.67999999999995</v>
      </c>
      <c r="DC489" s="14">
        <f t="shared" si="97"/>
        <v>31.290000000000003</v>
      </c>
      <c r="DD489" s="14">
        <f t="shared" ca="1" si="97"/>
        <v>22.831966666666656</v>
      </c>
      <c r="DE489" s="14">
        <f ca="1">SUM(DB489:DD489)</f>
        <v>432.8019666666666</v>
      </c>
      <c r="DF489" s="47">
        <f ca="1">SUM(DE489/DU489)</f>
        <v>1.7106797101449273E-2</v>
      </c>
      <c r="DG489" s="14">
        <f>235+58.5</f>
        <v>293.5</v>
      </c>
      <c r="DH489" s="32">
        <f>COUNTIF(DN489, "*")+COUNTIF(AO489, "*")+COUNTIF(AJ489, "*")+COUNTIF(AA489, "*")+COUNTIF(EK489, "*")+COUNTIF(EQ489, "*")+COUNTIF(EW489, "*")+COUNTIF(FA489, "*")+COUNTIF(FH489, "*")+COUNTIF(FO489, "*")+COUNTIF(FV489, "*")+COUNTIF(GG489, "*")+COUNTIF(GR489, "*")+COUNTIF(GZ489, "*")+COUNTIF(HH489, "*")+COUNTIF(HP489, "*")+COUNTIF(HX489, "*")</f>
        <v>2</v>
      </c>
      <c r="DI489" s="14">
        <f>DH489*0.5+6.65</f>
        <v>7.65</v>
      </c>
      <c r="DJ489" s="4"/>
      <c r="DK489" s="14">
        <f ca="1">SUM(DE489,DG489,DQ489, DJ489, DI489,FS489)</f>
        <v>733.95196666666664</v>
      </c>
      <c r="DL489" s="4"/>
      <c r="DM489" s="4"/>
      <c r="DN489" s="4"/>
      <c r="DP489" s="4"/>
      <c r="DQ489" s="14">
        <f>SUM(DL489:DP489)</f>
        <v>0</v>
      </c>
      <c r="DR489" s="24" t="s">
        <v>2770</v>
      </c>
      <c r="DS489" s="4">
        <v>25300</v>
      </c>
      <c r="DT489" s="4">
        <v>0</v>
      </c>
      <c r="DU489" s="25">
        <f>SUM(DS489+DT489)</f>
        <v>25300</v>
      </c>
      <c r="DV489" s="35">
        <v>2.4670000000000001</v>
      </c>
      <c r="IO489" s="4"/>
    </row>
    <row r="490" spans="1:263" ht="15" customHeight="1">
      <c r="A490" s="19">
        <v>102021093</v>
      </c>
      <c r="B490" s="18" t="s">
        <v>2625</v>
      </c>
      <c r="D490" s="1"/>
      <c r="E490" s="3"/>
      <c r="F490" s="3"/>
      <c r="G490">
        <v>210007805</v>
      </c>
      <c r="J490" s="18" t="s">
        <v>554</v>
      </c>
      <c r="K490" s="18" t="s">
        <v>910</v>
      </c>
      <c r="L490" s="18" t="s">
        <v>2627</v>
      </c>
      <c r="M490" s="18" t="s">
        <v>426</v>
      </c>
      <c r="P490" s="18" t="s">
        <v>910</v>
      </c>
      <c r="Q490" s="18" t="s">
        <v>657</v>
      </c>
      <c r="R490" s="18" t="s">
        <v>309</v>
      </c>
      <c r="AD490" t="s">
        <v>2708</v>
      </c>
      <c r="AE490" t="s">
        <v>311</v>
      </c>
      <c r="AF490" t="s">
        <v>910</v>
      </c>
      <c r="AG490" s="43" t="s">
        <v>2710</v>
      </c>
      <c r="AH490" s="3" t="s">
        <v>2709</v>
      </c>
      <c r="AI490" s="18" t="s">
        <v>349</v>
      </c>
      <c r="AM490"/>
      <c r="AN490"/>
      <c r="AO490" s="3" t="s">
        <v>2624</v>
      </c>
      <c r="AP490" s="3" t="s">
        <v>258</v>
      </c>
      <c r="AQ490" t="s">
        <v>349</v>
      </c>
      <c r="AR490" s="18" t="s">
        <v>260</v>
      </c>
      <c r="AS490" s="1"/>
      <c r="AT490" s="1"/>
      <c r="AU490" s="1"/>
      <c r="AV490" s="1"/>
      <c r="AW490" s="1"/>
      <c r="AX490" s="2"/>
      <c r="AY490" s="116"/>
      <c r="AZ490" s="115"/>
      <c r="BA490" s="2"/>
      <c r="BB490" s="2"/>
      <c r="BC490" s="2"/>
      <c r="BD490" s="2"/>
      <c r="BE490" s="2"/>
      <c r="BF490" s="2"/>
      <c r="BG490" s="20">
        <f ca="1">SUM(DE490)+214.5</f>
        <v>1380.6253666666667</v>
      </c>
      <c r="BH490" s="22">
        <f ca="1">PMT(10%/12,12,BG490,0,0)</f>
        <v>-121.37890404275731</v>
      </c>
      <c r="BI490" s="22">
        <f ca="1">SUM(BH490*-1)</f>
        <v>121.37890404275731</v>
      </c>
      <c r="BJ490" s="14">
        <f>SUM(DO490*0.0052)/12</f>
        <v>37.916666666666664</v>
      </c>
      <c r="BK490" s="22">
        <f ca="1">SUM(BI490+BJ490)</f>
        <v>159.29557070942397</v>
      </c>
      <c r="BL490" s="14"/>
      <c r="BM490" s="14">
        <f>SUM(BL490*0.1)</f>
        <v>0</v>
      </c>
      <c r="BN490" s="14">
        <f ca="1">SUM(BO490*BP490)</f>
        <v>0</v>
      </c>
      <c r="BO490" s="17">
        <f>SUM((BL490+BM490)*0.00833333333333333)</f>
        <v>0</v>
      </c>
      <c r="BP490" s="23">
        <f ca="1">MONTH(TODAY())+49</f>
        <v>53</v>
      </c>
      <c r="BQ490" s="14">
        <f ca="1">SUM(BL490,BM490,BN490)</f>
        <v>0</v>
      </c>
      <c r="BR490" s="14">
        <v>0</v>
      </c>
      <c r="BS490" s="14">
        <f>SUM(BR490*0.1)</f>
        <v>0</v>
      </c>
      <c r="BT490" s="14">
        <f ca="1">SUM(BU490*BV490)</f>
        <v>0</v>
      </c>
      <c r="BU490" s="17">
        <f>SUM((BR490+BS490)*0.00833333333333333)</f>
        <v>0</v>
      </c>
      <c r="BV490" s="23">
        <f ca="1">MONTH(TODAY())+37</f>
        <v>41</v>
      </c>
      <c r="BW490" s="14">
        <f ca="1">SUM(BR490,BS490,BT490)</f>
        <v>0</v>
      </c>
      <c r="BX490" s="14">
        <f>12.35</f>
        <v>12.35</v>
      </c>
      <c r="BY490" s="14">
        <f>SUM(BX490*0.1)</f>
        <v>1.2350000000000001</v>
      </c>
      <c r="BZ490" s="14">
        <f ca="1">SUM(CA490*CB490)</f>
        <v>3.2830416666666649</v>
      </c>
      <c r="CA490" s="17">
        <f>SUM((BX490+BY490)*0.00833333333333333)</f>
        <v>0.11320833333333327</v>
      </c>
      <c r="CB490" s="23">
        <f ca="1">MONTH(TODAY())+25</f>
        <v>29</v>
      </c>
      <c r="CC490" s="14">
        <f ca="1">SUM(BX490,BY490,BZ490)</f>
        <v>16.868041666666663</v>
      </c>
      <c r="CD490" s="14">
        <f>SUM(DO490*0.0052)</f>
        <v>455</v>
      </c>
      <c r="CE490" s="14">
        <f>SUM(CD490*0.1)</f>
        <v>45.5</v>
      </c>
      <c r="CF490" s="14">
        <f ca="1">SUM(CG490*CH490)</f>
        <v>70.90416666666664</v>
      </c>
      <c r="CG490" s="17">
        <f>SUM((CD490+CE490)*0.00833333333333333)</f>
        <v>4.1708333333333316</v>
      </c>
      <c r="CH490" s="23">
        <f ca="1">MONTH(TODAY())+13</f>
        <v>17</v>
      </c>
      <c r="CI490" s="14">
        <f ca="1">SUM(CD490,CE490,CF490)</f>
        <v>571.4041666666667</v>
      </c>
      <c r="CJ490" s="14">
        <f>SUM(DO490*0.0052)/2-190.59</f>
        <v>36.909999999999997</v>
      </c>
      <c r="CK490" s="14">
        <f>SUM(CJ490*0.1)</f>
        <v>3.6909999999999998</v>
      </c>
      <c r="CL490" s="14">
        <f ca="1">SUM(CM490*CN490)</f>
        <v>3.0450749999999989</v>
      </c>
      <c r="CM490" s="17">
        <f>SUM((CJ490+CK490)*0.00833333333333333)</f>
        <v>0.33834166666666654</v>
      </c>
      <c r="CN490" s="23">
        <f ca="1">MONTH(TODAY())+5</f>
        <v>9</v>
      </c>
      <c r="CO490" s="23">
        <f ca="1">SUM(CJ490,CK490,CL490)</f>
        <v>43.646074999999996</v>
      </c>
      <c r="CP490" s="14">
        <f>SUM(DO490*0.0052)/2</f>
        <v>227.5</v>
      </c>
      <c r="CQ490" s="14">
        <f>SUM(CP490*0.1)</f>
        <v>22.75</v>
      </c>
      <c r="CR490" s="14">
        <f ca="1">SUM(CS490*CT490)</f>
        <v>10.427083333333329</v>
      </c>
      <c r="CS490" s="17">
        <f>SUM((CP490+CQ490)*0.00833333333333333)</f>
        <v>2.0854166666666658</v>
      </c>
      <c r="CT490" s="23">
        <f ca="1">MONTH(TODAY())+1</f>
        <v>5</v>
      </c>
      <c r="CU490" s="23">
        <f ca="1">SUM(CP490,CQ490,CR490)</f>
        <v>260.67708333333331</v>
      </c>
      <c r="CV490" s="14">
        <f>SUM( BL490, BR490, BX490, CD490, CJ490,CP490)</f>
        <v>731.76</v>
      </c>
      <c r="CW490" s="14">
        <f>SUM(BM490,BS490,BY490,CE490, CK490,CQ490)</f>
        <v>73.176000000000002</v>
      </c>
      <c r="CX490" s="14">
        <f ca="1">SUM(BN490,BT490,BZ490,CF490, CL490,CR490)</f>
        <v>87.659366666666628</v>
      </c>
      <c r="CY490" s="14">
        <f ca="1">SUM(CV490:CX490)</f>
        <v>892.59536666666668</v>
      </c>
      <c r="CZ490" s="47">
        <f ca="1">SUM(CY490/DO490)</f>
        <v>1.0201089904761904E-2</v>
      </c>
      <c r="DA490" s="14">
        <f>19.5+58.5+156+39</f>
        <v>273</v>
      </c>
      <c r="DB490" s="32">
        <f>COUNTIF(DH490, "*")+COUNTIF(AO490, "*")+COUNTIF(AJ490, "*")+COUNTIF(AA490, "*")+COUNTIF(EE490, "*")+COUNTIF(EK490, "*")+COUNTIF(EQ490, "*")+COUNTIF(EU490, "*")+COUNTIF(FB490, "*")+COUNTIF(FI490, "*")+COUNTIF(FP490, "*")+COUNTIF(GA490, "*")+COUNTIF(GL490, "*")+COUNTIF(GT490, "*")+COUNTIF(HB490, "*")+COUNTIF(HJ490, "*")+COUNTIF(HR490, "*")</f>
        <v>1</v>
      </c>
      <c r="DC490" s="14">
        <v>0.53</v>
      </c>
      <c r="DD490" s="4"/>
      <c r="DE490" s="14">
        <f ca="1">SUM(CY490,DA490,DK490, DD490, DC490,FM490)</f>
        <v>1166.1253666666667</v>
      </c>
      <c r="DF490" s="4"/>
      <c r="DG490" s="4"/>
      <c r="DH490" s="4"/>
      <c r="DJ490" s="4"/>
      <c r="DK490" s="14">
        <f>SUM(DF490:DJ490)</f>
        <v>0</v>
      </c>
      <c r="DL490" s="24" t="s">
        <v>2770</v>
      </c>
      <c r="DM490" s="4">
        <v>29400</v>
      </c>
      <c r="DN490" s="4">
        <v>58100</v>
      </c>
      <c r="DO490" s="25">
        <f>SUM(DM490+DN490)</f>
        <v>87500</v>
      </c>
      <c r="DP490" s="35">
        <v>3.27</v>
      </c>
      <c r="HX490" s="9"/>
      <c r="II490" s="14">
        <f ca="1">SUM(HY490-DE490-FM490-IG490)</f>
        <v>-1166.1253666666667</v>
      </c>
      <c r="IJ490" s="9"/>
      <c r="IK490" s="9"/>
      <c r="IL490" s="9"/>
      <c r="IM490" s="9"/>
      <c r="IN490" s="9"/>
    </row>
    <row r="491" spans="1:263" ht="15" customHeight="1">
      <c r="A491" s="2">
        <v>102024159</v>
      </c>
      <c r="B491" t="s">
        <v>5538</v>
      </c>
      <c r="D491" s="1"/>
      <c r="E491" s="3"/>
      <c r="G491" s="3"/>
      <c r="J491" t="s">
        <v>554</v>
      </c>
      <c r="K491" t="s">
        <v>3310</v>
      </c>
      <c r="L491" t="s">
        <v>1289</v>
      </c>
      <c r="M491" t="s">
        <v>309</v>
      </c>
      <c r="N491" t="s">
        <v>5363</v>
      </c>
      <c r="O491" s="3"/>
      <c r="P491" t="s">
        <v>3310</v>
      </c>
      <c r="Q491" t="s">
        <v>927</v>
      </c>
      <c r="AG491" s="43"/>
      <c r="AK491" s="1"/>
      <c r="AM491"/>
      <c r="AN491"/>
      <c r="AO491" t="s">
        <v>5539</v>
      </c>
      <c r="AP491" s="1" t="s">
        <v>258</v>
      </c>
      <c r="AQ491" s="18" t="s">
        <v>349</v>
      </c>
      <c r="AR491" t="s">
        <v>260</v>
      </c>
      <c r="AS491" s="10"/>
      <c r="AT491" s="10"/>
      <c r="AU491" s="10"/>
      <c r="AV491" s="10"/>
      <c r="AW491" s="10"/>
      <c r="AX491" s="1"/>
      <c r="AY491" s="1"/>
      <c r="AZ491" s="1"/>
      <c r="BA491" s="1"/>
      <c r="BB491" s="1"/>
      <c r="BC491" s="2"/>
      <c r="BD491" s="115">
        <v>45408</v>
      </c>
      <c r="BE491" s="115"/>
      <c r="BF491" s="2"/>
      <c r="BG491" s="2"/>
      <c r="BH491" s="2"/>
      <c r="BI491" s="2"/>
      <c r="BJ491" s="2"/>
      <c r="BK491" s="2"/>
      <c r="BL491" s="20">
        <f ca="1">SUM(EB491)+220</f>
        <v>931.44949999999983</v>
      </c>
      <c r="BM491" s="22">
        <f ca="1">PMT(10%/12,12,BL491,0,0)</f>
        <v>-81.889209202448797</v>
      </c>
      <c r="BN491" s="22">
        <f ca="1">SUM(BM491*-1)</f>
        <v>81.889209202448797</v>
      </c>
      <c r="BO491" s="14">
        <f>SUM(EJ491*0.0052)/12</f>
        <v>24.656666666666666</v>
      </c>
      <c r="BP491" s="22">
        <f ca="1">SUM(BN491+BO491)</f>
        <v>106.54587586911546</v>
      </c>
      <c r="BQ491" s="14"/>
      <c r="BR491" s="14">
        <f>SUM(BQ491*0.1)</f>
        <v>0</v>
      </c>
      <c r="BS491" s="14">
        <f ca="1">SUM(BT491*BU491)</f>
        <v>0</v>
      </c>
      <c r="BT491" s="17">
        <f>SUM((BQ491+BR491)*0.00833333333333333)</f>
        <v>0</v>
      </c>
      <c r="BU491" s="23">
        <f ca="1">MONTH(TODAY())+61</f>
        <v>65</v>
      </c>
      <c r="BV491" s="14">
        <f ca="1">SUM(BQ491,BR491,BS491)</f>
        <v>0</v>
      </c>
      <c r="BW491" s="14"/>
      <c r="BX491" s="14">
        <f>SUM(BW491*0.1)</f>
        <v>0</v>
      </c>
      <c r="BY491" s="14">
        <f ca="1">SUM(BZ491*CA491)</f>
        <v>0</v>
      </c>
      <c r="BZ491" s="17">
        <f>SUM((BW491+BX491)*0.00833333333333333)</f>
        <v>0</v>
      </c>
      <c r="CA491" s="23">
        <f ca="1">MONTH(TODAY())+49</f>
        <v>53</v>
      </c>
      <c r="CB491" s="14">
        <f ca="1">SUM(BW491,BX491,BY491)</f>
        <v>0</v>
      </c>
      <c r="CC491" s="14">
        <v>0</v>
      </c>
      <c r="CD491" s="14">
        <f>SUM(CC491*0.1)</f>
        <v>0</v>
      </c>
      <c r="CE491" s="14">
        <f ca="1">SUM(CF491*CG491)</f>
        <v>0</v>
      </c>
      <c r="CF491" s="17">
        <f>SUM((CC491+CD491)*0.00833333333333333)</f>
        <v>0</v>
      </c>
      <c r="CG491" s="23">
        <f ca="1">MONTH(TODAY())+37</f>
        <v>41</v>
      </c>
      <c r="CH491" s="14">
        <f ca="1">SUM(CC491,CD491,CE491)</f>
        <v>0</v>
      </c>
      <c r="CI491" s="14">
        <v>0</v>
      </c>
      <c r="CJ491" s="14">
        <f>SUM(CI491*0.1)</f>
        <v>0</v>
      </c>
      <c r="CK491" s="14">
        <f ca="1">SUM(CL491*CM491)</f>
        <v>0</v>
      </c>
      <c r="CL491" s="17">
        <f>SUM((CI491+CJ491)*0.00833333333333333)</f>
        <v>0</v>
      </c>
      <c r="CM491" s="23">
        <f ca="1">MONTH(TODAY())+25</f>
        <v>29</v>
      </c>
      <c r="CN491" s="14">
        <f ca="1">SUM(CI491,CJ491,CK491)</f>
        <v>0</v>
      </c>
      <c r="CO491" s="14">
        <f>SUM(EG491*0.0052)/2</f>
        <v>136.5</v>
      </c>
      <c r="CP491" s="14">
        <f>SUM(CO491*0.1)</f>
        <v>13.65</v>
      </c>
      <c r="CQ491" s="14">
        <f ca="1">SUM(CR491*CS491)</f>
        <v>26.27624999999999</v>
      </c>
      <c r="CR491" s="17">
        <f>SUM((CO491+CP491)*0.00833333333333333)</f>
        <v>1.2512499999999995</v>
      </c>
      <c r="CS491" s="23">
        <f ca="1">MONTH(TODAY())+17</f>
        <v>21</v>
      </c>
      <c r="CT491" s="23">
        <f ca="1">SUM(CO491,CP491,CQ491)</f>
        <v>176.42624999999998</v>
      </c>
      <c r="CU491" s="14">
        <f>SUM(EG491*0.0052)/2</f>
        <v>136.5</v>
      </c>
      <c r="CV491" s="14">
        <f>SUM(CU491*0.1)</f>
        <v>13.65</v>
      </c>
      <c r="CW491" s="14">
        <f ca="1">SUM(CX491*CY491)</f>
        <v>21.271249999999991</v>
      </c>
      <c r="CX491" s="17">
        <f>SUM((CU491+CV491)*0.00833333333333333)</f>
        <v>1.2512499999999995</v>
      </c>
      <c r="CY491" s="23">
        <f ca="1">MONTH(TODAY())+13</f>
        <v>17</v>
      </c>
      <c r="CZ491" s="23">
        <f ca="1">SUM(CU491,CV491,CW491)</f>
        <v>171.42124999999999</v>
      </c>
      <c r="DA491" s="14">
        <f>SUM(EJ491*0.0045)/2</f>
        <v>128.02499999999998</v>
      </c>
      <c r="DB491" s="14">
        <f>SUM(DA491*0.1)</f>
        <v>12.802499999999998</v>
      </c>
      <c r="DC491" s="14">
        <f ca="1">SUM(DD491*DE491)</f>
        <v>12.909187499999993</v>
      </c>
      <c r="DD491" s="17">
        <f>SUM((DA491+DB491)*0.00833333333333333)</f>
        <v>1.1735624999999994</v>
      </c>
      <c r="DE491" s="23">
        <f ca="1">MONTH(TODAY())+7</f>
        <v>11</v>
      </c>
      <c r="DF491" s="23">
        <f ca="1">SUM(DA491,DB491,DC491)</f>
        <v>153.73668749999999</v>
      </c>
      <c r="DG491" s="14">
        <f>SUM(EJ491*0.0045)/2</f>
        <v>128.02499999999998</v>
      </c>
      <c r="DH491" s="14">
        <f>SUM(DG491*0.1)</f>
        <v>12.802499999999998</v>
      </c>
      <c r="DI491" s="14">
        <f ca="1">SUM(DJ491*DK491)</f>
        <v>5.8678124999999968</v>
      </c>
      <c r="DJ491" s="17">
        <f>SUM((DG491+DH491)*0.00833333333333333)</f>
        <v>1.1735624999999994</v>
      </c>
      <c r="DK491" s="23">
        <f ca="1">MONTH(TODAY())+1</f>
        <v>5</v>
      </c>
      <c r="DL491" s="14">
        <f ca="1">SUM(DG491,DH491,DI491)</f>
        <v>146.69531249999997</v>
      </c>
      <c r="DM491" s="14">
        <f>SUM( BQ491, BW491, CC491, CI491, CO491,CU491,DA491,DG491)</f>
        <v>529.04999999999995</v>
      </c>
      <c r="DN491" s="14">
        <f>SUM(BR491,BX491,CD491,CJ491, CP491,CV491,DB491,DH491)</f>
        <v>52.905000000000001</v>
      </c>
      <c r="DO491" s="14">
        <f ca="1">SUM(BS491,BY491,CE491,CK491, CQ491,CW491,DC491,DI491)</f>
        <v>66.324499999999972</v>
      </c>
      <c r="DP491" s="25">
        <f ca="1">SUM(DM491:DO491)</f>
        <v>648.27949999999987</v>
      </c>
      <c r="DQ491" s="47">
        <f ca="1">SUM(DP491/EH491)</f>
        <v>1.6926357702349865E-2</v>
      </c>
      <c r="DR491" s="14">
        <f>20+10</f>
        <v>30</v>
      </c>
      <c r="DS491" s="32">
        <f>COUNTIF(AO491, "*")+COUNTIF(AJ491, "*")+COUNTIF(AA491, "*")+COUNTIF(EU491, "*")+COUNTIF(FA491, "*")+COUNTIF(FG491, "*")+COUNTIF(FK491, "*")+COUNTIF(FR491, "*")+COUNTIF(AT491, "*")+COUNTIF(GA491, "*")+COUNTIF(GL491, "*")+COUNTIF(GW491, "*")+COUNTIF(HE491, "*")+COUNTIF(HM491, "*")+COUNTIF(HU491, "*")</f>
        <v>1</v>
      </c>
      <c r="DT491" s="14">
        <f>DS491*0.64</f>
        <v>0.64</v>
      </c>
      <c r="DU491" s="4"/>
      <c r="DV491" s="4">
        <v>32.53</v>
      </c>
      <c r="DW491" s="4"/>
      <c r="DX491" s="4"/>
      <c r="DZ491" s="4"/>
      <c r="EA491" s="14">
        <f>SUM(DV491:DZ491)</f>
        <v>32.53</v>
      </c>
      <c r="EB491" s="14">
        <f ca="1">SUM(DP491,DR491,EA491, DU491, DT491,FX491)</f>
        <v>711.44949999999983</v>
      </c>
      <c r="EC491" s="24" t="s">
        <v>4935</v>
      </c>
      <c r="ED491" s="23">
        <v>5.16</v>
      </c>
      <c r="EE491" s="14">
        <v>34900</v>
      </c>
      <c r="EF491" s="14">
        <v>17600</v>
      </c>
      <c r="EG491" s="4">
        <f>SUM(EE491+EF491)</f>
        <v>52500</v>
      </c>
      <c r="EH491" s="14">
        <v>38300</v>
      </c>
      <c r="EI491" s="14">
        <v>18600</v>
      </c>
      <c r="EJ491" s="4">
        <f>SUM(EH491+EI491)</f>
        <v>56900</v>
      </c>
      <c r="EK491" s="10"/>
      <c r="EL491" s="10"/>
      <c r="EM491" s="10"/>
      <c r="EN491" s="10"/>
      <c r="EO491" s="10"/>
      <c r="EP491" s="10"/>
      <c r="EQ491" s="10"/>
      <c r="ER491" s="10"/>
      <c r="FX491" s="4"/>
      <c r="HY491" s="9"/>
      <c r="IJ491" s="4"/>
      <c r="IK491" s="4"/>
      <c r="IL491" s="4"/>
      <c r="IM491" s="9"/>
      <c r="IN491" s="9"/>
      <c r="IO491" s="9"/>
      <c r="IP491" s="9"/>
      <c r="IQ491" s="9"/>
    </row>
    <row r="492" spans="1:263" ht="15" customHeight="1">
      <c r="A492" s="19">
        <v>102022071</v>
      </c>
      <c r="B492" t="s">
        <v>2816</v>
      </c>
      <c r="D492" s="1"/>
      <c r="J492" t="s">
        <v>554</v>
      </c>
      <c r="K492" t="s">
        <v>609</v>
      </c>
      <c r="L492" t="s">
        <v>574</v>
      </c>
      <c r="M492" t="s">
        <v>428</v>
      </c>
      <c r="P492" t="s">
        <v>609</v>
      </c>
      <c r="Q492" t="s">
        <v>3064</v>
      </c>
      <c r="R492" t="s">
        <v>392</v>
      </c>
      <c r="AG492" s="43"/>
      <c r="AM492"/>
      <c r="AN492"/>
      <c r="AO492" s="3" t="s">
        <v>3065</v>
      </c>
      <c r="AP492" s="3" t="s">
        <v>258</v>
      </c>
      <c r="AQ492" s="3" t="s">
        <v>349</v>
      </c>
      <c r="AR492" t="s">
        <v>260</v>
      </c>
      <c r="AS492" s="1"/>
      <c r="AT492" s="1"/>
      <c r="AU492" s="1"/>
      <c r="AV492" s="1"/>
      <c r="AW492" s="1"/>
      <c r="AX492" s="2"/>
      <c r="AY492" s="116"/>
      <c r="AZ492" s="115">
        <v>44643</v>
      </c>
      <c r="BA492" s="2"/>
      <c r="BB492" s="2"/>
      <c r="BC492" s="2"/>
      <c r="BD492" s="2"/>
      <c r="BE492" s="2"/>
      <c r="BF492" s="2"/>
      <c r="BG492" s="20">
        <f ca="1">SUM(CY492)+214.5</f>
        <v>1170.2417333333333</v>
      </c>
      <c r="BH492" s="22">
        <f ca="1">PMT(10%/12,12,BG492,0,0)</f>
        <v>-102.8828402595843</v>
      </c>
      <c r="BI492" s="22">
        <f ca="1">SUM(BH492*-1)</f>
        <v>102.8828402595843</v>
      </c>
      <c r="BJ492" s="14">
        <f>SUM(DI492*0.0052)/12</f>
        <v>18.286666666666665</v>
      </c>
      <c r="BK492" s="22">
        <f ca="1">SUM(BI492+BJ492)</f>
        <v>121.16950692625096</v>
      </c>
      <c r="BL492" s="14"/>
      <c r="BM492" s="14">
        <f>SUM(BL492*0.1)</f>
        <v>0</v>
      </c>
      <c r="BN492" s="14">
        <f ca="1">SUM(BO492*BP492)</f>
        <v>0</v>
      </c>
      <c r="BO492" s="17">
        <f>SUM((BL492+BM492)*0.00833333333333333)</f>
        <v>0</v>
      </c>
      <c r="BP492" s="23">
        <f ca="1">MONTH(TODAY())+49</f>
        <v>53</v>
      </c>
      <c r="BQ492" s="14">
        <f ca="1">SUM(BL492,BM492,BN492)</f>
        <v>0</v>
      </c>
      <c r="BR492" s="14"/>
      <c r="BS492" s="14">
        <f>SUM(BR492*0.1)</f>
        <v>0</v>
      </c>
      <c r="BT492" s="14">
        <f ca="1">SUM(BU492*BV492)</f>
        <v>0</v>
      </c>
      <c r="BU492" s="17">
        <f>SUM((BR492+BS492)*0.00833333333333333)</f>
        <v>0</v>
      </c>
      <c r="BV492" s="23">
        <f ca="1">MONTH(TODAY())+37</f>
        <v>41</v>
      </c>
      <c r="BW492" s="14">
        <f ca="1">SUM(BR492,BS492,BT492)</f>
        <v>0</v>
      </c>
      <c r="BX492" s="14"/>
      <c r="BY492" s="14">
        <f>SUM(BX492*0.1)</f>
        <v>0</v>
      </c>
      <c r="BZ492" s="14">
        <f ca="1">SUM(CA492*CB492)</f>
        <v>0</v>
      </c>
      <c r="CA492" s="17">
        <f>SUM((BX492+BY492)*0.00833333333333333)</f>
        <v>0</v>
      </c>
      <c r="CB492" s="23">
        <f ca="1">MONTH(TODAY())+25</f>
        <v>29</v>
      </c>
      <c r="CC492" s="14">
        <f ca="1">SUM(BX492,BY492,BZ492)</f>
        <v>0</v>
      </c>
      <c r="CD492" s="14">
        <f>SUM(DI492*0.0052)</f>
        <v>219.44</v>
      </c>
      <c r="CE492" s="14">
        <f>SUM(CD492*0.1)</f>
        <v>21.944000000000003</v>
      </c>
      <c r="CF492" s="14">
        <f ca="1">SUM(CG492*CH492)</f>
        <v>34.196066666666653</v>
      </c>
      <c r="CG492" s="17">
        <f>SUM((CD492+CE492)*0.00833333333333333)</f>
        <v>2.0115333333333325</v>
      </c>
      <c r="CH492" s="23">
        <f ca="1">MONTH(TODAY())+13</f>
        <v>17</v>
      </c>
      <c r="CI492" s="14">
        <f ca="1">SUM(CD492,CE492,CF492)</f>
        <v>275.58006666666665</v>
      </c>
      <c r="CJ492" s="14">
        <f>SUM(DI492*0.0052)</f>
        <v>219.44</v>
      </c>
      <c r="CK492" s="14">
        <f>SUM(CJ492*0.1)</f>
        <v>21.944000000000003</v>
      </c>
      <c r="CL492" s="14">
        <f ca="1">SUM(CM492*CN492)</f>
        <v>10.057666666666663</v>
      </c>
      <c r="CM492" s="17">
        <f>SUM((CJ492+CK492)*0.00833333333333333)</f>
        <v>2.0115333333333325</v>
      </c>
      <c r="CN492" s="23">
        <f ca="1">MONTH(TODAY())+1</f>
        <v>5</v>
      </c>
      <c r="CO492" s="14">
        <f ca="1">SUM(CJ492,CK492,CL492)</f>
        <v>251.44166666666666</v>
      </c>
      <c r="CP492" s="14">
        <f>SUM(BL492, BR492,BX492,CD492,CJ492)</f>
        <v>438.88</v>
      </c>
      <c r="CQ492" s="14">
        <f>SUM(BM492, BS492,BY492,CE492,CK492)</f>
        <v>43.888000000000005</v>
      </c>
      <c r="CR492" s="14">
        <f ca="1">SUM(BN492, BT492,BZ492,CF492,CL492)</f>
        <v>44.253733333333315</v>
      </c>
      <c r="CS492" s="14">
        <f ca="1">SUM(CP492:CR492)</f>
        <v>527.02173333333337</v>
      </c>
      <c r="CT492" s="47">
        <f ca="1">SUM(CS492/DI492)</f>
        <v>1.2488666666666667E-2</v>
      </c>
      <c r="CU492" s="14">
        <f>19.5+19.5+195</f>
        <v>234</v>
      </c>
      <c r="CV492" s="32">
        <f>COUNTIF(DB492, "*")+COUNTIF(AO492, "*")+COUNTIF(AJ492, "*")+COUNTIF(AA492, "*")+COUNTIF(DY492, "*")+COUNTIF(EE492, "*")+COUNTIF(EK492, "*")+COUNTIF(EO492, "*")+COUNTIF(EV492, "*")+COUNTIF(FC492, "*")+COUNTIF(FJ492, "*")+COUNTIF(FU492, "*")+COUNTIF(GF492, "*")+COUNTIF(GN492, "*")+COUNTIF(GV492, "*")+COUNTIF(HD492, "*")+COUNTIF(HL492, "*")</f>
        <v>2</v>
      </c>
      <c r="CW492" s="14">
        <f>CV492*0.5+CV492*6.66</f>
        <v>14.32</v>
      </c>
      <c r="CX492" s="4">
        <v>150</v>
      </c>
      <c r="CY492" s="14">
        <f ca="1">SUM(CS492,CU492,DE492, CX492, CW492,FG492)</f>
        <v>955.7417333333334</v>
      </c>
      <c r="CZ492" s="4">
        <v>30.4</v>
      </c>
      <c r="DE492" s="14">
        <f>SUM(CZ492:DD492)</f>
        <v>30.4</v>
      </c>
      <c r="DF492" s="24" t="s">
        <v>2773</v>
      </c>
      <c r="DG492" s="4">
        <v>34700</v>
      </c>
      <c r="DH492" s="4">
        <v>7500</v>
      </c>
      <c r="DI492" s="25">
        <f>SUM(DG492+DH492)</f>
        <v>42200</v>
      </c>
      <c r="DJ492" s="35">
        <v>5.0999999999999996</v>
      </c>
      <c r="DK492" t="s">
        <v>3577</v>
      </c>
      <c r="DL492" t="s">
        <v>3578</v>
      </c>
      <c r="FH492" t="s">
        <v>421</v>
      </c>
      <c r="FI492" t="s">
        <v>861</v>
      </c>
      <c r="FJ492" t="s">
        <v>3579</v>
      </c>
      <c r="FL492" t="s">
        <v>274</v>
      </c>
      <c r="FM492" t="s">
        <v>275</v>
      </c>
      <c r="FN492" s="9">
        <v>40994</v>
      </c>
      <c r="FO492" t="s">
        <v>3580</v>
      </c>
      <c r="IC492" s="4"/>
    </row>
    <row r="493" spans="1:263" ht="15" customHeight="1">
      <c r="A493" s="2">
        <v>102024089</v>
      </c>
      <c r="B493" t="s">
        <v>2816</v>
      </c>
      <c r="D493" s="1"/>
      <c r="E493" s="3"/>
      <c r="G493" s="3" t="s">
        <v>4778</v>
      </c>
      <c r="J493" t="s">
        <v>554</v>
      </c>
      <c r="K493" t="s">
        <v>609</v>
      </c>
      <c r="L493" t="s">
        <v>574</v>
      </c>
      <c r="M493" t="s">
        <v>428</v>
      </c>
      <c r="O493" s="3"/>
      <c r="P493" t="s">
        <v>609</v>
      </c>
      <c r="Q493" t="s">
        <v>3064</v>
      </c>
      <c r="R493" t="s">
        <v>392</v>
      </c>
      <c r="AG493" s="43"/>
      <c r="AK493" s="1"/>
      <c r="AM493"/>
      <c r="AN493"/>
      <c r="AO493" t="s">
        <v>3065</v>
      </c>
      <c r="AP493" s="1" t="s">
        <v>258</v>
      </c>
      <c r="AQ493" s="18" t="s">
        <v>349</v>
      </c>
      <c r="AR493" t="s">
        <v>260</v>
      </c>
      <c r="AS493" s="10"/>
      <c r="AT493" s="10"/>
      <c r="AU493" s="10"/>
      <c r="AV493" s="10"/>
      <c r="AW493" s="1"/>
      <c r="AY493" s="1"/>
      <c r="AZ493" s="1"/>
      <c r="BA493" s="1"/>
      <c r="BB493" s="1"/>
      <c r="BC493" s="2"/>
      <c r="BD493" s="115">
        <v>45408</v>
      </c>
      <c r="BE493" s="115"/>
      <c r="BF493" s="2"/>
      <c r="BG493" s="2"/>
      <c r="BH493" s="2"/>
      <c r="BI493" s="2"/>
      <c r="BJ493" s="2"/>
      <c r="BK493" s="2"/>
      <c r="BL493" s="20">
        <f ca="1">SUM(EN493)+220</f>
        <v>945.38813333333314</v>
      </c>
      <c r="BM493" s="22">
        <f ca="1">PMT(10%/12,12,BL493,0,0)</f>
        <v>-83.114636518722591</v>
      </c>
      <c r="BN493" s="22">
        <f ca="1">SUM(BM493*-1)</f>
        <v>83.114636518722591</v>
      </c>
      <c r="BO493" s="14">
        <f>SUM(EV493*0.0052)/12</f>
        <v>19.716666666666665</v>
      </c>
      <c r="BP493" s="22">
        <f ca="1">SUM(BN493+BO493)</f>
        <v>102.83130318538926</v>
      </c>
      <c r="BQ493" s="14"/>
      <c r="BR493" s="14">
        <f>SUM(BQ493*0.1)</f>
        <v>0</v>
      </c>
      <c r="BS493" s="14">
        <f ca="1">SUM(BT493*BU493)</f>
        <v>0</v>
      </c>
      <c r="BT493" s="17">
        <f>SUM((BQ493+BR493)*0.00833333333333333)</f>
        <v>0</v>
      </c>
      <c r="BU493" s="23">
        <f ca="1">MONTH(TODAY())+61</f>
        <v>65</v>
      </c>
      <c r="BV493" s="14">
        <f ca="1">SUM(BQ493,BR493,BS493)</f>
        <v>0</v>
      </c>
      <c r="BW493" s="14"/>
      <c r="BX493" s="14">
        <f>SUM(BW493*0.1)</f>
        <v>0</v>
      </c>
      <c r="BY493" s="14">
        <f ca="1">SUM(BZ493*CA493)</f>
        <v>0</v>
      </c>
      <c r="BZ493" s="17">
        <f>SUM((BW493+BX493)*0.00833333333333333)</f>
        <v>0</v>
      </c>
      <c r="CA493" s="23">
        <f ca="1">MONTH(TODAY())+49</f>
        <v>53</v>
      </c>
      <c r="CB493" s="14">
        <f ca="1">SUM(BW493,BX493,BY493)</f>
        <v>0</v>
      </c>
      <c r="CC493" s="14">
        <v>0</v>
      </c>
      <c r="CD493" s="14">
        <f>SUM(CC493*0.1)</f>
        <v>0</v>
      </c>
      <c r="CE493" s="14">
        <f ca="1">SUM(CF493*CG493)</f>
        <v>0</v>
      </c>
      <c r="CF493" s="17">
        <f>SUM((CC493+CD493)*0.00833333333333333)</f>
        <v>0</v>
      </c>
      <c r="CG493" s="23">
        <f ca="1">MONTH(TODAY())+37</f>
        <v>41</v>
      </c>
      <c r="CH493" s="14">
        <f ca="1">SUM(CC493,CD493,CE493)</f>
        <v>0</v>
      </c>
      <c r="CI493" s="14">
        <v>0</v>
      </c>
      <c r="CJ493" s="14">
        <f>SUM(CI493*0.1)</f>
        <v>0</v>
      </c>
      <c r="CK493" s="14">
        <f ca="1">SUM(CL493*CM493)</f>
        <v>0</v>
      </c>
      <c r="CL493" s="17">
        <f>SUM((CI493+CJ493)*0.00833333333333333)</f>
        <v>0</v>
      </c>
      <c r="CM493" s="23">
        <f ca="1">MONTH(TODAY())+25</f>
        <v>29</v>
      </c>
      <c r="CN493" s="14">
        <f ca="1">SUM(CI493,CJ493,CK493)</f>
        <v>0</v>
      </c>
      <c r="CO493" s="14">
        <f>SUM(ES493*0.0052)/2</f>
        <v>109.72</v>
      </c>
      <c r="CP493" s="14">
        <f>SUM(CO493*0.1)</f>
        <v>10.972000000000001</v>
      </c>
      <c r="CQ493" s="14">
        <f ca="1">SUM(CR493*CS493)</f>
        <v>21.121099999999991</v>
      </c>
      <c r="CR493" s="17">
        <f>SUM((CO493+CP493)*0.00833333333333333)</f>
        <v>1.0057666666666663</v>
      </c>
      <c r="CS493" s="23">
        <f ca="1">MONTH(TODAY())+17</f>
        <v>21</v>
      </c>
      <c r="CT493" s="23">
        <f ca="1">SUM(CO493,CP493,CQ493)</f>
        <v>141.81309999999999</v>
      </c>
      <c r="CU493" s="14">
        <f>SUM(ES493*0.0052)/2</f>
        <v>109.72</v>
      </c>
      <c r="CV493" s="14">
        <f>SUM(CU493*0.1)</f>
        <v>10.972000000000001</v>
      </c>
      <c r="CW493" s="14">
        <f ca="1">SUM(CX493*CY493)</f>
        <v>17.098033333333326</v>
      </c>
      <c r="CX493" s="17">
        <f>SUM((CU493+CV493)*0.00833333333333333)</f>
        <v>1.0057666666666663</v>
      </c>
      <c r="CY493" s="23">
        <f ca="1">MONTH(TODAY())+13</f>
        <v>17</v>
      </c>
      <c r="CZ493" s="23">
        <f ca="1">SUM(CU493,CV493,CW493)</f>
        <v>137.79003333333333</v>
      </c>
      <c r="DA493" s="14">
        <f>SUM(EV493*0.0045)/2</f>
        <v>102.37499999999999</v>
      </c>
      <c r="DB493" s="14">
        <f>SUM(DA493*0.1)</f>
        <v>10.237499999999999</v>
      </c>
      <c r="DC493" s="14">
        <f ca="1">SUM(DD493*DE493)</f>
        <v>10.322812499999994</v>
      </c>
      <c r="DD493" s="17">
        <f>SUM((DA493+DB493)*0.00833333333333333)</f>
        <v>0.93843749999999948</v>
      </c>
      <c r="DE493" s="23">
        <f ca="1">MONTH(TODAY())+7</f>
        <v>11</v>
      </c>
      <c r="DF493" s="23">
        <f ca="1">SUM(DA493,DB493,DC493)</f>
        <v>122.93531249999998</v>
      </c>
      <c r="DG493" s="14">
        <f>SUM(EV493*0.0045)/2</f>
        <v>102.37499999999999</v>
      </c>
      <c r="DH493" s="14">
        <f>SUM(DG493*0.1)</f>
        <v>10.237499999999999</v>
      </c>
      <c r="DI493" s="14">
        <f ca="1">SUM(DJ493*DK493)</f>
        <v>4.6921874999999975</v>
      </c>
      <c r="DJ493" s="17">
        <f>SUM((DG493+DH493)*0.00833333333333333)</f>
        <v>0.93843749999999948</v>
      </c>
      <c r="DK493" s="23">
        <f ca="1">MONTH(TODAY())+1</f>
        <v>5</v>
      </c>
      <c r="DL493" s="14">
        <f ca="1">SUM(DG493,DH493,DI493)</f>
        <v>117.30468749999999</v>
      </c>
      <c r="DM493" s="14">
        <f>SUM(EV493*0.0045)/2</f>
        <v>102.37499999999999</v>
      </c>
      <c r="DN493" s="14">
        <f>0</f>
        <v>0</v>
      </c>
      <c r="DO493" s="14">
        <f>0</f>
        <v>0</v>
      </c>
      <c r="DP493" s="17">
        <f>SUM((DM493+DN493)*0.00833333333333333)</f>
        <v>0.85312499999999947</v>
      </c>
      <c r="DQ493" s="23">
        <f ca="1">MONTH(TODAY())+7</f>
        <v>11</v>
      </c>
      <c r="DR493" s="23">
        <f>SUM(DM493,DN493,DO493)</f>
        <v>102.37499999999999</v>
      </c>
      <c r="DS493" s="14">
        <f>0</f>
        <v>0</v>
      </c>
      <c r="DT493" s="14">
        <f>0</f>
        <v>0</v>
      </c>
      <c r="DU493" s="14">
        <f ca="1">SUM(DV493*DW493)</f>
        <v>0</v>
      </c>
      <c r="DV493" s="17">
        <f>SUM((DS493+DT493)*0.00833333333333333)</f>
        <v>0</v>
      </c>
      <c r="DW493" s="23">
        <f ca="1">MONTH(TODAY())+1</f>
        <v>5</v>
      </c>
      <c r="DX493" s="14">
        <f ca="1">SUM(DS493,DT493,DU493)</f>
        <v>0</v>
      </c>
      <c r="DY493" s="14">
        <f>SUM( BQ493, BW493, CC493, CI493, CO493,CU493,DA493,DG493,DM493,DS493)</f>
        <v>526.56499999999994</v>
      </c>
      <c r="DZ493" s="14">
        <f>SUM(BR493,BX493,CD493,CJ493, CP493,CV493,DB493,DH493,DN493,DT493)</f>
        <v>42.418999999999997</v>
      </c>
      <c r="EA493" s="14">
        <f ca="1">SUM(BS493,BY493,CE493,CK493, CQ493,CW493,DC493,DI493,DO493,DU493)</f>
        <v>53.234133333333311</v>
      </c>
      <c r="EB493" s="25">
        <f ca="1">SUM(DY493:EA493)</f>
        <v>622.21813333333318</v>
      </c>
      <c r="EC493" s="47">
        <f ca="1">SUM(EB493/ES493)</f>
        <v>1.4744505529225904E-2</v>
      </c>
      <c r="ED493" s="14">
        <f>20+10+40</f>
        <v>70</v>
      </c>
      <c r="EE493" s="32">
        <f>COUNTIF(AO493, "*")+COUNTIF(AJ493, "*")+COUNTIF(AA493, "*")+COUNTIF(FG493, "*")+COUNTIF(FM493, "*")+COUNTIF(FS493, "*")+COUNTIF(FW493, "*")+COUNTIF(GD493, "*")+COUNTIF(AS493, "*")+COUNTIF(GM493, "*")+COUNTIF(GX493, "*")+COUNTIF(HI493, "*")+COUNTIF(HQ493, "*")+COUNTIF(HY493, "*")+COUNTIF(IG493, "*")</f>
        <v>1</v>
      </c>
      <c r="EF493" s="14">
        <f>EE493*0.64</f>
        <v>0.64</v>
      </c>
      <c r="EG493" s="4"/>
      <c r="EH493" s="4">
        <v>32.53</v>
      </c>
      <c r="EI493" s="4"/>
      <c r="EJ493" s="4"/>
      <c r="EL493" s="4"/>
      <c r="EM493" s="14">
        <f>SUM(EH493:EL493)</f>
        <v>32.53</v>
      </c>
      <c r="EN493" s="14">
        <f ca="1">SUM(EB493,ED493,EM493, EG493, EF493,GJ493)</f>
        <v>725.38813333333314</v>
      </c>
      <c r="EO493" s="24" t="s">
        <v>4935</v>
      </c>
      <c r="EP493" s="23">
        <v>5.0999999999999996</v>
      </c>
      <c r="EQ493" s="14">
        <v>34700</v>
      </c>
      <c r="ER493" s="14">
        <v>7500</v>
      </c>
      <c r="ES493" s="14">
        <f>SUM(EQ493+ER493)</f>
        <v>42200</v>
      </c>
      <c r="ET493" s="14">
        <v>38000</v>
      </c>
      <c r="EU493" s="14">
        <v>7500</v>
      </c>
      <c r="EV493" s="14">
        <f>SUM(ET493+EU493)</f>
        <v>45500</v>
      </c>
      <c r="EW493" s="10"/>
      <c r="EX493" s="10"/>
      <c r="EY493" s="10"/>
      <c r="EZ493" s="10"/>
      <c r="FA493" s="10"/>
      <c r="FB493" s="10"/>
      <c r="FC493" s="10"/>
      <c r="FD493" s="10"/>
      <c r="GJ493" s="4"/>
      <c r="IK493" s="9"/>
      <c r="IV493" s="4"/>
      <c r="IW493" s="4"/>
      <c r="IX493" s="4"/>
      <c r="IY493" s="9"/>
      <c r="IZ493" s="9"/>
      <c r="JA493" s="9"/>
      <c r="JB493" s="9"/>
      <c r="JC493" s="9"/>
    </row>
    <row r="494" spans="1:263" ht="15" customHeight="1">
      <c r="A494" s="2">
        <v>102018036</v>
      </c>
      <c r="B494" s="4" t="s">
        <v>1148</v>
      </c>
      <c r="C494" s="5"/>
      <c r="D494" s="5"/>
      <c r="E494" s="5"/>
      <c r="F494" s="5"/>
      <c r="G494">
        <v>180002834</v>
      </c>
      <c r="H494" s="5"/>
      <c r="I494" s="18"/>
      <c r="J494" t="s">
        <v>311</v>
      </c>
      <c r="K494" t="s">
        <v>1149</v>
      </c>
      <c r="L494" t="s">
        <v>395</v>
      </c>
      <c r="M494" t="s">
        <v>357</v>
      </c>
      <c r="O494" s="1"/>
      <c r="T494" s="1"/>
      <c r="AH494" s="4"/>
      <c r="AI494" s="4"/>
      <c r="AJ494" s="4"/>
      <c r="AK494" s="4"/>
      <c r="AO494" s="4"/>
      <c r="AP494" s="5"/>
      <c r="AQ494" s="34"/>
      <c r="AS494" s="1"/>
      <c r="AT494" s="1"/>
      <c r="AU494" s="29"/>
      <c r="AV494" s="1"/>
      <c r="AW494" s="1"/>
      <c r="AX494" s="1"/>
      <c r="AY494" s="15"/>
      <c r="AZ494" s="1"/>
      <c r="BA494" s="1"/>
      <c r="BB494" s="1"/>
      <c r="BC494" s="1"/>
      <c r="BD494" s="1"/>
      <c r="BE494" s="1"/>
      <c r="BF494" s="1"/>
      <c r="BG494" s="5"/>
      <c r="BH494" s="16"/>
      <c r="BI494" s="16"/>
      <c r="BK494" s="4"/>
      <c r="BL494" s="4"/>
      <c r="BM494" s="6"/>
      <c r="BN494" s="7"/>
      <c r="BO494" s="4"/>
      <c r="BP494" s="6"/>
      <c r="BQ494" s="4"/>
      <c r="BR494" s="4"/>
      <c r="BS494" s="6"/>
      <c r="BT494" s="7"/>
      <c r="BU494" s="4"/>
      <c r="BV494" s="4"/>
      <c r="BW494" s="4"/>
      <c r="BX494" s="4"/>
      <c r="BY494" s="6"/>
      <c r="BZ494" s="7"/>
      <c r="CA494" s="4"/>
      <c r="CB494" s="4"/>
      <c r="CC494" s="4"/>
      <c r="CD494" s="4"/>
      <c r="CE494" s="6"/>
      <c r="CF494" s="7"/>
      <c r="CG494" s="4"/>
      <c r="CH494" s="4"/>
      <c r="CI494" s="4"/>
      <c r="CJ494" s="4"/>
      <c r="CK494" s="6"/>
      <c r="CL494" s="7"/>
      <c r="CM494" s="4"/>
      <c r="CN494" s="4"/>
      <c r="CO494" s="4"/>
      <c r="CP494" s="4"/>
      <c r="CQ494" s="6"/>
      <c r="CR494" s="7"/>
      <c r="CS494" s="4"/>
      <c r="CT494" s="4"/>
      <c r="CU494" s="4"/>
      <c r="CV494" s="4"/>
      <c r="CW494" s="6"/>
      <c r="CX494" s="7"/>
      <c r="CY494" s="4"/>
      <c r="CZ494" s="4"/>
      <c r="DA494" s="4"/>
      <c r="DB494" s="4"/>
      <c r="DC494" s="6"/>
      <c r="DD494" s="7"/>
      <c r="DE494" s="4"/>
      <c r="DF494" s="4"/>
      <c r="DG494" s="4"/>
      <c r="DH494" s="14"/>
      <c r="DI494" s="14"/>
      <c r="DJ494" s="4"/>
      <c r="DL494" s="4"/>
      <c r="DM494" s="234"/>
      <c r="DN494" s="4"/>
      <c r="DO494" s="4"/>
      <c r="DP494" s="4"/>
      <c r="DQ494" s="7"/>
      <c r="DR494" s="4"/>
      <c r="DS494" s="4"/>
      <c r="DT494" s="4"/>
      <c r="DU494" s="8"/>
      <c r="DV494" s="4"/>
      <c r="DW494" s="8"/>
      <c r="DX494" s="4"/>
      <c r="DY494" s="4"/>
      <c r="DZ494" s="7"/>
      <c r="EG494" s="11"/>
      <c r="EM494" s="11"/>
      <c r="EN494" s="4"/>
      <c r="EO494" s="4"/>
      <c r="EP494" s="4"/>
      <c r="EQ494" s="4"/>
      <c r="ER494" s="4"/>
      <c r="ES494" s="4"/>
      <c r="ET494" s="4"/>
      <c r="EU494" s="4"/>
      <c r="EV494" s="4"/>
      <c r="EW494" s="4"/>
      <c r="EX494" s="4"/>
      <c r="EY494" s="4"/>
      <c r="EZ494" s="4"/>
      <c r="FA494" s="4"/>
      <c r="FB494" s="4"/>
      <c r="FC494" s="4"/>
      <c r="FI494" s="9"/>
      <c r="FR494" s="9"/>
      <c r="FX494" s="4"/>
      <c r="GE494" s="9"/>
      <c r="GP494" s="9"/>
      <c r="GZ494" s="9"/>
      <c r="IJ494" s="4"/>
      <c r="IK494" s="4"/>
    </row>
    <row r="495" spans="1:263" ht="15" customHeight="1">
      <c r="A495" s="2">
        <v>102023025</v>
      </c>
      <c r="B495" t="s">
        <v>4021</v>
      </c>
      <c r="G495" t="s">
        <v>4519</v>
      </c>
      <c r="J495" t="s">
        <v>554</v>
      </c>
      <c r="K495" t="s">
        <v>325</v>
      </c>
      <c r="L495" t="s">
        <v>4022</v>
      </c>
      <c r="M495" t="s">
        <v>537</v>
      </c>
      <c r="O495" s="3"/>
      <c r="AG495"/>
      <c r="AJ495" s="18" t="s">
        <v>328</v>
      </c>
      <c r="AL495" t="s">
        <v>349</v>
      </c>
      <c r="AM495"/>
      <c r="AN495"/>
      <c r="AO495" t="s">
        <v>4102</v>
      </c>
      <c r="AP495" s="3" t="s">
        <v>258</v>
      </c>
      <c r="AQ495" t="s">
        <v>349</v>
      </c>
      <c r="AR495" t="s">
        <v>260</v>
      </c>
      <c r="AX495" s="1"/>
      <c r="AY495" s="1"/>
      <c r="AZ495" s="1"/>
      <c r="BA495" s="1"/>
      <c r="BB495" s="1"/>
      <c r="BC495" s="2"/>
      <c r="BD495" s="116"/>
      <c r="BE495" s="115"/>
      <c r="BF495" s="2"/>
      <c r="BG495" s="2"/>
      <c r="BH495" s="2"/>
      <c r="BI495" s="2"/>
      <c r="BJ495" s="2"/>
      <c r="BK495" s="2"/>
      <c r="BL495" s="20">
        <f ca="1">SUM(DP495)+220</f>
        <v>767.10752500000001</v>
      </c>
      <c r="BM495" s="22">
        <f ca="1">PMT(10%/12,12,BL495,0,0)</f>
        <v>-67.440938661191765</v>
      </c>
      <c r="BN495" s="22">
        <f ca="1">SUM(BM495*-1)</f>
        <v>67.440938661191765</v>
      </c>
      <c r="BO495" s="14">
        <f>SUM(DX495*0.0052)/12</f>
        <v>24.136666666666667</v>
      </c>
      <c r="BP495" s="22">
        <f ca="1">SUM(BN495+BO495)</f>
        <v>91.577605327858436</v>
      </c>
      <c r="BQ495" s="14"/>
      <c r="BR495" s="14">
        <f>SUM(BQ495*0.1)</f>
        <v>0</v>
      </c>
      <c r="BS495" s="14">
        <f ca="1">SUM(BT495*BU495)</f>
        <v>0</v>
      </c>
      <c r="BT495" s="17">
        <f>SUM((BQ495+BR495)*0.00833333333333333)</f>
        <v>0</v>
      </c>
      <c r="BU495" s="23">
        <f ca="1">MONTH(TODAY())+49</f>
        <v>53</v>
      </c>
      <c r="BV495" s="14">
        <f ca="1">SUM(BQ495,BR495,BS495)</f>
        <v>0</v>
      </c>
      <c r="BW495" s="14"/>
      <c r="BX495" s="14">
        <f>SUM(BW495*0.1)</f>
        <v>0</v>
      </c>
      <c r="BY495" s="14">
        <f ca="1">SUM(BZ495*CA495)</f>
        <v>0</v>
      </c>
      <c r="BZ495" s="17">
        <f>SUM((BW495+BX495)*0.00833333333333333)</f>
        <v>0</v>
      </c>
      <c r="CA495" s="23">
        <f ca="1">MONTH(TODAY())+37</f>
        <v>41</v>
      </c>
      <c r="CB495" s="14">
        <f ca="1">SUM(BW495,BX495,BY495)</f>
        <v>0</v>
      </c>
      <c r="CC495" s="14">
        <v>0</v>
      </c>
      <c r="CD495" s="14">
        <f>SUM(CC495*0.1)</f>
        <v>0</v>
      </c>
      <c r="CE495" s="14">
        <f ca="1">SUM(CF495*CG495)</f>
        <v>0</v>
      </c>
      <c r="CF495" s="17">
        <f>SUM((CC495+CD495)*0.00833333333333333)</f>
        <v>0</v>
      </c>
      <c r="CG495" s="23">
        <f ca="1">MONTH(TODAY())+25</f>
        <v>29</v>
      </c>
      <c r="CH495" s="14">
        <f ca="1">SUM(CC495,CD495,CE495)</f>
        <v>0</v>
      </c>
      <c r="CI495" s="14">
        <f>190.32+11.05</f>
        <v>201.37</v>
      </c>
      <c r="CJ495" s="14">
        <f>SUM(CI495*0.1)</f>
        <v>20.137</v>
      </c>
      <c r="CK495" s="14">
        <f ca="1">SUM(CL495*CM495)</f>
        <v>31.38015833333332</v>
      </c>
      <c r="CL495" s="17">
        <f>SUM((CI495+CJ495)*0.00833333333333333)</f>
        <v>1.8458916666666658</v>
      </c>
      <c r="CM495" s="23">
        <f ca="1">MONTH(TODAY())+13</f>
        <v>17</v>
      </c>
      <c r="CN495" s="14">
        <f ca="1">SUM(CI495,CJ495,CK495)</f>
        <v>252.88715833333333</v>
      </c>
      <c r="CO495" s="14">
        <f>SUM(DU495*0.0052)/2</f>
        <v>117.25999999999999</v>
      </c>
      <c r="CP495" s="14">
        <f>SUM(CO495*0.1)</f>
        <v>11.725999999999999</v>
      </c>
      <c r="CQ495" s="14">
        <f ca="1">SUM(CR495*CS495)</f>
        <v>9.6739499999999943</v>
      </c>
      <c r="CR495" s="17">
        <f>SUM((CO495+CP495)*0.00833333333333333)</f>
        <v>1.0748833333333327</v>
      </c>
      <c r="CS495" s="23">
        <f ca="1">MONTH(TODAY())+5</f>
        <v>9</v>
      </c>
      <c r="CT495" s="23">
        <f ca="1">SUM(CO495,CP495,CQ495)</f>
        <v>138.65994999999998</v>
      </c>
      <c r="CU495" s="14">
        <f>SUM(DU495*0.0052)/2</f>
        <v>117.25999999999999</v>
      </c>
      <c r="CV495" s="14">
        <f>SUM(CU495*0.1)</f>
        <v>11.725999999999999</v>
      </c>
      <c r="CW495" s="14">
        <f ca="1">SUM(CX495*CY495)</f>
        <v>5.3744166666666633</v>
      </c>
      <c r="CX495" s="17">
        <f>SUM((CU495+CV495)*0.00833333333333333)</f>
        <v>1.0748833333333327</v>
      </c>
      <c r="CY495" s="23">
        <f ca="1">MONTH(TODAY())+1</f>
        <v>5</v>
      </c>
      <c r="CZ495" s="23">
        <f ca="1">SUM(CU495,CV495,CW495)</f>
        <v>134.36041666666665</v>
      </c>
      <c r="DA495" s="14">
        <f>SUM( BQ495, BW495, CC495, CI495, CO495,CU495)</f>
        <v>435.89</v>
      </c>
      <c r="DB495" s="14">
        <f>SUM(BR495,BX495,CD495,CJ495, CP495,CV495)</f>
        <v>43.588999999999999</v>
      </c>
      <c r="DC495" s="14">
        <f ca="1">SUM(BS495,BY495,CE495,CK495, CQ495,CW495)</f>
        <v>46.428524999999979</v>
      </c>
      <c r="DD495" s="25">
        <f ca="1">SUM(DA495:DC495)</f>
        <v>525.90752499999996</v>
      </c>
      <c r="DE495" s="47">
        <f ca="1">SUM(DD495/DU495)</f>
        <v>1.1660920731707316E-2</v>
      </c>
      <c r="DF495" s="14">
        <v>20</v>
      </c>
      <c r="DG495" s="32">
        <f>COUNTIF(DL495, "*")+COUNTIF(AO495, "*")+COUNTIF(AJ495, "*")+COUNTIF(AA495, "*")+COUNTIF(EM495, "*")+COUNTIF(ES495, "*")+COUNTIF(EY495, "*")+COUNTIF(FC495, "*")+COUNTIF(FJ495, "*")+COUNTIF(AT495, "*")+COUNTIF(FS495, "*")+COUNTIF(GD495, "*")+COUNTIF(GO495, "*")+COUNTIF(GW495, "*")+COUNTIF(HE495, "*")+COUNTIF(HM495, "*")+COUNTIF(HU495, "*")</f>
        <v>2</v>
      </c>
      <c r="DH495" s="14">
        <f>DG495*0.6</f>
        <v>1.2</v>
      </c>
      <c r="DI495" s="4"/>
      <c r="DJ495" s="4"/>
      <c r="DK495" s="4"/>
      <c r="DL495" s="4"/>
      <c r="DN495" s="4"/>
      <c r="DO495" s="14">
        <f>SUM(DJ495:DN495)</f>
        <v>0</v>
      </c>
      <c r="DP495" s="14">
        <f ca="1">SUM(DD495,DF495,DO495, DI495, DH495,FP495)</f>
        <v>547.10752500000001</v>
      </c>
      <c r="DQ495" s="24" t="s">
        <v>3879</v>
      </c>
      <c r="DR495" s="7">
        <v>2.2839999999999998</v>
      </c>
      <c r="DS495" s="4">
        <v>25600</v>
      </c>
      <c r="DT495" s="4">
        <v>19500</v>
      </c>
      <c r="DU495" s="14">
        <f>SUM(DS495+DT495)</f>
        <v>45100</v>
      </c>
      <c r="DV495" s="14">
        <v>32400</v>
      </c>
      <c r="DW495" s="14">
        <v>23300</v>
      </c>
      <c r="DX495" s="14">
        <f>SUM(DV495+DW495)</f>
        <v>55700</v>
      </c>
      <c r="IA495" s="9"/>
      <c r="IL495" s="14">
        <f ca="1">SUM(IB495-DP495-FP495-IJ495)</f>
        <v>-547.10752500000001</v>
      </c>
      <c r="IM495" s="9"/>
      <c r="IN495" s="9"/>
      <c r="IO495" s="9"/>
      <c r="IP495" s="9"/>
      <c r="IQ495" s="9"/>
    </row>
    <row r="496" spans="1:263" ht="15" customHeight="1">
      <c r="A496" s="19">
        <v>102023094</v>
      </c>
      <c r="B496" s="18" t="s">
        <v>4306</v>
      </c>
      <c r="D496" s="1"/>
      <c r="E496" t="s">
        <v>4941</v>
      </c>
      <c r="F496">
        <v>230003230</v>
      </c>
      <c r="G496" s="3"/>
      <c r="J496" s="18" t="s">
        <v>253</v>
      </c>
      <c r="K496" s="18" t="s">
        <v>4339</v>
      </c>
      <c r="L496" s="18" t="s">
        <v>1329</v>
      </c>
      <c r="M496" s="18" t="s">
        <v>354</v>
      </c>
      <c r="N496" s="18"/>
      <c r="O496" s="19"/>
      <c r="P496" s="18"/>
      <c r="Q496" s="18"/>
      <c r="R496" s="18"/>
      <c r="S496" s="18"/>
      <c r="AG496" s="43"/>
      <c r="AJ496" s="18" t="s">
        <v>4340</v>
      </c>
      <c r="AK496" t="s">
        <v>258</v>
      </c>
      <c r="AL496" s="18" t="s">
        <v>349</v>
      </c>
      <c r="AM496" t="s">
        <v>260</v>
      </c>
      <c r="AN496"/>
      <c r="AO496" s="18" t="s">
        <v>4341</v>
      </c>
      <c r="AP496" s="3" t="s">
        <v>258</v>
      </c>
      <c r="AQ496" s="18" t="s">
        <v>349</v>
      </c>
      <c r="AR496" s="18" t="s">
        <v>260</v>
      </c>
      <c r="AX496" s="1" t="s">
        <v>258</v>
      </c>
      <c r="AY496" s="1" t="s">
        <v>258</v>
      </c>
      <c r="AZ496" s="1"/>
      <c r="BA496" s="1"/>
      <c r="BB496" s="1"/>
      <c r="BC496" s="70">
        <v>45097</v>
      </c>
      <c r="BD496" s="115">
        <v>45060</v>
      </c>
      <c r="BE496" s="115">
        <v>45056</v>
      </c>
      <c r="BF496" s="2"/>
      <c r="BG496" s="2"/>
      <c r="BH496" s="2"/>
      <c r="BI496" s="2"/>
      <c r="BJ496" s="2"/>
      <c r="BK496" s="2"/>
      <c r="BL496" s="20">
        <f ca="1">SUM(EB496)+220</f>
        <v>1385.8048125</v>
      </c>
      <c r="BM496" s="22">
        <f ca="1">PMT(10%/12,12,BL496,0,0)</f>
        <v>-121.8342596185546</v>
      </c>
      <c r="BN496" s="22">
        <f ca="1">SUM(BM496*-1)</f>
        <v>121.8342596185546</v>
      </c>
      <c r="BO496" s="14">
        <f>SUM(EJ496*0.0052)/12</f>
        <v>18.763333333333332</v>
      </c>
      <c r="BP496" s="22">
        <f ca="1">SUM(BN496+BO496)</f>
        <v>140.59759295188792</v>
      </c>
      <c r="BQ496" s="14"/>
      <c r="BR496" s="14">
        <f>SUM(BQ496*0.1)</f>
        <v>0</v>
      </c>
      <c r="BS496" s="14">
        <f ca="1">SUM(BT496*BU496)</f>
        <v>0</v>
      </c>
      <c r="BT496" s="17">
        <f>SUM((BQ496+BR496)*0.00833333333333333)</f>
        <v>0</v>
      </c>
      <c r="BU496" s="23">
        <f ca="1">MONTH(TODAY())+49</f>
        <v>53</v>
      </c>
      <c r="BV496" s="14">
        <f ca="1">SUM(BQ496,BR496,BS496)</f>
        <v>0</v>
      </c>
      <c r="BW496" s="14"/>
      <c r="BX496" s="14">
        <f>SUM(BW496*0.1)</f>
        <v>0</v>
      </c>
      <c r="BY496" s="14">
        <f ca="1">SUM(BZ496*CA496)</f>
        <v>0</v>
      </c>
      <c r="BZ496" s="17">
        <f>SUM((BW496+BX496)*0.00833333333333333)</f>
        <v>0</v>
      </c>
      <c r="CA496" s="23">
        <f ca="1">MONTH(TODAY())+37</f>
        <v>41</v>
      </c>
      <c r="CB496" s="14">
        <f ca="1">SUM(BW496,BX496,BY496)</f>
        <v>0</v>
      </c>
      <c r="CC496" s="14">
        <v>0</v>
      </c>
      <c r="CD496" s="14">
        <f>SUM(CC496*0.1)</f>
        <v>0</v>
      </c>
      <c r="CE496" s="14">
        <f ca="1">SUM(CF496*CG496)</f>
        <v>0</v>
      </c>
      <c r="CF496" s="17">
        <f>SUM((CC496+CD496)*0.00833333333333333)</f>
        <v>0</v>
      </c>
      <c r="CG496" s="23">
        <f ca="1">MONTH(TODAY())+25</f>
        <v>29</v>
      </c>
      <c r="CH496" s="14">
        <f ca="1">SUM(CC496,CD496,CE496)</f>
        <v>0</v>
      </c>
      <c r="CI496" s="14">
        <f>SUM(EG496*0.0052)</f>
        <v>185.12</v>
      </c>
      <c r="CJ496" s="14">
        <f>SUM(CI496*0.1)</f>
        <v>18.512</v>
      </c>
      <c r="CK496" s="14">
        <f ca="1">SUM(CL496*CM496)</f>
        <v>28.847866666666658</v>
      </c>
      <c r="CL496" s="17">
        <f>SUM((CI496+CJ496)*0.00833333333333333)</f>
        <v>1.6969333333333327</v>
      </c>
      <c r="CM496" s="23">
        <f ca="1">MONTH(TODAY())+13</f>
        <v>17</v>
      </c>
      <c r="CN496" s="14">
        <f ca="1">SUM(CI496,CJ496,CK496)</f>
        <v>232.47986666666665</v>
      </c>
      <c r="CO496" s="14">
        <f>SUM(EG496*0.0052)/2-81.37</f>
        <v>11.189999999999998</v>
      </c>
      <c r="CP496" s="14">
        <f>SUM(CO496*0.1)</f>
        <v>1.1189999999999998</v>
      </c>
      <c r="CQ496" s="14">
        <f ca="1">SUM(CR496*CS496)</f>
        <v>0.92317499999999941</v>
      </c>
      <c r="CR496" s="17">
        <f>SUM((CO496+CP496)*0.00833333333333333)</f>
        <v>0.10257499999999993</v>
      </c>
      <c r="CS496" s="23">
        <f ca="1">MONTH(TODAY())+5</f>
        <v>9</v>
      </c>
      <c r="CT496" s="23">
        <f ca="1">SUM(CO496,CP496,CQ496)</f>
        <v>13.232174999999996</v>
      </c>
      <c r="CU496" s="14">
        <f>SUM(EG496*0.0052)/2</f>
        <v>92.56</v>
      </c>
      <c r="CV496" s="14">
        <f>SUM(CU496*0.1)</f>
        <v>9.2560000000000002</v>
      </c>
      <c r="CW496" s="14">
        <f ca="1">SUM(CX496*CY496)</f>
        <v>4.242333333333332</v>
      </c>
      <c r="CX496" s="17">
        <f>SUM((CU496+CV496)*0.00833333333333333)</f>
        <v>0.84846666666666637</v>
      </c>
      <c r="CY496" s="23">
        <f ca="1">MONTH(TODAY())+1</f>
        <v>5</v>
      </c>
      <c r="CZ496" s="23">
        <f ca="1">SUM(CU496,CV496,CW496)</f>
        <v>106.05833333333334</v>
      </c>
      <c r="DA496" s="14">
        <f>SUM(EJ496*0.0045)/2</f>
        <v>97.424999999999997</v>
      </c>
      <c r="DB496" s="14">
        <f>SUM(DA496*0.1)</f>
        <v>9.7424999999999997</v>
      </c>
      <c r="DC496" s="14">
        <f ca="1">SUM(DD496*DE496)</f>
        <v>-0.89306249999999954</v>
      </c>
      <c r="DD496" s="17">
        <f>SUM((DA496+DB496)*0.00833333333333333)</f>
        <v>0.89306249999999954</v>
      </c>
      <c r="DE496" s="23">
        <f ca="1">MONTH(TODAY())-5</f>
        <v>-1</v>
      </c>
      <c r="DF496" s="23">
        <f ca="1">SUM(DA496,DB496,DC496)</f>
        <v>106.27443749999999</v>
      </c>
      <c r="DG496" s="14">
        <v>0</v>
      </c>
      <c r="DH496" s="14">
        <v>0</v>
      </c>
      <c r="DI496" s="14">
        <v>0</v>
      </c>
      <c r="DJ496" s="17">
        <f>SUM((DG496+DH496)*0.00833333333333333)</f>
        <v>0</v>
      </c>
      <c r="DK496" s="23">
        <f ca="1">MONTH(TODAY())+1</f>
        <v>5</v>
      </c>
      <c r="DL496" s="23">
        <f>SUM(DG496,DH496,DI496)</f>
        <v>0</v>
      </c>
      <c r="DM496" s="14">
        <f>SUM( BQ496, BW496, CC496, CI496, CO496,CU496,DA496,DG496)</f>
        <v>386.29500000000002</v>
      </c>
      <c r="DN496" s="14">
        <f>SUM(BR496,BX496,CD496,CJ496, CP496,CV496,DB496,DH496)</f>
        <v>38.6295</v>
      </c>
      <c r="DO496" s="14">
        <f ca="1">SUM(BS496,BY496,CE496,CK496, CQ496,CW496,DC496,DI496)</f>
        <v>33.12031249999999</v>
      </c>
      <c r="DP496" s="25">
        <f ca="1">SUM(DM496:DO496)</f>
        <v>458.04481250000003</v>
      </c>
      <c r="DQ496" s="47">
        <f ca="1">SUM(DP496/EG496)</f>
        <v>1.2866427317415731E-2</v>
      </c>
      <c r="DR496" s="14">
        <f>20+200+20+200</f>
        <v>440</v>
      </c>
      <c r="DS496" s="32">
        <f>COUNTIF(DX496, "*")+COUNTIF(AO496, "*")+COUNTIF(AJ496, "*")+COUNTIF(AA496, "*")+COUNTIF(EY496, "*")+COUNTIF(FE496, "*")+COUNTIF(FK496, "*")+COUNTIF(FO496, "*")+COUNTIF(FW496, "*")+COUNTIF(AT496, "*")+COUNTIF(GE496, "*")+COUNTIF(GP496, "*")+COUNTIF(HA496, "*")+COUNTIF(HI496, "*")+COUNTIF(HQ496, "*")+COUNTIF(HY496, "*")+COUNTIF(IG496, "*")</f>
        <v>4</v>
      </c>
      <c r="DT496" s="14">
        <f>1.2+DS496*7.45</f>
        <v>31</v>
      </c>
      <c r="DU496" s="4">
        <v>200</v>
      </c>
      <c r="DV496" s="4">
        <v>36.76</v>
      </c>
      <c r="DW496" s="4"/>
      <c r="DX496" s="4"/>
      <c r="DZ496" s="4"/>
      <c r="EA496" s="14">
        <f>SUM(DV496:DZ496)</f>
        <v>36.76</v>
      </c>
      <c r="EB496" s="14">
        <f ca="1">SUM(DP496,DR496,EA496, DU496, DT496,GB496)</f>
        <v>1165.8048125</v>
      </c>
      <c r="EC496" s="24" t="s">
        <v>3879</v>
      </c>
      <c r="ED496" s="130">
        <v>1.63</v>
      </c>
      <c r="EE496" s="14">
        <v>21200</v>
      </c>
      <c r="EF496" s="14">
        <v>14400</v>
      </c>
      <c r="EG496" s="14">
        <v>35600</v>
      </c>
      <c r="EH496" s="14">
        <v>27600</v>
      </c>
      <c r="EI496" s="14">
        <v>15700</v>
      </c>
      <c r="EJ496" s="14">
        <f>SUM(EH496+EI496)</f>
        <v>43300</v>
      </c>
      <c r="EK496" t="s">
        <v>4839</v>
      </c>
      <c r="EL496" t="s">
        <v>4889</v>
      </c>
      <c r="FN496" t="s">
        <v>4890</v>
      </c>
      <c r="FO496" t="s">
        <v>3655</v>
      </c>
      <c r="FP496" t="s">
        <v>552</v>
      </c>
      <c r="FQ496" t="s">
        <v>279</v>
      </c>
      <c r="FR496" t="s">
        <v>268</v>
      </c>
      <c r="FS496" s="9">
        <v>44274</v>
      </c>
      <c r="FT496" t="s">
        <v>4891</v>
      </c>
      <c r="FU496" t="s">
        <v>4892</v>
      </c>
      <c r="FV496" t="s">
        <v>3655</v>
      </c>
      <c r="FW496" t="s">
        <v>552</v>
      </c>
      <c r="FX496" t="s">
        <v>279</v>
      </c>
      <c r="FY496" t="s">
        <v>268</v>
      </c>
      <c r="FZ496" s="9">
        <v>44274</v>
      </c>
      <c r="GA496" t="s">
        <v>4891</v>
      </c>
      <c r="IM496" s="9"/>
      <c r="IX496" s="14" t="e">
        <f ca="1">SUM(IN496-EB496-#REF!-IV496)</f>
        <v>#REF!</v>
      </c>
      <c r="IY496" s="9"/>
      <c r="IZ496" s="9"/>
      <c r="JA496" s="9"/>
      <c r="JB496" s="9"/>
      <c r="JC496" s="9"/>
    </row>
    <row r="497" spans="1:263" ht="15" customHeight="1">
      <c r="A497" s="2">
        <v>102020061</v>
      </c>
      <c r="B497" t="s">
        <v>1702</v>
      </c>
      <c r="K497" t="s">
        <v>1703</v>
      </c>
      <c r="AG497" s="248"/>
      <c r="AX497" s="9"/>
      <c r="AY497" s="9"/>
      <c r="AZ497" s="9"/>
      <c r="BG497" s="5"/>
      <c r="BH497" s="16"/>
      <c r="BI497" s="16"/>
      <c r="BJ497" s="4"/>
      <c r="BK497" s="4"/>
      <c r="BL497" s="4"/>
      <c r="BM497" s="6"/>
      <c r="BN497" s="7"/>
      <c r="BO497" s="4"/>
      <c r="BP497" s="4"/>
      <c r="BQ497" s="4"/>
      <c r="BR497" s="4"/>
      <c r="BS497" s="6"/>
      <c r="BT497" s="7"/>
      <c r="BU497" s="4"/>
      <c r="BV497" s="4"/>
      <c r="BW497" s="4"/>
      <c r="BX497" s="4"/>
      <c r="BY497" s="6"/>
      <c r="BZ497" s="7"/>
      <c r="CA497" s="4"/>
      <c r="CB497" s="4"/>
      <c r="CC497" s="4"/>
      <c r="CD497" s="4"/>
      <c r="CE497" s="6"/>
      <c r="CF497" s="7"/>
      <c r="CG497" s="4"/>
      <c r="CH497" s="4"/>
      <c r="CI497" s="4"/>
      <c r="CJ497" s="4"/>
      <c r="CK497" s="6"/>
      <c r="CL497" s="7"/>
      <c r="CM497" s="4"/>
      <c r="CN497" s="4"/>
      <c r="CO497" s="4"/>
      <c r="CP497" s="4"/>
      <c r="CQ497" s="6"/>
      <c r="CR497" s="7"/>
      <c r="CS497" s="4"/>
      <c r="CT497" s="4"/>
      <c r="CU497" s="4"/>
      <c r="CV497" s="4"/>
      <c r="CW497" s="6"/>
      <c r="CX497" s="7"/>
      <c r="CY497" s="4"/>
      <c r="CZ497" s="4"/>
      <c r="DA497" s="4"/>
      <c r="DB497" s="4"/>
      <c r="DC497" s="4"/>
      <c r="DD497" s="3"/>
      <c r="DE497" s="4"/>
      <c r="DF497" s="234"/>
      <c r="DG497" s="4"/>
      <c r="DH497" s="4"/>
      <c r="DI497" s="4"/>
      <c r="DJ497" s="4"/>
      <c r="DK497" s="4"/>
      <c r="DL497" s="4"/>
      <c r="DM497" s="7"/>
      <c r="DN497" s="8"/>
      <c r="DO497" s="4"/>
      <c r="DP497" s="8"/>
      <c r="DQ497" s="8"/>
      <c r="DR497" s="8"/>
      <c r="DS497" s="35"/>
      <c r="DU497" s="43"/>
      <c r="EY497" s="279"/>
      <c r="FB497" s="9"/>
      <c r="IW497" s="18"/>
      <c r="IX497" s="18"/>
      <c r="IY497" s="18"/>
      <c r="IZ497" s="243"/>
      <c r="JA497" s="243"/>
      <c r="JB497" s="243"/>
      <c r="JC497" s="243"/>
    </row>
    <row r="498" spans="1:263" ht="15" customHeight="1">
      <c r="A498" s="19">
        <v>102022198</v>
      </c>
      <c r="B498" t="s">
        <v>1702</v>
      </c>
      <c r="D498" s="1"/>
      <c r="K498" t="s">
        <v>1703</v>
      </c>
      <c r="Z498" t="s">
        <v>3259</v>
      </c>
      <c r="AA498" t="s">
        <v>1704</v>
      </c>
      <c r="AB498" t="s">
        <v>386</v>
      </c>
      <c r="AC498" t="s">
        <v>260</v>
      </c>
      <c r="AG498" s="43"/>
      <c r="AJ498" t="s">
        <v>1705</v>
      </c>
      <c r="AK498" t="s">
        <v>258</v>
      </c>
      <c r="AL498" t="s">
        <v>349</v>
      </c>
      <c r="AM498" t="s">
        <v>260</v>
      </c>
      <c r="AN498"/>
      <c r="AO498" s="3" t="s">
        <v>1704</v>
      </c>
      <c r="AP498" s="3" t="s">
        <v>258</v>
      </c>
      <c r="AQ498" t="s">
        <v>386</v>
      </c>
      <c r="AR498" t="s">
        <v>260</v>
      </c>
      <c r="AS498" s="1"/>
      <c r="AT498" s="1"/>
      <c r="AU498" s="1"/>
      <c r="AV498" s="1"/>
      <c r="AW498" s="1"/>
      <c r="AX498" s="2"/>
      <c r="AY498" s="115">
        <v>44647</v>
      </c>
      <c r="AZ498" s="115">
        <v>44636</v>
      </c>
      <c r="BA498" s="2"/>
      <c r="BB498" s="2"/>
      <c r="BC498" s="2"/>
      <c r="BD498" s="2"/>
      <c r="BE498" s="2"/>
      <c r="BF498" s="2"/>
      <c r="BG498" s="20">
        <f ca="1">SUM(CY498)+214.5</f>
        <v>1129.5423999999998</v>
      </c>
      <c r="BH498" s="22">
        <f ca="1">PMT(10%/12,12,BG498,0,0)</f>
        <v>-99.304722259914371</v>
      </c>
      <c r="BI498" s="22">
        <f ca="1">SUM(BH498*-1)</f>
        <v>99.304722259914371</v>
      </c>
      <c r="BJ498" s="14">
        <f>SUM(DI498*0.0052)/12</f>
        <v>21.319999999999997</v>
      </c>
      <c r="BK498" s="22">
        <f ca="1">SUM(BI498+BJ498)</f>
        <v>120.62472225991436</v>
      </c>
      <c r="BL498" s="14"/>
      <c r="BM498" s="14">
        <f>SUM(BL498*0.1)</f>
        <v>0</v>
      </c>
      <c r="BN498" s="14">
        <f ca="1">SUM(BO498*BP498)</f>
        <v>0</v>
      </c>
      <c r="BO498" s="17">
        <f>SUM((BL498+BM498)*0.00833333333333333)</f>
        <v>0</v>
      </c>
      <c r="BP498" s="23">
        <f ca="1">MONTH(TODAY())+49</f>
        <v>53</v>
      </c>
      <c r="BQ498" s="14">
        <f ca="1">SUM(BL498,BM498,BN498)</f>
        <v>0</v>
      </c>
      <c r="BR498" s="14"/>
      <c r="BS498" s="14">
        <f>SUM(BR498*0.1)</f>
        <v>0</v>
      </c>
      <c r="BT498" s="14">
        <f ca="1">SUM(BU498*BV498)</f>
        <v>0</v>
      </c>
      <c r="BU498" s="17">
        <f>SUM((BR498+BS498)*0.00833333333333333)</f>
        <v>0</v>
      </c>
      <c r="BV498" s="23">
        <f ca="1">MONTH(TODAY())+37</f>
        <v>41</v>
      </c>
      <c r="BW498" s="14">
        <f ca="1">SUM(BR498,BS498,BT498)</f>
        <v>0</v>
      </c>
      <c r="BX498" s="14"/>
      <c r="BY498" s="14">
        <f>SUM(BX498*0.1)</f>
        <v>0</v>
      </c>
      <c r="BZ498" s="14">
        <f ca="1">SUM(CA498*CB498)</f>
        <v>0</v>
      </c>
      <c r="CA498" s="17">
        <f>SUM((BX498+BY498)*0.00833333333333333)</f>
        <v>0</v>
      </c>
      <c r="CB498" s="23">
        <f ca="1">MONTH(TODAY())+25</f>
        <v>29</v>
      </c>
      <c r="CC498" s="14">
        <f ca="1">SUM(BX498,BY498,BZ498)</f>
        <v>0</v>
      </c>
      <c r="CD498" s="14">
        <f>SUM(DI498*0.0052)</f>
        <v>255.83999999999997</v>
      </c>
      <c r="CE498" s="14">
        <f>SUM(CD498*0.1)</f>
        <v>25.584</v>
      </c>
      <c r="CF498" s="14">
        <f ca="1">SUM(CG498*CH498)</f>
        <v>39.86839999999998</v>
      </c>
      <c r="CG498" s="17">
        <f>SUM((CD498+CE498)*0.00833333333333333)</f>
        <v>2.3451999999999988</v>
      </c>
      <c r="CH498" s="23">
        <f ca="1">MONTH(TODAY())+13</f>
        <v>17</v>
      </c>
      <c r="CI498" s="14">
        <f ca="1">SUM(CD498,CE498,CF498)</f>
        <v>321.29239999999993</v>
      </c>
      <c r="CJ498" s="14">
        <f>SUM(DI498*0.0052)</f>
        <v>255.83999999999997</v>
      </c>
      <c r="CK498" s="14">
        <f>SUM(CJ498*0.1)</f>
        <v>25.584</v>
      </c>
      <c r="CL498" s="14">
        <f ca="1">SUM(CM498*CN498)</f>
        <v>11.725999999999994</v>
      </c>
      <c r="CM498" s="17">
        <f>SUM((CJ498+CK498)*0.00833333333333333)</f>
        <v>2.3451999999999988</v>
      </c>
      <c r="CN498" s="23">
        <f ca="1">MONTH(TODAY())+1</f>
        <v>5</v>
      </c>
      <c r="CO498" s="14">
        <f ca="1">SUM(CJ498,CK498,CL498)</f>
        <v>293.14999999999998</v>
      </c>
      <c r="CP498" s="14">
        <f>SUM(BL498, BR498,BX498,CD498,CJ498)</f>
        <v>511.67999999999995</v>
      </c>
      <c r="CQ498" s="14">
        <f>SUM(BM498, BS498,BY498,CE498,CK498)</f>
        <v>51.167999999999999</v>
      </c>
      <c r="CR498" s="14">
        <f ca="1">SUM(BN498, BT498,BZ498,CF498,CL498)</f>
        <v>51.594399999999972</v>
      </c>
      <c r="CS498" s="14">
        <f ca="1">SUM(CP498:CR498)</f>
        <v>614.44239999999991</v>
      </c>
      <c r="CT498" s="47">
        <f ca="1">SUM(CS498/DI498)</f>
        <v>1.2488666666666665E-2</v>
      </c>
      <c r="CU498" s="14">
        <f>19.5+19.5+195</f>
        <v>234</v>
      </c>
      <c r="CV498" s="32">
        <f>COUNTIF(DB498, "*")+COUNTIF(AO498, "*")+COUNTIF(AJ498, "*")+COUNTIF(AA498, "*")+COUNTIF(DY498, "*")+COUNTIF(EE498, "*")+COUNTIF(EK498, "*")+COUNTIF(EO498, "*")+COUNTIF(EV498, "*")+COUNTIF(FC498, "*")+COUNTIF(FJ498, "*")+COUNTIF(FU498, "*")+COUNTIF(GF498, "*")+COUNTIF(GN498, "*")+COUNTIF(GV498, "*")+COUNTIF(HD498, "*")+COUNTIF(HL498, "*")</f>
        <v>5</v>
      </c>
      <c r="CW498" s="14">
        <f>CV498*0.5+CV498*6.66</f>
        <v>35.799999999999997</v>
      </c>
      <c r="CX498" s="4">
        <v>150</v>
      </c>
      <c r="CY498" s="14">
        <f ca="1">SUM(CS498,CU498,DE498, Paid!DF641, CW498,FG498)</f>
        <v>915.04239999999982</v>
      </c>
      <c r="CZ498" s="4">
        <v>30.8</v>
      </c>
      <c r="DE498" s="14">
        <f>SUM(CZ498:DD498)</f>
        <v>30.8</v>
      </c>
      <c r="DF498" s="24" t="s">
        <v>2773</v>
      </c>
      <c r="DG498" s="4">
        <v>38500</v>
      </c>
      <c r="DH498" s="4">
        <v>10700</v>
      </c>
      <c r="DI498" s="25">
        <f>SUM(DG498+DH498)</f>
        <v>49200</v>
      </c>
      <c r="DJ498" s="35">
        <v>5.0999999999999996</v>
      </c>
      <c r="DK498" t="s">
        <v>3494</v>
      </c>
      <c r="DL498" t="s">
        <v>3495</v>
      </c>
      <c r="EN498" t="s">
        <v>3496</v>
      </c>
      <c r="EO498" t="s">
        <v>1030</v>
      </c>
      <c r="EQ498" t="s">
        <v>259</v>
      </c>
      <c r="ER498" t="s">
        <v>260</v>
      </c>
      <c r="ES498" s="9">
        <v>40424</v>
      </c>
      <c r="ET498" t="s">
        <v>3497</v>
      </c>
      <c r="EU498" t="s">
        <v>935</v>
      </c>
      <c r="EV498" t="s">
        <v>3498</v>
      </c>
      <c r="EX498" t="s">
        <v>386</v>
      </c>
      <c r="EY498" t="s">
        <v>260</v>
      </c>
      <c r="EZ498" s="9">
        <v>40424</v>
      </c>
      <c r="FA498" t="s">
        <v>3497</v>
      </c>
      <c r="IC498" s="4"/>
    </row>
    <row r="499" spans="1:263" ht="15" customHeight="1">
      <c r="A499" s="19">
        <v>102021109</v>
      </c>
      <c r="B499" t="s">
        <v>2682</v>
      </c>
      <c r="D499" s="1"/>
      <c r="E499" s="3"/>
      <c r="F499" s="3"/>
      <c r="G499">
        <v>220000633</v>
      </c>
      <c r="J499" t="s">
        <v>554</v>
      </c>
      <c r="K499" t="s">
        <v>680</v>
      </c>
      <c r="L499" t="s">
        <v>1176</v>
      </c>
      <c r="M499" t="s">
        <v>850</v>
      </c>
      <c r="P499" t="s">
        <v>680</v>
      </c>
      <c r="Q499" t="s">
        <v>2683</v>
      </c>
      <c r="R499" t="s">
        <v>354</v>
      </c>
      <c r="AD499" t="s">
        <v>2766</v>
      </c>
      <c r="AE499" t="s">
        <v>2764</v>
      </c>
      <c r="AF499" t="s">
        <v>956</v>
      </c>
      <c r="AG499" s="43" t="s">
        <v>2765</v>
      </c>
      <c r="AH499" t="s">
        <v>2685</v>
      </c>
      <c r="AI499" t="s">
        <v>349</v>
      </c>
      <c r="AJ499" s="18" t="s">
        <v>2684</v>
      </c>
      <c r="AK499" t="s">
        <v>258</v>
      </c>
      <c r="AL499" t="s">
        <v>349</v>
      </c>
      <c r="AM499" t="s">
        <v>260</v>
      </c>
      <c r="AN499"/>
      <c r="AO499" s="3" t="s">
        <v>2685</v>
      </c>
      <c r="AP499" s="3" t="s">
        <v>258</v>
      </c>
      <c r="AQ499" t="s">
        <v>349</v>
      </c>
      <c r="AR499" t="s">
        <v>260</v>
      </c>
      <c r="AS499" s="1"/>
      <c r="AT499" s="1"/>
      <c r="AU499" s="1"/>
      <c r="AV499" s="1"/>
      <c r="AW499" s="1"/>
      <c r="AX499" s="2"/>
      <c r="AY499" s="115">
        <v>44598</v>
      </c>
      <c r="AZ499" s="115"/>
      <c r="BA499" s="2"/>
      <c r="BB499" s="2"/>
      <c r="BC499" s="2"/>
      <c r="BD499" s="2"/>
      <c r="BE499" s="2"/>
      <c r="BF499" s="2"/>
      <c r="BG499" s="20">
        <f ca="1">SUM(DE499)+214.5</f>
        <v>1014.7789999999999</v>
      </c>
      <c r="BH499" s="22">
        <f ca="1">PMT(10%/12,12,BG499,0,0)</f>
        <v>-89.215196127381901</v>
      </c>
      <c r="BI499" s="22">
        <f ca="1">SUM(BH499*-1)</f>
        <v>89.215196127381901</v>
      </c>
      <c r="BJ499" s="14">
        <f>SUM(DO499*0.0052)/12</f>
        <v>12.35</v>
      </c>
      <c r="BK499" s="22">
        <f ca="1">SUM(BI499+BJ499)</f>
        <v>101.5651961273819</v>
      </c>
      <c r="BL499" s="14"/>
      <c r="BM499" s="14">
        <f>SUM(BL499*0.1)</f>
        <v>0</v>
      </c>
      <c r="BN499" s="14">
        <f ca="1">SUM(BO499*BP499)</f>
        <v>0</v>
      </c>
      <c r="BO499" s="17">
        <f>SUM((BL499+BM499)*0.00833333333333333)</f>
        <v>0</v>
      </c>
      <c r="BP499" s="23">
        <f ca="1">MONTH(TODAY())+49</f>
        <v>53</v>
      </c>
      <c r="BQ499" s="14">
        <f ca="1">SUM(BL499,BM499,BN499)</f>
        <v>0</v>
      </c>
      <c r="BR499" s="14">
        <f>SUM(DO499*0.0052)</f>
        <v>148.19999999999999</v>
      </c>
      <c r="BS499" s="14">
        <f>SUM(BR499*0.1)</f>
        <v>14.82</v>
      </c>
      <c r="BT499" s="14">
        <f ca="1">SUM(BU499*BV499)</f>
        <v>55.698499999999974</v>
      </c>
      <c r="BU499" s="17">
        <f>SUM((BR499+BS499)*0.00833333333333333)</f>
        <v>1.3584999999999994</v>
      </c>
      <c r="BV499" s="23">
        <f ca="1">MONTH(TODAY())+37</f>
        <v>41</v>
      </c>
      <c r="BW499" s="14">
        <f ca="1">SUM(BR499,BS499,BT499)</f>
        <v>218.71849999999995</v>
      </c>
      <c r="BX499" s="14">
        <f>SUM(DO499*0.0052)</f>
        <v>148.19999999999999</v>
      </c>
      <c r="BY499" s="14">
        <f>SUM(BX499*0.1)</f>
        <v>14.82</v>
      </c>
      <c r="BZ499" s="14">
        <f ca="1">SUM(CA499*CB499)</f>
        <v>39.396499999999982</v>
      </c>
      <c r="CA499" s="17">
        <f>SUM((BX499+BY499)*0.00833333333333333)</f>
        <v>1.3584999999999994</v>
      </c>
      <c r="CB499" s="23">
        <f ca="1">MONTH(TODAY())+25</f>
        <v>29</v>
      </c>
      <c r="CC499" s="14">
        <f ca="1">SUM(BX499,BY499,BZ499)</f>
        <v>202.41649999999996</v>
      </c>
      <c r="CD499" s="14">
        <f>SUM(DO499*0.0052)</f>
        <v>148.19999999999999</v>
      </c>
      <c r="CE499" s="14">
        <f>SUM(CD499*0.1)</f>
        <v>14.82</v>
      </c>
      <c r="CF499" s="14">
        <f ca="1">SUM(CG499*CH499)</f>
        <v>23.094499999999989</v>
      </c>
      <c r="CG499" s="17">
        <f>SUM((CD499+CE499)*0.00833333333333333)</f>
        <v>1.3584999999999994</v>
      </c>
      <c r="CH499" s="23">
        <f ca="1">MONTH(TODAY())+13</f>
        <v>17</v>
      </c>
      <c r="CI499" s="14">
        <f ca="1">SUM(CD499,CE499,CF499)</f>
        <v>186.11449999999996</v>
      </c>
      <c r="CJ499" s="14">
        <f>SUM(DO499*0.0052)/2</f>
        <v>74.099999999999994</v>
      </c>
      <c r="CK499" s="14">
        <f>SUM(CJ499*0.1)</f>
        <v>7.41</v>
      </c>
      <c r="CL499" s="14">
        <f ca="1">SUM(CM499*CN499)</f>
        <v>6.1132499999999972</v>
      </c>
      <c r="CM499" s="17">
        <f>SUM((CJ499+CK499)*0.00833333333333333)</f>
        <v>0.67924999999999969</v>
      </c>
      <c r="CN499" s="23">
        <f ca="1">MONTH(TODAY())+5</f>
        <v>9</v>
      </c>
      <c r="CO499" s="23">
        <f ca="1">SUM(CJ499,CK499,CL499)</f>
        <v>87.623249999999985</v>
      </c>
      <c r="CP499" s="14">
        <f>SUM(DO499*0.0052)/2</f>
        <v>74.099999999999994</v>
      </c>
      <c r="CQ499" s="14">
        <f>SUM(CP499*0.1)</f>
        <v>7.41</v>
      </c>
      <c r="CR499" s="14">
        <f ca="1">SUM(CS499*CT499)</f>
        <v>3.3962499999999984</v>
      </c>
      <c r="CS499" s="17">
        <f>SUM((CP499+CQ499)*0.00833333333333333)</f>
        <v>0.67924999999999969</v>
      </c>
      <c r="CT499" s="23">
        <f ca="1">MONTH(TODAY())+1</f>
        <v>5</v>
      </c>
      <c r="CU499" s="23">
        <f ca="1">SUM(CP499,CQ499,CR499)</f>
        <v>84.906249999999986</v>
      </c>
      <c r="CV499" s="14">
        <f>SUM( BL499, BR499, BX499, CD499, CJ499,CP499)</f>
        <v>592.79999999999995</v>
      </c>
      <c r="CW499" s="14">
        <f>SUM(BM499,BS499,BY499,CE499, CK499,CQ499)</f>
        <v>59.28</v>
      </c>
      <c r="CX499" s="14">
        <f ca="1">SUM(BN499,BT499,BZ499,CF499, CL499,CR499)</f>
        <v>127.69899999999994</v>
      </c>
      <c r="CY499" s="14">
        <f ca="1">SUM(CV499:CX499)</f>
        <v>779.77899999999988</v>
      </c>
      <c r="CZ499" s="47">
        <f ca="1">SUM(CY499/DO499)</f>
        <v>2.7360666666666662E-2</v>
      </c>
      <c r="DA499" s="14">
        <v>19.5</v>
      </c>
      <c r="DB499" s="32">
        <f>COUNTIF(DH499, "*")+COUNTIF(AO499, "*")+COUNTIF(AJ499, "*")+COUNTIF(AA499, "*")+COUNTIF(EE499, "*")+COUNTIF(EK499, "*")+COUNTIF(EQ499, "*")+COUNTIF(EU499, "*")+COUNTIF(FB499, "*")+COUNTIF(FI499, "*")+COUNTIF(FP499, "*")+COUNTIF(GA499, "*")+COUNTIF(GL499, "*")+COUNTIF(GT499, "*")+COUNTIF(HB499, "*")+COUNTIF(HJ499, "*")+COUNTIF(HR499, "*")</f>
        <v>2</v>
      </c>
      <c r="DC499" s="14">
        <f>DB499*0.5</f>
        <v>1</v>
      </c>
      <c r="DD499" s="4"/>
      <c r="DE499" s="14">
        <f ca="1">SUM(CY499,DA499,DK499, DD499, DC499,FM499)</f>
        <v>800.27899999999988</v>
      </c>
      <c r="DF499" s="4"/>
      <c r="DG499" s="4"/>
      <c r="DH499" s="4"/>
      <c r="DJ499" s="4"/>
      <c r="DK499" s="14">
        <f>SUM(DF499:DJ499)</f>
        <v>0</v>
      </c>
      <c r="DL499" s="24" t="s">
        <v>2770</v>
      </c>
      <c r="DM499" s="4">
        <v>20300</v>
      </c>
      <c r="DN499" s="4">
        <v>8200</v>
      </c>
      <c r="DO499" s="25">
        <f>SUM(DM499+DN499)</f>
        <v>28500</v>
      </c>
      <c r="DP499" s="35">
        <v>1.9</v>
      </c>
      <c r="HX499" s="9"/>
      <c r="II499" s="14">
        <f ca="1">SUM(HY499-DE499-FM499-IG499)</f>
        <v>-800.27899999999988</v>
      </c>
      <c r="IJ499" s="9"/>
      <c r="IK499" s="9"/>
      <c r="IL499" s="9"/>
      <c r="IM499" s="9"/>
      <c r="IN499" s="9"/>
    </row>
    <row r="500" spans="1:263" ht="15" customHeight="1">
      <c r="A500" s="2">
        <v>102023020</v>
      </c>
      <c r="B500" t="s">
        <v>4023</v>
      </c>
      <c r="G500" s="3"/>
      <c r="J500" t="s">
        <v>311</v>
      </c>
      <c r="K500" t="s">
        <v>2967</v>
      </c>
      <c r="L500" t="s">
        <v>420</v>
      </c>
      <c r="M500" t="s">
        <v>428</v>
      </c>
      <c r="O500" s="3"/>
      <c r="AD500" t="s">
        <v>4907</v>
      </c>
      <c r="AE500" t="s">
        <v>253</v>
      </c>
      <c r="AF500" t="s">
        <v>4908</v>
      </c>
      <c r="AG500" t="s">
        <v>4909</v>
      </c>
      <c r="AH500" s="31" t="s">
        <v>4910</v>
      </c>
      <c r="AM500"/>
      <c r="AN500"/>
      <c r="AO500" t="s">
        <v>4099</v>
      </c>
      <c r="AP500" s="3" t="s">
        <v>258</v>
      </c>
      <c r="AQ500" t="s">
        <v>349</v>
      </c>
      <c r="AR500" t="s">
        <v>260</v>
      </c>
      <c r="AY500" s="1"/>
      <c r="AZ500" s="1"/>
      <c r="BA500" s="1"/>
      <c r="BB500" s="1"/>
      <c r="BC500" s="2"/>
      <c r="BD500" s="116"/>
      <c r="BE500" s="115"/>
      <c r="BF500" s="2"/>
      <c r="BG500" s="2"/>
      <c r="BH500" s="2"/>
      <c r="BI500" s="2"/>
      <c r="BJ500" s="2"/>
      <c r="BK500" s="2"/>
      <c r="BL500" s="20">
        <f ca="1">SUM(EB500)+220</f>
        <v>4305.3960916666656</v>
      </c>
      <c r="BM500" s="22">
        <f ca="1">PMT(10%/12,12,BL500,0,0)</f>
        <v>-378.51271727549067</v>
      </c>
      <c r="BN500" s="22">
        <f ca="1">SUM(BM500*-1)</f>
        <v>378.51271727549067</v>
      </c>
      <c r="BO500" s="14">
        <f>SUM(EJ500*0.0052)/12</f>
        <v>101.83333333333333</v>
      </c>
      <c r="BP500" s="22">
        <f ca="1">SUM(BN500+BO500)</f>
        <v>480.34605060882399</v>
      </c>
      <c r="BQ500" s="14"/>
      <c r="BR500" s="14">
        <f>SUM(BQ500*0.1)</f>
        <v>0</v>
      </c>
      <c r="BS500" s="14">
        <f ca="1">SUM(BT500*BU500)</f>
        <v>0</v>
      </c>
      <c r="BT500" s="17">
        <f>SUM((BQ500+BR500)*0.00833333333333333)</f>
        <v>0</v>
      </c>
      <c r="BU500" s="23">
        <f ca="1">MONTH(TODAY())+49</f>
        <v>53</v>
      </c>
      <c r="BV500" s="14">
        <f ca="1">SUM(BQ500,BR500,BS500)</f>
        <v>0</v>
      </c>
      <c r="BW500" s="14"/>
      <c r="BX500" s="14">
        <f>SUM(BW500*0.1)</f>
        <v>0</v>
      </c>
      <c r="BY500" s="14">
        <f ca="1">SUM(BZ500*CA500)</f>
        <v>0</v>
      </c>
      <c r="BZ500" s="17">
        <f>SUM((BW500+BX500)*0.00833333333333333)</f>
        <v>0</v>
      </c>
      <c r="CA500" s="23">
        <f ca="1">MONTH(TODAY())+37</f>
        <v>41</v>
      </c>
      <c r="CB500" s="14">
        <f ca="1">SUM(BW500,BX500,BY500)</f>
        <v>0</v>
      </c>
      <c r="CC500" s="14">
        <f>SUM(EG500*0.0052)</f>
        <v>894.92</v>
      </c>
      <c r="CD500" s="14">
        <f>SUM(CC500*0.1)</f>
        <v>89.492000000000004</v>
      </c>
      <c r="CE500" s="14">
        <f ca="1">SUM(CF500*CG500)</f>
        <v>237.89956666666654</v>
      </c>
      <c r="CF500" s="17">
        <f>SUM((CC500+CD500)*0.00833333333333333)</f>
        <v>8.2034333333333294</v>
      </c>
      <c r="CG500" s="23">
        <f ca="1">MONTH(TODAY())+25</f>
        <v>29</v>
      </c>
      <c r="CH500" s="14">
        <f ca="1">SUM(CC500,CD500,CE500)</f>
        <v>1222.3115666666665</v>
      </c>
      <c r="CI500" s="14">
        <f>SUM(EG500*0.0052)</f>
        <v>894.92</v>
      </c>
      <c r="CJ500" s="14">
        <f>SUM(CI500*0.1)</f>
        <v>89.492000000000004</v>
      </c>
      <c r="CK500" s="14">
        <f ca="1">SUM(CL500*CM500)</f>
        <v>139.45836666666659</v>
      </c>
      <c r="CL500" s="17">
        <f>SUM((CI500+CJ500)*0.00833333333333333)</f>
        <v>8.2034333333333294</v>
      </c>
      <c r="CM500" s="23">
        <f ca="1">MONTH(TODAY())+13</f>
        <v>17</v>
      </c>
      <c r="CN500" s="14">
        <f ca="1">SUM(CI500,CJ500,CK500)</f>
        <v>1123.8703666666665</v>
      </c>
      <c r="CO500" s="14">
        <f>SUM(EG500*0.0052)/2</f>
        <v>447.46</v>
      </c>
      <c r="CP500" s="14">
        <f>SUM(CO500*0.1)</f>
        <v>44.746000000000002</v>
      </c>
      <c r="CQ500" s="14">
        <f ca="1">SUM(CR500*CS500)</f>
        <v>36.915449999999979</v>
      </c>
      <c r="CR500" s="17">
        <f>SUM((CO500+CP500)*0.00833333333333333)</f>
        <v>4.1017166666666647</v>
      </c>
      <c r="CS500" s="23">
        <f ca="1">MONTH(TODAY())+5</f>
        <v>9</v>
      </c>
      <c r="CT500" s="23">
        <f ca="1">SUM(CO500,CP500,CQ500)</f>
        <v>529.12144999999998</v>
      </c>
      <c r="CU500" s="14">
        <f>SUM(EG500*0.0052)/2</f>
        <v>447.46</v>
      </c>
      <c r="CV500" s="14">
        <f>SUM(CU500*0.1)</f>
        <v>44.746000000000002</v>
      </c>
      <c r="CW500" s="14">
        <f ca="1">SUM(CX500*CY500)</f>
        <v>20.508583333333323</v>
      </c>
      <c r="CX500" s="17">
        <f>SUM((CU500+CV500)*0.00833333333333333)</f>
        <v>4.1017166666666647</v>
      </c>
      <c r="CY500" s="23">
        <f ca="1">MONTH(TODAY())+1</f>
        <v>5</v>
      </c>
      <c r="CZ500" s="23">
        <f ca="1">SUM(CU500,CV500,CW500)</f>
        <v>512.71458333333328</v>
      </c>
      <c r="DA500" s="14">
        <f>SUM(EJ500*0.0045)/2</f>
        <v>528.75</v>
      </c>
      <c r="DB500" s="14">
        <f>SUM(DA500*0.1)</f>
        <v>52.875</v>
      </c>
      <c r="DC500" s="14">
        <f ca="1">SUM(DD500*DE500)</f>
        <v>-4.846874999999998</v>
      </c>
      <c r="DD500" s="17">
        <f>SUM((DA500+DB500)*0.00833333333333333)</f>
        <v>4.846874999999998</v>
      </c>
      <c r="DE500" s="23">
        <f ca="1">MONTH(TODAY())-5</f>
        <v>-1</v>
      </c>
      <c r="DF500" s="23">
        <f ca="1">SUM(DA500,DB500,DC500)</f>
        <v>576.77812500000005</v>
      </c>
      <c r="DG500" s="14">
        <v>0</v>
      </c>
      <c r="DH500" s="14">
        <v>0</v>
      </c>
      <c r="DI500" s="14">
        <v>0</v>
      </c>
      <c r="DJ500" s="17">
        <f>SUM((DG500+DH500)*0.00833333333333333)</f>
        <v>0</v>
      </c>
      <c r="DK500" s="23">
        <f ca="1">MONTH(TODAY())+1</f>
        <v>5</v>
      </c>
      <c r="DL500" s="23">
        <f>SUM(DG500,DH500,DI500)</f>
        <v>0</v>
      </c>
      <c r="DM500" s="14">
        <f>SUM( BQ500, BW500, CC500, CI500, CO500,CU500,DA500,DG500)</f>
        <v>3213.5099999999998</v>
      </c>
      <c r="DN500" s="14">
        <f>SUM(BR500,BX500,CD500,CJ500, CP500,CV500,DB500,DH500)</f>
        <v>321.351</v>
      </c>
      <c r="DO500" s="14">
        <f ca="1">SUM(BS500,BY500,CE500,CK500, CQ500,CW500,DC500,DI500)</f>
        <v>429.93509166666638</v>
      </c>
      <c r="DP500" s="25">
        <f ca="1">SUM(DM500:DO500)</f>
        <v>3964.7960916666661</v>
      </c>
      <c r="DQ500" s="47">
        <f ca="1">SUM(DP500/EG500)</f>
        <v>2.3037746029440243E-2</v>
      </c>
      <c r="DR500" s="14">
        <f>20+60+40</f>
        <v>120</v>
      </c>
      <c r="DS500" s="32">
        <f>COUNTIF(DX500, "*")+COUNTIF(AO500, "*")+COUNTIF(AJ500, "*")+COUNTIF(AA500, "*")+COUNTIF(EY500, "*")+COUNTIF(FE500, "*")+COUNTIF(FK500, "*")+COUNTIF(FO500, "*")+COUNTIF(FV500, "*")+COUNTIF(AT500, "*")+COUNTIF(GE500, "*")+COUNTIF(GP500, "*")+COUNTIF(HA500, "*")+COUNTIF(HI500, "*")+COUNTIF(HQ500, "*")+COUNTIF(HY500, "*")+COUNTIF(IG500, "*")</f>
        <v>1</v>
      </c>
      <c r="DT500" s="14">
        <f>DS500*0.6</f>
        <v>0.6</v>
      </c>
      <c r="DU500" s="4"/>
      <c r="DV500" s="4"/>
      <c r="DW500" s="4"/>
      <c r="DX500" s="4"/>
      <c r="DZ500" s="4"/>
      <c r="EA500" s="14">
        <f>SUM(DV500:DZ500)</f>
        <v>0</v>
      </c>
      <c r="EB500" s="14">
        <f ca="1">SUM(DP500,DR500,EA500, DU500, DT500,GB500)</f>
        <v>4085.3960916666661</v>
      </c>
      <c r="EC500" s="24" t="s">
        <v>3974</v>
      </c>
      <c r="ED500" s="7">
        <v>4.1399999999999997</v>
      </c>
      <c r="EE500" s="4">
        <v>30300</v>
      </c>
      <c r="EF500" s="4">
        <v>141800</v>
      </c>
      <c r="EG500" s="14">
        <f>SUM(EE500+EF500)</f>
        <v>172100</v>
      </c>
      <c r="EH500" s="14">
        <v>34400</v>
      </c>
      <c r="EI500" s="14">
        <v>200600</v>
      </c>
      <c r="EJ500" s="14">
        <f>SUM(EH500+EI500)</f>
        <v>235000</v>
      </c>
      <c r="IM500" s="9"/>
      <c r="IX500" s="14">
        <f ca="1">SUM(IN500-EB500-GB500-IV500)</f>
        <v>-4085.3960916666661</v>
      </c>
      <c r="IY500" s="9"/>
      <c r="IZ500" s="9"/>
      <c r="JA500" s="9"/>
      <c r="JB500" s="9"/>
      <c r="JC500" s="9"/>
    </row>
    <row r="501" spans="1:263" ht="15" customHeight="1">
      <c r="A501" s="2">
        <v>102018030</v>
      </c>
      <c r="B501" s="4" t="s">
        <v>1135</v>
      </c>
      <c r="J501" t="s">
        <v>305</v>
      </c>
      <c r="K501" t="s">
        <v>1125</v>
      </c>
      <c r="L501" t="s">
        <v>1126</v>
      </c>
      <c r="M501" t="s">
        <v>537</v>
      </c>
      <c r="O501" s="1"/>
      <c r="P501" t="s">
        <v>1125</v>
      </c>
      <c r="Q501" t="s">
        <v>1106</v>
      </c>
      <c r="R501" t="s">
        <v>403</v>
      </c>
      <c r="T501" s="1"/>
      <c r="AI501" s="4"/>
      <c r="AJ501" s="4"/>
      <c r="AK501" s="4"/>
      <c r="AM501" s="34"/>
      <c r="AO501" s="4"/>
      <c r="AP501" s="5"/>
      <c r="AQ501" s="34"/>
      <c r="AS501" s="1"/>
      <c r="AT501" s="1"/>
      <c r="AU501" s="29"/>
      <c r="AV501" s="1"/>
      <c r="AW501" s="1"/>
      <c r="AX501" s="1"/>
      <c r="AY501" s="1"/>
      <c r="AZ501" s="1"/>
      <c r="BA501" s="1"/>
      <c r="BB501" s="1"/>
      <c r="BC501" s="1"/>
      <c r="BD501" s="1"/>
      <c r="BE501" s="1"/>
      <c r="BF501" s="1"/>
      <c r="BG501" s="5"/>
      <c r="BH501" s="16"/>
      <c r="BI501" s="16"/>
      <c r="BK501" s="4"/>
      <c r="BL501" s="4"/>
      <c r="BM501" s="6"/>
      <c r="BN501" s="7"/>
      <c r="BO501" s="4"/>
      <c r="BQ501" s="4"/>
      <c r="BR501" s="4"/>
      <c r="BS501" s="6"/>
      <c r="BT501" s="7"/>
      <c r="BU501" s="4"/>
      <c r="BW501" s="4"/>
      <c r="BX501" s="4"/>
      <c r="BY501" s="6"/>
      <c r="BZ501" s="7"/>
      <c r="CA501" s="4"/>
      <c r="CB501" s="6"/>
      <c r="CC501" s="4"/>
      <c r="CD501" s="4"/>
      <c r="CE501" s="6"/>
      <c r="CF501" s="7"/>
      <c r="CG501" s="4"/>
      <c r="CH501" s="6"/>
      <c r="CI501" s="4"/>
      <c r="CJ501" s="4"/>
      <c r="CK501" s="6"/>
      <c r="CL501" s="7"/>
      <c r="CM501" s="4"/>
      <c r="CN501" s="4"/>
      <c r="CO501" s="4"/>
      <c r="CP501" s="4"/>
      <c r="CQ501" s="6"/>
      <c r="CR501" s="7"/>
      <c r="CS501" s="4"/>
      <c r="CT501" s="4"/>
      <c r="CU501" s="4"/>
      <c r="CV501" s="4"/>
      <c r="CW501" s="6"/>
      <c r="CX501" s="7"/>
      <c r="CY501" s="4"/>
      <c r="CZ501" s="4"/>
      <c r="DA501" s="4"/>
      <c r="DB501" s="4"/>
      <c r="DC501" s="6"/>
      <c r="DD501" s="7"/>
      <c r="DE501" s="4"/>
      <c r="DF501" s="4"/>
      <c r="DG501" s="4"/>
      <c r="DH501" s="4"/>
      <c r="DI501" s="6"/>
      <c r="DJ501" s="7"/>
      <c r="DK501" s="4"/>
      <c r="DL501" s="4"/>
      <c r="DM501" s="4"/>
      <c r="DN501" s="4"/>
      <c r="DO501" s="4"/>
      <c r="DP501" s="4"/>
      <c r="DR501" s="4"/>
      <c r="DS501" s="4"/>
      <c r="DT501" s="4"/>
      <c r="DU501" s="4"/>
      <c r="DV501" s="7"/>
      <c r="DW501" s="7"/>
      <c r="DX501" s="4"/>
      <c r="DY501" s="4"/>
      <c r="DZ501" s="4"/>
      <c r="EA501" s="4"/>
      <c r="EB501" s="4"/>
      <c r="EC501" s="4"/>
      <c r="ED501" s="4"/>
      <c r="EK501" s="11"/>
      <c r="EQ501" s="11"/>
      <c r="ER501" s="4"/>
      <c r="ES501" s="4"/>
      <c r="ET501" s="4"/>
      <c r="EU501" s="4"/>
      <c r="EV501" s="4"/>
      <c r="EW501" s="4"/>
      <c r="EX501" s="4"/>
      <c r="EY501" s="4"/>
      <c r="EZ501" s="4"/>
      <c r="FA501" s="4"/>
      <c r="FB501" s="4"/>
      <c r="FC501" s="4"/>
      <c r="FD501" s="4"/>
      <c r="FE501" s="4"/>
      <c r="FF501" s="4"/>
      <c r="FL501" s="9"/>
      <c r="FU501" s="9"/>
      <c r="GC501" s="10"/>
      <c r="GM501" s="10"/>
      <c r="HB501" s="9"/>
    </row>
    <row r="502" spans="1:263" ht="15" customHeight="1">
      <c r="A502" s="19">
        <v>102018030</v>
      </c>
      <c r="B502" s="18" t="s">
        <v>1135</v>
      </c>
      <c r="D502" s="1"/>
      <c r="E502" s="3"/>
      <c r="F502" s="3"/>
      <c r="G502" s="3"/>
      <c r="J502" s="18" t="s">
        <v>434</v>
      </c>
      <c r="K502" s="18" t="s">
        <v>1125</v>
      </c>
      <c r="L502" s="18" t="s">
        <v>1126</v>
      </c>
      <c r="M502" s="18" t="s">
        <v>537</v>
      </c>
      <c r="N502" s="18"/>
      <c r="O502" s="24"/>
      <c r="P502" s="18" t="s">
        <v>1125</v>
      </c>
      <c r="Q502" s="18" t="s">
        <v>1106</v>
      </c>
      <c r="R502" s="18" t="s">
        <v>403</v>
      </c>
      <c r="S502" s="18"/>
      <c r="AG502" s="43"/>
      <c r="AJ502" s="18" t="s">
        <v>4123</v>
      </c>
      <c r="AK502" s="18" t="s">
        <v>258</v>
      </c>
      <c r="AL502" s="18" t="s">
        <v>349</v>
      </c>
      <c r="AM502" s="18" t="s">
        <v>260</v>
      </c>
      <c r="AN502" s="18"/>
      <c r="AO502" s="18" t="s">
        <v>4124</v>
      </c>
      <c r="AP502" s="18" t="s">
        <v>258</v>
      </c>
      <c r="AQ502" s="18" t="s">
        <v>300</v>
      </c>
      <c r="AR502" s="18" t="s">
        <v>301</v>
      </c>
      <c r="AX502" s="1"/>
      <c r="AY502" s="1"/>
      <c r="AZ502" s="1"/>
      <c r="BA502" s="1"/>
      <c r="BB502" s="1"/>
      <c r="BC502" s="2"/>
      <c r="BD502" s="115">
        <v>45060</v>
      </c>
      <c r="BE502" s="115">
        <v>45057</v>
      </c>
      <c r="BF502" s="2"/>
      <c r="BG502" s="2"/>
      <c r="BH502" s="2"/>
      <c r="BI502" s="2"/>
      <c r="BJ502" s="2"/>
      <c r="BK502" s="2"/>
      <c r="BL502" s="20">
        <f ca="1">SUM(EB502)+220</f>
        <v>1037.8741249999998</v>
      </c>
      <c r="BM502" s="22">
        <f ca="1">PMT(10%/12,12,BL502,0,0)</f>
        <v>-91.245624532444879</v>
      </c>
      <c r="BN502" s="22">
        <f ca="1">SUM(BM502*-1)</f>
        <v>91.245624532444879</v>
      </c>
      <c r="BO502" s="14">
        <f>SUM(EJ502*0.0052)/12</f>
        <v>13.086666666666666</v>
      </c>
      <c r="BP502" s="22">
        <f ca="1">SUM(BN502+BO502)</f>
        <v>104.33229119911155</v>
      </c>
      <c r="BQ502" s="14"/>
      <c r="BR502" s="14">
        <f>SUM(BQ502*0.1)</f>
        <v>0</v>
      </c>
      <c r="BS502" s="14">
        <f ca="1">SUM(BT502*BU502)</f>
        <v>0</v>
      </c>
      <c r="BT502" s="17">
        <f>SUM((BQ502+BR502)*0.00833333333333333)</f>
        <v>0</v>
      </c>
      <c r="BU502" s="23">
        <f ca="1">MONTH(TODAY())+49</f>
        <v>53</v>
      </c>
      <c r="BV502" s="14">
        <f ca="1">SUM(BQ502,BR502,BS502)</f>
        <v>0</v>
      </c>
      <c r="BW502" s="14"/>
      <c r="BX502" s="14">
        <f>SUM(BW502*0.1)</f>
        <v>0</v>
      </c>
      <c r="BY502" s="14">
        <f ca="1">SUM(BZ502*CA502)</f>
        <v>0</v>
      </c>
      <c r="BZ502" s="17">
        <f>SUM((BW502+BX502)*0.00833333333333333)</f>
        <v>0</v>
      </c>
      <c r="CA502" s="23">
        <f ca="1">MONTH(TODAY())+37</f>
        <v>41</v>
      </c>
      <c r="CB502" s="14">
        <f ca="1">SUM(BW502,BX502,BY502)</f>
        <v>0</v>
      </c>
      <c r="CC502" s="14">
        <v>0</v>
      </c>
      <c r="CD502" s="14">
        <f>SUM(CC502*0.1)</f>
        <v>0</v>
      </c>
      <c r="CE502" s="14">
        <f ca="1">SUM(CF502*CG502)</f>
        <v>0</v>
      </c>
      <c r="CF502" s="17">
        <f>SUM((CC502+CD502)*0.00833333333333333)</f>
        <v>0</v>
      </c>
      <c r="CG502" s="23">
        <f ca="1">MONTH(TODAY())+25</f>
        <v>29</v>
      </c>
      <c r="CH502" s="14">
        <f ca="1">SUM(CC502,CD502,CE502)</f>
        <v>0</v>
      </c>
      <c r="CI502" s="14">
        <f>SUM(EG502*0.0052)</f>
        <v>132.6</v>
      </c>
      <c r="CJ502" s="14">
        <f>SUM(CI502*0.1)</f>
        <v>13.26</v>
      </c>
      <c r="CK502" s="14">
        <f ca="1">SUM(CL502*CM502)</f>
        <v>20.663499999999988</v>
      </c>
      <c r="CL502" s="17">
        <f>SUM((CI502+CJ502)*0.00833333333333333)</f>
        <v>1.2154999999999994</v>
      </c>
      <c r="CM502" s="23">
        <f ca="1">MONTH(TODAY())+13</f>
        <v>17</v>
      </c>
      <c r="CN502" s="14">
        <f ca="1">SUM(CI502,CJ502,CK502)</f>
        <v>166.52349999999998</v>
      </c>
      <c r="CO502" s="14">
        <f>SUM(EG502*0.0052)/2</f>
        <v>66.3</v>
      </c>
      <c r="CP502" s="14">
        <f>SUM(CO502*0.1)</f>
        <v>6.63</v>
      </c>
      <c r="CQ502" s="14">
        <f ca="1">SUM(CR502*CS502)</f>
        <v>5.4697499999999968</v>
      </c>
      <c r="CR502" s="17">
        <f>SUM((CO502+CP502)*0.00833333333333333)</f>
        <v>0.60774999999999968</v>
      </c>
      <c r="CS502" s="23">
        <f ca="1">MONTH(TODAY())+5</f>
        <v>9</v>
      </c>
      <c r="CT502" s="23">
        <f ca="1">SUM(CO502,CP502,CQ502)</f>
        <v>78.399749999999983</v>
      </c>
      <c r="CU502" s="14">
        <f>SUM(EG502*0.0052)/2</f>
        <v>66.3</v>
      </c>
      <c r="CV502" s="14">
        <f>SUM(CU502*0.1)</f>
        <v>6.63</v>
      </c>
      <c r="CW502" s="14">
        <f ca="1">SUM(CX502*CY502)</f>
        <v>3.0387499999999985</v>
      </c>
      <c r="CX502" s="17">
        <f>SUM((CU502+CV502)*0.00833333333333333)</f>
        <v>0.60774999999999968</v>
      </c>
      <c r="CY502" s="23">
        <f ca="1">MONTH(TODAY())+1</f>
        <v>5</v>
      </c>
      <c r="CZ502" s="23">
        <f ca="1">SUM(CU502,CV502,CW502)</f>
        <v>75.968749999999986</v>
      </c>
      <c r="DA502" s="14">
        <f>SUM(EJ502*0.0045)/2</f>
        <v>67.949999999999989</v>
      </c>
      <c r="DB502" s="14">
        <f>SUM(DA502*0.1)</f>
        <v>6.794999999999999</v>
      </c>
      <c r="DC502" s="14">
        <f ca="1">SUM(DD502*DE502)</f>
        <v>-0.62287499999999962</v>
      </c>
      <c r="DD502" s="17">
        <f>SUM((DA502+DB502)*0.00833333333333333)</f>
        <v>0.62287499999999962</v>
      </c>
      <c r="DE502" s="23">
        <f ca="1">MONTH(TODAY())-5</f>
        <v>-1</v>
      </c>
      <c r="DF502" s="23">
        <f ca="1">SUM(DA502,DB502,DC502)</f>
        <v>74.122124999999997</v>
      </c>
      <c r="DG502" s="14">
        <v>0</v>
      </c>
      <c r="DH502" s="14">
        <v>0</v>
      </c>
      <c r="DI502" s="14">
        <v>0</v>
      </c>
      <c r="DJ502" s="17">
        <f>SUM((DG502+DH502)*0.00833333333333333)</f>
        <v>0</v>
      </c>
      <c r="DK502" s="23">
        <f ca="1">MONTH(TODAY())+1</f>
        <v>5</v>
      </c>
      <c r="DL502" s="23">
        <f>SUM(DG502,DH502,DI502)</f>
        <v>0</v>
      </c>
      <c r="DM502" s="14">
        <f>SUM( BQ502, BW502, CC502, CI502, CO502,CU502,DA502,DG502)</f>
        <v>333.15</v>
      </c>
      <c r="DN502" s="14">
        <f>SUM(BR502,BX502,CD502,CJ502, CP502,CV502,DB502,DH502)</f>
        <v>33.314999999999998</v>
      </c>
      <c r="DO502" s="14">
        <f ca="1">SUM(BS502,BY502,CE502,CK502, CQ502,CW502,DC502,DI502)</f>
        <v>28.549124999999982</v>
      </c>
      <c r="DP502" s="25">
        <f ca="1">SUM(DM502:DO502)</f>
        <v>395.01412499999998</v>
      </c>
      <c r="DQ502" s="47">
        <f ca="1">SUM(DP502/EG502)</f>
        <v>1.5490749999999999E-2</v>
      </c>
      <c r="DR502" s="14">
        <f>20+200</f>
        <v>220</v>
      </c>
      <c r="DS502" s="32">
        <f>COUNTIF(DX502, "*")+COUNTIF(AO502, "*")+COUNTIF(AJ502, "*")+COUNTIF(AA502, "*")+COUNTIF(EY502, "*")+COUNTIF(FE502, "*")+COUNTIF(FK502, "*")+COUNTIF(FO502, "*")+COUNTIF(FV502, "*")+COUNTIF(AT502, "*")+COUNTIF(GE502, "*")+COUNTIF(GP502, "*")+COUNTIF(HA502, "*")+COUNTIF(HI502, "*")+COUNTIF(HQ502, "*")+COUNTIF(HY502, "*")+COUNTIF(IG502, "*")</f>
        <v>2</v>
      </c>
      <c r="DT502" s="14">
        <f>1.2+DS502*7.45</f>
        <v>16.100000000000001</v>
      </c>
      <c r="DU502" s="4">
        <v>150</v>
      </c>
      <c r="DV502" s="4">
        <v>36.76</v>
      </c>
      <c r="DW502" s="4"/>
      <c r="DX502" s="4"/>
      <c r="DZ502" s="4"/>
      <c r="EA502" s="14">
        <f>SUM(DV502:DZ502)</f>
        <v>36.76</v>
      </c>
      <c r="EB502" s="14">
        <f ca="1">SUM(DP502,DR502,EA502, DU502, DT502,GB502)</f>
        <v>817.87412499999994</v>
      </c>
      <c r="EC502" s="24" t="s">
        <v>3879</v>
      </c>
      <c r="ED502" s="23">
        <v>3.05</v>
      </c>
      <c r="EE502" s="14">
        <v>25500</v>
      </c>
      <c r="EF502" s="14">
        <v>0</v>
      </c>
      <c r="EG502" s="14">
        <v>25500</v>
      </c>
      <c r="EH502" s="14">
        <v>30200</v>
      </c>
      <c r="EI502" s="14">
        <v>0</v>
      </c>
      <c r="EJ502" s="14">
        <f>SUM(EH502+EI502)</f>
        <v>30200</v>
      </c>
      <c r="EK502" t="s">
        <v>4853</v>
      </c>
      <c r="EL502" t="s">
        <v>4854</v>
      </c>
      <c r="IM502" s="9"/>
      <c r="IX502" s="4"/>
      <c r="IY502" s="9"/>
      <c r="IZ502" s="9"/>
      <c r="JA502" s="9"/>
      <c r="JB502" s="9"/>
      <c r="JC502" s="9"/>
    </row>
    <row r="503" spans="1:263" ht="15" customHeight="1">
      <c r="A503" s="2">
        <v>102020025</v>
      </c>
      <c r="B503" t="s">
        <v>1605</v>
      </c>
      <c r="D503" s="1"/>
      <c r="J503" t="s">
        <v>554</v>
      </c>
      <c r="K503" t="s">
        <v>1606</v>
      </c>
      <c r="L503" t="s">
        <v>1216</v>
      </c>
      <c r="M503" t="s">
        <v>256</v>
      </c>
      <c r="P503" t="s">
        <v>1606</v>
      </c>
      <c r="Q503" t="s">
        <v>1607</v>
      </c>
      <c r="R503" t="s">
        <v>357</v>
      </c>
      <c r="AG503" s="248"/>
      <c r="AO503" s="4"/>
      <c r="AY503" s="9"/>
      <c r="BG503" s="5"/>
      <c r="BH503" s="16"/>
      <c r="BI503" s="16"/>
      <c r="BJ503" s="4"/>
      <c r="BK503" s="4"/>
      <c r="BL503" s="4"/>
      <c r="BM503" s="6"/>
      <c r="BN503" s="7"/>
      <c r="BO503" s="4"/>
      <c r="BP503" s="4"/>
      <c r="BQ503" s="4"/>
      <c r="BR503" s="4"/>
      <c r="BS503" s="6"/>
      <c r="BT503" s="7"/>
      <c r="BU503" s="4"/>
      <c r="BV503" s="4"/>
      <c r="BW503" s="4"/>
      <c r="BX503" s="4"/>
      <c r="BY503" s="6"/>
      <c r="BZ503" s="7"/>
      <c r="CA503" s="4"/>
      <c r="CB503" s="4"/>
      <c r="CC503" s="4"/>
      <c r="CD503" s="4"/>
      <c r="CE503" s="6"/>
      <c r="CF503" s="7"/>
      <c r="CG503" s="4"/>
      <c r="CH503" s="4"/>
      <c r="CI503" s="4"/>
      <c r="CJ503" s="4"/>
      <c r="CK503" s="6"/>
      <c r="CL503" s="7"/>
      <c r="CM503" s="4"/>
      <c r="CN503" s="4"/>
      <c r="CO503" s="4"/>
      <c r="CP503" s="4"/>
      <c r="CQ503" s="6"/>
      <c r="CR503" s="7"/>
      <c r="CS503" s="4"/>
      <c r="CT503" s="4"/>
      <c r="CU503" s="4"/>
      <c r="CV503" s="4"/>
      <c r="CW503" s="6"/>
      <c r="CX503" s="7"/>
      <c r="CY503" s="4"/>
      <c r="CZ503" s="4"/>
      <c r="DA503" s="4"/>
      <c r="DB503" s="4"/>
      <c r="DC503" s="4"/>
      <c r="DD503" s="3"/>
      <c r="DE503" s="4"/>
      <c r="DF503" s="234"/>
      <c r="DG503" s="4"/>
      <c r="DH503" s="4"/>
      <c r="DI503" s="4"/>
      <c r="DJ503" s="4"/>
      <c r="DK503" s="4"/>
      <c r="DL503" s="4"/>
      <c r="DM503" s="7"/>
      <c r="DN503" s="8"/>
      <c r="DO503" s="4"/>
      <c r="DP503" s="8"/>
      <c r="DQ503" s="8"/>
      <c r="DR503" s="8"/>
      <c r="DS503" s="35"/>
      <c r="IW503" s="243"/>
      <c r="IX503" s="243"/>
      <c r="IY503" s="243"/>
    </row>
    <row r="504" spans="1:263" ht="15" customHeight="1">
      <c r="A504" s="19">
        <v>102020025</v>
      </c>
      <c r="B504" t="s">
        <v>1605</v>
      </c>
      <c r="D504" s="13"/>
      <c r="E504" s="3" t="s">
        <v>3817</v>
      </c>
      <c r="F504" s="3">
        <v>220003007</v>
      </c>
      <c r="J504" t="s">
        <v>554</v>
      </c>
      <c r="K504" t="s">
        <v>1606</v>
      </c>
      <c r="L504" t="s">
        <v>1216</v>
      </c>
      <c r="M504" t="s">
        <v>256</v>
      </c>
      <c r="O504" t="s">
        <v>258</v>
      </c>
      <c r="P504" t="s">
        <v>1606</v>
      </c>
      <c r="Q504" t="s">
        <v>1607</v>
      </c>
      <c r="R504" t="s">
        <v>357</v>
      </c>
      <c r="T504" t="s">
        <v>258</v>
      </c>
      <c r="AD504" t="s">
        <v>3867</v>
      </c>
      <c r="AE504" t="s">
        <v>253</v>
      </c>
      <c r="AF504" t="s">
        <v>1606</v>
      </c>
      <c r="AG504" s="43" t="s">
        <v>3866</v>
      </c>
      <c r="AH504" t="s">
        <v>3865</v>
      </c>
      <c r="AI504" t="s">
        <v>524</v>
      </c>
      <c r="AJ504" s="18" t="s">
        <v>1608</v>
      </c>
      <c r="AK504" t="s">
        <v>258</v>
      </c>
      <c r="AL504" s="18" t="s">
        <v>349</v>
      </c>
      <c r="AM504" t="s">
        <v>260</v>
      </c>
      <c r="AN504"/>
      <c r="AO504" s="3" t="s">
        <v>1609</v>
      </c>
      <c r="AP504" s="3" t="s">
        <v>258</v>
      </c>
      <c r="AQ504" t="s">
        <v>267</v>
      </c>
      <c r="AR504" t="s">
        <v>268</v>
      </c>
      <c r="AS504" s="1"/>
      <c r="AT504" s="1" t="s">
        <v>258</v>
      </c>
      <c r="AU504" s="1" t="s">
        <v>258</v>
      </c>
      <c r="AV504" s="1" t="s">
        <v>258</v>
      </c>
      <c r="AW504" s="1" t="s">
        <v>258</v>
      </c>
      <c r="AX504" s="70">
        <v>44679</v>
      </c>
      <c r="AY504" s="115">
        <v>44647</v>
      </c>
      <c r="AZ504" s="115">
        <v>44636</v>
      </c>
      <c r="BA504" s="70">
        <v>44799</v>
      </c>
      <c r="BB504" s="2" t="s">
        <v>318</v>
      </c>
      <c r="BC504" s="48">
        <v>44785</v>
      </c>
      <c r="BD504" s="48">
        <v>44792</v>
      </c>
      <c r="BE504" s="48">
        <v>44799</v>
      </c>
      <c r="BF504" s="19" t="s">
        <v>319</v>
      </c>
      <c r="BG504" s="20">
        <f ca="1">SUM(DK504)+214.5</f>
        <v>4931.3095000000003</v>
      </c>
      <c r="BH504" s="22">
        <f ca="1">PMT(10%/12,12,BG504,0,0)</f>
        <v>-433.54044989827503</v>
      </c>
      <c r="BI504" s="22">
        <f ca="1">SUM(BH504*-1)</f>
        <v>433.54044989827503</v>
      </c>
      <c r="BJ504" s="14">
        <f>SUM(DU504*0.0052)/12</f>
        <v>34.449999999999996</v>
      </c>
      <c r="BK504" s="22">
        <f ca="1">SUM(BI504+BJ504)</f>
        <v>467.99044989827502</v>
      </c>
      <c r="BL504" s="14"/>
      <c r="BM504" s="14">
        <f>SUM(BL504*0.1)</f>
        <v>0</v>
      </c>
      <c r="BN504" s="14">
        <f ca="1">SUM(BO504*BP504)</f>
        <v>0</v>
      </c>
      <c r="BO504" s="17">
        <f>SUM((BL504+BM504)*0.00833333333333333)</f>
        <v>0</v>
      </c>
      <c r="BP504" s="23">
        <f ca="1">MONTH(TODAY())+49</f>
        <v>53</v>
      </c>
      <c r="BQ504" s="14">
        <f ca="1">SUM(BL504,BM504,BN504)</f>
        <v>0</v>
      </c>
      <c r="BR504" s="14"/>
      <c r="BS504" s="14">
        <f>SUM(BR504*0.1)</f>
        <v>0</v>
      </c>
      <c r="BT504" s="14">
        <f ca="1">SUM(BU504*BV504)</f>
        <v>0</v>
      </c>
      <c r="BU504" s="17">
        <f>SUM((BR504+BS504)*0.00833333333333333)</f>
        <v>0</v>
      </c>
      <c r="BV504" s="23">
        <f ca="1">MONTH(TODAY())+37</f>
        <v>41</v>
      </c>
      <c r="BW504" s="14">
        <f ca="1">SUM(BR504,BS504,BT504)</f>
        <v>0</v>
      </c>
      <c r="BX504" s="14"/>
      <c r="BY504" s="14">
        <f>SUM(BX504*0.1)</f>
        <v>0</v>
      </c>
      <c r="BZ504" s="14">
        <f ca="1">SUM(CA504*CB504)</f>
        <v>0</v>
      </c>
      <c r="CA504" s="17">
        <f>SUM((BX504+BY504)*0.00833333333333333)</f>
        <v>0</v>
      </c>
      <c r="CB504" s="23">
        <f ca="1">MONTH(TODAY())+25</f>
        <v>29</v>
      </c>
      <c r="CC504" s="14">
        <f ca="1">SUM(BX504,BY504,BZ504)</f>
        <v>0</v>
      </c>
      <c r="CD504" s="14">
        <f>SUM(DU504*0.0052)</f>
        <v>413.4</v>
      </c>
      <c r="CE504" s="14">
        <f>SUM(CD504*0.1)</f>
        <v>41.34</v>
      </c>
      <c r="CF504" s="14">
        <f ca="1">SUM(CG504*CH504)</f>
        <v>64.42149999999998</v>
      </c>
      <c r="CG504" s="17">
        <f>SUM((CD504+CE504)*0.00833333333333333)</f>
        <v>3.7894999999999985</v>
      </c>
      <c r="CH504" s="23">
        <f ca="1">MONTH(TODAY())+13</f>
        <v>17</v>
      </c>
      <c r="CI504" s="14">
        <f ca="1">SUM(CD504,CE504,CF504)</f>
        <v>519.16149999999993</v>
      </c>
      <c r="CJ504" s="14">
        <f>SUM(DU504*0.0052)</f>
        <v>413.4</v>
      </c>
      <c r="CK504" s="14">
        <f>SUM(CJ504*0.1)</f>
        <v>41.34</v>
      </c>
      <c r="CL504" s="14">
        <f ca="1">SUM(CM504*CN504)</f>
        <v>18.947499999999991</v>
      </c>
      <c r="CM504" s="17">
        <f>SUM((CJ504+CK504)*0.00833333333333333)</f>
        <v>3.7894999999999985</v>
      </c>
      <c r="CN504" s="23">
        <f ca="1">MONTH(TODAY())+1</f>
        <v>5</v>
      </c>
      <c r="CO504" s="14">
        <f ca="1">SUM(CJ504,CK504,CL504)</f>
        <v>473.6875</v>
      </c>
      <c r="CP504" s="14">
        <f>SUM(DU504*0.0052)/2</f>
        <v>206.7</v>
      </c>
      <c r="CQ504" s="14">
        <f>SUM(CP504*0.1)</f>
        <v>20.67</v>
      </c>
      <c r="CR504" s="14">
        <f ca="1">SUM(CS504*CT504)</f>
        <v>-3.7894999999999985</v>
      </c>
      <c r="CS504" s="17">
        <f>SUM((CP504+CQ504)*0.00833333333333333)</f>
        <v>1.8947499999999993</v>
      </c>
      <c r="CT504" s="23">
        <f ca="1">MONTH(TODAY())-6</f>
        <v>-2</v>
      </c>
      <c r="CU504" s="23">
        <f ca="1">SUM(CP504,CQ504,CR504)</f>
        <v>223.5805</v>
      </c>
      <c r="CV504" s="14">
        <f>SUM(DU504*0.0052)/2</f>
        <v>206.7</v>
      </c>
      <c r="CW504" s="14">
        <v>0</v>
      </c>
      <c r="CX504" s="14">
        <v>0</v>
      </c>
      <c r="CY504" s="17">
        <f>SUM((CV504+CW504)*0.00833333333333333)</f>
        <v>1.7224999999999993</v>
      </c>
      <c r="CZ504" s="23">
        <f ca="1">MONTH(TODAY())-6</f>
        <v>-2</v>
      </c>
      <c r="DA504" s="23">
        <f>SUM(CV504,CW504,CX504)</f>
        <v>206.7</v>
      </c>
      <c r="DB504" s="14">
        <f>SUM(BL504, BR504, BX504, CD504, CJ504, CP504,CV504)</f>
        <v>1240.2</v>
      </c>
      <c r="DC504" s="14">
        <f>SUM(BM504, BS504,BY504,CE504,CK504, CQ504,CW504)</f>
        <v>103.35000000000001</v>
      </c>
      <c r="DD504" s="14">
        <f ca="1">SUM(BN504, BT504,BZ504,CF504,CL504, CR504,CX504)</f>
        <v>79.579499999999967</v>
      </c>
      <c r="DE504" s="14">
        <f ca="1">SUM(DB504:DD504)</f>
        <v>1423.1295</v>
      </c>
      <c r="DF504" s="47">
        <f ca="1">SUM(DE504/DU504)</f>
        <v>1.7901E-2</v>
      </c>
      <c r="DG504" s="14">
        <f>19.5+19.5+195+195+39+39+39+97.5+39+39+97.5+97.5</f>
        <v>916.5</v>
      </c>
      <c r="DH504" s="32">
        <f>COUNTIF(DN504, "*")+COUNTIF(AO504, "*")+COUNTIF(AJ504, "*")+COUNTIF(AA504, "*")+COUNTIF(EK504, "*")+COUNTIF(EQ504, "*")+COUNTIF(EW504, "*")+COUNTIF(FA504, "*")+COUNTIF(FH504, "*")+COUNTIF(FO504, "*")+COUNTIF(FV504, "*")+COUNTIF(GG504, "*")+COUNTIF(GR504, "*")+COUNTIF(GZ504, "*")+COUNTIF(HH504, "*")+COUNTIF(HP504, "*")+COUNTIF(HX504, "*")</f>
        <v>2</v>
      </c>
      <c r="DI504" s="14">
        <f>13.5+1.06+13.32</f>
        <v>27.880000000000003</v>
      </c>
      <c r="DJ504" s="4">
        <v>300</v>
      </c>
      <c r="DK504" s="14">
        <f ca="1">SUM(DE504,DG504,DQ504, DJ504, DI504,FS504)</f>
        <v>4716.8095000000003</v>
      </c>
      <c r="DL504" s="4">
        <f>30.8+917</f>
        <v>947.8</v>
      </c>
      <c r="DM504" s="4">
        <f>93.75+115</f>
        <v>208.75</v>
      </c>
      <c r="DN504" s="4">
        <v>99.75</v>
      </c>
      <c r="DO504" s="14">
        <f>SUM(DU504*0.004)</f>
        <v>318</v>
      </c>
      <c r="DP504" s="4">
        <v>475</v>
      </c>
      <c r="DQ504" s="14">
        <f>SUM(DL504:DP504)</f>
        <v>2049.3000000000002</v>
      </c>
      <c r="DR504" s="24" t="s">
        <v>2773</v>
      </c>
      <c r="DS504" s="4">
        <v>27900</v>
      </c>
      <c r="DT504" s="4">
        <v>51600</v>
      </c>
      <c r="DU504" s="25">
        <f>SUM(DS504+DT504)</f>
        <v>79500</v>
      </c>
      <c r="DV504" s="35">
        <v>3.6</v>
      </c>
      <c r="DW504" t="s">
        <v>3490</v>
      </c>
      <c r="DX504" t="s">
        <v>3491</v>
      </c>
      <c r="ID504" s="9">
        <v>44863</v>
      </c>
      <c r="IO504" s="4"/>
      <c r="IP504" s="9">
        <v>44810</v>
      </c>
      <c r="IU504" s="18"/>
      <c r="IZ504" s="18"/>
      <c r="JA504" s="18"/>
    </row>
    <row r="505" spans="1:263" s="18" customFormat="1" ht="15" customHeight="1">
      <c r="A505" s="19">
        <v>102022141</v>
      </c>
      <c r="B505" t="s">
        <v>2875</v>
      </c>
      <c r="C505"/>
      <c r="D505" s="1" t="s">
        <v>3465</v>
      </c>
      <c r="E505"/>
      <c r="F505"/>
      <c r="G505"/>
      <c r="H505"/>
      <c r="I505"/>
      <c r="J505" t="s">
        <v>311</v>
      </c>
      <c r="K505" t="s">
        <v>1215</v>
      </c>
      <c r="L505" t="s">
        <v>1355</v>
      </c>
      <c r="M505" t="s">
        <v>326</v>
      </c>
      <c r="N505"/>
      <c r="O505"/>
      <c r="P505"/>
      <c r="Q505"/>
      <c r="R505"/>
      <c r="S505"/>
      <c r="T505"/>
      <c r="U505"/>
      <c r="V505"/>
      <c r="W505"/>
      <c r="X505"/>
      <c r="Y505"/>
      <c r="Z505"/>
      <c r="AA505"/>
      <c r="AB505"/>
      <c r="AC505"/>
      <c r="AD505"/>
      <c r="AE505"/>
      <c r="AF505"/>
      <c r="AG505" s="248"/>
      <c r="AH505"/>
      <c r="AI505"/>
      <c r="AJ505" t="s">
        <v>3159</v>
      </c>
      <c r="AK505" t="s">
        <v>258</v>
      </c>
      <c r="AL505" t="s">
        <v>290</v>
      </c>
      <c r="AM505" s="3" t="s">
        <v>268</v>
      </c>
      <c r="AN505" s="3"/>
      <c r="AO505" t="s">
        <v>3157</v>
      </c>
      <c r="AP505" s="1" t="s">
        <v>258</v>
      </c>
      <c r="AQ505" s="3" t="s">
        <v>349</v>
      </c>
      <c r="AR505" s="3" t="s">
        <v>260</v>
      </c>
      <c r="AS505" s="1"/>
      <c r="AT505" s="1"/>
      <c r="AU505" s="1"/>
      <c r="AV505" s="1"/>
      <c r="AW505" s="1"/>
      <c r="AX505" s="2"/>
      <c r="AY505" s="116"/>
      <c r="AZ505" s="115"/>
      <c r="BA505" s="2"/>
      <c r="BB505" s="2"/>
      <c r="BC505" s="2"/>
      <c r="BD505" s="2"/>
      <c r="BE505" s="2"/>
      <c r="BF505" s="2"/>
      <c r="BG505" s="20"/>
      <c r="BH505" s="22"/>
      <c r="BI505" s="22"/>
      <c r="BJ505" s="14"/>
      <c r="BK505" s="22"/>
      <c r="BL505" s="14"/>
      <c r="BM505" s="14"/>
      <c r="BN505" s="14"/>
      <c r="BO505" s="17"/>
      <c r="BP505" s="23"/>
      <c r="BQ505" s="14"/>
      <c r="BR505" s="14"/>
      <c r="BS505" s="14"/>
      <c r="BT505" s="14"/>
      <c r="BU505" s="17"/>
      <c r="BV505" s="23"/>
      <c r="BW505" s="14"/>
      <c r="BX505" s="14"/>
      <c r="BY505" s="14"/>
      <c r="BZ505" s="14"/>
      <c r="CA505" s="17"/>
      <c r="CB505" s="23"/>
      <c r="CC505" s="14"/>
      <c r="CD505" s="14"/>
      <c r="CE505" s="14"/>
      <c r="CF505" s="14"/>
      <c r="CG505" s="17"/>
      <c r="CH505" s="23"/>
      <c r="CI505" s="14"/>
      <c r="CJ505" s="14"/>
      <c r="CK505" s="14"/>
      <c r="CL505" s="14"/>
      <c r="CM505" s="17"/>
      <c r="CN505" s="23"/>
      <c r="CO505" s="14"/>
      <c r="CP505" s="14"/>
      <c r="CQ505" s="14"/>
      <c r="CR505" s="14"/>
      <c r="CS505" s="14"/>
      <c r="CT505" s="47"/>
      <c r="CU505" s="14"/>
      <c r="CV505" s="32"/>
      <c r="CW505" s="14"/>
      <c r="CX505" s="4"/>
      <c r="CY505" s="14"/>
      <c r="CZ505" s="4"/>
      <c r="DA505"/>
      <c r="DB505"/>
      <c r="DC505"/>
      <c r="DD505"/>
      <c r="DE505" s="14"/>
      <c r="DF505" s="24"/>
      <c r="DG505" s="4"/>
      <c r="DH505" s="4"/>
      <c r="DI505" s="25"/>
      <c r="DJ505" s="35">
        <v>3.93</v>
      </c>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s="4"/>
      <c r="ID505"/>
      <c r="IE505"/>
      <c r="IF505"/>
      <c r="IG505"/>
      <c r="IH505"/>
      <c r="II505"/>
      <c r="IJ505"/>
      <c r="IK505"/>
      <c r="IL505"/>
      <c r="IM505"/>
      <c r="IN505"/>
      <c r="IO505"/>
      <c r="IP505"/>
      <c r="IQ505"/>
      <c r="IR505"/>
      <c r="IS505"/>
      <c r="IT505"/>
      <c r="IU505"/>
      <c r="IV505"/>
      <c r="IW505"/>
      <c r="IX505"/>
      <c r="IY505"/>
      <c r="IZ505"/>
      <c r="JA505"/>
      <c r="JB505"/>
      <c r="JC505"/>
    </row>
    <row r="506" spans="1:263" ht="15" customHeight="1">
      <c r="A506" s="19">
        <v>102022142</v>
      </c>
      <c r="B506" t="s">
        <v>2876</v>
      </c>
      <c r="D506" s="1" t="s">
        <v>3465</v>
      </c>
      <c r="J506" t="s">
        <v>311</v>
      </c>
      <c r="K506" t="s">
        <v>1215</v>
      </c>
      <c r="L506" t="s">
        <v>1355</v>
      </c>
      <c r="M506" t="s">
        <v>326</v>
      </c>
      <c r="AG506" s="248"/>
      <c r="AJ506" t="s">
        <v>3159</v>
      </c>
      <c r="AK506" t="s">
        <v>258</v>
      </c>
      <c r="AL506" t="s">
        <v>290</v>
      </c>
      <c r="AM506" s="3" t="s">
        <v>268</v>
      </c>
      <c r="AO506" t="s">
        <v>3158</v>
      </c>
      <c r="AP506" s="1" t="s">
        <v>258</v>
      </c>
      <c r="AQ506" s="3" t="s">
        <v>349</v>
      </c>
      <c r="AR506" s="3" t="s">
        <v>260</v>
      </c>
      <c r="AS506" s="1"/>
      <c r="AT506" s="1"/>
      <c r="AU506" s="1"/>
      <c r="AV506" s="1"/>
      <c r="AW506" s="1"/>
      <c r="AX506" s="2"/>
      <c r="AY506" s="116"/>
      <c r="AZ506" s="115"/>
      <c r="BA506" s="2"/>
      <c r="BB506" s="2"/>
      <c r="BC506" s="2"/>
      <c r="BD506" s="2"/>
      <c r="BE506" s="2"/>
      <c r="BF506" s="2"/>
      <c r="BG506" s="20"/>
      <c r="BH506" s="22"/>
      <c r="BI506" s="22"/>
      <c r="BJ506" s="14"/>
      <c r="BK506" s="22"/>
      <c r="BL506" s="14"/>
      <c r="BM506" s="14"/>
      <c r="BN506" s="14"/>
      <c r="BO506" s="17"/>
      <c r="BP506" s="23"/>
      <c r="BQ506" s="14"/>
      <c r="BR506" s="14"/>
      <c r="BS506" s="14"/>
      <c r="BT506" s="14"/>
      <c r="BU506" s="17"/>
      <c r="BV506" s="23"/>
      <c r="BW506" s="14"/>
      <c r="BX506" s="14"/>
      <c r="BY506" s="14"/>
      <c r="BZ506" s="14"/>
      <c r="CA506" s="17"/>
      <c r="CB506" s="23"/>
      <c r="CC506" s="14"/>
      <c r="CD506" s="14"/>
      <c r="CE506" s="14"/>
      <c r="CF506" s="14"/>
      <c r="CG506" s="17"/>
      <c r="CH506" s="23"/>
      <c r="CI506" s="14"/>
      <c r="CJ506" s="14"/>
      <c r="CK506" s="14"/>
      <c r="CL506" s="14"/>
      <c r="CM506" s="17"/>
      <c r="CN506" s="23"/>
      <c r="CO506" s="14"/>
      <c r="CP506" s="14"/>
      <c r="CQ506" s="14"/>
      <c r="CR506" s="14"/>
      <c r="CS506" s="14"/>
      <c r="CT506" s="47"/>
      <c r="CU506" s="14"/>
      <c r="CV506" s="32"/>
      <c r="CW506" s="14"/>
      <c r="CX506" s="4"/>
      <c r="CY506" s="14"/>
      <c r="CZ506" s="4"/>
      <c r="DE506" s="14"/>
      <c r="DF506" s="24"/>
      <c r="DG506" s="4"/>
      <c r="DH506" s="4"/>
      <c r="DI506" s="25"/>
      <c r="DJ506" s="35">
        <v>3.03</v>
      </c>
      <c r="IC506" s="4"/>
    </row>
    <row r="507" spans="1:263" s="240" customFormat="1" ht="15" customHeight="1">
      <c r="A507" s="2">
        <v>102023018</v>
      </c>
      <c r="B507" t="s">
        <v>4037</v>
      </c>
      <c r="C507"/>
      <c r="D507"/>
      <c r="E507"/>
      <c r="F507"/>
      <c r="G507"/>
      <c r="H507"/>
      <c r="I507"/>
      <c r="J507" t="s">
        <v>253</v>
      </c>
      <c r="K507" t="s">
        <v>1215</v>
      </c>
      <c r="L507" t="s">
        <v>1502</v>
      </c>
      <c r="M507" t="s">
        <v>309</v>
      </c>
      <c r="N507"/>
      <c r="O507" s="3"/>
      <c r="P507"/>
      <c r="Q507"/>
      <c r="R507"/>
      <c r="S507"/>
      <c r="T507"/>
      <c r="U507"/>
      <c r="V507"/>
      <c r="W507"/>
      <c r="X507"/>
      <c r="Y507"/>
      <c r="Z507"/>
      <c r="AA507"/>
      <c r="AB507"/>
      <c r="AC507"/>
      <c r="AD507"/>
      <c r="AE507"/>
      <c r="AF507"/>
      <c r="AG507"/>
      <c r="AH507"/>
      <c r="AI507"/>
      <c r="AJ507"/>
      <c r="AK507"/>
      <c r="AL507"/>
      <c r="AM507"/>
      <c r="AN507"/>
      <c r="AO507" t="s">
        <v>4096</v>
      </c>
      <c r="AP507" s="3" t="s">
        <v>258</v>
      </c>
      <c r="AQ507" t="s">
        <v>349</v>
      </c>
      <c r="AR507" t="s">
        <v>260</v>
      </c>
      <c r="AS507"/>
      <c r="AT507"/>
      <c r="AU507"/>
      <c r="AV507"/>
      <c r="AW507"/>
      <c r="AX507" s="1"/>
      <c r="AY507" s="1"/>
      <c r="AZ507" s="1"/>
      <c r="BA507" s="1"/>
      <c r="BB507" s="1"/>
      <c r="BC507" s="2"/>
      <c r="BD507" s="115"/>
      <c r="BE507" s="115">
        <v>45013</v>
      </c>
      <c r="BF507" s="2"/>
      <c r="BG507" s="2"/>
      <c r="BH507" s="2"/>
      <c r="BI507" s="2"/>
      <c r="BJ507" s="2"/>
      <c r="BK507" s="2"/>
      <c r="BL507" s="20">
        <f ca="1">SUM(DP507)+220</f>
        <v>2172.2572666666661</v>
      </c>
      <c r="BM507" s="22">
        <f ca="1">PMT(10%/12,12,BL507,0,0)</f>
        <v>-190.9759248908355</v>
      </c>
      <c r="BN507" s="22">
        <f ca="1">SUM(BM507*-1)</f>
        <v>190.9759248908355</v>
      </c>
      <c r="BO507" s="14">
        <f>SUM(DX507*0.0052)/12</f>
        <v>74.75</v>
      </c>
      <c r="BP507" s="22">
        <f ca="1">SUM(BN507+BO507)</f>
        <v>265.72592489083547</v>
      </c>
      <c r="BQ507" s="14"/>
      <c r="BR507" s="14">
        <f>SUM(BQ507*0.1)</f>
        <v>0</v>
      </c>
      <c r="BS507" s="14">
        <f ca="1">SUM(BT507*BU507)</f>
        <v>0</v>
      </c>
      <c r="BT507" s="17">
        <f>SUM((BQ507+BR507)*0.00833333333333333)</f>
        <v>0</v>
      </c>
      <c r="BU507" s="23">
        <f ca="1">MONTH(TODAY())+49</f>
        <v>53</v>
      </c>
      <c r="BV507" s="14">
        <f ca="1">SUM(BQ507,BR507,BS507)</f>
        <v>0</v>
      </c>
      <c r="BW507" s="14"/>
      <c r="BX507" s="14">
        <f>SUM(BW507*0.1)</f>
        <v>0</v>
      </c>
      <c r="BY507" s="14">
        <f ca="1">SUM(BZ507*CA507)</f>
        <v>0</v>
      </c>
      <c r="BZ507" s="17">
        <f>SUM((BW507+BX507)*0.00833333333333333)</f>
        <v>0</v>
      </c>
      <c r="CA507" s="23">
        <f ca="1">MONTH(TODAY())+37</f>
        <v>41</v>
      </c>
      <c r="CB507" s="14">
        <f ca="1">SUM(BW507,BX507,BY507)</f>
        <v>0</v>
      </c>
      <c r="CC507" s="14">
        <f>SUM(DU507*0.0052)-343.68</f>
        <v>193.99999999999994</v>
      </c>
      <c r="CD507" s="14">
        <f>SUM(CC507*0.1)</f>
        <v>19.399999999999995</v>
      </c>
      <c r="CE507" s="14">
        <f ca="1">SUM(CF507*CG507)</f>
        <v>51.571666666666637</v>
      </c>
      <c r="CF507" s="17">
        <f>SUM((CC507+CD507)*0.00833333333333333)</f>
        <v>1.7783333333333322</v>
      </c>
      <c r="CG507" s="23">
        <f ca="1">MONTH(TODAY())+25</f>
        <v>29</v>
      </c>
      <c r="CH507" s="14">
        <f ca="1">SUM(CC507,CD507,CE507)</f>
        <v>264.97166666666658</v>
      </c>
      <c r="CI507" s="14">
        <f>SUM(DU507*0.0052)</f>
        <v>537.67999999999995</v>
      </c>
      <c r="CJ507" s="14">
        <f>SUM(CI507*0.1)</f>
        <v>53.768000000000001</v>
      </c>
      <c r="CK507" s="14">
        <f ca="1">SUM(CL507*CM507)</f>
        <v>83.788466666666622</v>
      </c>
      <c r="CL507" s="17">
        <f>SUM((CI507+CJ507)*0.00833333333333333)</f>
        <v>4.928733333333331</v>
      </c>
      <c r="CM507" s="23">
        <f ca="1">MONTH(TODAY())+13</f>
        <v>17</v>
      </c>
      <c r="CN507" s="14">
        <f ca="1">SUM(CI507,CJ507,CK507)</f>
        <v>675.23646666666662</v>
      </c>
      <c r="CO507" s="14">
        <f>SUM(DU507*0.0052)/2</f>
        <v>268.83999999999997</v>
      </c>
      <c r="CP507" s="14">
        <f>SUM(CO507*0.1)</f>
        <v>26.884</v>
      </c>
      <c r="CQ507" s="14">
        <f ca="1">SUM(CR507*CS507)</f>
        <v>22.179299999999991</v>
      </c>
      <c r="CR507" s="17">
        <f>SUM((CO507+CP507)*0.00833333333333333)</f>
        <v>2.4643666666666655</v>
      </c>
      <c r="CS507" s="23">
        <f ca="1">MONTH(TODAY())+5</f>
        <v>9</v>
      </c>
      <c r="CT507" s="23">
        <f ca="1">SUM(CO507,CP507,CQ507)</f>
        <v>317.9033</v>
      </c>
      <c r="CU507" s="14">
        <f>SUM(DU507*0.0052)/2</f>
        <v>268.83999999999997</v>
      </c>
      <c r="CV507" s="14">
        <f>SUM(CU507*0.1)</f>
        <v>26.884</v>
      </c>
      <c r="CW507" s="14">
        <f ca="1">SUM(CX507*CY507)</f>
        <v>12.321833333333327</v>
      </c>
      <c r="CX507" s="17">
        <f>SUM((CU507+CV507)*0.00833333333333333)</f>
        <v>2.4643666666666655</v>
      </c>
      <c r="CY507" s="23">
        <f ca="1">MONTH(TODAY())+1</f>
        <v>5</v>
      </c>
      <c r="CZ507" s="23">
        <f ca="1">SUM(CU507,CV507,CW507)</f>
        <v>308.04583333333329</v>
      </c>
      <c r="DA507" s="14">
        <f>SUM( BQ507, BW507, CC507, CI507, CO507,CU507)</f>
        <v>1269.3599999999997</v>
      </c>
      <c r="DB507" s="14">
        <f>SUM(BR507,BX507,CD507,CJ507, CP507,CV507)</f>
        <v>126.93599999999999</v>
      </c>
      <c r="DC507" s="14">
        <f ca="1">SUM(BS507,BY507,CE507,CK507, CQ507,CW507)</f>
        <v>169.86126666666658</v>
      </c>
      <c r="DD507" s="25">
        <f ca="1">SUM(DA507:DC507)</f>
        <v>1566.1572666666661</v>
      </c>
      <c r="DE507" s="47">
        <f ca="1">SUM(DD507/DU507)</f>
        <v>1.5146588652482265E-2</v>
      </c>
      <c r="DF507" s="14">
        <f>20+200</f>
        <v>220</v>
      </c>
      <c r="DG507" s="32">
        <f>COUNTIF(DL507, "*")+COUNTIF(AO507, "*")+COUNTIF(AJ507, "*")+COUNTIF(AA507, "*")+COUNTIF(EM507, "*")+COUNTIF(ES507, "*")+COUNTIF(EY507, "*")+COUNTIF(FC507, "*")+COUNTIF(FJ507, "*")+COUNTIF(AT507, "*")+COUNTIF(FS507, "*")+COUNTIF(GD507, "*")+COUNTIF(GO507, "*")+COUNTIF(GW507, "*")+COUNTIF(HE507, "*")+COUNTIF(HM507, "*")+COUNTIF(HU507, "*")</f>
        <v>2</v>
      </c>
      <c r="DH507" s="14">
        <f>DG507*0.6+DG507*7.45</f>
        <v>16.100000000000001</v>
      </c>
      <c r="DI507" s="4">
        <v>150</v>
      </c>
      <c r="DJ507" s="4"/>
      <c r="DK507" s="4"/>
      <c r="DL507" s="4"/>
      <c r="DM507"/>
      <c r="DN507" s="4"/>
      <c r="DO507" s="14">
        <f>SUM(DJ507:DN507)</f>
        <v>0</v>
      </c>
      <c r="DP507" s="14">
        <f ca="1">SUM(DD507,DF507,DO507, DI507, DH507,FP507)</f>
        <v>1952.2572666666661</v>
      </c>
      <c r="DQ507" s="24" t="s">
        <v>3974</v>
      </c>
      <c r="DR507" s="7">
        <v>3.01</v>
      </c>
      <c r="DS507" s="4">
        <v>28000</v>
      </c>
      <c r="DT507" s="4">
        <v>75400</v>
      </c>
      <c r="DU507" s="14">
        <f>SUM(DS507+DT507)</f>
        <v>103400</v>
      </c>
      <c r="DV507" s="14">
        <v>41700</v>
      </c>
      <c r="DW507" s="14">
        <v>130800</v>
      </c>
      <c r="DX507" s="14">
        <f>SUM(DV507+DW507)</f>
        <v>172500</v>
      </c>
      <c r="DY507" s="43" t="s">
        <v>4584</v>
      </c>
      <c r="DZ507" s="43" t="s">
        <v>4585</v>
      </c>
      <c r="EA507" s="43" t="s">
        <v>4586</v>
      </c>
      <c r="EB507"/>
      <c r="EC507"/>
      <c r="ED507"/>
      <c r="EE507"/>
      <c r="EF507"/>
      <c r="EG507"/>
      <c r="EH507"/>
      <c r="EI507"/>
      <c r="EJ507"/>
      <c r="EK507"/>
      <c r="EL507"/>
      <c r="EM507"/>
      <c r="EN507"/>
      <c r="EO507"/>
      <c r="EP507"/>
      <c r="EQ507"/>
      <c r="ER507"/>
      <c r="ES507"/>
      <c r="ET507"/>
      <c r="EU507"/>
      <c r="EV507"/>
      <c r="EW507"/>
      <c r="EX507"/>
      <c r="EY507"/>
      <c r="EZ507"/>
      <c r="FA507"/>
      <c r="FB507" t="s">
        <v>4581</v>
      </c>
      <c r="FC507" t="s">
        <v>4582</v>
      </c>
      <c r="FD507"/>
      <c r="FE507" t="s">
        <v>4583</v>
      </c>
      <c r="FF507" t="s">
        <v>285</v>
      </c>
      <c r="FG507" s="9">
        <v>39538</v>
      </c>
      <c r="FH507" t="s">
        <v>4580</v>
      </c>
      <c r="FI507"/>
      <c r="FJ507"/>
      <c r="FK507"/>
      <c r="FL507"/>
      <c r="FM507"/>
      <c r="FN507" s="9"/>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s="9"/>
      <c r="IB507"/>
      <c r="IC507"/>
      <c r="ID507"/>
      <c r="IE507"/>
      <c r="IF507"/>
      <c r="IG507"/>
      <c r="IH507"/>
      <c r="II507"/>
      <c r="IJ507"/>
      <c r="IK507"/>
      <c r="IL507" s="14">
        <f ca="1">SUM(IB507-DP507-FP507-IJ507)</f>
        <v>-1952.2572666666661</v>
      </c>
      <c r="IM507" s="9"/>
      <c r="IN507" s="9"/>
      <c r="IO507" s="9"/>
      <c r="IP507" s="9"/>
      <c r="IQ507" s="9"/>
      <c r="IR507"/>
      <c r="IS507"/>
      <c r="IT507"/>
      <c r="IU507"/>
      <c r="IV507"/>
      <c r="IW507"/>
      <c r="IX507"/>
      <c r="IY507"/>
      <c r="IZ507"/>
      <c r="JA507"/>
      <c r="JB507"/>
      <c r="JC507"/>
    </row>
    <row r="508" spans="1:263" ht="15" customHeight="1">
      <c r="A508" s="2">
        <v>102019072</v>
      </c>
      <c r="B508" s="4" t="s">
        <v>1436</v>
      </c>
      <c r="D508" s="3"/>
      <c r="E508" s="3"/>
      <c r="F508" s="3"/>
      <c r="G508" s="3"/>
      <c r="H508" s="3"/>
      <c r="J508" t="s">
        <v>253</v>
      </c>
      <c r="K508" t="s">
        <v>1421</v>
      </c>
      <c r="L508" t="s">
        <v>1243</v>
      </c>
      <c r="M508" t="s">
        <v>392</v>
      </c>
      <c r="O508" s="1"/>
      <c r="T508" s="1"/>
      <c r="AX508" s="9"/>
      <c r="AY508" s="9"/>
      <c r="AZ508" s="9"/>
      <c r="BA508" s="9"/>
      <c r="BC508" s="9"/>
      <c r="BD508" s="9"/>
      <c r="BE508" s="9"/>
      <c r="BG508" s="66"/>
      <c r="BH508" s="66"/>
      <c r="BI508" s="66"/>
      <c r="BK508" s="66"/>
      <c r="BL508" s="66"/>
      <c r="BO508" s="66"/>
      <c r="BQ508" s="66"/>
      <c r="BR508" s="66"/>
      <c r="BU508" s="66"/>
      <c r="BV508" s="66"/>
      <c r="BW508" s="66"/>
      <c r="BX508" s="66"/>
      <c r="CA508" s="66"/>
      <c r="CB508" s="66"/>
      <c r="CC508" s="66"/>
      <c r="CD508" s="66"/>
      <c r="CG508" s="66"/>
      <c r="CH508" s="66"/>
      <c r="CI508" s="66"/>
      <c r="CJ508" s="66"/>
      <c r="CM508" s="66"/>
      <c r="CN508" s="66"/>
      <c r="CO508" s="66"/>
      <c r="CP508" s="66"/>
      <c r="CS508" s="66"/>
      <c r="CT508" s="66"/>
      <c r="CU508" s="66"/>
      <c r="CV508" s="66"/>
      <c r="CY508" s="66"/>
      <c r="CZ508" s="66"/>
      <c r="DA508" s="66"/>
      <c r="DB508" s="66"/>
      <c r="DE508" s="66"/>
      <c r="DF508" s="66"/>
      <c r="DG508" s="66"/>
      <c r="DH508" s="66"/>
      <c r="DI508" s="66"/>
      <c r="DJ508" s="66"/>
      <c r="DL508" s="66"/>
      <c r="DN508" s="66"/>
      <c r="DO508" s="66"/>
      <c r="DP508" s="66"/>
      <c r="DQ508" s="66"/>
      <c r="DR508" s="66"/>
      <c r="DS508" s="66"/>
      <c r="DT508" s="66"/>
      <c r="DU508" s="66"/>
      <c r="DV508" s="66"/>
      <c r="DW508" s="66"/>
      <c r="DX508" s="66"/>
      <c r="DY508" s="66"/>
      <c r="FI508" s="9"/>
      <c r="FR508" s="9"/>
      <c r="II508" s="9"/>
      <c r="IJ508" s="66"/>
      <c r="IK508" s="66"/>
      <c r="IL508" s="4"/>
      <c r="IM508" s="4"/>
    </row>
    <row r="509" spans="1:263" ht="15" customHeight="1">
      <c r="A509" s="19">
        <v>102022098</v>
      </c>
      <c r="B509" t="s">
        <v>2840</v>
      </c>
      <c r="D509" s="1"/>
      <c r="E509" s="3"/>
      <c r="F509" s="3"/>
      <c r="J509" t="s">
        <v>311</v>
      </c>
      <c r="K509" t="s">
        <v>1186</v>
      </c>
      <c r="L509" t="s">
        <v>3083</v>
      </c>
      <c r="AG509" s="43"/>
      <c r="AJ509" t="s">
        <v>3095</v>
      </c>
      <c r="AK509" t="s">
        <v>258</v>
      </c>
      <c r="AL509" t="s">
        <v>349</v>
      </c>
      <c r="AM509" t="s">
        <v>260</v>
      </c>
      <c r="AN509"/>
      <c r="AO509" s="3" t="s">
        <v>773</v>
      </c>
      <c r="AP509" s="3" t="s">
        <v>258</v>
      </c>
      <c r="AQ509" t="s">
        <v>386</v>
      </c>
      <c r="AR509" t="s">
        <v>260</v>
      </c>
      <c r="AS509" s="1"/>
      <c r="AT509" s="1"/>
      <c r="AU509" s="1"/>
      <c r="AV509" s="1"/>
      <c r="AW509" s="1"/>
      <c r="AX509" s="2"/>
      <c r="AY509" s="116"/>
      <c r="AZ509" s="115"/>
      <c r="BA509" s="2"/>
      <c r="BB509" s="2"/>
      <c r="BC509" s="2"/>
      <c r="BD509" s="2"/>
      <c r="BE509" s="2"/>
      <c r="BF509" s="2"/>
      <c r="BG509" s="20">
        <f ca="1">SUM(CY509)+58.5+58.5</f>
        <v>811.88799999999992</v>
      </c>
      <c r="BH509" s="22">
        <f ca="1">PMT(10%/12,12,BG509,0,0)</f>
        <v>-71.377853851398015</v>
      </c>
      <c r="BI509" s="22">
        <f ca="1">SUM(BH509*-1)</f>
        <v>71.377853851398015</v>
      </c>
      <c r="BJ509" s="14">
        <f>SUM(DI509*0.0052)/12</f>
        <v>23.400000000000002</v>
      </c>
      <c r="BK509" s="22">
        <f ca="1">SUM(BI509+BJ509)</f>
        <v>94.777853851398021</v>
      </c>
      <c r="BL509" s="14"/>
      <c r="BM509" s="14">
        <f>SUM(BL509*0.1)</f>
        <v>0</v>
      </c>
      <c r="BN509" s="14">
        <f ca="1">SUM(BO509*BP509)</f>
        <v>0</v>
      </c>
      <c r="BO509" s="17">
        <f>SUM((BL509+BM509)*0.00833333333333333)</f>
        <v>0</v>
      </c>
      <c r="BP509" s="23">
        <f ca="1">MONTH(TODAY())+49</f>
        <v>53</v>
      </c>
      <c r="BQ509" s="14">
        <f ca="1">SUM(BL509,BM509,BN509)</f>
        <v>0</v>
      </c>
      <c r="BR509" s="14"/>
      <c r="BS509" s="14">
        <f>SUM(BR509*0.1)</f>
        <v>0</v>
      </c>
      <c r="BT509" s="14">
        <f ca="1">SUM(BU509*BV509)</f>
        <v>0</v>
      </c>
      <c r="BU509" s="17">
        <f>SUM((BR509+BS509)*0.00833333333333333)</f>
        <v>0</v>
      </c>
      <c r="BV509" s="23">
        <f ca="1">MONTH(TODAY())+37</f>
        <v>41</v>
      </c>
      <c r="BW509" s="14">
        <f ca="1">SUM(BR509,BS509,BT509)</f>
        <v>0</v>
      </c>
      <c r="BX509" s="14"/>
      <c r="BY509" s="14">
        <f>SUM(BX509*0.1)</f>
        <v>0</v>
      </c>
      <c r="BZ509" s="14">
        <f ca="1">SUM(CA509*CB509)</f>
        <v>0</v>
      </c>
      <c r="CA509" s="17">
        <f>SUM((BX509+BY509)*0.00833333333333333)</f>
        <v>0</v>
      </c>
      <c r="CB509" s="23">
        <f ca="1">MONTH(TODAY())+25</f>
        <v>29</v>
      </c>
      <c r="CC509" s="14">
        <f ca="1">SUM(BX509,BY509,BZ509)</f>
        <v>0</v>
      </c>
      <c r="CD509" s="14">
        <f>SUM(DI509*0.0052)</f>
        <v>280.8</v>
      </c>
      <c r="CE509" s="14">
        <f>SUM(CD509*0.1)</f>
        <v>28.080000000000002</v>
      </c>
      <c r="CF509" s="14">
        <f ca="1">SUM(CG509*CH509)</f>
        <v>43.757999999999981</v>
      </c>
      <c r="CG509" s="17">
        <f>SUM((CD509+CE509)*0.00833333333333333)</f>
        <v>2.573999999999999</v>
      </c>
      <c r="CH509" s="23">
        <f ca="1">MONTH(TODAY())+13</f>
        <v>17</v>
      </c>
      <c r="CI509" s="14">
        <f ca="1">SUM(CD509,CE509,CF509)</f>
        <v>352.63799999999998</v>
      </c>
      <c r="CJ509" s="14">
        <f>SUM(DI509*0.0052)</f>
        <v>280.8</v>
      </c>
      <c r="CK509" s="14">
        <f>SUM(CJ509*0.1)</f>
        <v>28.080000000000002</v>
      </c>
      <c r="CL509" s="14">
        <f ca="1">SUM(CM509*CN509)</f>
        <v>12.869999999999994</v>
      </c>
      <c r="CM509" s="17">
        <f>SUM((CJ509+CK509)*0.00833333333333333)</f>
        <v>2.573999999999999</v>
      </c>
      <c r="CN509" s="23">
        <f ca="1">MONTH(TODAY())+1</f>
        <v>5</v>
      </c>
      <c r="CO509" s="14">
        <f ca="1">SUM(CJ509,CK509,CL509)</f>
        <v>321.75</v>
      </c>
      <c r="CP509" s="14">
        <f>SUM(BL509, BR509,BX509,CD509,CJ509)</f>
        <v>561.6</v>
      </c>
      <c r="CQ509" s="14">
        <f>SUM(BM509, BS509,BY509,CE509,CK509)</f>
        <v>56.160000000000004</v>
      </c>
      <c r="CR509" s="14">
        <f ca="1">SUM(BN509, BT509,BZ509,CF509,CL509)</f>
        <v>56.627999999999972</v>
      </c>
      <c r="CS509" s="14">
        <f ca="1">SUM(CP509:CR509)</f>
        <v>674.38799999999992</v>
      </c>
      <c r="CT509" s="47">
        <f ca="1">SUM(CS509/DI509)</f>
        <v>1.2488666666666665E-2</v>
      </c>
      <c r="CU509" s="14">
        <v>19.5</v>
      </c>
      <c r="CV509" s="32">
        <f>COUNTIF(DB509, "*")+COUNTIF(AO509, "*")+COUNTIF(AJ509, "*")+COUNTIF(AA509, "*")+COUNTIF(DY509, "*")+COUNTIF(EE509, "*")+COUNTIF(EK509, "*")+COUNTIF(EO509, "*")+COUNTIF(EV509, "*")+COUNTIF(FC509, "*")+COUNTIF(FJ509, "*")+COUNTIF(FU509, "*")+COUNTIF(GF509, "*")+COUNTIF(GN509, "*")+COUNTIF(GV509, "*")+COUNTIF(HD509, "*")+COUNTIF(HL509, "*")</f>
        <v>2</v>
      </c>
      <c r="CW509" s="14">
        <f>CV509*0.5</f>
        <v>1</v>
      </c>
      <c r="CX509" s="4"/>
      <c r="CY509" s="14">
        <f ca="1">SUM(CS509,CU509,DE509, CX509, CW509,FG509)</f>
        <v>694.88799999999992</v>
      </c>
      <c r="CZ509" s="4"/>
      <c r="DE509" s="14">
        <f>SUM(CZ509:DD509)</f>
        <v>0</v>
      </c>
      <c r="DF509" s="24" t="s">
        <v>2773</v>
      </c>
      <c r="DG509" s="4">
        <v>16000</v>
      </c>
      <c r="DH509" s="4">
        <v>38000</v>
      </c>
      <c r="DI509" s="25">
        <f>SUM(DG509+DH509)</f>
        <v>54000</v>
      </c>
      <c r="DJ509" s="35">
        <v>1</v>
      </c>
      <c r="IC509" s="4"/>
      <c r="JA509" s="18"/>
      <c r="JB509" s="18"/>
      <c r="JC509" s="18"/>
    </row>
    <row r="510" spans="1:263" ht="15" customHeight="1">
      <c r="A510" s="2">
        <v>102024025</v>
      </c>
      <c r="B510" t="s">
        <v>5074</v>
      </c>
      <c r="D510" s="1"/>
      <c r="E510" s="3"/>
      <c r="G510" s="3"/>
      <c r="K510" t="s">
        <v>5144</v>
      </c>
      <c r="O510" s="3"/>
      <c r="Z510" t="s">
        <v>5145</v>
      </c>
      <c r="AA510" t="s">
        <v>5146</v>
      </c>
      <c r="AB510" t="s">
        <v>386</v>
      </c>
      <c r="AC510" t="s">
        <v>260</v>
      </c>
      <c r="AG510" s="43"/>
      <c r="AJ510" t="s">
        <v>5147</v>
      </c>
      <c r="AK510" s="1" t="s">
        <v>258</v>
      </c>
      <c r="AL510" t="s">
        <v>386</v>
      </c>
      <c r="AM510" t="s">
        <v>260</v>
      </c>
      <c r="AN510"/>
      <c r="AO510" t="s">
        <v>5148</v>
      </c>
      <c r="AP510" s="1" t="s">
        <v>258</v>
      </c>
      <c r="AQ510" t="s">
        <v>290</v>
      </c>
      <c r="AR510" t="s">
        <v>260</v>
      </c>
      <c r="AX510" s="1"/>
      <c r="AY510" s="1"/>
      <c r="AZ510" s="1"/>
      <c r="BA510" s="1"/>
      <c r="BB510" s="1"/>
      <c r="BC510" s="2"/>
      <c r="BD510" s="116"/>
      <c r="BE510" s="115"/>
      <c r="BF510" s="2"/>
      <c r="BG510" s="2"/>
      <c r="BH510" s="2"/>
      <c r="BI510" s="2"/>
      <c r="BJ510" s="2"/>
      <c r="BK510" s="2"/>
      <c r="BL510" s="20">
        <f ca="1">SUM(EB510)+220</f>
        <v>10678.937599999999</v>
      </c>
      <c r="BM510" s="22">
        <f ca="1">PMT(10%/12,12,BL510,0,0)</f>
        <v>-938.84827377790918</v>
      </c>
      <c r="BN510" s="22">
        <f ca="1">SUM(BM510*-1)</f>
        <v>938.84827377790918</v>
      </c>
      <c r="BO510" s="14">
        <f>SUM(EJ510*0.0052)/12</f>
        <v>270.52999999999997</v>
      </c>
      <c r="BP510" s="22">
        <f ca="1">SUM(BN510+BO510)</f>
        <v>1209.3782737779093</v>
      </c>
      <c r="BQ510" s="14"/>
      <c r="BR510" s="14">
        <f>SUM(BQ510*0.1)</f>
        <v>0</v>
      </c>
      <c r="BS510" s="14">
        <f ca="1">SUM(BT510*BU510)</f>
        <v>0</v>
      </c>
      <c r="BT510" s="17">
        <f>SUM((BQ510+BR510)*0.00833333333333333)</f>
        <v>0</v>
      </c>
      <c r="BU510" s="23">
        <f ca="1">MONTH(TODAY())+61</f>
        <v>65</v>
      </c>
      <c r="BV510" s="14">
        <f ca="1">SUM(BQ510,BR510,BS510)</f>
        <v>0</v>
      </c>
      <c r="BW510" s="14"/>
      <c r="BX510" s="14">
        <f>SUM(BW510*0.1)</f>
        <v>0</v>
      </c>
      <c r="BY510" s="14">
        <f ca="1">SUM(BZ510*CA510)</f>
        <v>0</v>
      </c>
      <c r="BZ510" s="17">
        <f>SUM((BW510+BX510)*0.00833333333333333)</f>
        <v>0</v>
      </c>
      <c r="CA510" s="23">
        <f ca="1">MONTH(TODAY())+49</f>
        <v>53</v>
      </c>
      <c r="CB510" s="14">
        <f ca="1">SUM(BW510,BX510,BY510)</f>
        <v>0</v>
      </c>
      <c r="CC510" s="14">
        <v>0</v>
      </c>
      <c r="CD510" s="14">
        <f>SUM(CC510*0.1)</f>
        <v>0</v>
      </c>
      <c r="CE510" s="14">
        <f ca="1">SUM(CF510*CG510)</f>
        <v>0</v>
      </c>
      <c r="CF510" s="17">
        <f>SUM((CC510+CD510)*0.00833333333333333)</f>
        <v>0</v>
      </c>
      <c r="CG510" s="23">
        <f ca="1">MONTH(TODAY())+37</f>
        <v>41</v>
      </c>
      <c r="CH510" s="14">
        <f ca="1">SUM(CC510,CD510,CE510)</f>
        <v>0</v>
      </c>
      <c r="CI510" s="14">
        <f>SUM(EG510*0.0052)</f>
        <v>2697.24</v>
      </c>
      <c r="CJ510" s="14">
        <f>SUM(CI510*0.1)</f>
        <v>269.72399999999999</v>
      </c>
      <c r="CK510" s="14">
        <f ca="1">SUM(CL510*CM510)</f>
        <v>717.01629999999966</v>
      </c>
      <c r="CL510" s="17">
        <f>SUM((CI510+CJ510)*0.00833333333333333)</f>
        <v>24.724699999999988</v>
      </c>
      <c r="CM510" s="23">
        <f ca="1">MONTH(TODAY())+25</f>
        <v>29</v>
      </c>
      <c r="CN510" s="14">
        <f ca="1">SUM(CI510,CJ510,CK510)</f>
        <v>3683.9802999999997</v>
      </c>
      <c r="CO510" s="14">
        <f>SUM(EG510*0.0052)/2</f>
        <v>1348.62</v>
      </c>
      <c r="CP510" s="14">
        <f>SUM(CO510*0.1)</f>
        <v>134.86199999999999</v>
      </c>
      <c r="CQ510" s="14">
        <f ca="1">SUM(CR510*CS510)</f>
        <v>259.60934999999989</v>
      </c>
      <c r="CR510" s="17">
        <f>SUM((CO510+CP510)*0.00833333333333333)</f>
        <v>12.362349999999994</v>
      </c>
      <c r="CS510" s="23">
        <f ca="1">MONTH(TODAY())+17</f>
        <v>21</v>
      </c>
      <c r="CT510" s="23">
        <f ca="1">SUM(CO510,CP510,CQ510)</f>
        <v>1743.0913499999999</v>
      </c>
      <c r="CU510" s="14">
        <f>SUM(EG510*0.0052)/2</f>
        <v>1348.62</v>
      </c>
      <c r="CV510" s="14">
        <f>SUM(CU510*0.1)</f>
        <v>134.86199999999999</v>
      </c>
      <c r="CW510" s="14">
        <f ca="1">SUM(CX510*CY510)</f>
        <v>210.1599499999999</v>
      </c>
      <c r="CX510" s="17">
        <f>SUM((CU510+CV510)*0.00833333333333333)</f>
        <v>12.362349999999994</v>
      </c>
      <c r="CY510" s="23">
        <f ca="1">MONTH(TODAY())+13</f>
        <v>17</v>
      </c>
      <c r="CZ510" s="23">
        <f ca="1">SUM(CU510,CV510,CW510)</f>
        <v>1693.64195</v>
      </c>
      <c r="DA510" s="14">
        <f>SUM(EJ510*0.0045)/2</f>
        <v>1404.675</v>
      </c>
      <c r="DB510" s="14">
        <f>SUM(DA510*0.1)</f>
        <v>140.4675</v>
      </c>
      <c r="DC510" s="14">
        <f ca="1">SUM(DD510*DE510)</f>
        <v>141.63806249999993</v>
      </c>
      <c r="DD510" s="17">
        <f>SUM((DA510+DB510)*0.00833333333333333)</f>
        <v>12.876187499999993</v>
      </c>
      <c r="DE510" s="23">
        <f ca="1">MONTH(TODAY())+7</f>
        <v>11</v>
      </c>
      <c r="DF510" s="23">
        <f ca="1">SUM(DA510,DB510,DC510)</f>
        <v>1686.7805624999999</v>
      </c>
      <c r="DG510" s="14">
        <f>SUM(EJ510*0.0045)/2</f>
        <v>1404.675</v>
      </c>
      <c r="DH510" s="14">
        <f>SUM(DG510*0.1)</f>
        <v>140.4675</v>
      </c>
      <c r="DI510" s="14">
        <f ca="1">SUM(DJ510*DK510)</f>
        <v>64.380937499999959</v>
      </c>
      <c r="DJ510" s="17">
        <f>SUM((DG510+DH510)*0.00833333333333333)</f>
        <v>12.876187499999993</v>
      </c>
      <c r="DK510" s="23">
        <f ca="1">MONTH(TODAY())+1</f>
        <v>5</v>
      </c>
      <c r="DL510" s="14">
        <f ca="1">SUM(DG510,DH510,DI510)</f>
        <v>1609.5234375</v>
      </c>
      <c r="DM510" s="14">
        <f>SUM( BQ510, BW510, CC510, CI510, CO510,CU510,DA510,DG510)</f>
        <v>8203.83</v>
      </c>
      <c r="DN510" s="14">
        <f>SUM(BR510,BX510,CD510,CJ510, CP510,CV510,DB510,DH510)</f>
        <v>820.38299999999992</v>
      </c>
      <c r="DO510" s="14">
        <f ca="1">SUM(BS510,BY510,CE510,CK510, CQ510,CW510,DC510,DI510)</f>
        <v>1392.8045999999995</v>
      </c>
      <c r="DP510" s="25">
        <f ca="1">SUM(DM510:DO510)</f>
        <v>10417.017599999999</v>
      </c>
      <c r="DQ510" s="47">
        <f ca="1">SUM(DP510/EG510)</f>
        <v>2.0082933487565065E-2</v>
      </c>
      <c r="DR510" s="14">
        <v>40</v>
      </c>
      <c r="DS510" s="32">
        <f>COUNTIF(AO510, "*")+COUNTIF(AJ510, "*")+COUNTIF(AA510, "*")+COUNTIF(EU510, "*")+COUNTIF(FA510, "*")+COUNTIF(FG510, "*")+COUNTIF(FK510, "*")+COUNTIF(FR510, "*")+COUNTIF(AT510, "*")+COUNTIF(GA510, "*")+COUNTIF(GL510, "*")+COUNTIF(GW510, "*")+COUNTIF(HE510, "*")+COUNTIF(HM510, "*")+COUNTIF(HU510, "*")</f>
        <v>3</v>
      </c>
      <c r="DT510" s="14">
        <f>DS510*0.64</f>
        <v>1.92</v>
      </c>
      <c r="DU510" s="4"/>
      <c r="DV510" s="4"/>
      <c r="DW510" s="4"/>
      <c r="DX510" s="4"/>
      <c r="DZ510" s="4"/>
      <c r="EA510" s="14">
        <f>SUM(DV510:DZ510)</f>
        <v>0</v>
      </c>
      <c r="EB510" s="14">
        <f ca="1">SUM(DP510,DR510,EA510, DU510, DT510,FX510)</f>
        <v>10458.937599999999</v>
      </c>
      <c r="EC510" s="24" t="s">
        <v>4944</v>
      </c>
      <c r="ED510" s="130">
        <f>1.25+13.65</f>
        <v>14.9</v>
      </c>
      <c r="EE510" s="14">
        <f>90000+318300</f>
        <v>408300</v>
      </c>
      <c r="EF510" s="14">
        <f>110400</f>
        <v>110400</v>
      </c>
      <c r="EG510" s="14">
        <f>SUM(EE510+EF510)</f>
        <v>518700</v>
      </c>
      <c r="EH510" s="14">
        <f>101300+368000</f>
        <v>469300</v>
      </c>
      <c r="EI510" s="14">
        <f>155000</f>
        <v>155000</v>
      </c>
      <c r="EJ510" s="14">
        <f>SUM(EH510+EI510)</f>
        <v>624300</v>
      </c>
      <c r="FX510" s="4"/>
      <c r="HY510" s="9"/>
      <c r="IJ510" s="4"/>
      <c r="IK510" s="4"/>
      <c r="IL510" s="4"/>
      <c r="IM510" s="9"/>
      <c r="IN510" s="9"/>
      <c r="IO510" s="9"/>
      <c r="IP510" s="9"/>
      <c r="IQ510" s="9"/>
    </row>
    <row r="511" spans="1:263" ht="15" customHeight="1">
      <c r="A511" s="19">
        <v>102022001</v>
      </c>
      <c r="B511" t="s">
        <v>3380</v>
      </c>
      <c r="D511" s="1"/>
      <c r="E511" s="3" t="s">
        <v>3726</v>
      </c>
      <c r="F511" s="3">
        <v>220002127</v>
      </c>
      <c r="K511" t="s">
        <v>3621</v>
      </c>
      <c r="AG511" s="43"/>
      <c r="AJ511" s="18" t="s">
        <v>328</v>
      </c>
      <c r="AL511" t="s">
        <v>438</v>
      </c>
      <c r="AM511"/>
      <c r="AN511"/>
      <c r="AO511" s="3" t="s">
        <v>2939</v>
      </c>
      <c r="AP511" s="3" t="s">
        <v>258</v>
      </c>
      <c r="AQ511" t="s">
        <v>2940</v>
      </c>
      <c r="AR511"/>
      <c r="AS511" s="1"/>
      <c r="AT511" s="1" t="s">
        <v>258</v>
      </c>
      <c r="AU511" s="1"/>
      <c r="AV511" s="1"/>
      <c r="AW511" s="1"/>
      <c r="AX511" s="70">
        <v>44644</v>
      </c>
      <c r="AY511" s="114">
        <v>44605</v>
      </c>
      <c r="AZ511" s="115">
        <v>44614</v>
      </c>
      <c r="BA511" s="2"/>
      <c r="BB511" s="2"/>
      <c r="BC511" s="2"/>
      <c r="BD511" s="2"/>
      <c r="BE511" s="48">
        <v>44785</v>
      </c>
      <c r="BF511" s="19" t="s">
        <v>319</v>
      </c>
      <c r="BG511" s="20">
        <f ca="1">SUM(DK511)+214.5</f>
        <v>9418.4848583333332</v>
      </c>
      <c r="BH511" s="22">
        <f ca="1">PMT(10%/12,12,BG511,0,0)</f>
        <v>-828.03445268278631</v>
      </c>
      <c r="BI511" s="22">
        <f ca="1">SUM(BH511*-1)</f>
        <v>828.03445268278631</v>
      </c>
      <c r="BJ511" s="14">
        <f>SUM(DU511*0.0052)/12</f>
        <v>128.69999999999999</v>
      </c>
      <c r="BK511" s="22">
        <f ca="1">SUM(BI511+BJ511)</f>
        <v>956.73445268278624</v>
      </c>
      <c r="BL511" s="14"/>
      <c r="BM511" s="14">
        <f>SUM(BL511*0.1)</f>
        <v>0</v>
      </c>
      <c r="BN511" s="14">
        <f ca="1">SUM(BO511*BP511)</f>
        <v>0</v>
      </c>
      <c r="BO511" s="17">
        <f>SUM((BL511+BM511)*0.00833333333333333)</f>
        <v>0</v>
      </c>
      <c r="BP511" s="23">
        <f ca="1">MONTH(TODAY())+49</f>
        <v>53</v>
      </c>
      <c r="BQ511" s="14">
        <f ca="1">SUM(BL511,BM511,BN511)</f>
        <v>0</v>
      </c>
      <c r="BR511" s="14"/>
      <c r="BS511" s="14">
        <f>SUM(BR511*0.1)</f>
        <v>0</v>
      </c>
      <c r="BT511" s="14">
        <f ca="1">SUM(BU511*BV511)</f>
        <v>0</v>
      </c>
      <c r="BU511" s="17">
        <f>SUM((BR511+BS511)*0.00833333333333333)</f>
        <v>0</v>
      </c>
      <c r="BV511" s="23">
        <f ca="1">MONTH(TODAY())+37</f>
        <v>41</v>
      </c>
      <c r="BW511" s="14">
        <f ca="1">SUM(BR511,BS511,BT511)</f>
        <v>0</v>
      </c>
      <c r="BX511" s="14">
        <v>958.88</v>
      </c>
      <c r="BY511" s="14">
        <f>SUM(BX511*0.1)</f>
        <v>95.888000000000005</v>
      </c>
      <c r="BZ511" s="14">
        <f ca="1">SUM(CA511*CB511)</f>
        <v>254.90226666666655</v>
      </c>
      <c r="CA511" s="17">
        <f>SUM((BX511+BY511)*0.00833333333333333)</f>
        <v>8.789733333333329</v>
      </c>
      <c r="CB511" s="23">
        <f ca="1">MONTH(TODAY())+25</f>
        <v>29</v>
      </c>
      <c r="CC511" s="14">
        <f ca="1">SUM(BX511,BY511,BZ511)</f>
        <v>1309.6702666666665</v>
      </c>
      <c r="CD511" s="14">
        <v>958.88</v>
      </c>
      <c r="CE511" s="14">
        <f>SUM(CD511*0.1)</f>
        <v>95.888000000000005</v>
      </c>
      <c r="CF511" s="14">
        <f ca="1">SUM(CG511*CH511)</f>
        <v>149.42546666666658</v>
      </c>
      <c r="CG511" s="17">
        <f>SUM((CD511+CE511)*0.00833333333333333)</f>
        <v>8.789733333333329</v>
      </c>
      <c r="CH511" s="23">
        <f ca="1">MONTH(TODAY())+13</f>
        <v>17</v>
      </c>
      <c r="CI511" s="14">
        <f ca="1">SUM(CD511,CE511,CF511)</f>
        <v>1204.1934666666666</v>
      </c>
      <c r="CJ511" s="14">
        <f>491.92+504.83+829.5</f>
        <v>1826.25</v>
      </c>
      <c r="CK511" s="14">
        <f>SUM(CJ511*0.1)</f>
        <v>182.625</v>
      </c>
      <c r="CL511" s="14">
        <f ca="1">SUM(CM511*CN511)</f>
        <v>83.703124999999972</v>
      </c>
      <c r="CM511" s="17">
        <f>SUM((CJ511+CK511)*0.00833333333333333)</f>
        <v>16.740624999999994</v>
      </c>
      <c r="CN511" s="23">
        <f ca="1">MONTH(TODAY())+1</f>
        <v>5</v>
      </c>
      <c r="CO511" s="14">
        <f ca="1">SUM(CJ511,CK511,CL511)</f>
        <v>2092.578125</v>
      </c>
      <c r="CP511" s="14">
        <f>208+213.46+350.74</f>
        <v>772.2</v>
      </c>
      <c r="CQ511" s="14">
        <f>SUM(CP511*0.1)</f>
        <v>77.220000000000013</v>
      </c>
      <c r="CR511" s="14">
        <f ca="1">SUM(CS511*CT511)</f>
        <v>-14.156999999999995</v>
      </c>
      <c r="CS511" s="17">
        <f>SUM((CP511+CQ511)*0.00833333333333333)</f>
        <v>7.0784999999999973</v>
      </c>
      <c r="CT511" s="23">
        <f ca="1">MONTH(TODAY())-6</f>
        <v>-2</v>
      </c>
      <c r="CU511" s="23">
        <f ca="1">SUM(CP511,CQ511,CR511)</f>
        <v>835.26300000000003</v>
      </c>
      <c r="CV511" s="14">
        <f>SUM(DU511*0.0052)/2</f>
        <v>772.19999999999993</v>
      </c>
      <c r="CW511" s="14">
        <v>0</v>
      </c>
      <c r="CX511" s="14">
        <v>0</v>
      </c>
      <c r="CY511" s="17">
        <f>SUM((CV511+CW511)*0.00833333333333333)</f>
        <v>6.4349999999999969</v>
      </c>
      <c r="CZ511" s="23">
        <f ca="1">MONTH(TODAY())-6</f>
        <v>-2</v>
      </c>
      <c r="DA511" s="23">
        <f>SUM(CV511,CW511,CX511)</f>
        <v>772.19999999999993</v>
      </c>
      <c r="DB511" s="14">
        <f>SUM(BL511, BR511, BX511, CD511, CJ511, CP511,CV511)</f>
        <v>5288.41</v>
      </c>
      <c r="DC511" s="14">
        <f>SUM(BM511, BS511,BY511,CE511,CK511, CQ511,CW511)</f>
        <v>451.62100000000004</v>
      </c>
      <c r="DD511" s="14">
        <f ca="1">SUM(BN511, BT511,BZ511,CF511,CL511, CR511,CX511)</f>
        <v>473.87385833333309</v>
      </c>
      <c r="DE511" s="14">
        <f ca="1">SUM(DB511:DD511)</f>
        <v>6213.9048583333333</v>
      </c>
      <c r="DF511" s="47">
        <f ca="1">SUM(DE511/DU511)</f>
        <v>2.0922238580246912E-2</v>
      </c>
      <c r="DG511" s="14">
        <f>19.5+19.5+195+195+39+39+39+97.5+97.5</f>
        <v>741</v>
      </c>
      <c r="DH511" s="32">
        <f>COUNTIF(DN511, "*")+COUNTIF(AO511, "*")+COUNTIF(AJ511, "*")+COUNTIF(AA511, "*")+COUNTIF(EK511, "*")+COUNTIF(EQ511, "*")+COUNTIF(EW511, "*")+COUNTIF(FA511, "*")+COUNTIF(FH511, "*")+COUNTIF(FO511, "*")+COUNTIF(FV511, "*")+COUNTIF(GG511, "*")+COUNTIF(GR511, "*")+COUNTIF(GZ511, "*")+COUNTIF(HH511, "*")+COUNTIF(HP511, "*")+COUNTIF(HX511, "*")</f>
        <v>2</v>
      </c>
      <c r="DI511" s="14">
        <f>1.06+13.32+30</f>
        <v>44.38</v>
      </c>
      <c r="DJ511" s="14">
        <f>150+150</f>
        <v>300</v>
      </c>
      <c r="DK511" s="14">
        <f ca="1">SUM(DE511,DG511,DQ511, DJ511, DI511,FS511)</f>
        <v>9203.9848583333332</v>
      </c>
      <c r="DL511" s="4">
        <v>56.45</v>
      </c>
      <c r="DM511" s="4"/>
      <c r="DN511" s="4">
        <v>100.25</v>
      </c>
      <c r="DO511" s="14">
        <f>SUM(DU511*0.004)</f>
        <v>1188</v>
      </c>
      <c r="DP511" s="4">
        <v>560</v>
      </c>
      <c r="DQ511" s="14">
        <f>SUM(DL511:DP511)</f>
        <v>1904.7</v>
      </c>
      <c r="DR511" s="24" t="s">
        <v>3908</v>
      </c>
      <c r="DS511" s="4">
        <f>134900+82100+80000</f>
        <v>297000</v>
      </c>
      <c r="DT511" s="4">
        <v>0</v>
      </c>
      <c r="DU511" s="25">
        <f>SUM(DS511+DT511)</f>
        <v>297000</v>
      </c>
      <c r="DV511" s="35">
        <v>2.698</v>
      </c>
      <c r="DW511" t="s">
        <v>3381</v>
      </c>
      <c r="DX511" t="s">
        <v>3382</v>
      </c>
      <c r="DY511" t="s">
        <v>3384</v>
      </c>
      <c r="DZ511" t="s">
        <v>3383</v>
      </c>
      <c r="ID511" s="9">
        <v>44863</v>
      </c>
      <c r="IO511" s="4"/>
      <c r="IP511" s="9">
        <v>44797</v>
      </c>
    </row>
    <row r="512" spans="1:263" ht="15" customHeight="1">
      <c r="A512" s="2">
        <v>102018085</v>
      </c>
      <c r="B512" s="4" t="s">
        <v>1261</v>
      </c>
      <c r="C512" s="3"/>
      <c r="D512" s="3"/>
      <c r="E512" s="3"/>
      <c r="F512" s="3"/>
      <c r="G512" s="3"/>
      <c r="H512" s="3"/>
      <c r="J512" t="s">
        <v>305</v>
      </c>
      <c r="K512" t="s">
        <v>1262</v>
      </c>
      <c r="L512" t="s">
        <v>820</v>
      </c>
      <c r="M512" t="s">
        <v>256</v>
      </c>
      <c r="O512" s="1"/>
      <c r="P512" t="s">
        <v>1262</v>
      </c>
      <c r="Q512" t="s">
        <v>849</v>
      </c>
      <c r="R512" t="s">
        <v>392</v>
      </c>
      <c r="T512" s="1"/>
      <c r="AH512" s="4"/>
      <c r="AJ512" s="4"/>
      <c r="AK512" s="4"/>
      <c r="AO512" s="4"/>
      <c r="AP512" s="5"/>
      <c r="AS512" s="5"/>
      <c r="AT512" s="5"/>
      <c r="AU512" s="1"/>
      <c r="AV512" s="1"/>
      <c r="AW512" s="1"/>
      <c r="AX512" s="1"/>
      <c r="AY512" s="1"/>
      <c r="AZ512" s="1"/>
      <c r="BA512" s="1"/>
      <c r="BB512" s="1"/>
      <c r="BC512" s="1"/>
      <c r="BD512" s="1"/>
      <c r="BE512" s="1"/>
      <c r="BF512" s="1"/>
      <c r="BG512" s="5"/>
      <c r="BH512" s="16"/>
      <c r="BI512" s="16"/>
      <c r="BK512" s="4"/>
      <c r="BL512" s="4"/>
      <c r="BM512" s="6"/>
      <c r="BN512" s="7"/>
      <c r="BO512" s="4"/>
      <c r="BP512" s="4"/>
      <c r="BQ512" s="4"/>
      <c r="BR512" s="4"/>
      <c r="BS512" s="6"/>
      <c r="BT512" s="7"/>
      <c r="BU512" s="4"/>
      <c r="BV512" s="4"/>
      <c r="BW512" s="4"/>
      <c r="BX512" s="4"/>
      <c r="BY512" s="6"/>
      <c r="BZ512" s="7"/>
      <c r="CA512" s="4"/>
      <c r="CB512" s="4"/>
      <c r="CC512" s="4"/>
      <c r="CD512" s="4"/>
      <c r="CE512" s="6"/>
      <c r="CF512" s="7"/>
      <c r="CG512" s="4"/>
      <c r="CH512" s="4"/>
      <c r="CI512" s="4"/>
      <c r="CJ512" s="4"/>
      <c r="CK512" s="6"/>
      <c r="CL512" s="7"/>
      <c r="CM512" s="4"/>
      <c r="CN512" s="4"/>
      <c r="CO512" s="4"/>
      <c r="CP512" s="4"/>
      <c r="CQ512" s="6"/>
      <c r="CR512" s="7"/>
      <c r="CS512" s="4"/>
      <c r="CT512" s="4"/>
      <c r="CU512" s="4"/>
      <c r="CV512" s="4"/>
      <c r="CW512" s="6"/>
      <c r="CX512" s="7"/>
      <c r="CY512" s="4"/>
      <c r="CZ512" s="4"/>
      <c r="DA512" s="4"/>
      <c r="DB512" s="4"/>
      <c r="DC512" s="6"/>
      <c r="DD512" s="7"/>
      <c r="DE512" s="4"/>
      <c r="DF512" s="4"/>
      <c r="DG512" s="14"/>
      <c r="DH512" s="14"/>
      <c r="DI512" s="4"/>
      <c r="DJ512" s="3"/>
      <c r="DK512" s="4"/>
      <c r="DL512" s="234"/>
      <c r="DM512" s="4"/>
      <c r="DN512" s="4"/>
      <c r="DO512" s="4"/>
      <c r="DP512" s="4"/>
      <c r="DQ512" s="4"/>
      <c r="DR512" s="4"/>
      <c r="DS512" s="7"/>
      <c r="DT512" s="4"/>
      <c r="DU512" s="4"/>
      <c r="DV512" s="8"/>
      <c r="DW512" s="4"/>
      <c r="DX512" s="4"/>
      <c r="EG512" s="11"/>
      <c r="EM512" s="11"/>
      <c r="EN512" s="11"/>
      <c r="EO512" s="4"/>
      <c r="EP512" s="4"/>
      <c r="EQ512" s="4"/>
      <c r="ER512" s="4"/>
      <c r="ES512" s="4"/>
      <c r="ET512" s="4"/>
      <c r="EU512" s="4"/>
      <c r="EV512" s="4"/>
      <c r="EW512" s="4"/>
      <c r="EX512" s="4"/>
      <c r="EY512" s="4"/>
      <c r="EZ512" s="4"/>
      <c r="FA512" s="4"/>
      <c r="FB512" s="4"/>
      <c r="FC512" s="4"/>
      <c r="FG512" s="9"/>
      <c r="FP512" s="9"/>
      <c r="FZ512" s="10"/>
      <c r="GJ512" s="10"/>
      <c r="GY512" s="9"/>
      <c r="IK512" s="4"/>
      <c r="IY512" s="9">
        <v>42977</v>
      </c>
    </row>
    <row r="513" spans="1:263" ht="15" customHeight="1">
      <c r="A513" s="2">
        <v>102020052</v>
      </c>
      <c r="B513" t="s">
        <v>1678</v>
      </c>
      <c r="J513" t="s">
        <v>311</v>
      </c>
      <c r="K513" t="s">
        <v>1679</v>
      </c>
      <c r="L513" t="s">
        <v>577</v>
      </c>
      <c r="M513" t="s">
        <v>357</v>
      </c>
      <c r="AG513" s="248"/>
      <c r="AY513" s="9"/>
      <c r="AZ513" s="9"/>
      <c r="BG513" s="5"/>
      <c r="BH513" s="16"/>
      <c r="BI513" s="16"/>
      <c r="BJ513" s="4"/>
      <c r="BK513" s="4"/>
      <c r="BL513" s="4"/>
      <c r="BM513" s="6"/>
      <c r="BN513" s="7"/>
      <c r="BO513" s="4"/>
      <c r="BP513" s="4"/>
      <c r="BQ513" s="4"/>
      <c r="BR513" s="4"/>
      <c r="BS513" s="6"/>
      <c r="BT513" s="7"/>
      <c r="BU513" s="4"/>
      <c r="BV513" s="4"/>
      <c r="BW513" s="4"/>
      <c r="BX513" s="4"/>
      <c r="BY513" s="6"/>
      <c r="BZ513" s="7"/>
      <c r="CA513" s="4"/>
      <c r="CB513" s="4"/>
      <c r="CC513" s="4"/>
      <c r="CD513" s="4"/>
      <c r="CE513" s="6"/>
      <c r="CF513" s="7"/>
      <c r="CG513" s="4"/>
      <c r="CH513" s="4"/>
      <c r="CI513" s="4"/>
      <c r="CJ513" s="4"/>
      <c r="CK513" s="6"/>
      <c r="CL513" s="7"/>
      <c r="CM513" s="4"/>
      <c r="CN513" s="4"/>
      <c r="CO513" s="4"/>
      <c r="CP513" s="4"/>
      <c r="CQ513" s="6"/>
      <c r="CR513" s="7"/>
      <c r="CS513" s="4"/>
      <c r="CT513" s="4"/>
      <c r="CU513" s="4"/>
      <c r="CV513" s="4"/>
      <c r="CW513" s="6"/>
      <c r="CX513" s="7"/>
      <c r="CY513" s="4"/>
      <c r="CZ513" s="4"/>
      <c r="DA513" s="4"/>
      <c r="DB513" s="4"/>
      <c r="DC513" s="4"/>
      <c r="DD513" s="3"/>
      <c r="DE513" s="4"/>
      <c r="DF513" s="234"/>
      <c r="DG513" s="4"/>
      <c r="DH513" s="4"/>
      <c r="DI513" s="4"/>
      <c r="DJ513" s="4"/>
      <c r="DK513" s="4"/>
      <c r="DL513" s="4"/>
      <c r="DM513" s="7"/>
      <c r="DN513" s="8"/>
      <c r="DO513" s="4"/>
      <c r="DP513" s="8"/>
      <c r="DQ513" s="8"/>
      <c r="DR513" s="8"/>
      <c r="DS513" s="35"/>
      <c r="DT513" s="43"/>
      <c r="DU513" s="43"/>
      <c r="IL513" s="18"/>
      <c r="IM513" s="18"/>
      <c r="IN513" s="18"/>
      <c r="IO513" s="18"/>
      <c r="IP513" s="18"/>
      <c r="IQ513" s="18"/>
      <c r="IR513" s="18"/>
      <c r="IS513" s="18"/>
      <c r="IT513" s="18"/>
      <c r="IU513" s="18"/>
      <c r="IV513" s="18"/>
    </row>
    <row r="514" spans="1:263" ht="15" customHeight="1">
      <c r="A514" s="2">
        <v>102018040</v>
      </c>
      <c r="B514" s="4" t="s">
        <v>1161</v>
      </c>
      <c r="J514" t="s">
        <v>305</v>
      </c>
      <c r="K514" t="s">
        <v>767</v>
      </c>
      <c r="L514" t="s">
        <v>1162</v>
      </c>
      <c r="O514" s="1"/>
      <c r="P514" t="s">
        <v>767</v>
      </c>
      <c r="Q514" t="s">
        <v>1163</v>
      </c>
      <c r="R514" t="s">
        <v>403</v>
      </c>
      <c r="T514" s="1"/>
      <c r="AJ514" s="4"/>
      <c r="AK514" s="4"/>
      <c r="AM514" s="34"/>
      <c r="AO514" s="4"/>
      <c r="AP514" s="5"/>
      <c r="AQ514" s="34"/>
      <c r="AS514" s="1"/>
      <c r="AT514" s="1"/>
      <c r="AU514" s="29"/>
      <c r="AV514" s="1"/>
      <c r="AW514" s="1"/>
      <c r="AX514" s="15"/>
      <c r="AY514" s="15"/>
      <c r="AZ514" s="15"/>
      <c r="BA514" s="15"/>
      <c r="BB514" s="1"/>
      <c r="BC514" s="15"/>
      <c r="BD514" s="15"/>
      <c r="BE514" s="15"/>
      <c r="BF514" s="1"/>
      <c r="BG514" s="5"/>
      <c r="BH514" s="16"/>
      <c r="BI514" s="16"/>
      <c r="BJ514" s="4"/>
      <c r="BK514" s="4"/>
      <c r="BL514" s="4"/>
      <c r="BM514" s="6"/>
      <c r="BN514" s="7"/>
      <c r="BO514" s="4"/>
      <c r="BP514" s="6"/>
      <c r="BQ514" s="4"/>
      <c r="BR514" s="4"/>
      <c r="BS514" s="6"/>
      <c r="BT514" s="7"/>
      <c r="BU514" s="4"/>
      <c r="BV514" s="6"/>
      <c r="BW514" s="4"/>
      <c r="BX514" s="4"/>
      <c r="BY514" s="6"/>
      <c r="BZ514" s="7"/>
      <c r="CA514" s="4"/>
      <c r="CB514" s="4"/>
      <c r="CC514" s="4"/>
      <c r="CD514" s="4"/>
      <c r="CE514" s="6"/>
      <c r="CF514" s="7"/>
      <c r="CG514" s="4"/>
      <c r="CH514" s="4"/>
      <c r="CI514" s="4"/>
      <c r="CJ514" s="4"/>
      <c r="CK514" s="6"/>
      <c r="CL514" s="7"/>
      <c r="CM514" s="4"/>
      <c r="CN514" s="4"/>
      <c r="CO514" s="4"/>
      <c r="CP514" s="4"/>
      <c r="CQ514" s="6"/>
      <c r="CR514" s="7"/>
      <c r="CS514" s="4"/>
      <c r="CT514" s="4"/>
      <c r="CU514" s="4"/>
      <c r="CV514" s="4"/>
      <c r="CW514" s="6"/>
      <c r="CX514" s="7"/>
      <c r="CY514" s="4"/>
      <c r="CZ514" s="4"/>
      <c r="DA514" s="4"/>
      <c r="DB514" s="4"/>
      <c r="DC514" s="6"/>
      <c r="DD514" s="7"/>
      <c r="DE514" s="4"/>
      <c r="DF514" s="4"/>
      <c r="DG514" s="14"/>
      <c r="DH514" s="14"/>
      <c r="DI514" s="4"/>
      <c r="DK514" s="4"/>
      <c r="DL514" s="4"/>
      <c r="DM514" s="4"/>
      <c r="DN514" s="4"/>
      <c r="DO514" s="4"/>
      <c r="DP514" s="7"/>
      <c r="DQ514" s="4"/>
      <c r="DR514" s="4"/>
      <c r="DS514" s="4"/>
      <c r="DT514" s="4"/>
      <c r="DU514" s="4"/>
      <c r="DV514" s="4"/>
      <c r="DW514" s="4"/>
      <c r="ED514" s="11"/>
      <c r="EJ514" s="11"/>
      <c r="EL514" s="4"/>
      <c r="EM514" s="4"/>
      <c r="EN514" s="4"/>
      <c r="EO514" s="4"/>
      <c r="EP514" s="4"/>
      <c r="EQ514" s="4"/>
      <c r="ER514" s="4"/>
      <c r="ES514" s="4"/>
      <c r="ET514" s="4"/>
      <c r="EU514" s="4"/>
      <c r="EV514" s="4"/>
      <c r="EW514" s="4"/>
      <c r="EX514" s="4"/>
      <c r="EY514" s="4"/>
      <c r="FE514" s="9"/>
      <c r="FN514" s="9"/>
      <c r="FV514" s="10"/>
      <c r="FZ514" s="9"/>
      <c r="GG514" s="10"/>
      <c r="GK514" s="9"/>
      <c r="GR514" s="10"/>
      <c r="GV514" s="9"/>
      <c r="GZ514" s="10"/>
      <c r="HD514" s="9"/>
      <c r="HH514" s="10"/>
      <c r="HL514" s="9"/>
      <c r="HT514" s="9"/>
      <c r="II514" s="4"/>
      <c r="IP514" s="4"/>
      <c r="IV514" s="18"/>
    </row>
    <row r="515" spans="1:263" ht="15" customHeight="1">
      <c r="A515" s="19">
        <v>102022099</v>
      </c>
      <c r="B515" t="s">
        <v>2841</v>
      </c>
      <c r="D515" s="1"/>
      <c r="E515" s="3"/>
      <c r="F515" s="3"/>
      <c r="J515" t="s">
        <v>311</v>
      </c>
      <c r="K515" t="s">
        <v>1186</v>
      </c>
      <c r="L515" t="s">
        <v>3083</v>
      </c>
      <c r="AG515" s="43"/>
      <c r="AJ515" t="s">
        <v>3096</v>
      </c>
      <c r="AK515" t="s">
        <v>258</v>
      </c>
      <c r="AL515" t="s">
        <v>349</v>
      </c>
      <c r="AM515" t="s">
        <v>260</v>
      </c>
      <c r="AN515"/>
      <c r="AO515" s="3" t="s">
        <v>773</v>
      </c>
      <c r="AP515" s="3" t="s">
        <v>258</v>
      </c>
      <c r="AQ515" t="s">
        <v>386</v>
      </c>
      <c r="AR515" t="s">
        <v>260</v>
      </c>
      <c r="AS515" s="1"/>
      <c r="AT515" s="1"/>
      <c r="AU515" s="1"/>
      <c r="AV515" s="1"/>
      <c r="AW515" s="1"/>
      <c r="AX515" s="2"/>
      <c r="AY515" s="116"/>
      <c r="AZ515" s="115"/>
      <c r="BA515" s="2"/>
      <c r="BB515" s="2"/>
      <c r="BC515" s="2"/>
      <c r="BD515" s="2"/>
      <c r="BE515" s="2"/>
      <c r="BF515" s="2"/>
      <c r="BG515" s="20">
        <f ca="1">SUM(CY515)+58.5+58.5</f>
        <v>826.87439999999992</v>
      </c>
      <c r="BH515" s="22">
        <f ca="1">PMT(10%/12,12,BG515,0,0)</f>
        <v>-72.695396503781851</v>
      </c>
      <c r="BI515" s="22">
        <f ca="1">SUM(BH515*-1)</f>
        <v>72.695396503781851</v>
      </c>
      <c r="BJ515" s="14">
        <f>SUM(DI515*0.0052)/12</f>
        <v>23.919999999999998</v>
      </c>
      <c r="BK515" s="22">
        <f ca="1">SUM(BI515+BJ515)</f>
        <v>96.615396503781852</v>
      </c>
      <c r="BL515" s="14"/>
      <c r="BM515" s="14">
        <f>SUM(BL515*0.1)</f>
        <v>0</v>
      </c>
      <c r="BN515" s="14">
        <f ca="1">SUM(BO515*BP515)</f>
        <v>0</v>
      </c>
      <c r="BO515" s="17">
        <f>SUM((BL515+BM515)*0.00833333333333333)</f>
        <v>0</v>
      </c>
      <c r="BP515" s="23">
        <f ca="1">MONTH(TODAY())+49</f>
        <v>53</v>
      </c>
      <c r="BQ515" s="14">
        <f ca="1">SUM(BL515,BM515,BN515)</f>
        <v>0</v>
      </c>
      <c r="BR515" s="14"/>
      <c r="BS515" s="14">
        <f>SUM(BR515*0.1)</f>
        <v>0</v>
      </c>
      <c r="BT515" s="14">
        <f ca="1">SUM(BU515*BV515)</f>
        <v>0</v>
      </c>
      <c r="BU515" s="17">
        <f>SUM((BR515+BS515)*0.00833333333333333)</f>
        <v>0</v>
      </c>
      <c r="BV515" s="23">
        <f ca="1">MONTH(TODAY())+37</f>
        <v>41</v>
      </c>
      <c r="BW515" s="14">
        <f ca="1">SUM(BR515,BS515,BT515)</f>
        <v>0</v>
      </c>
      <c r="BX515" s="14"/>
      <c r="BY515" s="14">
        <f>SUM(BX515*0.1)</f>
        <v>0</v>
      </c>
      <c r="BZ515" s="14">
        <f ca="1">SUM(CA515*CB515)</f>
        <v>0</v>
      </c>
      <c r="CA515" s="17">
        <f>SUM((BX515+BY515)*0.00833333333333333)</f>
        <v>0</v>
      </c>
      <c r="CB515" s="23">
        <f ca="1">MONTH(TODAY())+25</f>
        <v>29</v>
      </c>
      <c r="CC515" s="14">
        <f ca="1">SUM(BX515,BY515,BZ515)</f>
        <v>0</v>
      </c>
      <c r="CD515" s="14">
        <f>SUM(DI515*0.0052)</f>
        <v>287.03999999999996</v>
      </c>
      <c r="CE515" s="14">
        <f>SUM(CD515*0.1)</f>
        <v>28.703999999999997</v>
      </c>
      <c r="CF515" s="14">
        <f ca="1">SUM(CG515*CH515)</f>
        <v>44.730399999999975</v>
      </c>
      <c r="CG515" s="17">
        <f>SUM((CD515+CE515)*0.00833333333333333)</f>
        <v>2.6311999999999984</v>
      </c>
      <c r="CH515" s="23">
        <f ca="1">MONTH(TODAY())+13</f>
        <v>17</v>
      </c>
      <c r="CI515" s="14">
        <f ca="1">SUM(CD515,CE515,CF515)</f>
        <v>360.47439999999995</v>
      </c>
      <c r="CJ515" s="14">
        <f>SUM(DI515*0.0052)</f>
        <v>287.03999999999996</v>
      </c>
      <c r="CK515" s="14">
        <f>SUM(CJ515*0.1)</f>
        <v>28.703999999999997</v>
      </c>
      <c r="CL515" s="14">
        <f ca="1">SUM(CM515*CN515)</f>
        <v>13.155999999999992</v>
      </c>
      <c r="CM515" s="17">
        <f>SUM((CJ515+CK515)*0.00833333333333333)</f>
        <v>2.6311999999999984</v>
      </c>
      <c r="CN515" s="23">
        <f ca="1">MONTH(TODAY())+1</f>
        <v>5</v>
      </c>
      <c r="CO515" s="14">
        <f ca="1">SUM(CJ515,CK515,CL515)</f>
        <v>328.9</v>
      </c>
      <c r="CP515" s="14">
        <f>SUM(BL515, BR515,BX515,CD515,CJ515)</f>
        <v>574.07999999999993</v>
      </c>
      <c r="CQ515" s="14">
        <f>SUM(BM515, BS515,BY515,CE515,CK515)</f>
        <v>57.407999999999994</v>
      </c>
      <c r="CR515" s="14">
        <f ca="1">SUM(BN515, BT515,BZ515,CF515,CL515)</f>
        <v>57.886399999999966</v>
      </c>
      <c r="CS515" s="14">
        <f ca="1">SUM(CP515:CR515)</f>
        <v>689.37439999999992</v>
      </c>
      <c r="CT515" s="47">
        <f ca="1">SUM(CS515/DI515)</f>
        <v>1.2488666666666665E-2</v>
      </c>
      <c r="CU515" s="14">
        <v>19.5</v>
      </c>
      <c r="CV515" s="32">
        <f>COUNTIF(DB515, "*")+COUNTIF(AO515, "*")+COUNTIF(AJ515, "*")+COUNTIF(AA515, "*")+COUNTIF(DY515, "*")+COUNTIF(EE515, "*")+COUNTIF(EK515, "*")+COUNTIF(EO515, "*")+COUNTIF(EV515, "*")+COUNTIF(FC515, "*")+COUNTIF(FJ515, "*")+COUNTIF(FU515, "*")+COUNTIF(GF515, "*")+COUNTIF(GN515, "*")+COUNTIF(GV515, "*")+COUNTIF(HD515, "*")+COUNTIF(HL515, "*")</f>
        <v>2</v>
      </c>
      <c r="CW515" s="14">
        <f>CV515*0.5</f>
        <v>1</v>
      </c>
      <c r="CX515" s="4"/>
      <c r="CY515" s="14">
        <f ca="1">SUM(CS515,CU515,DE515, CX515, CW515,FG515)</f>
        <v>709.87439999999992</v>
      </c>
      <c r="CZ515" s="4"/>
      <c r="DE515" s="14">
        <f>SUM(CZ515:DD515)</f>
        <v>0</v>
      </c>
      <c r="DF515" s="24" t="s">
        <v>2773</v>
      </c>
      <c r="DG515" s="4">
        <v>20200</v>
      </c>
      <c r="DH515" s="4">
        <v>35000</v>
      </c>
      <c r="DI515" s="25">
        <f>SUM(DG515+DH515)</f>
        <v>55200</v>
      </c>
      <c r="DJ515" s="35">
        <v>1.93</v>
      </c>
      <c r="IC515" s="4"/>
    </row>
    <row r="516" spans="1:263" ht="15" customHeight="1">
      <c r="A516" s="2">
        <v>102024117</v>
      </c>
      <c r="B516" t="s">
        <v>5435</v>
      </c>
      <c r="D516" s="1">
        <v>2026</v>
      </c>
      <c r="E516" s="3"/>
      <c r="G516" s="3"/>
      <c r="J516" t="s">
        <v>311</v>
      </c>
      <c r="K516" t="s">
        <v>5426</v>
      </c>
      <c r="L516" t="s">
        <v>5427</v>
      </c>
      <c r="O516" s="3"/>
      <c r="AG516" s="43"/>
      <c r="AJ516" s="18" t="s">
        <v>328</v>
      </c>
      <c r="AK516" s="1"/>
      <c r="AL516" t="s">
        <v>386</v>
      </c>
      <c r="AM516"/>
      <c r="AN516"/>
      <c r="AO516" t="s">
        <v>5428</v>
      </c>
      <c r="AP516" s="1" t="s">
        <v>258</v>
      </c>
      <c r="AQ516" s="18" t="s">
        <v>5429</v>
      </c>
      <c r="AR516" t="s">
        <v>1668</v>
      </c>
      <c r="AS516" s="10"/>
      <c r="AT516" s="10"/>
      <c r="AU516" s="10"/>
      <c r="AV516" s="10"/>
      <c r="AW516" s="1"/>
      <c r="AY516" s="1"/>
      <c r="AZ516" s="1"/>
      <c r="BA516" s="1"/>
      <c r="BB516" s="1"/>
      <c r="BC516" s="2"/>
      <c r="BD516" s="116"/>
      <c r="BE516" s="115"/>
      <c r="BF516" s="2"/>
      <c r="BG516" s="2"/>
      <c r="BH516" s="2"/>
      <c r="BI516" s="2"/>
      <c r="BJ516" s="2"/>
      <c r="BK516" s="2"/>
      <c r="BL516" s="20">
        <f ca="1">SUM(EN516)+220</f>
        <v>279.50029999999998</v>
      </c>
      <c r="BM516" s="22">
        <f ca="1">PMT(10%/12,12,BL516,0,0)</f>
        <v>-24.572516855553847</v>
      </c>
      <c r="BN516" s="22">
        <f ca="1">SUM(BM516*-1)</f>
        <v>24.572516855553847</v>
      </c>
      <c r="BO516" s="14">
        <f>SUM(EV516*0.0052)/12</f>
        <v>1.17</v>
      </c>
      <c r="BP516" s="22">
        <f ca="1">SUM(BN516+BO516)</f>
        <v>25.742516855553845</v>
      </c>
      <c r="BQ516" s="14"/>
      <c r="BR516" s="14">
        <f>SUM(BQ516*0.1)</f>
        <v>0</v>
      </c>
      <c r="BS516" s="14">
        <f ca="1">SUM(BT516*BU516)</f>
        <v>0</v>
      </c>
      <c r="BT516" s="17">
        <f>SUM((BQ516+BR516)*0.00833333333333333)</f>
        <v>0</v>
      </c>
      <c r="BU516" s="23">
        <f ca="1">MONTH(TODAY())+61</f>
        <v>65</v>
      </c>
      <c r="BV516" s="14">
        <f ca="1">SUM(BQ516,BR516,BS516)</f>
        <v>0</v>
      </c>
      <c r="BW516" s="14"/>
      <c r="BX516" s="14">
        <f>SUM(BW516*0.1)</f>
        <v>0</v>
      </c>
      <c r="BY516" s="14">
        <f ca="1">SUM(BZ516*CA516)</f>
        <v>0</v>
      </c>
      <c r="BZ516" s="17">
        <f>SUM((BW516+BX516)*0.00833333333333333)</f>
        <v>0</v>
      </c>
      <c r="CA516" s="23">
        <f ca="1">MONTH(TODAY())+49</f>
        <v>53</v>
      </c>
      <c r="CB516" s="14">
        <f ca="1">SUM(BW516,BX516,BY516)</f>
        <v>0</v>
      </c>
      <c r="CC516" s="14">
        <v>0</v>
      </c>
      <c r="CD516" s="14">
        <f>SUM(CC516*0.1)</f>
        <v>0</v>
      </c>
      <c r="CE516" s="14">
        <f ca="1">SUM(CF516*CG516)</f>
        <v>0</v>
      </c>
      <c r="CF516" s="17">
        <f>SUM((CC516+CD516)*0.00833333333333333)</f>
        <v>0</v>
      </c>
      <c r="CG516" s="23">
        <f ca="1">MONTH(TODAY())+37</f>
        <v>41</v>
      </c>
      <c r="CH516" s="14">
        <f ca="1">SUM(CC516,CD516,CE516)</f>
        <v>0</v>
      </c>
      <c r="CI516" s="14">
        <v>0</v>
      </c>
      <c r="CJ516" s="14">
        <f>SUM(CI516*0.1)</f>
        <v>0</v>
      </c>
      <c r="CK516" s="14">
        <f ca="1">SUM(CL516*CM516)</f>
        <v>0</v>
      </c>
      <c r="CL516" s="17">
        <f>SUM((CI516+CJ516)*0.00833333333333333)</f>
        <v>0</v>
      </c>
      <c r="CM516" s="23">
        <f ca="1">MONTH(TODAY())+25</f>
        <v>29</v>
      </c>
      <c r="CN516" s="14">
        <f ca="1">SUM(CI516,CJ516,CK516)</f>
        <v>0</v>
      </c>
      <c r="CO516" s="14">
        <f>SUM(ES516*0.0052)/2</f>
        <v>7.02</v>
      </c>
      <c r="CP516" s="14">
        <f>SUM(CO516*0.1)</f>
        <v>0.70199999999999996</v>
      </c>
      <c r="CQ516" s="14">
        <f ca="1">SUM(CR516*CS516)</f>
        <v>1.3513499999999992</v>
      </c>
      <c r="CR516" s="17">
        <f>SUM((CO516+CP516)*0.00833333333333333)</f>
        <v>6.4349999999999963E-2</v>
      </c>
      <c r="CS516" s="23">
        <f ca="1">MONTH(TODAY())+17</f>
        <v>21</v>
      </c>
      <c r="CT516" s="23">
        <f ca="1">SUM(CO516,CP516,CQ516)</f>
        <v>9.0733499999999978</v>
      </c>
      <c r="CU516" s="14">
        <f>SUM(ES516*0.0052)/2</f>
        <v>7.02</v>
      </c>
      <c r="CV516" s="14">
        <f>SUM(CU516*0.1)</f>
        <v>0.70199999999999996</v>
      </c>
      <c r="CW516" s="14">
        <f ca="1">SUM(CX516*CY516)</f>
        <v>1.0939499999999993</v>
      </c>
      <c r="CX516" s="17">
        <f>SUM((CU516+CV516)*0.00833333333333333)</f>
        <v>6.4349999999999963E-2</v>
      </c>
      <c r="CY516" s="23">
        <f ca="1">MONTH(TODAY())+13</f>
        <v>17</v>
      </c>
      <c r="CZ516" s="23">
        <f ca="1">SUM(CU516,CV516,CW516)</f>
        <v>8.8159499999999991</v>
      </c>
      <c r="DA516" s="14">
        <f>SUM(EV516*0.0045)/2</f>
        <v>6.0749999999999993</v>
      </c>
      <c r="DB516" s="14">
        <f>SUM(DA516*0.1)</f>
        <v>0.60749999999999993</v>
      </c>
      <c r="DC516" s="14">
        <f ca="1">SUM(DD516*DE516)</f>
        <v>0.61256249999999968</v>
      </c>
      <c r="DD516" s="17">
        <f>SUM((DA516+DB516)*0.00833333333333333)</f>
        <v>5.5687499999999966E-2</v>
      </c>
      <c r="DE516" s="23">
        <f ca="1">MONTH(TODAY())+7</f>
        <v>11</v>
      </c>
      <c r="DF516" s="23">
        <f ca="1">SUM(DA516,DB516,DC516)</f>
        <v>7.2950624999999985</v>
      </c>
      <c r="DG516" s="14">
        <f>SUM(EV516*0.0045)/2</f>
        <v>6.0749999999999993</v>
      </c>
      <c r="DH516" s="14">
        <f>SUM(DG516*0.1)</f>
        <v>0.60749999999999993</v>
      </c>
      <c r="DI516" s="14">
        <f ca="1">SUM(DJ516*DK516)</f>
        <v>0.27843749999999984</v>
      </c>
      <c r="DJ516" s="17">
        <f>SUM((DG516+DH516)*0.00833333333333333)</f>
        <v>5.5687499999999966E-2</v>
      </c>
      <c r="DK516" s="23">
        <f ca="1">MONTH(TODAY())+1</f>
        <v>5</v>
      </c>
      <c r="DL516" s="14">
        <f ca="1">SUM(DG516,DH516,DI516)</f>
        <v>6.9609374999999991</v>
      </c>
      <c r="DM516" s="14">
        <f>SUM(EV516*0.0045)/2</f>
        <v>6.0749999999999993</v>
      </c>
      <c r="DN516" s="14">
        <f>0</f>
        <v>0</v>
      </c>
      <c r="DO516" s="14">
        <f>0</f>
        <v>0</v>
      </c>
      <c r="DP516" s="17">
        <f>SUM((DM516+DN516)*0.00833333333333333)</f>
        <v>5.0624999999999976E-2</v>
      </c>
      <c r="DQ516" s="23">
        <f ca="1">MONTH(TODAY())+7</f>
        <v>11</v>
      </c>
      <c r="DR516" s="23">
        <f>SUM(DM516,DN516,DO516)</f>
        <v>6.0749999999999993</v>
      </c>
      <c r="DS516" s="14">
        <f>0</f>
        <v>0</v>
      </c>
      <c r="DT516" s="14">
        <f>0</f>
        <v>0</v>
      </c>
      <c r="DU516" s="14">
        <f ca="1">SUM(DV516*DW516)</f>
        <v>0</v>
      </c>
      <c r="DV516" s="17">
        <f>SUM((DS516+DT516)*0.00833333333333333)</f>
        <v>0</v>
      </c>
      <c r="DW516" s="23">
        <f ca="1">MONTH(TODAY())+1</f>
        <v>5</v>
      </c>
      <c r="DX516" s="14">
        <f ca="1">SUM(DS516,DT516,DU516)</f>
        <v>0</v>
      </c>
      <c r="DY516" s="14">
        <f>SUM( BQ516, BW516, CC516, CI516, CO516,CU516,DA516,DG516,DM516,DS516)</f>
        <v>32.265000000000001</v>
      </c>
      <c r="DZ516" s="14">
        <f>SUM(BR516,BX516,CD516,CJ516, CP516,CV516,DB516,DH516,DN516,DT516)</f>
        <v>2.6189999999999998</v>
      </c>
      <c r="EA516" s="14">
        <f ca="1">SUM(BS516,BY516,CE516,CK516, CQ516,CW516,DC516,DI516,DO516,DU516)</f>
        <v>3.3362999999999983</v>
      </c>
      <c r="EB516" s="25">
        <f ca="1">SUM(DY516:EA516)</f>
        <v>38.220300000000002</v>
      </c>
      <c r="EC516" s="47">
        <f ca="1">SUM(EB516/ES516)</f>
        <v>1.4155666666666667E-2</v>
      </c>
      <c r="ED516" s="14">
        <f>20</f>
        <v>20</v>
      </c>
      <c r="EE516" s="32">
        <f>COUNTIF(AO516, "*")+COUNTIF(AJ516, "*")+COUNTIF(AA516, "*")+COUNTIF(FG516, "*")+COUNTIF(FM516, "*")+COUNTIF(FS516, "*")+COUNTIF(FW516, "*")+COUNTIF(GD516, "*")+COUNTIF(AS516, "*")+COUNTIF(GM516, "*")+COUNTIF(GX516, "*")+COUNTIF(HI516, "*")+COUNTIF(HQ516, "*")+COUNTIF(HY516, "*")+COUNTIF(IG516, "*")</f>
        <v>2</v>
      </c>
      <c r="EF516" s="14">
        <f>EE516*0.64</f>
        <v>1.28</v>
      </c>
      <c r="EG516" s="4"/>
      <c r="EH516" s="4"/>
      <c r="EI516" s="4"/>
      <c r="EJ516" s="4"/>
      <c r="EL516" s="4"/>
      <c r="EM516" s="14">
        <f>SUM(EH516:EL516)</f>
        <v>0</v>
      </c>
      <c r="EN516" s="14">
        <f ca="1">SUM(EB516,ED516,EM516, EG516, EF516,GJ516)</f>
        <v>59.500300000000003</v>
      </c>
      <c r="EO516" s="24" t="s">
        <v>4935</v>
      </c>
      <c r="EP516" s="23">
        <v>0.27</v>
      </c>
      <c r="EQ516" s="14">
        <v>2700</v>
      </c>
      <c r="ER516" s="14">
        <v>0</v>
      </c>
      <c r="ES516" s="14">
        <f>SUM(EQ516+ER516)</f>
        <v>2700</v>
      </c>
      <c r="ET516" s="14">
        <v>2700</v>
      </c>
      <c r="EU516" s="14">
        <v>0</v>
      </c>
      <c r="EV516" s="14">
        <f>SUM(ET516+EU516)</f>
        <v>2700</v>
      </c>
      <c r="EW516" s="10"/>
      <c r="EX516" s="10"/>
      <c r="EY516" s="10"/>
      <c r="EZ516" s="10"/>
      <c r="FA516" s="10"/>
      <c r="FB516" s="10"/>
      <c r="FC516" s="10"/>
      <c r="FD516" s="10"/>
      <c r="GJ516" s="4"/>
      <c r="IK516" s="9"/>
      <c r="IV516" s="4"/>
      <c r="IW516" s="4"/>
      <c r="IX516" s="4"/>
      <c r="IY516" s="9"/>
      <c r="IZ516" s="9"/>
      <c r="JA516" s="9"/>
      <c r="JB516" s="9"/>
      <c r="JC516" s="9"/>
    </row>
    <row r="517" spans="1:263" ht="15" customHeight="1">
      <c r="A517" s="19">
        <v>102017069</v>
      </c>
      <c r="B517" s="18" t="s">
        <v>346</v>
      </c>
      <c r="C517" s="13"/>
      <c r="D517" s="13"/>
      <c r="E517" s="13"/>
      <c r="F517" s="18"/>
      <c r="G517" s="18">
        <v>180001004</v>
      </c>
      <c r="H517" s="18"/>
      <c r="I517" s="18"/>
      <c r="J517" s="18" t="s">
        <v>253</v>
      </c>
      <c r="K517" s="18" t="s">
        <v>347</v>
      </c>
      <c r="L517" s="18" t="s">
        <v>348</v>
      </c>
      <c r="M517" s="18" t="s">
        <v>326</v>
      </c>
      <c r="N517" s="18"/>
      <c r="O517" s="13"/>
      <c r="P517" s="18"/>
      <c r="Q517" s="18"/>
      <c r="R517" s="18"/>
      <c r="S517" s="18"/>
      <c r="T517" s="13"/>
      <c r="U517" s="18"/>
      <c r="V517" s="18"/>
      <c r="W517" s="18"/>
      <c r="X517" s="18"/>
      <c r="Y517" s="18"/>
      <c r="Z517" s="18"/>
      <c r="AA517" s="18"/>
      <c r="AB517" s="18"/>
      <c r="AC517" s="18"/>
      <c r="AD517" s="18"/>
      <c r="AE517" s="18"/>
      <c r="AF517" s="18"/>
      <c r="AG517" s="24"/>
      <c r="AH517" s="18"/>
      <c r="AI517" s="18"/>
      <c r="AJ517" s="14"/>
      <c r="AK517" s="14"/>
      <c r="AL517" s="14"/>
      <c r="AM517" s="24"/>
      <c r="AN517" s="24"/>
      <c r="AO517" s="14"/>
      <c r="AP517" s="13"/>
      <c r="AQ517" s="63"/>
      <c r="AR517" s="63"/>
      <c r="AS517" s="20"/>
      <c r="AT517" s="13"/>
      <c r="AU517" s="13"/>
      <c r="AV517" s="13"/>
      <c r="AW517" s="13"/>
      <c r="AX517" s="19"/>
      <c r="AY517" s="19"/>
      <c r="AZ517" s="48"/>
      <c r="BA517" s="19"/>
      <c r="BB517" s="19"/>
      <c r="BC517" s="19"/>
      <c r="BD517" s="19"/>
      <c r="BE517" s="19"/>
      <c r="BF517" s="19"/>
      <c r="BG517" s="20"/>
      <c r="BH517" s="22"/>
      <c r="BI517" s="22"/>
      <c r="BJ517" s="14"/>
      <c r="BK517" s="14"/>
      <c r="BL517" s="14"/>
      <c r="BM517" s="17"/>
      <c r="BN517" s="23"/>
      <c r="BO517" s="14"/>
      <c r="BP517" s="14"/>
      <c r="BQ517" s="14"/>
      <c r="BR517" s="14"/>
      <c r="BS517" s="17"/>
      <c r="BT517" s="23"/>
      <c r="BU517" s="14"/>
      <c r="BV517" s="14"/>
      <c r="BW517" s="14"/>
      <c r="BX517" s="14"/>
      <c r="BY517" s="17"/>
      <c r="BZ517" s="23"/>
      <c r="CA517" s="14"/>
      <c r="CB517" s="14"/>
      <c r="CC517" s="14"/>
      <c r="CD517" s="14"/>
      <c r="CE517" s="17"/>
      <c r="CF517" s="23"/>
      <c r="CG517" s="14"/>
      <c r="CH517" s="14"/>
      <c r="CI517" s="14"/>
      <c r="CJ517" s="14"/>
      <c r="CK517" s="17"/>
      <c r="CL517" s="23"/>
      <c r="CM517" s="14"/>
      <c r="CN517" s="14"/>
      <c r="CO517" s="14"/>
      <c r="CP517" s="14"/>
      <c r="CQ517" s="17"/>
      <c r="CR517" s="23"/>
      <c r="CS517" s="14"/>
      <c r="CT517" s="14"/>
      <c r="CU517" s="14"/>
      <c r="CV517" s="14"/>
      <c r="CW517" s="17"/>
      <c r="CX517" s="23"/>
      <c r="CY517" s="14"/>
      <c r="CZ517" s="14"/>
      <c r="DA517" s="14"/>
      <c r="DB517" s="14"/>
      <c r="DC517" s="17"/>
      <c r="DD517" s="23"/>
      <c r="DE517" s="14"/>
      <c r="DF517" s="14"/>
      <c r="DG517" s="14"/>
      <c r="DH517" s="14"/>
      <c r="DI517" s="14"/>
      <c r="DJ517" s="47"/>
      <c r="DK517" s="14"/>
      <c r="DL517" s="32"/>
      <c r="DM517" s="14"/>
      <c r="DN517" s="14"/>
      <c r="DO517" s="14"/>
      <c r="DP517" s="14"/>
      <c r="DQ517" s="14"/>
      <c r="DR517" s="14"/>
      <c r="DS517" s="14"/>
      <c r="DT517" s="25"/>
      <c r="DU517" s="14"/>
      <c r="DV517" s="24"/>
      <c r="DW517" s="25"/>
      <c r="DX517" s="25"/>
      <c r="DY517" s="25"/>
      <c r="DZ517" s="36"/>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B517" s="18"/>
      <c r="FC517" s="18"/>
      <c r="FD517" s="18"/>
      <c r="FE517" s="18"/>
      <c r="FF517" s="18"/>
      <c r="FG517" s="18"/>
      <c r="FH517" s="18"/>
      <c r="FI517" s="27"/>
      <c r="FJ517" s="28"/>
      <c r="FK517" s="18"/>
      <c r="FL517" s="18"/>
      <c r="FM517" s="18"/>
      <c r="FN517" s="18"/>
      <c r="FO517" s="18"/>
      <c r="FP517" s="18"/>
      <c r="FQ517" s="28"/>
      <c r="FR517" s="27"/>
      <c r="FS517" s="18"/>
      <c r="FT517" s="18"/>
      <c r="FU517" s="18"/>
      <c r="FV517" s="18"/>
      <c r="FW517" s="18"/>
      <c r="FX517" s="14"/>
      <c r="FY517" s="18"/>
      <c r="FZ517" s="18"/>
      <c r="GA517" s="18"/>
      <c r="GB517" s="18"/>
      <c r="GC517" s="18"/>
      <c r="GD517" s="18"/>
      <c r="GE517" s="27"/>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4"/>
      <c r="IK517" s="14"/>
      <c r="IL517" s="4"/>
    </row>
    <row r="518" spans="1:263" ht="15" customHeight="1">
      <c r="A518" s="2">
        <v>102018098</v>
      </c>
      <c r="B518" s="4" t="s">
        <v>1292</v>
      </c>
      <c r="C518" s="4"/>
      <c r="D518" s="3"/>
      <c r="E518" s="3"/>
      <c r="F518" s="3"/>
      <c r="G518" s="3"/>
      <c r="H518" s="3"/>
      <c r="J518" t="s">
        <v>311</v>
      </c>
      <c r="K518" t="s">
        <v>1293</v>
      </c>
      <c r="L518" t="s">
        <v>1294</v>
      </c>
      <c r="M518" t="s">
        <v>598</v>
      </c>
      <c r="O518" s="1"/>
      <c r="T518" s="1"/>
      <c r="AF518" s="3"/>
      <c r="AJ518" s="4"/>
      <c r="AK518" s="4"/>
      <c r="AO518" s="4"/>
      <c r="AP518" s="5"/>
      <c r="AS518" s="5"/>
      <c r="AT518" s="5"/>
      <c r="AU518" s="1"/>
      <c r="AV518" s="1"/>
      <c r="AW518" s="1"/>
      <c r="AX518" s="1"/>
      <c r="AY518" s="1"/>
      <c r="AZ518" s="1"/>
      <c r="BA518" s="1"/>
      <c r="BB518" s="1"/>
      <c r="BC518" s="1"/>
      <c r="BD518" s="1"/>
      <c r="BE518" s="1"/>
      <c r="BF518" s="1"/>
      <c r="BG518" s="5"/>
      <c r="BH518" s="16"/>
      <c r="BI518" s="16"/>
      <c r="BJ518" s="4"/>
      <c r="BK518" s="4"/>
      <c r="BL518" s="4"/>
      <c r="BM518" s="6"/>
      <c r="BN518" s="7"/>
      <c r="BO518" s="4"/>
      <c r="BP518" s="4"/>
      <c r="BQ518" s="4"/>
      <c r="BR518" s="4"/>
      <c r="BS518" s="6"/>
      <c r="BT518" s="7"/>
      <c r="BU518" s="4"/>
      <c r="BV518" s="4"/>
      <c r="BW518" s="4"/>
      <c r="BX518" s="4"/>
      <c r="BY518" s="6"/>
      <c r="BZ518" s="7"/>
      <c r="CA518" s="4"/>
      <c r="CB518" s="4"/>
      <c r="CC518" s="4"/>
      <c r="CD518" s="4"/>
      <c r="CE518" s="6"/>
      <c r="CF518" s="7"/>
      <c r="CG518" s="4"/>
      <c r="CH518" s="4"/>
      <c r="CI518" s="4"/>
      <c r="CJ518" s="4"/>
      <c r="CK518" s="6"/>
      <c r="CL518" s="7"/>
      <c r="CM518" s="4"/>
      <c r="CN518" s="4"/>
      <c r="CO518" s="4"/>
      <c r="CP518" s="4"/>
      <c r="CQ518" s="6"/>
      <c r="CR518" s="7"/>
      <c r="CS518" s="4"/>
      <c r="CT518" s="4"/>
      <c r="CU518" s="4"/>
      <c r="CV518" s="4"/>
      <c r="CW518" s="6"/>
      <c r="CX518" s="7"/>
      <c r="CY518" s="4"/>
      <c r="CZ518" s="4"/>
      <c r="DA518" s="4"/>
      <c r="DB518" s="4"/>
      <c r="DC518" s="6"/>
      <c r="DD518" s="7"/>
      <c r="DE518" s="4"/>
      <c r="DF518" s="4"/>
      <c r="DG518" s="14"/>
      <c r="DH518" s="14"/>
      <c r="DI518" s="4"/>
      <c r="DJ518" s="3"/>
      <c r="DK518" s="4"/>
      <c r="DL518" s="234"/>
      <c r="DM518" s="4"/>
      <c r="DN518" s="4"/>
      <c r="DO518" s="4"/>
      <c r="DP518" s="4"/>
      <c r="DQ518" s="4"/>
      <c r="DR518" s="4"/>
      <c r="DS518" s="7"/>
      <c r="DT518" s="8"/>
      <c r="DU518" s="4"/>
      <c r="DV518" s="8"/>
      <c r="DW518" s="4"/>
      <c r="DX518" s="4"/>
      <c r="EG518" s="11"/>
      <c r="EM518" s="11"/>
      <c r="EN518" s="11"/>
      <c r="EO518" s="4"/>
      <c r="EP518" s="4"/>
      <c r="EQ518" s="4"/>
      <c r="ER518" s="4"/>
      <c r="ES518" s="4"/>
      <c r="ET518" s="4"/>
      <c r="EU518" s="4"/>
      <c r="EV518" s="4"/>
      <c r="EW518" s="4"/>
      <c r="EX518" s="4"/>
      <c r="EY518" s="4"/>
      <c r="EZ518" s="4"/>
      <c r="FA518" s="4"/>
      <c r="FB518" s="4"/>
      <c r="FC518" s="4"/>
      <c r="FG518" s="9"/>
      <c r="FP518" s="9"/>
      <c r="FZ518" s="10"/>
      <c r="GJ518" s="10"/>
      <c r="GY518" s="9"/>
      <c r="IK518" s="4"/>
    </row>
    <row r="519" spans="1:263" ht="15" customHeight="1">
      <c r="A519" s="2">
        <v>102018099</v>
      </c>
      <c r="B519" s="4" t="s">
        <v>1295</v>
      </c>
      <c r="C519" s="4"/>
      <c r="D519" s="3"/>
      <c r="E519" s="3"/>
      <c r="F519" s="3"/>
      <c r="G519" s="3"/>
      <c r="H519" s="3"/>
      <c r="J519" t="s">
        <v>311</v>
      </c>
      <c r="K519" t="s">
        <v>1293</v>
      </c>
      <c r="L519" t="s">
        <v>1294</v>
      </c>
      <c r="M519" t="s">
        <v>598</v>
      </c>
      <c r="O519" s="1"/>
      <c r="T519" s="1"/>
      <c r="AF519" s="3"/>
      <c r="AJ519" s="4"/>
      <c r="AK519" s="4"/>
      <c r="AO519" s="4"/>
      <c r="AP519" s="5"/>
      <c r="AS519" s="5"/>
      <c r="AT519" s="5"/>
      <c r="AU519" s="1"/>
      <c r="AV519" s="1"/>
      <c r="AW519" s="1"/>
      <c r="AX519" s="1"/>
      <c r="AY519" s="1"/>
      <c r="AZ519" s="1"/>
      <c r="BA519" s="1"/>
      <c r="BB519" s="1"/>
      <c r="BC519" s="1"/>
      <c r="BD519" s="1"/>
      <c r="BE519" s="1"/>
      <c r="BF519" s="1"/>
      <c r="BG519" s="5"/>
      <c r="BH519" s="16"/>
      <c r="BI519" s="16"/>
      <c r="BJ519" s="4"/>
      <c r="BK519" s="4"/>
      <c r="BL519" s="4"/>
      <c r="BM519" s="6"/>
      <c r="BN519" s="7"/>
      <c r="BO519" s="4"/>
      <c r="BQ519" s="4"/>
      <c r="BR519" s="4"/>
      <c r="BS519" s="6"/>
      <c r="BT519" s="7"/>
      <c r="BU519" s="4"/>
      <c r="BV519" s="4"/>
      <c r="BW519" s="4"/>
      <c r="BX519" s="4"/>
      <c r="BY519" s="6"/>
      <c r="BZ519" s="7"/>
      <c r="CA519" s="4"/>
      <c r="CB519" s="4"/>
      <c r="CC519" s="4"/>
      <c r="CD519" s="4"/>
      <c r="CE519" s="6"/>
      <c r="CF519" s="7"/>
      <c r="CG519" s="4"/>
      <c r="CH519" s="4"/>
      <c r="CI519" s="4"/>
      <c r="CJ519" s="4"/>
      <c r="CK519" s="6"/>
      <c r="CL519" s="7"/>
      <c r="CM519" s="4"/>
      <c r="CN519" s="4"/>
      <c r="CO519" s="4"/>
      <c r="CP519" s="4"/>
      <c r="CQ519" s="6"/>
      <c r="CR519" s="7"/>
      <c r="CS519" s="4"/>
      <c r="CT519" s="4"/>
      <c r="CU519" s="4"/>
      <c r="CV519" s="4"/>
      <c r="CW519" s="6"/>
      <c r="CX519" s="7"/>
      <c r="CY519" s="4"/>
      <c r="CZ519" s="4"/>
      <c r="DA519" s="4"/>
      <c r="DB519" s="4"/>
      <c r="DC519" s="6"/>
      <c r="DD519" s="7"/>
      <c r="DE519" s="4"/>
      <c r="DF519" s="4"/>
      <c r="DG519" s="14"/>
      <c r="DH519" s="14"/>
      <c r="DI519" s="4"/>
      <c r="DJ519" s="3"/>
      <c r="DK519" s="4"/>
      <c r="DL519" s="234"/>
      <c r="DM519" s="4"/>
      <c r="DN519" s="4"/>
      <c r="DO519" s="4"/>
      <c r="DP519" s="4"/>
      <c r="DQ519" s="4"/>
      <c r="DR519" s="4"/>
      <c r="DS519" s="4"/>
      <c r="DT519" s="4"/>
      <c r="DU519" s="4"/>
      <c r="DV519" s="8"/>
      <c r="DW519" s="4"/>
      <c r="DX519" s="4"/>
      <c r="EG519" s="11"/>
      <c r="EM519" s="11"/>
      <c r="EN519" s="11"/>
      <c r="EO519" s="4"/>
      <c r="EP519" s="4"/>
      <c r="EQ519" s="4"/>
      <c r="ER519" s="4"/>
      <c r="ES519" s="4"/>
      <c r="ET519" s="4"/>
      <c r="EU519" s="4"/>
      <c r="EV519" s="4"/>
      <c r="EW519" s="4"/>
      <c r="EX519" s="4"/>
      <c r="EY519" s="4"/>
      <c r="EZ519" s="4"/>
      <c r="FA519" s="4"/>
      <c r="FB519" s="4"/>
      <c r="FC519" s="4"/>
      <c r="FG519" s="9"/>
      <c r="FP519" s="9"/>
      <c r="FZ519" s="10"/>
      <c r="GJ519" s="10"/>
      <c r="GY519" s="9"/>
      <c r="IK519" s="4"/>
    </row>
    <row r="520" spans="1:263" ht="15" customHeight="1">
      <c r="A520" s="2">
        <v>102024111</v>
      </c>
      <c r="B520" t="s">
        <v>5425</v>
      </c>
      <c r="D520" s="1"/>
      <c r="E520" s="3"/>
      <c r="G520" s="3"/>
      <c r="J520" t="s">
        <v>311</v>
      </c>
      <c r="K520" t="s">
        <v>5426</v>
      </c>
      <c r="L520" t="s">
        <v>5427</v>
      </c>
      <c r="O520" s="3"/>
      <c r="AG520" s="43"/>
      <c r="AJ520" s="18" t="s">
        <v>328</v>
      </c>
      <c r="AK520" s="1"/>
      <c r="AL520" t="s">
        <v>386</v>
      </c>
      <c r="AM520"/>
      <c r="AN520"/>
      <c r="AO520" t="s">
        <v>5428</v>
      </c>
      <c r="AP520" s="1" t="s">
        <v>258</v>
      </c>
      <c r="AQ520" s="18" t="s">
        <v>5429</v>
      </c>
      <c r="AR520" t="s">
        <v>1668</v>
      </c>
      <c r="AS520" s="10"/>
      <c r="AT520" s="10"/>
      <c r="AU520" s="10"/>
      <c r="AV520" s="10"/>
      <c r="AW520" s="1"/>
      <c r="AY520" s="1"/>
      <c r="AZ520" s="1"/>
      <c r="BA520" s="1"/>
      <c r="BB520" s="1"/>
      <c r="BC520" s="2"/>
      <c r="BD520" s="115">
        <v>45415</v>
      </c>
      <c r="BE520" s="115"/>
      <c r="BF520" s="2"/>
      <c r="BG520" s="2"/>
      <c r="BH520" s="2"/>
      <c r="BI520" s="2"/>
      <c r="BJ520" s="2"/>
      <c r="BK520" s="2"/>
      <c r="BL520" s="20">
        <f t="shared" ref="BL520:BL525" ca="1" si="98">SUM(EN520)+220</f>
        <v>527.08973333333324</v>
      </c>
      <c r="BM520" s="22">
        <f t="shared" ref="BM520:BM525" ca="1" si="99">PMT(10%/12,12,BL520,0,0)</f>
        <v>-46.339561555829157</v>
      </c>
      <c r="BN520" s="22">
        <f t="shared" ref="BN520:BN525" ca="1" si="100">SUM(BM520*-1)</f>
        <v>46.339561555829157</v>
      </c>
      <c r="BO520" s="14">
        <f t="shared" ref="BO520:BO525" si="101">SUM(EV520*0.0052)/12</f>
        <v>7.626666666666666</v>
      </c>
      <c r="BP520" s="22">
        <f t="shared" ref="BP520:BP525" ca="1" si="102">SUM(BN520+BO520)</f>
        <v>53.966228222495822</v>
      </c>
      <c r="BQ520" s="14"/>
      <c r="BR520" s="14">
        <f t="shared" ref="BR520:BR525" si="103">SUM(BQ520*0.1)</f>
        <v>0</v>
      </c>
      <c r="BS520" s="14">
        <f t="shared" ref="BS520:BS525" ca="1" si="104">SUM(BT520*BU520)</f>
        <v>0</v>
      </c>
      <c r="BT520" s="17">
        <f t="shared" ref="BT520:BT525" si="105">SUM((BQ520+BR520)*0.00833333333333333)</f>
        <v>0</v>
      </c>
      <c r="BU520" s="23">
        <f t="shared" ref="BU520:BU525" ca="1" si="106">MONTH(TODAY())+61</f>
        <v>65</v>
      </c>
      <c r="BV520" s="14">
        <f t="shared" ref="BV520:BV525" ca="1" si="107">SUM(BQ520,BR520,BS520)</f>
        <v>0</v>
      </c>
      <c r="BW520" s="14"/>
      <c r="BX520" s="14">
        <f t="shared" ref="BX520:BX525" si="108">SUM(BW520*0.1)</f>
        <v>0</v>
      </c>
      <c r="BY520" s="14">
        <f t="shared" ref="BY520:BY525" ca="1" si="109">SUM(BZ520*CA520)</f>
        <v>0</v>
      </c>
      <c r="BZ520" s="17">
        <f t="shared" ref="BZ520:BZ525" si="110">SUM((BW520+BX520)*0.00833333333333333)</f>
        <v>0</v>
      </c>
      <c r="CA520" s="23">
        <f t="shared" ref="CA520:CA525" ca="1" si="111">MONTH(TODAY())+49</f>
        <v>53</v>
      </c>
      <c r="CB520" s="14">
        <f t="shared" ref="CB520:CB525" ca="1" si="112">SUM(BW520,BX520,BY520)</f>
        <v>0</v>
      </c>
      <c r="CC520" s="14">
        <v>0</v>
      </c>
      <c r="CD520" s="14">
        <f t="shared" ref="CD520:CD525" si="113">SUM(CC520*0.1)</f>
        <v>0</v>
      </c>
      <c r="CE520" s="14">
        <f t="shared" ref="CE520:CE525" ca="1" si="114">SUM(CF520*CG520)</f>
        <v>0</v>
      </c>
      <c r="CF520" s="17">
        <f t="shared" ref="CF520:CF525" si="115">SUM((CC520+CD520)*0.00833333333333333)</f>
        <v>0</v>
      </c>
      <c r="CG520" s="23">
        <f t="shared" ref="CG520:CG525" ca="1" si="116">MONTH(TODAY())+37</f>
        <v>41</v>
      </c>
      <c r="CH520" s="14">
        <f t="shared" ref="CH520:CH525" ca="1" si="117">SUM(CC520,CD520,CE520)</f>
        <v>0</v>
      </c>
      <c r="CI520" s="14">
        <v>0</v>
      </c>
      <c r="CJ520" s="14">
        <f t="shared" ref="CJ520:CJ525" si="118">SUM(CI520*0.1)</f>
        <v>0</v>
      </c>
      <c r="CK520" s="14">
        <f t="shared" ref="CK520:CK525" ca="1" si="119">SUM(CL520*CM520)</f>
        <v>0</v>
      </c>
      <c r="CL520" s="17">
        <f t="shared" ref="CL520:CL525" si="120">SUM((CI520+CJ520)*0.00833333333333333)</f>
        <v>0</v>
      </c>
      <c r="CM520" s="23">
        <f t="shared" ref="CM520:CM525" ca="1" si="121">MONTH(TODAY())+25</f>
        <v>29</v>
      </c>
      <c r="CN520" s="14">
        <f t="shared" ref="CN520:CN525" ca="1" si="122">SUM(CI520,CJ520,CK520)</f>
        <v>0</v>
      </c>
      <c r="CO520" s="14">
        <f t="shared" ref="CO520:CO525" si="123">SUM(ES520*0.0052)/2</f>
        <v>45.76</v>
      </c>
      <c r="CP520" s="14">
        <f t="shared" ref="CP520:CP525" si="124">SUM(CO520*0.1)</f>
        <v>4.5759999999999996</v>
      </c>
      <c r="CQ520" s="14">
        <f t="shared" ref="CQ520:CQ525" ca="1" si="125">SUM(CR520*CS520)</f>
        <v>8.8087999999999962</v>
      </c>
      <c r="CR520" s="17">
        <f t="shared" ref="CR520:CR525" si="126">SUM((CO520+CP520)*0.00833333333333333)</f>
        <v>0.41946666666666649</v>
      </c>
      <c r="CS520" s="23">
        <f t="shared" ref="CS520:CS525" ca="1" si="127">MONTH(TODAY())+17</f>
        <v>21</v>
      </c>
      <c r="CT520" s="23">
        <f t="shared" ref="CT520:CT525" ca="1" si="128">SUM(CO520,CP520,CQ520)</f>
        <v>59.144799999999996</v>
      </c>
      <c r="CU520" s="14">
        <f t="shared" ref="CU520:CU525" si="129">SUM(ES520*0.0052)/2</f>
        <v>45.76</v>
      </c>
      <c r="CV520" s="14">
        <f t="shared" ref="CV520:CV525" si="130">SUM(CU520*0.1)</f>
        <v>4.5759999999999996</v>
      </c>
      <c r="CW520" s="14">
        <f t="shared" ref="CW520:CW525" ca="1" si="131">SUM(CX520*CY520)</f>
        <v>7.1309333333333305</v>
      </c>
      <c r="CX520" s="17">
        <f t="shared" ref="CX520:CX525" si="132">SUM((CU520+CV520)*0.00833333333333333)</f>
        <v>0.41946666666666649</v>
      </c>
      <c r="CY520" s="23">
        <f t="shared" ref="CY520:CY525" ca="1" si="133">MONTH(TODAY())+13</f>
        <v>17</v>
      </c>
      <c r="CZ520" s="23">
        <f t="shared" ref="CZ520:CZ525" ca="1" si="134">SUM(CU520,CV520,CW520)</f>
        <v>57.46693333333333</v>
      </c>
      <c r="DA520" s="14">
        <f t="shared" ref="DA520:DA525" si="135">SUM(EV520*0.0045)/2</f>
        <v>39.599999999999994</v>
      </c>
      <c r="DB520" s="14">
        <f t="shared" ref="DB520:DB525" si="136">SUM(DA520*0.1)</f>
        <v>3.9599999999999995</v>
      </c>
      <c r="DC520" s="14">
        <f t="shared" ref="DC520:DC525" ca="1" si="137">SUM(DD520*DE520)</f>
        <v>3.9929999999999981</v>
      </c>
      <c r="DD520" s="17">
        <f t="shared" ref="DD520:DD525" si="138">SUM((DA520+DB520)*0.00833333333333333)</f>
        <v>0.36299999999999982</v>
      </c>
      <c r="DE520" s="23">
        <f t="shared" ref="DE520:DE525" ca="1" si="139">MONTH(TODAY())+7</f>
        <v>11</v>
      </c>
      <c r="DF520" s="23">
        <f t="shared" ref="DF520:DF525" ca="1" si="140">SUM(DA520,DB520,DC520)</f>
        <v>47.55299999999999</v>
      </c>
      <c r="DG520" s="14">
        <f t="shared" ref="DG520:DG525" si="141">SUM(EV520*0.0045)/2</f>
        <v>39.599999999999994</v>
      </c>
      <c r="DH520" s="14">
        <f t="shared" ref="DH520:DH525" si="142">SUM(DG520*0.1)</f>
        <v>3.9599999999999995</v>
      </c>
      <c r="DI520" s="14">
        <f t="shared" ref="DI520:DI525" ca="1" si="143">SUM(DJ520*DK520)</f>
        <v>1.8149999999999991</v>
      </c>
      <c r="DJ520" s="17">
        <f t="shared" ref="DJ520:DJ525" si="144">SUM((DG520+DH520)*0.00833333333333333)</f>
        <v>0.36299999999999982</v>
      </c>
      <c r="DK520" s="23">
        <f t="shared" ref="DK520:DK525" ca="1" si="145">MONTH(TODAY())+1</f>
        <v>5</v>
      </c>
      <c r="DL520" s="14">
        <f t="shared" ref="DL520:DL525" ca="1" si="146">SUM(DG520,DH520,DI520)</f>
        <v>45.374999999999993</v>
      </c>
      <c r="DM520" s="14">
        <f t="shared" ref="DM520:DM525" si="147">SUM(EV520*0.0045)/2</f>
        <v>39.599999999999994</v>
      </c>
      <c r="DN520" s="14">
        <f>0</f>
        <v>0</v>
      </c>
      <c r="DO520" s="14">
        <f>0</f>
        <v>0</v>
      </c>
      <c r="DP520" s="17">
        <f t="shared" ref="DP520:DP525" si="148">SUM((DM520+DN520)*0.00833333333333333)</f>
        <v>0.32999999999999979</v>
      </c>
      <c r="DQ520" s="23">
        <f t="shared" ref="DQ520:DQ525" ca="1" si="149">MONTH(TODAY())+7</f>
        <v>11</v>
      </c>
      <c r="DR520" s="23">
        <f t="shared" ref="DR520:DR525" si="150">SUM(DM520,DN520,DO520)</f>
        <v>39.599999999999994</v>
      </c>
      <c r="DS520" s="14">
        <f>0</f>
        <v>0</v>
      </c>
      <c r="DT520" s="14">
        <f>0</f>
        <v>0</v>
      </c>
      <c r="DU520" s="14">
        <f t="shared" ref="DU520:DU525" ca="1" si="151">SUM(DV520*DW520)</f>
        <v>0</v>
      </c>
      <c r="DV520" s="17">
        <f t="shared" ref="DV520:DV525" si="152">SUM((DS520+DT520)*0.00833333333333333)</f>
        <v>0</v>
      </c>
      <c r="DW520" s="23">
        <f t="shared" ref="DW520:DW525" ca="1" si="153">MONTH(TODAY())+1</f>
        <v>5</v>
      </c>
      <c r="DX520" s="14">
        <f t="shared" ref="DX520:DX525" ca="1" si="154">SUM(DS520,DT520,DU520)</f>
        <v>0</v>
      </c>
      <c r="DY520" s="14">
        <f t="shared" ref="DY520:DY525" si="155">SUM( BQ520, BW520, CC520, CI520, CO520,CU520,DA520,DG520,DM520,DS520)</f>
        <v>210.32</v>
      </c>
      <c r="DZ520" s="14">
        <f t="shared" ref="DZ520:EA525" si="156">SUM(BR520,BX520,CD520,CJ520, CP520,CV520,DB520,DH520,DN520,DT520)</f>
        <v>17.071999999999999</v>
      </c>
      <c r="EA520" s="14">
        <f t="shared" ca="1" si="156"/>
        <v>21.747733333333322</v>
      </c>
      <c r="EB520" s="25">
        <f t="shared" ref="EB520:EB525" ca="1" si="157">SUM(DY520:EA520)</f>
        <v>249.13973333333331</v>
      </c>
      <c r="EC520" s="47">
        <f ca="1">SUM(EB520/ES520)</f>
        <v>1.4155666666666665E-2</v>
      </c>
      <c r="ED520" s="14">
        <f>20+10</f>
        <v>30</v>
      </c>
      <c r="EE520" s="32">
        <f t="shared" ref="EE520:EE525" si="158">COUNTIF(AO520, "*")+COUNTIF(AJ520, "*")+COUNTIF(AA520, "*")+COUNTIF(FG520, "*")+COUNTIF(FM520, "*")+COUNTIF(FS520, "*")+COUNTIF(FW520, "*")+COUNTIF(GD520, "*")+COUNTIF(AS520, "*")+COUNTIF(GM520, "*")+COUNTIF(GX520, "*")+COUNTIF(HI520, "*")+COUNTIF(HQ520, "*")+COUNTIF(HY520, "*")+COUNTIF(IG520, "*")</f>
        <v>2</v>
      </c>
      <c r="EF520" s="14">
        <f t="shared" ref="EF520:EF525" si="159">EE520*0.64</f>
        <v>1.28</v>
      </c>
      <c r="EG520" s="4"/>
      <c r="EH520" s="4">
        <v>26.67</v>
      </c>
      <c r="EI520" s="4"/>
      <c r="EJ520" s="4"/>
      <c r="EL520" s="4"/>
      <c r="EM520" s="14">
        <f t="shared" ref="EM520:EM525" si="160">SUM(EH520:EL520)</f>
        <v>26.67</v>
      </c>
      <c r="EN520" s="14">
        <f t="shared" ref="EN520:EN525" ca="1" si="161">SUM(EB520,ED520,EM520, EG520, EF520,GJ520)</f>
        <v>307.0897333333333</v>
      </c>
      <c r="EO520" s="24" t="s">
        <v>4935</v>
      </c>
      <c r="EP520" s="23">
        <v>0.46</v>
      </c>
      <c r="EQ520" s="14">
        <v>17600</v>
      </c>
      <c r="ER520" s="14">
        <v>0</v>
      </c>
      <c r="ES520" s="14">
        <f t="shared" ref="ES520:ES525" si="162">SUM(EQ520+ER520)</f>
        <v>17600</v>
      </c>
      <c r="ET520" s="14">
        <v>17600</v>
      </c>
      <c r="EU520" s="14">
        <v>0</v>
      </c>
      <c r="EV520" s="14">
        <f t="shared" ref="EV520:EV525" si="163">SUM(ET520+EU520)</f>
        <v>17600</v>
      </c>
      <c r="EW520" s="10"/>
      <c r="EX520" s="10"/>
      <c r="EY520" s="10"/>
      <c r="EZ520" s="10"/>
      <c r="FA520" s="10"/>
      <c r="FB520" s="10"/>
      <c r="FC520" s="10"/>
      <c r="FD520" s="10"/>
      <c r="GJ520" s="4"/>
      <c r="IK520" s="9"/>
      <c r="IV520" s="4"/>
      <c r="IW520" s="4"/>
      <c r="IX520" s="4"/>
      <c r="IY520" s="9"/>
      <c r="IZ520" s="9"/>
      <c r="JA520" s="9"/>
      <c r="JB520" s="9"/>
      <c r="JC520" s="9"/>
    </row>
    <row r="521" spans="1:263" ht="15" customHeight="1">
      <c r="A521" s="2">
        <v>102024112</v>
      </c>
      <c r="B521" t="s">
        <v>5430</v>
      </c>
      <c r="D521" s="1"/>
      <c r="E521" s="3"/>
      <c r="G521" s="3"/>
      <c r="J521" t="s">
        <v>311</v>
      </c>
      <c r="K521" t="s">
        <v>5426</v>
      </c>
      <c r="L521" t="s">
        <v>5427</v>
      </c>
      <c r="O521" s="3"/>
      <c r="AG521" s="43"/>
      <c r="AJ521" s="18" t="s">
        <v>328</v>
      </c>
      <c r="AK521" s="1"/>
      <c r="AL521" t="s">
        <v>386</v>
      </c>
      <c r="AM521"/>
      <c r="AN521"/>
      <c r="AO521" t="s">
        <v>5428</v>
      </c>
      <c r="AP521" s="1" t="s">
        <v>258</v>
      </c>
      <c r="AQ521" s="18" t="s">
        <v>5429</v>
      </c>
      <c r="AR521" t="s">
        <v>1668</v>
      </c>
      <c r="AS521" s="10"/>
      <c r="AT521" s="10"/>
      <c r="AU521" s="10"/>
      <c r="AV521" s="10"/>
      <c r="AW521" s="1"/>
      <c r="AY521" s="1"/>
      <c r="AZ521" s="1"/>
      <c r="BA521" s="1"/>
      <c r="BB521" s="1"/>
      <c r="BC521" s="2"/>
      <c r="BD521" s="115">
        <v>45415</v>
      </c>
      <c r="BE521" s="115"/>
      <c r="BF521" s="2"/>
      <c r="BG521" s="2"/>
      <c r="BH521" s="2"/>
      <c r="BI521" s="2"/>
      <c r="BJ521" s="2"/>
      <c r="BK521" s="2"/>
      <c r="BL521" s="20">
        <f t="shared" ca="1" si="98"/>
        <v>549.73879999999986</v>
      </c>
      <c r="BM521" s="22">
        <f t="shared" ca="1" si="99"/>
        <v>-48.330774346760784</v>
      </c>
      <c r="BN521" s="22">
        <f t="shared" ca="1" si="100"/>
        <v>48.330774346760784</v>
      </c>
      <c r="BO521" s="14">
        <f t="shared" si="101"/>
        <v>8.3199999999999985</v>
      </c>
      <c r="BP521" s="22">
        <f t="shared" ca="1" si="102"/>
        <v>56.650774346760784</v>
      </c>
      <c r="BQ521" s="14"/>
      <c r="BR521" s="14">
        <f t="shared" si="103"/>
        <v>0</v>
      </c>
      <c r="BS521" s="14">
        <f t="shared" ca="1" si="104"/>
        <v>0</v>
      </c>
      <c r="BT521" s="17">
        <f t="shared" si="105"/>
        <v>0</v>
      </c>
      <c r="BU521" s="23">
        <f t="shared" ca="1" si="106"/>
        <v>65</v>
      </c>
      <c r="BV521" s="14">
        <f t="shared" ca="1" si="107"/>
        <v>0</v>
      </c>
      <c r="BW521" s="14"/>
      <c r="BX521" s="14">
        <f t="shared" si="108"/>
        <v>0</v>
      </c>
      <c r="BY521" s="14">
        <f t="shared" ca="1" si="109"/>
        <v>0</v>
      </c>
      <c r="BZ521" s="17">
        <f t="shared" si="110"/>
        <v>0</v>
      </c>
      <c r="CA521" s="23">
        <f t="shared" ca="1" si="111"/>
        <v>53</v>
      </c>
      <c r="CB521" s="14">
        <f t="shared" ca="1" si="112"/>
        <v>0</v>
      </c>
      <c r="CC521" s="14">
        <v>0</v>
      </c>
      <c r="CD521" s="14">
        <f t="shared" si="113"/>
        <v>0</v>
      </c>
      <c r="CE521" s="14">
        <f t="shared" ca="1" si="114"/>
        <v>0</v>
      </c>
      <c r="CF521" s="17">
        <f t="shared" si="115"/>
        <v>0</v>
      </c>
      <c r="CG521" s="23">
        <f t="shared" ca="1" si="116"/>
        <v>41</v>
      </c>
      <c r="CH521" s="14">
        <f t="shared" ca="1" si="117"/>
        <v>0</v>
      </c>
      <c r="CI521" s="14">
        <v>0</v>
      </c>
      <c r="CJ521" s="14">
        <f t="shared" si="118"/>
        <v>0</v>
      </c>
      <c r="CK521" s="14">
        <f t="shared" ca="1" si="119"/>
        <v>0</v>
      </c>
      <c r="CL521" s="17">
        <f t="shared" si="120"/>
        <v>0</v>
      </c>
      <c r="CM521" s="23">
        <f t="shared" ca="1" si="121"/>
        <v>29</v>
      </c>
      <c r="CN521" s="14">
        <f t="shared" ca="1" si="122"/>
        <v>0</v>
      </c>
      <c r="CO521" s="14">
        <f t="shared" si="123"/>
        <v>49.919999999999995</v>
      </c>
      <c r="CP521" s="14">
        <f t="shared" si="124"/>
        <v>4.992</v>
      </c>
      <c r="CQ521" s="14">
        <f t="shared" ca="1" si="125"/>
        <v>9.609599999999995</v>
      </c>
      <c r="CR521" s="17">
        <f t="shared" si="126"/>
        <v>0.45759999999999973</v>
      </c>
      <c r="CS521" s="23">
        <f t="shared" ca="1" si="127"/>
        <v>21</v>
      </c>
      <c r="CT521" s="23">
        <f t="shared" ca="1" si="128"/>
        <v>64.521599999999992</v>
      </c>
      <c r="CU521" s="14">
        <f t="shared" si="129"/>
        <v>49.919999999999995</v>
      </c>
      <c r="CV521" s="14">
        <f t="shared" si="130"/>
        <v>4.992</v>
      </c>
      <c r="CW521" s="14">
        <f t="shared" ca="1" si="131"/>
        <v>7.779199999999995</v>
      </c>
      <c r="CX521" s="17">
        <f t="shared" si="132"/>
        <v>0.45759999999999973</v>
      </c>
      <c r="CY521" s="23">
        <f t="shared" ca="1" si="133"/>
        <v>17</v>
      </c>
      <c r="CZ521" s="23">
        <f t="shared" ca="1" si="134"/>
        <v>62.691199999999988</v>
      </c>
      <c r="DA521" s="14">
        <f t="shared" si="135"/>
        <v>43.199999999999996</v>
      </c>
      <c r="DB521" s="14">
        <f t="shared" si="136"/>
        <v>4.3199999999999994</v>
      </c>
      <c r="DC521" s="14">
        <f t="shared" ca="1" si="137"/>
        <v>4.3559999999999981</v>
      </c>
      <c r="DD521" s="17">
        <f t="shared" si="138"/>
        <v>0.3959999999999998</v>
      </c>
      <c r="DE521" s="23">
        <f t="shared" ca="1" si="139"/>
        <v>11</v>
      </c>
      <c r="DF521" s="23">
        <f t="shared" ca="1" si="140"/>
        <v>51.875999999999991</v>
      </c>
      <c r="DG521" s="14">
        <f t="shared" si="141"/>
        <v>43.199999999999996</v>
      </c>
      <c r="DH521" s="14">
        <f t="shared" si="142"/>
        <v>4.3199999999999994</v>
      </c>
      <c r="DI521" s="14">
        <f t="shared" ca="1" si="143"/>
        <v>1.9799999999999991</v>
      </c>
      <c r="DJ521" s="17">
        <f t="shared" si="144"/>
        <v>0.3959999999999998</v>
      </c>
      <c r="DK521" s="23">
        <f t="shared" ca="1" si="145"/>
        <v>5</v>
      </c>
      <c r="DL521" s="14">
        <f t="shared" ca="1" si="146"/>
        <v>49.499999999999993</v>
      </c>
      <c r="DM521" s="14">
        <f t="shared" si="147"/>
        <v>43.199999999999996</v>
      </c>
      <c r="DN521" s="14">
        <f>0</f>
        <v>0</v>
      </c>
      <c r="DO521" s="14">
        <f>0</f>
        <v>0</v>
      </c>
      <c r="DP521" s="17">
        <f t="shared" si="148"/>
        <v>0.35999999999999982</v>
      </c>
      <c r="DQ521" s="23">
        <f t="shared" ca="1" si="149"/>
        <v>11</v>
      </c>
      <c r="DR521" s="23">
        <f t="shared" si="150"/>
        <v>43.199999999999996</v>
      </c>
      <c r="DS521" s="14">
        <f>0</f>
        <v>0</v>
      </c>
      <c r="DT521" s="14">
        <f>0</f>
        <v>0</v>
      </c>
      <c r="DU521" s="14">
        <f t="shared" ca="1" si="151"/>
        <v>0</v>
      </c>
      <c r="DV521" s="17">
        <f t="shared" si="152"/>
        <v>0</v>
      </c>
      <c r="DW521" s="23">
        <f t="shared" ca="1" si="153"/>
        <v>5</v>
      </c>
      <c r="DX521" s="14">
        <f t="shared" ca="1" si="154"/>
        <v>0</v>
      </c>
      <c r="DY521" s="14">
        <f t="shared" si="155"/>
        <v>229.43999999999997</v>
      </c>
      <c r="DZ521" s="14">
        <f t="shared" si="156"/>
        <v>18.623999999999999</v>
      </c>
      <c r="EA521" s="14">
        <f t="shared" ca="1" si="156"/>
        <v>23.724799999999988</v>
      </c>
      <c r="EB521" s="25">
        <f t="shared" ca="1" si="157"/>
        <v>271.78879999999992</v>
      </c>
      <c r="EC521" s="47">
        <f ca="1">SUM(EB521/ES521)</f>
        <v>1.4155666666666662E-2</v>
      </c>
      <c r="ED521" s="14">
        <f>20+10</f>
        <v>30</v>
      </c>
      <c r="EE521" s="32">
        <f t="shared" si="158"/>
        <v>2</v>
      </c>
      <c r="EF521" s="14">
        <f t="shared" si="159"/>
        <v>1.28</v>
      </c>
      <c r="EG521" s="4"/>
      <c r="EH521" s="4">
        <v>26.67</v>
      </c>
      <c r="EI521" s="4"/>
      <c r="EJ521" s="4"/>
      <c r="EL521" s="4"/>
      <c r="EM521" s="14">
        <f t="shared" si="160"/>
        <v>26.67</v>
      </c>
      <c r="EN521" s="14">
        <f t="shared" ca="1" si="161"/>
        <v>329.73879999999991</v>
      </c>
      <c r="EO521" s="24" t="s">
        <v>4935</v>
      </c>
      <c r="EP521" s="23">
        <v>0.65</v>
      </c>
      <c r="EQ521" s="14">
        <v>19200</v>
      </c>
      <c r="ER521" s="14">
        <v>0</v>
      </c>
      <c r="ES521" s="14">
        <f t="shared" si="162"/>
        <v>19200</v>
      </c>
      <c r="ET521" s="14">
        <v>19200</v>
      </c>
      <c r="EU521" s="14">
        <v>0</v>
      </c>
      <c r="EV521" s="14">
        <f t="shared" si="163"/>
        <v>19200</v>
      </c>
      <c r="EW521" s="10"/>
      <c r="EX521" s="10"/>
      <c r="EY521" s="10"/>
      <c r="EZ521" s="10"/>
      <c r="FA521" s="10"/>
      <c r="FB521" s="10"/>
      <c r="FC521" s="10"/>
      <c r="FD521" s="10"/>
      <c r="GJ521" s="4"/>
      <c r="IK521" s="9"/>
      <c r="IV521" s="4"/>
      <c r="IW521" s="4"/>
      <c r="IX521" s="4"/>
      <c r="IY521" s="9"/>
      <c r="IZ521" s="9"/>
      <c r="JA521" s="9"/>
      <c r="JB521" s="9"/>
      <c r="JC521" s="9"/>
    </row>
    <row r="522" spans="1:263" ht="15" customHeight="1">
      <c r="A522" s="2">
        <v>102024113</v>
      </c>
      <c r="B522" t="s">
        <v>5431</v>
      </c>
      <c r="D522" s="1"/>
      <c r="E522" s="3"/>
      <c r="G522" s="3"/>
      <c r="J522" t="s">
        <v>311</v>
      </c>
      <c r="K522" t="s">
        <v>5426</v>
      </c>
      <c r="L522" t="s">
        <v>5427</v>
      </c>
      <c r="O522" s="3"/>
      <c r="AG522" s="43"/>
      <c r="AJ522" s="18" t="s">
        <v>328</v>
      </c>
      <c r="AK522" s="1"/>
      <c r="AL522" t="s">
        <v>386</v>
      </c>
      <c r="AM522"/>
      <c r="AN522"/>
      <c r="AO522" t="s">
        <v>5428</v>
      </c>
      <c r="AP522" s="1" t="s">
        <v>258</v>
      </c>
      <c r="AQ522" s="18" t="s">
        <v>5429</v>
      </c>
      <c r="AR522" t="s">
        <v>1668</v>
      </c>
      <c r="AS522" s="10"/>
      <c r="AT522" s="10"/>
      <c r="AU522" s="10"/>
      <c r="AV522" s="10"/>
      <c r="AW522" s="1"/>
      <c r="AY522" s="1"/>
      <c r="AZ522" s="1"/>
      <c r="BA522" s="1"/>
      <c r="BB522" s="1"/>
      <c r="BC522" s="2"/>
      <c r="BD522" s="115">
        <v>45415</v>
      </c>
      <c r="BE522" s="115"/>
      <c r="BF522" s="2"/>
      <c r="BG522" s="2"/>
      <c r="BH522" s="2"/>
      <c r="BI522" s="2"/>
      <c r="BJ522" s="2"/>
      <c r="BK522" s="2"/>
      <c r="BL522" s="20">
        <f t="shared" ca="1" si="98"/>
        <v>549.73879999999986</v>
      </c>
      <c r="BM522" s="22">
        <f t="shared" ca="1" si="99"/>
        <v>-48.330774346760784</v>
      </c>
      <c r="BN522" s="22">
        <f t="shared" ca="1" si="100"/>
        <v>48.330774346760784</v>
      </c>
      <c r="BO522" s="14">
        <f t="shared" si="101"/>
        <v>8.3199999999999985</v>
      </c>
      <c r="BP522" s="22">
        <f t="shared" ca="1" si="102"/>
        <v>56.650774346760784</v>
      </c>
      <c r="BQ522" s="14"/>
      <c r="BR522" s="14">
        <f t="shared" si="103"/>
        <v>0</v>
      </c>
      <c r="BS522" s="14">
        <f t="shared" ca="1" si="104"/>
        <v>0</v>
      </c>
      <c r="BT522" s="17">
        <f t="shared" si="105"/>
        <v>0</v>
      </c>
      <c r="BU522" s="23">
        <f t="shared" ca="1" si="106"/>
        <v>65</v>
      </c>
      <c r="BV522" s="14">
        <f t="shared" ca="1" si="107"/>
        <v>0</v>
      </c>
      <c r="BW522" s="14"/>
      <c r="BX522" s="14">
        <f t="shared" si="108"/>
        <v>0</v>
      </c>
      <c r="BY522" s="14">
        <f t="shared" ca="1" si="109"/>
        <v>0</v>
      </c>
      <c r="BZ522" s="17">
        <f t="shared" si="110"/>
        <v>0</v>
      </c>
      <c r="CA522" s="23">
        <f t="shared" ca="1" si="111"/>
        <v>53</v>
      </c>
      <c r="CB522" s="14">
        <f t="shared" ca="1" si="112"/>
        <v>0</v>
      </c>
      <c r="CC522" s="14">
        <v>0</v>
      </c>
      <c r="CD522" s="14">
        <f t="shared" si="113"/>
        <v>0</v>
      </c>
      <c r="CE522" s="14">
        <f t="shared" ca="1" si="114"/>
        <v>0</v>
      </c>
      <c r="CF522" s="17">
        <f t="shared" si="115"/>
        <v>0</v>
      </c>
      <c r="CG522" s="23">
        <f t="shared" ca="1" si="116"/>
        <v>41</v>
      </c>
      <c r="CH522" s="14">
        <f t="shared" ca="1" si="117"/>
        <v>0</v>
      </c>
      <c r="CI522" s="14">
        <v>0</v>
      </c>
      <c r="CJ522" s="14">
        <f t="shared" si="118"/>
        <v>0</v>
      </c>
      <c r="CK522" s="14">
        <f t="shared" ca="1" si="119"/>
        <v>0</v>
      </c>
      <c r="CL522" s="17">
        <f t="shared" si="120"/>
        <v>0</v>
      </c>
      <c r="CM522" s="23">
        <f t="shared" ca="1" si="121"/>
        <v>29</v>
      </c>
      <c r="CN522" s="14">
        <f t="shared" ca="1" si="122"/>
        <v>0</v>
      </c>
      <c r="CO522" s="14">
        <f t="shared" si="123"/>
        <v>49.919999999999995</v>
      </c>
      <c r="CP522" s="14">
        <f t="shared" si="124"/>
        <v>4.992</v>
      </c>
      <c r="CQ522" s="14">
        <f t="shared" ca="1" si="125"/>
        <v>9.609599999999995</v>
      </c>
      <c r="CR522" s="17">
        <f t="shared" si="126"/>
        <v>0.45759999999999973</v>
      </c>
      <c r="CS522" s="23">
        <f t="shared" ca="1" si="127"/>
        <v>21</v>
      </c>
      <c r="CT522" s="23">
        <f t="shared" ca="1" si="128"/>
        <v>64.521599999999992</v>
      </c>
      <c r="CU522" s="14">
        <f t="shared" si="129"/>
        <v>49.919999999999995</v>
      </c>
      <c r="CV522" s="14">
        <f t="shared" si="130"/>
        <v>4.992</v>
      </c>
      <c r="CW522" s="14">
        <f t="shared" ca="1" si="131"/>
        <v>7.779199999999995</v>
      </c>
      <c r="CX522" s="17">
        <f t="shared" si="132"/>
        <v>0.45759999999999973</v>
      </c>
      <c r="CY522" s="23">
        <f t="shared" ca="1" si="133"/>
        <v>17</v>
      </c>
      <c r="CZ522" s="23">
        <f t="shared" ca="1" si="134"/>
        <v>62.691199999999988</v>
      </c>
      <c r="DA522" s="14">
        <f t="shared" si="135"/>
        <v>43.199999999999996</v>
      </c>
      <c r="DB522" s="14">
        <f t="shared" si="136"/>
        <v>4.3199999999999994</v>
      </c>
      <c r="DC522" s="14">
        <f t="shared" ca="1" si="137"/>
        <v>4.3559999999999981</v>
      </c>
      <c r="DD522" s="17">
        <f t="shared" si="138"/>
        <v>0.3959999999999998</v>
      </c>
      <c r="DE522" s="23">
        <f t="shared" ca="1" si="139"/>
        <v>11</v>
      </c>
      <c r="DF522" s="23">
        <f t="shared" ca="1" si="140"/>
        <v>51.875999999999991</v>
      </c>
      <c r="DG522" s="14">
        <f t="shared" si="141"/>
        <v>43.199999999999996</v>
      </c>
      <c r="DH522" s="14">
        <f t="shared" si="142"/>
        <v>4.3199999999999994</v>
      </c>
      <c r="DI522" s="14">
        <f t="shared" ca="1" si="143"/>
        <v>1.9799999999999991</v>
      </c>
      <c r="DJ522" s="17">
        <f t="shared" si="144"/>
        <v>0.3959999999999998</v>
      </c>
      <c r="DK522" s="23">
        <f t="shared" ca="1" si="145"/>
        <v>5</v>
      </c>
      <c r="DL522" s="14">
        <f t="shared" ca="1" si="146"/>
        <v>49.499999999999993</v>
      </c>
      <c r="DM522" s="14">
        <f t="shared" si="147"/>
        <v>43.199999999999996</v>
      </c>
      <c r="DN522" s="14">
        <f>0</f>
        <v>0</v>
      </c>
      <c r="DO522" s="14">
        <f>0</f>
        <v>0</v>
      </c>
      <c r="DP522" s="17">
        <f t="shared" si="148"/>
        <v>0.35999999999999982</v>
      </c>
      <c r="DQ522" s="23">
        <f t="shared" ca="1" si="149"/>
        <v>11</v>
      </c>
      <c r="DR522" s="23">
        <f t="shared" si="150"/>
        <v>43.199999999999996</v>
      </c>
      <c r="DS522" s="14">
        <f>0</f>
        <v>0</v>
      </c>
      <c r="DT522" s="14">
        <f>0</f>
        <v>0</v>
      </c>
      <c r="DU522" s="14">
        <f t="shared" ca="1" si="151"/>
        <v>0</v>
      </c>
      <c r="DV522" s="17">
        <f t="shared" si="152"/>
        <v>0</v>
      </c>
      <c r="DW522" s="23">
        <f t="shared" ca="1" si="153"/>
        <v>5</v>
      </c>
      <c r="DX522" s="14">
        <f t="shared" ca="1" si="154"/>
        <v>0</v>
      </c>
      <c r="DY522" s="14">
        <f t="shared" si="155"/>
        <v>229.43999999999997</v>
      </c>
      <c r="DZ522" s="14">
        <f t="shared" si="156"/>
        <v>18.623999999999999</v>
      </c>
      <c r="EA522" s="14">
        <f t="shared" ca="1" si="156"/>
        <v>23.724799999999988</v>
      </c>
      <c r="EB522" s="25">
        <f t="shared" ca="1" si="157"/>
        <v>271.78879999999992</v>
      </c>
      <c r="EC522" s="47">
        <f ca="1">SUM(EB522/ES522)</f>
        <v>1.4155666666666662E-2</v>
      </c>
      <c r="ED522" s="14">
        <f>20+10</f>
        <v>30</v>
      </c>
      <c r="EE522" s="32">
        <f t="shared" si="158"/>
        <v>2</v>
      </c>
      <c r="EF522" s="14">
        <f t="shared" si="159"/>
        <v>1.28</v>
      </c>
      <c r="EG522" s="4"/>
      <c r="EH522" s="4">
        <v>26.67</v>
      </c>
      <c r="EI522" s="4"/>
      <c r="EJ522" s="4"/>
      <c r="EL522" s="4"/>
      <c r="EM522" s="14">
        <f t="shared" si="160"/>
        <v>26.67</v>
      </c>
      <c r="EN522" s="14">
        <f t="shared" ca="1" si="161"/>
        <v>329.73879999999991</v>
      </c>
      <c r="EO522" s="24" t="s">
        <v>4935</v>
      </c>
      <c r="EP522" s="23">
        <v>0.67</v>
      </c>
      <c r="EQ522" s="14">
        <v>19200</v>
      </c>
      <c r="ER522" s="14">
        <v>0</v>
      </c>
      <c r="ES522" s="14">
        <f t="shared" si="162"/>
        <v>19200</v>
      </c>
      <c r="ET522" s="14">
        <v>19200</v>
      </c>
      <c r="EU522" s="14">
        <v>0</v>
      </c>
      <c r="EV522" s="14">
        <f t="shared" si="163"/>
        <v>19200</v>
      </c>
      <c r="EW522" s="10"/>
      <c r="EX522" s="10"/>
      <c r="EY522" s="10"/>
      <c r="EZ522" s="10"/>
      <c r="FA522" s="10"/>
      <c r="FB522" s="10"/>
      <c r="FC522" s="10"/>
      <c r="FD522" s="10"/>
      <c r="GJ522" s="4"/>
      <c r="IK522" s="9"/>
      <c r="IV522" s="4"/>
      <c r="IW522" s="4"/>
      <c r="IX522" s="4"/>
      <c r="IY522" s="9"/>
      <c r="IZ522" s="9"/>
      <c r="JA522" s="9"/>
      <c r="JB522" s="9"/>
      <c r="JC522" s="9"/>
    </row>
    <row r="523" spans="1:263" ht="15" customHeight="1">
      <c r="A523" s="2">
        <v>102024114</v>
      </c>
      <c r="B523" t="s">
        <v>5432</v>
      </c>
      <c r="D523" s="1">
        <v>2026</v>
      </c>
      <c r="E523" s="3"/>
      <c r="G523" s="3"/>
      <c r="J523" t="s">
        <v>311</v>
      </c>
      <c r="K523" t="s">
        <v>5426</v>
      </c>
      <c r="L523" t="s">
        <v>5427</v>
      </c>
      <c r="O523" s="3"/>
      <c r="AG523" s="43"/>
      <c r="AJ523" s="18" t="s">
        <v>328</v>
      </c>
      <c r="AK523" s="1"/>
      <c r="AL523" t="s">
        <v>386</v>
      </c>
      <c r="AM523"/>
      <c r="AN523"/>
      <c r="AO523" t="s">
        <v>5428</v>
      </c>
      <c r="AP523" s="1" t="s">
        <v>258</v>
      </c>
      <c r="AQ523" s="18" t="s">
        <v>5429</v>
      </c>
      <c r="AR523" t="s">
        <v>1668</v>
      </c>
      <c r="AS523" s="10"/>
      <c r="AT523" s="10"/>
      <c r="AU523" s="10"/>
      <c r="AV523" s="10"/>
      <c r="AW523" s="1"/>
      <c r="AY523" s="1"/>
      <c r="AZ523" s="1"/>
      <c r="BA523" s="1"/>
      <c r="BB523" s="1"/>
      <c r="BC523" s="2"/>
      <c r="BD523" s="116"/>
      <c r="BE523" s="115"/>
      <c r="BF523" s="2"/>
      <c r="BG523" s="2"/>
      <c r="BH523" s="2"/>
      <c r="BI523" s="2"/>
      <c r="BJ523" s="2"/>
      <c r="BK523" s="2"/>
      <c r="BL523" s="20">
        <f t="shared" ca="1" si="98"/>
        <v>317.72059999999999</v>
      </c>
      <c r="BM523" s="22">
        <f t="shared" ca="1" si="99"/>
        <v>-27.932688440250985</v>
      </c>
      <c r="BN523" s="22">
        <f t="shared" ca="1" si="100"/>
        <v>27.932688440250985</v>
      </c>
      <c r="BO523" s="14">
        <f t="shared" si="101"/>
        <v>2.34</v>
      </c>
      <c r="BP523" s="22">
        <f t="shared" ca="1" si="102"/>
        <v>30.272688440250985</v>
      </c>
      <c r="BQ523" s="14"/>
      <c r="BR523" s="14">
        <f t="shared" si="103"/>
        <v>0</v>
      </c>
      <c r="BS523" s="14">
        <f t="shared" ca="1" si="104"/>
        <v>0</v>
      </c>
      <c r="BT523" s="17">
        <f t="shared" si="105"/>
        <v>0</v>
      </c>
      <c r="BU523" s="23">
        <f t="shared" ca="1" si="106"/>
        <v>65</v>
      </c>
      <c r="BV523" s="14">
        <f t="shared" ca="1" si="107"/>
        <v>0</v>
      </c>
      <c r="BW523" s="14"/>
      <c r="BX523" s="14">
        <f t="shared" si="108"/>
        <v>0</v>
      </c>
      <c r="BY523" s="14">
        <f t="shared" ca="1" si="109"/>
        <v>0</v>
      </c>
      <c r="BZ523" s="17">
        <f t="shared" si="110"/>
        <v>0</v>
      </c>
      <c r="CA523" s="23">
        <f t="shared" ca="1" si="111"/>
        <v>53</v>
      </c>
      <c r="CB523" s="14">
        <f t="shared" ca="1" si="112"/>
        <v>0</v>
      </c>
      <c r="CC523" s="14">
        <v>0</v>
      </c>
      <c r="CD523" s="14">
        <f t="shared" si="113"/>
        <v>0</v>
      </c>
      <c r="CE523" s="14">
        <f t="shared" ca="1" si="114"/>
        <v>0</v>
      </c>
      <c r="CF523" s="17">
        <f t="shared" si="115"/>
        <v>0</v>
      </c>
      <c r="CG523" s="23">
        <f t="shared" ca="1" si="116"/>
        <v>41</v>
      </c>
      <c r="CH523" s="14">
        <f t="shared" ca="1" si="117"/>
        <v>0</v>
      </c>
      <c r="CI523" s="14">
        <v>0</v>
      </c>
      <c r="CJ523" s="14">
        <f t="shared" si="118"/>
        <v>0</v>
      </c>
      <c r="CK523" s="14">
        <f t="shared" ca="1" si="119"/>
        <v>0</v>
      </c>
      <c r="CL523" s="17">
        <f t="shared" si="120"/>
        <v>0</v>
      </c>
      <c r="CM523" s="23">
        <f t="shared" ca="1" si="121"/>
        <v>29</v>
      </c>
      <c r="CN523" s="14">
        <f t="shared" ca="1" si="122"/>
        <v>0</v>
      </c>
      <c r="CO523" s="14">
        <f t="shared" si="123"/>
        <v>14.04</v>
      </c>
      <c r="CP523" s="14">
        <f t="shared" si="124"/>
        <v>1.4039999999999999</v>
      </c>
      <c r="CQ523" s="14">
        <f t="shared" ca="1" si="125"/>
        <v>2.7026999999999983</v>
      </c>
      <c r="CR523" s="17">
        <f t="shared" si="126"/>
        <v>0.12869999999999993</v>
      </c>
      <c r="CS523" s="23">
        <f t="shared" ca="1" si="127"/>
        <v>21</v>
      </c>
      <c r="CT523" s="23">
        <f t="shared" ca="1" si="128"/>
        <v>18.146699999999996</v>
      </c>
      <c r="CU523" s="14">
        <f t="shared" si="129"/>
        <v>14.04</v>
      </c>
      <c r="CV523" s="14">
        <f t="shared" si="130"/>
        <v>1.4039999999999999</v>
      </c>
      <c r="CW523" s="14">
        <f t="shared" ca="1" si="131"/>
        <v>2.1878999999999986</v>
      </c>
      <c r="CX523" s="17">
        <f t="shared" si="132"/>
        <v>0.12869999999999993</v>
      </c>
      <c r="CY523" s="23">
        <f t="shared" ca="1" si="133"/>
        <v>17</v>
      </c>
      <c r="CZ523" s="23">
        <f t="shared" ca="1" si="134"/>
        <v>17.631899999999998</v>
      </c>
      <c r="DA523" s="14">
        <f t="shared" si="135"/>
        <v>12.149999999999999</v>
      </c>
      <c r="DB523" s="14">
        <f t="shared" si="136"/>
        <v>1.2149999999999999</v>
      </c>
      <c r="DC523" s="14">
        <f t="shared" ca="1" si="137"/>
        <v>1.2251249999999994</v>
      </c>
      <c r="DD523" s="17">
        <f t="shared" si="138"/>
        <v>0.11137499999999993</v>
      </c>
      <c r="DE523" s="23">
        <f t="shared" ca="1" si="139"/>
        <v>11</v>
      </c>
      <c r="DF523" s="23">
        <f t="shared" ca="1" si="140"/>
        <v>14.590124999999997</v>
      </c>
      <c r="DG523" s="14">
        <f t="shared" si="141"/>
        <v>12.149999999999999</v>
      </c>
      <c r="DH523" s="14">
        <f t="shared" si="142"/>
        <v>1.2149999999999999</v>
      </c>
      <c r="DI523" s="14">
        <f t="shared" ca="1" si="143"/>
        <v>0.55687499999999968</v>
      </c>
      <c r="DJ523" s="17">
        <f t="shared" si="144"/>
        <v>0.11137499999999993</v>
      </c>
      <c r="DK523" s="23">
        <f t="shared" ca="1" si="145"/>
        <v>5</v>
      </c>
      <c r="DL523" s="14">
        <f t="shared" ca="1" si="146"/>
        <v>13.921874999999998</v>
      </c>
      <c r="DM523" s="14">
        <f t="shared" si="147"/>
        <v>12.149999999999999</v>
      </c>
      <c r="DN523" s="14">
        <f>0</f>
        <v>0</v>
      </c>
      <c r="DO523" s="14">
        <f>0</f>
        <v>0</v>
      </c>
      <c r="DP523" s="17">
        <f t="shared" si="148"/>
        <v>0.10124999999999995</v>
      </c>
      <c r="DQ523" s="23">
        <f t="shared" ca="1" si="149"/>
        <v>11</v>
      </c>
      <c r="DR523" s="23">
        <f t="shared" si="150"/>
        <v>12.149999999999999</v>
      </c>
      <c r="DS523" s="14">
        <f>0</f>
        <v>0</v>
      </c>
      <c r="DT523" s="14">
        <f>0</f>
        <v>0</v>
      </c>
      <c r="DU523" s="14">
        <f t="shared" ca="1" si="151"/>
        <v>0</v>
      </c>
      <c r="DV523" s="17">
        <f t="shared" si="152"/>
        <v>0</v>
      </c>
      <c r="DW523" s="23">
        <f t="shared" ca="1" si="153"/>
        <v>5</v>
      </c>
      <c r="DX523" s="14">
        <f t="shared" ca="1" si="154"/>
        <v>0</v>
      </c>
      <c r="DY523" s="14">
        <f t="shared" si="155"/>
        <v>64.53</v>
      </c>
      <c r="DZ523" s="14">
        <f t="shared" si="156"/>
        <v>5.2379999999999995</v>
      </c>
      <c r="EA523" s="14">
        <f t="shared" ca="1" si="156"/>
        <v>6.6725999999999965</v>
      </c>
      <c r="EB523" s="25">
        <f t="shared" ca="1" si="157"/>
        <v>76.440600000000003</v>
      </c>
      <c r="EC523" s="47">
        <f ca="1">SUM(EB523/ES523)</f>
        <v>1.4155666666666667E-2</v>
      </c>
      <c r="ED523" s="14">
        <f>20</f>
        <v>20</v>
      </c>
      <c r="EE523" s="32">
        <f t="shared" si="158"/>
        <v>2</v>
      </c>
      <c r="EF523" s="14">
        <f t="shared" si="159"/>
        <v>1.28</v>
      </c>
      <c r="EG523" s="4"/>
      <c r="EH523" s="4"/>
      <c r="EI523" s="4"/>
      <c r="EJ523" s="4"/>
      <c r="EL523" s="4"/>
      <c r="EM523" s="14">
        <f t="shared" si="160"/>
        <v>0</v>
      </c>
      <c r="EN523" s="14">
        <f t="shared" ca="1" si="161"/>
        <v>97.720600000000005</v>
      </c>
      <c r="EO523" s="24" t="s">
        <v>4935</v>
      </c>
      <c r="EP523" s="7">
        <v>0.52</v>
      </c>
      <c r="EQ523" s="14">
        <v>5400</v>
      </c>
      <c r="ER523" s="14">
        <v>0</v>
      </c>
      <c r="ES523" s="14">
        <f t="shared" si="162"/>
        <v>5400</v>
      </c>
      <c r="ET523" s="14">
        <v>5400</v>
      </c>
      <c r="EU523" s="14">
        <v>0</v>
      </c>
      <c r="EV523" s="14">
        <f t="shared" si="163"/>
        <v>5400</v>
      </c>
      <c r="EW523" s="10"/>
      <c r="EX523" s="10"/>
      <c r="EY523" s="10"/>
      <c r="EZ523" s="10"/>
      <c r="FA523" s="10"/>
      <c r="FB523" s="10"/>
      <c r="FC523" s="10"/>
      <c r="FD523" s="10"/>
      <c r="GJ523" s="4"/>
      <c r="IK523" s="9"/>
      <c r="IV523" s="4"/>
      <c r="IW523" s="4"/>
      <c r="IX523" s="4"/>
      <c r="IY523" s="9"/>
      <c r="IZ523" s="9"/>
      <c r="JA523" s="9"/>
      <c r="JB523" s="9"/>
      <c r="JC523" s="9"/>
    </row>
    <row r="524" spans="1:263" ht="15" customHeight="1">
      <c r="A524" s="2">
        <v>102024115</v>
      </c>
      <c r="B524" t="s">
        <v>5433</v>
      </c>
      <c r="D524" s="1">
        <v>2026</v>
      </c>
      <c r="E524" s="3"/>
      <c r="G524" s="3"/>
      <c r="J524" t="s">
        <v>311</v>
      </c>
      <c r="K524" t="s">
        <v>5426</v>
      </c>
      <c r="L524" t="s">
        <v>5427</v>
      </c>
      <c r="O524" s="3"/>
      <c r="AG524" s="43"/>
      <c r="AJ524" s="18" t="s">
        <v>328</v>
      </c>
      <c r="AK524" s="1"/>
      <c r="AL524" t="s">
        <v>386</v>
      </c>
      <c r="AM524"/>
      <c r="AN524"/>
      <c r="AO524" t="s">
        <v>5428</v>
      </c>
      <c r="AP524" s="1" t="s">
        <v>258</v>
      </c>
      <c r="AQ524" s="18" t="s">
        <v>5429</v>
      </c>
      <c r="AR524" t="s">
        <v>1668</v>
      </c>
      <c r="AS524" s="10"/>
      <c r="AT524" s="10"/>
      <c r="AU524" s="10"/>
      <c r="AV524" s="10"/>
      <c r="AW524" s="1"/>
      <c r="AY524" s="1"/>
      <c r="AZ524" s="1"/>
      <c r="BA524" s="1"/>
      <c r="BB524" s="1"/>
      <c r="BC524" s="2"/>
      <c r="BD524" s="116"/>
      <c r="BE524" s="115"/>
      <c r="BF524" s="2"/>
      <c r="BG524" s="2"/>
      <c r="BH524" s="2"/>
      <c r="BI524" s="2"/>
      <c r="BJ524" s="2"/>
      <c r="BK524" s="2"/>
      <c r="BL524" s="20">
        <f t="shared" ca="1" si="98"/>
        <v>269.59133333333335</v>
      </c>
      <c r="BM524" s="22">
        <f t="shared" ca="1" si="99"/>
        <v>-23.701361259521263</v>
      </c>
      <c r="BN524" s="22">
        <f t="shared" ca="1" si="100"/>
        <v>23.701361259521263</v>
      </c>
      <c r="BO524" s="14">
        <f t="shared" si="101"/>
        <v>0.8666666666666667</v>
      </c>
      <c r="BP524" s="22">
        <f t="shared" ca="1" si="102"/>
        <v>24.568027926187931</v>
      </c>
      <c r="BQ524" s="14"/>
      <c r="BR524" s="14">
        <f t="shared" si="103"/>
        <v>0</v>
      </c>
      <c r="BS524" s="14">
        <f t="shared" ca="1" si="104"/>
        <v>0</v>
      </c>
      <c r="BT524" s="17">
        <f t="shared" si="105"/>
        <v>0</v>
      </c>
      <c r="BU524" s="23">
        <f t="shared" ca="1" si="106"/>
        <v>65</v>
      </c>
      <c r="BV524" s="14">
        <f t="shared" ca="1" si="107"/>
        <v>0</v>
      </c>
      <c r="BW524" s="14"/>
      <c r="BX524" s="14">
        <f t="shared" si="108"/>
        <v>0</v>
      </c>
      <c r="BY524" s="14">
        <f t="shared" ca="1" si="109"/>
        <v>0</v>
      </c>
      <c r="BZ524" s="17">
        <f t="shared" si="110"/>
        <v>0</v>
      </c>
      <c r="CA524" s="23">
        <f t="shared" ca="1" si="111"/>
        <v>53</v>
      </c>
      <c r="CB524" s="14">
        <f t="shared" ca="1" si="112"/>
        <v>0</v>
      </c>
      <c r="CC524" s="14">
        <v>0</v>
      </c>
      <c r="CD524" s="14">
        <f t="shared" si="113"/>
        <v>0</v>
      </c>
      <c r="CE524" s="14">
        <f t="shared" ca="1" si="114"/>
        <v>0</v>
      </c>
      <c r="CF524" s="17">
        <f t="shared" si="115"/>
        <v>0</v>
      </c>
      <c r="CG524" s="23">
        <f t="shared" ca="1" si="116"/>
        <v>41</v>
      </c>
      <c r="CH524" s="14">
        <f t="shared" ca="1" si="117"/>
        <v>0</v>
      </c>
      <c r="CI524" s="14">
        <v>0</v>
      </c>
      <c r="CJ524" s="14">
        <f t="shared" si="118"/>
        <v>0</v>
      </c>
      <c r="CK524" s="14">
        <f t="shared" ca="1" si="119"/>
        <v>0</v>
      </c>
      <c r="CL524" s="17">
        <f t="shared" si="120"/>
        <v>0</v>
      </c>
      <c r="CM524" s="23">
        <f t="shared" ca="1" si="121"/>
        <v>29</v>
      </c>
      <c r="CN524" s="14">
        <f t="shared" ca="1" si="122"/>
        <v>0</v>
      </c>
      <c r="CO524" s="14">
        <f t="shared" si="123"/>
        <v>5.2</v>
      </c>
      <c r="CP524" s="14">
        <f t="shared" si="124"/>
        <v>0.52</v>
      </c>
      <c r="CQ524" s="14">
        <f t="shared" ca="1" si="125"/>
        <v>1.0009999999999997</v>
      </c>
      <c r="CR524" s="17">
        <f t="shared" si="126"/>
        <v>4.7666666666666649E-2</v>
      </c>
      <c r="CS524" s="23">
        <f t="shared" ca="1" si="127"/>
        <v>21</v>
      </c>
      <c r="CT524" s="23">
        <f t="shared" ca="1" si="128"/>
        <v>6.7210000000000001</v>
      </c>
      <c r="CU524" s="14">
        <f t="shared" si="129"/>
        <v>5.2</v>
      </c>
      <c r="CV524" s="14">
        <f t="shared" si="130"/>
        <v>0.52</v>
      </c>
      <c r="CW524" s="14">
        <f t="shared" ca="1" si="131"/>
        <v>0.81033333333333302</v>
      </c>
      <c r="CX524" s="17">
        <f t="shared" si="132"/>
        <v>4.7666666666666649E-2</v>
      </c>
      <c r="CY524" s="23">
        <f t="shared" ca="1" si="133"/>
        <v>17</v>
      </c>
      <c r="CZ524" s="23">
        <f t="shared" ca="1" si="134"/>
        <v>6.530333333333334</v>
      </c>
      <c r="DA524" s="14">
        <f t="shared" si="135"/>
        <v>4.5</v>
      </c>
      <c r="DB524" s="14">
        <f t="shared" si="136"/>
        <v>0.45</v>
      </c>
      <c r="DC524" s="14">
        <f t="shared" ca="1" si="137"/>
        <v>0.45374999999999976</v>
      </c>
      <c r="DD524" s="17">
        <f t="shared" si="138"/>
        <v>4.1249999999999981E-2</v>
      </c>
      <c r="DE524" s="23">
        <f t="shared" ca="1" si="139"/>
        <v>11</v>
      </c>
      <c r="DF524" s="23">
        <f t="shared" ca="1" si="140"/>
        <v>5.4037499999999996</v>
      </c>
      <c r="DG524" s="14">
        <f t="shared" si="141"/>
        <v>4.5</v>
      </c>
      <c r="DH524" s="14">
        <f t="shared" si="142"/>
        <v>0.45</v>
      </c>
      <c r="DI524" s="14">
        <f t="shared" ca="1" si="143"/>
        <v>0.20624999999999991</v>
      </c>
      <c r="DJ524" s="17">
        <f t="shared" si="144"/>
        <v>4.1249999999999981E-2</v>
      </c>
      <c r="DK524" s="23">
        <f t="shared" ca="1" si="145"/>
        <v>5</v>
      </c>
      <c r="DL524" s="14">
        <f t="shared" ca="1" si="146"/>
        <v>5.15625</v>
      </c>
      <c r="DM524" s="14">
        <f t="shared" si="147"/>
        <v>4.5</v>
      </c>
      <c r="DN524" s="14">
        <f>0</f>
        <v>0</v>
      </c>
      <c r="DO524" s="14">
        <f>0</f>
        <v>0</v>
      </c>
      <c r="DP524" s="17">
        <f t="shared" si="148"/>
        <v>3.7499999999999985E-2</v>
      </c>
      <c r="DQ524" s="23">
        <f t="shared" ca="1" si="149"/>
        <v>11</v>
      </c>
      <c r="DR524" s="23">
        <f t="shared" si="150"/>
        <v>4.5</v>
      </c>
      <c r="DS524" s="14">
        <f>0</f>
        <v>0</v>
      </c>
      <c r="DT524" s="14">
        <f>0</f>
        <v>0</v>
      </c>
      <c r="DU524" s="14">
        <f t="shared" ca="1" si="151"/>
        <v>0</v>
      </c>
      <c r="DV524" s="17">
        <f t="shared" si="152"/>
        <v>0</v>
      </c>
      <c r="DW524" s="23">
        <f t="shared" ca="1" si="153"/>
        <v>5</v>
      </c>
      <c r="DX524" s="14">
        <f t="shared" ca="1" si="154"/>
        <v>0</v>
      </c>
      <c r="DY524" s="14">
        <f t="shared" si="155"/>
        <v>23.9</v>
      </c>
      <c r="DZ524" s="14">
        <f t="shared" si="156"/>
        <v>1.94</v>
      </c>
      <c r="EA524" s="14">
        <f t="shared" ca="1" si="156"/>
        <v>2.4713333333333325</v>
      </c>
      <c r="EB524" s="25">
        <f t="shared" ca="1" si="157"/>
        <v>28.311333333333334</v>
      </c>
      <c r="EC524" s="47">
        <f ca="1">SUM(EB524/ES524)</f>
        <v>1.4155666666666667E-2</v>
      </c>
      <c r="ED524" s="14">
        <f>20</f>
        <v>20</v>
      </c>
      <c r="EE524" s="32">
        <f t="shared" si="158"/>
        <v>2</v>
      </c>
      <c r="EF524" s="14">
        <f t="shared" si="159"/>
        <v>1.28</v>
      </c>
      <c r="EG524" s="4"/>
      <c r="EH524" s="4"/>
      <c r="EI524" s="4"/>
      <c r="EJ524" s="4"/>
      <c r="EL524" s="4"/>
      <c r="EM524" s="14">
        <f t="shared" si="160"/>
        <v>0</v>
      </c>
      <c r="EN524" s="14">
        <f t="shared" ca="1" si="161"/>
        <v>49.591333333333338</v>
      </c>
      <c r="EO524" s="24" t="s">
        <v>4935</v>
      </c>
      <c r="EP524" s="23">
        <v>0.51</v>
      </c>
      <c r="EQ524" s="14">
        <v>2000</v>
      </c>
      <c r="ER524" s="14">
        <v>0</v>
      </c>
      <c r="ES524" s="14">
        <f t="shared" si="162"/>
        <v>2000</v>
      </c>
      <c r="ET524" s="14">
        <v>2000</v>
      </c>
      <c r="EU524" s="14">
        <v>0</v>
      </c>
      <c r="EV524" s="14">
        <f t="shared" si="163"/>
        <v>2000</v>
      </c>
      <c r="EW524" s="10"/>
      <c r="EX524" s="10"/>
      <c r="EY524" s="10"/>
      <c r="EZ524" s="10"/>
      <c r="FA524" s="10"/>
      <c r="FB524" s="10"/>
      <c r="FC524" s="10"/>
      <c r="FD524" s="10"/>
      <c r="GJ524" s="4"/>
      <c r="IK524" s="9"/>
      <c r="IV524" s="4"/>
      <c r="IW524" s="4"/>
      <c r="IX524" s="4"/>
      <c r="IY524" s="9"/>
      <c r="IZ524" s="9"/>
      <c r="JA524" s="9"/>
      <c r="JB524" s="9"/>
      <c r="JC524" s="9"/>
    </row>
    <row r="525" spans="1:263" ht="15" customHeight="1">
      <c r="A525" s="2">
        <v>102024116</v>
      </c>
      <c r="B525" t="s">
        <v>5434</v>
      </c>
      <c r="D525" s="1">
        <v>2026</v>
      </c>
      <c r="E525" s="3"/>
      <c r="G525" s="3"/>
      <c r="J525" t="s">
        <v>311</v>
      </c>
      <c r="K525" t="s">
        <v>5426</v>
      </c>
      <c r="L525" t="s">
        <v>5427</v>
      </c>
      <c r="O525" s="3"/>
      <c r="AG525" s="43"/>
      <c r="AJ525" s="18" t="s">
        <v>328</v>
      </c>
      <c r="AK525" s="1"/>
      <c r="AL525" t="s">
        <v>386</v>
      </c>
      <c r="AM525"/>
      <c r="AN525"/>
      <c r="AO525" t="s">
        <v>5428</v>
      </c>
      <c r="AP525" s="1" t="s">
        <v>258</v>
      </c>
      <c r="AQ525" s="18" t="s">
        <v>5429</v>
      </c>
      <c r="AR525" t="s">
        <v>1668</v>
      </c>
      <c r="AS525" s="10"/>
      <c r="AT525" s="10"/>
      <c r="AU525" s="10"/>
      <c r="AV525" s="10"/>
      <c r="AW525" s="1"/>
      <c r="AY525" s="1"/>
      <c r="AZ525" s="1"/>
      <c r="BA525" s="1"/>
      <c r="BB525" s="1"/>
      <c r="BC525" s="2"/>
      <c r="BD525" s="116"/>
      <c r="BE525" s="115"/>
      <c r="BF525" s="2"/>
      <c r="BG525" s="2"/>
      <c r="BH525" s="2"/>
      <c r="BI525" s="2"/>
      <c r="BJ525" s="2"/>
      <c r="BK525" s="2"/>
      <c r="BL525" s="20">
        <f t="shared" ca="1" si="98"/>
        <v>258.17636666666669</v>
      </c>
      <c r="BM525" s="22">
        <f t="shared" ca="1" si="99"/>
        <v>-22.697804337320278</v>
      </c>
      <c r="BN525" s="22">
        <f t="shared" ca="1" si="100"/>
        <v>22.697804337320278</v>
      </c>
      <c r="BO525" s="14">
        <f t="shared" si="101"/>
        <v>0.47666666666666663</v>
      </c>
      <c r="BP525" s="22">
        <f t="shared" ca="1" si="102"/>
        <v>23.174471003986945</v>
      </c>
      <c r="BQ525" s="14"/>
      <c r="BR525" s="14">
        <f t="shared" si="103"/>
        <v>0</v>
      </c>
      <c r="BS525" s="14">
        <f t="shared" ca="1" si="104"/>
        <v>0</v>
      </c>
      <c r="BT525" s="17">
        <f t="shared" si="105"/>
        <v>0</v>
      </c>
      <c r="BU525" s="23">
        <f t="shared" ca="1" si="106"/>
        <v>65</v>
      </c>
      <c r="BV525" s="14">
        <f t="shared" ca="1" si="107"/>
        <v>0</v>
      </c>
      <c r="BW525" s="14"/>
      <c r="BX525" s="14">
        <f t="shared" si="108"/>
        <v>0</v>
      </c>
      <c r="BY525" s="14">
        <f t="shared" ca="1" si="109"/>
        <v>0</v>
      </c>
      <c r="BZ525" s="17">
        <f t="shared" si="110"/>
        <v>0</v>
      </c>
      <c r="CA525" s="23">
        <f t="shared" ca="1" si="111"/>
        <v>53</v>
      </c>
      <c r="CB525" s="14">
        <f t="shared" ca="1" si="112"/>
        <v>0</v>
      </c>
      <c r="CC525" s="14">
        <v>0</v>
      </c>
      <c r="CD525" s="14">
        <f t="shared" si="113"/>
        <v>0</v>
      </c>
      <c r="CE525" s="14">
        <f t="shared" ca="1" si="114"/>
        <v>0</v>
      </c>
      <c r="CF525" s="17">
        <f t="shared" si="115"/>
        <v>0</v>
      </c>
      <c r="CG525" s="23">
        <f t="shared" ca="1" si="116"/>
        <v>41</v>
      </c>
      <c r="CH525" s="14">
        <f t="shared" ca="1" si="117"/>
        <v>0</v>
      </c>
      <c r="CI525" s="14">
        <v>0</v>
      </c>
      <c r="CJ525" s="14">
        <f t="shared" si="118"/>
        <v>0</v>
      </c>
      <c r="CK525" s="14">
        <f t="shared" ca="1" si="119"/>
        <v>0</v>
      </c>
      <c r="CL525" s="17">
        <f t="shared" si="120"/>
        <v>0</v>
      </c>
      <c r="CM525" s="23">
        <f t="shared" ca="1" si="121"/>
        <v>29</v>
      </c>
      <c r="CN525" s="14">
        <f t="shared" ca="1" si="122"/>
        <v>0</v>
      </c>
      <c r="CO525" s="14">
        <f t="shared" si="123"/>
        <v>3.38</v>
      </c>
      <c r="CP525" s="14">
        <f t="shared" si="124"/>
        <v>0.33800000000000002</v>
      </c>
      <c r="CQ525" s="14">
        <f t="shared" ca="1" si="125"/>
        <v>0.65064999999999973</v>
      </c>
      <c r="CR525" s="17">
        <f t="shared" si="126"/>
        <v>3.0983333333333321E-2</v>
      </c>
      <c r="CS525" s="23">
        <f t="shared" ca="1" si="127"/>
        <v>21</v>
      </c>
      <c r="CT525" s="23">
        <f t="shared" ca="1" si="128"/>
        <v>4.3686499999999997</v>
      </c>
      <c r="CU525" s="14">
        <f t="shared" si="129"/>
        <v>3.38</v>
      </c>
      <c r="CV525" s="14">
        <f t="shared" si="130"/>
        <v>0.33800000000000002</v>
      </c>
      <c r="CW525" s="14">
        <f t="shared" ca="1" si="131"/>
        <v>0.5267166666666665</v>
      </c>
      <c r="CX525" s="17">
        <f t="shared" si="132"/>
        <v>3.0983333333333321E-2</v>
      </c>
      <c r="CY525" s="23">
        <f t="shared" ca="1" si="133"/>
        <v>17</v>
      </c>
      <c r="CZ525" s="23">
        <f t="shared" ca="1" si="134"/>
        <v>4.2447166666666662</v>
      </c>
      <c r="DA525" s="14">
        <f t="shared" si="135"/>
        <v>2.4749999999999996</v>
      </c>
      <c r="DB525" s="14">
        <f t="shared" si="136"/>
        <v>0.24749999999999997</v>
      </c>
      <c r="DC525" s="14">
        <f t="shared" ca="1" si="137"/>
        <v>0.24956249999999988</v>
      </c>
      <c r="DD525" s="17">
        <f t="shared" si="138"/>
        <v>2.2687499999999989E-2</v>
      </c>
      <c r="DE525" s="23">
        <f t="shared" ca="1" si="139"/>
        <v>11</v>
      </c>
      <c r="DF525" s="23">
        <f t="shared" ca="1" si="140"/>
        <v>2.9720624999999994</v>
      </c>
      <c r="DG525" s="14">
        <f t="shared" si="141"/>
        <v>2.4749999999999996</v>
      </c>
      <c r="DH525" s="14">
        <f t="shared" si="142"/>
        <v>0.24749999999999997</v>
      </c>
      <c r="DI525" s="14">
        <f t="shared" ca="1" si="143"/>
        <v>0.11343749999999994</v>
      </c>
      <c r="DJ525" s="17">
        <f t="shared" si="144"/>
        <v>2.2687499999999989E-2</v>
      </c>
      <c r="DK525" s="23">
        <f t="shared" ca="1" si="145"/>
        <v>5</v>
      </c>
      <c r="DL525" s="14">
        <f t="shared" ca="1" si="146"/>
        <v>2.8359374999999996</v>
      </c>
      <c r="DM525" s="14">
        <f t="shared" si="147"/>
        <v>2.4749999999999996</v>
      </c>
      <c r="DN525" s="14">
        <f>0</f>
        <v>0</v>
      </c>
      <c r="DO525" s="14">
        <f>0</f>
        <v>0</v>
      </c>
      <c r="DP525" s="17">
        <f t="shared" si="148"/>
        <v>2.0624999999999987E-2</v>
      </c>
      <c r="DQ525" s="23">
        <f t="shared" ca="1" si="149"/>
        <v>11</v>
      </c>
      <c r="DR525" s="23">
        <f t="shared" si="150"/>
        <v>2.4749999999999996</v>
      </c>
      <c r="DS525" s="14">
        <f>0</f>
        <v>0</v>
      </c>
      <c r="DT525" s="14">
        <f>0</f>
        <v>0</v>
      </c>
      <c r="DU525" s="14">
        <f t="shared" ca="1" si="151"/>
        <v>0</v>
      </c>
      <c r="DV525" s="17">
        <f t="shared" si="152"/>
        <v>0</v>
      </c>
      <c r="DW525" s="23">
        <f t="shared" ca="1" si="153"/>
        <v>5</v>
      </c>
      <c r="DX525" s="14">
        <f t="shared" ca="1" si="154"/>
        <v>0</v>
      </c>
      <c r="DY525" s="14">
        <f t="shared" si="155"/>
        <v>14.184999999999999</v>
      </c>
      <c r="DZ525" s="14">
        <f t="shared" si="156"/>
        <v>1.171</v>
      </c>
      <c r="EA525" s="14">
        <f t="shared" ca="1" si="156"/>
        <v>1.540366666666666</v>
      </c>
      <c r="EB525" s="25">
        <f t="shared" ca="1" si="157"/>
        <v>16.896366666666665</v>
      </c>
      <c r="EC525" s="47">
        <f ca="1">SUM(EB525/ET525)</f>
        <v>1.5360333333333332E-2</v>
      </c>
      <c r="ED525" s="14">
        <f>20</f>
        <v>20</v>
      </c>
      <c r="EE525" s="32">
        <f t="shared" si="158"/>
        <v>2</v>
      </c>
      <c r="EF525" s="14">
        <f t="shared" si="159"/>
        <v>1.28</v>
      </c>
      <c r="EG525" s="4"/>
      <c r="EH525" s="4"/>
      <c r="EI525" s="4"/>
      <c r="EJ525" s="4"/>
      <c r="EL525" s="4"/>
      <c r="EM525" s="14">
        <f t="shared" si="160"/>
        <v>0</v>
      </c>
      <c r="EN525" s="14">
        <f t="shared" ca="1" si="161"/>
        <v>38.176366666666667</v>
      </c>
      <c r="EO525" s="24" t="s">
        <v>4935</v>
      </c>
      <c r="EP525" s="23">
        <v>0.25</v>
      </c>
      <c r="EQ525" s="14">
        <v>1300</v>
      </c>
      <c r="ER525" s="14">
        <v>0</v>
      </c>
      <c r="ES525" s="4">
        <f t="shared" si="162"/>
        <v>1300</v>
      </c>
      <c r="ET525" s="14">
        <v>1100</v>
      </c>
      <c r="EU525" s="14">
        <v>0</v>
      </c>
      <c r="EV525" s="4">
        <f t="shared" si="163"/>
        <v>1100</v>
      </c>
      <c r="EW525" s="10"/>
      <c r="EX525" s="10"/>
      <c r="EY525" s="10"/>
      <c r="EZ525" s="10"/>
      <c r="FA525" s="10"/>
      <c r="FB525" s="10"/>
      <c r="FC525" s="10"/>
      <c r="FD525" s="10"/>
      <c r="GJ525" s="4"/>
      <c r="IK525" s="9"/>
      <c r="IV525" s="4"/>
      <c r="IW525" s="4"/>
      <c r="IX525" s="4"/>
      <c r="IY525" s="9"/>
      <c r="IZ525" s="9"/>
      <c r="JA525" s="9"/>
      <c r="JB525" s="9"/>
      <c r="JC525" s="9"/>
    </row>
    <row r="526" spans="1:263" ht="15" customHeight="1">
      <c r="A526" s="19">
        <v>102019069</v>
      </c>
      <c r="B526" s="14" t="s">
        <v>678</v>
      </c>
      <c r="C526" s="13"/>
      <c r="D526" s="13"/>
      <c r="E526" s="24" t="s">
        <v>679</v>
      </c>
      <c r="F526" s="19">
        <v>190003320</v>
      </c>
      <c r="G526" s="18"/>
      <c r="H526" s="18"/>
      <c r="I526" s="18"/>
      <c r="J526" s="18" t="s">
        <v>311</v>
      </c>
      <c r="K526" s="18" t="s">
        <v>680</v>
      </c>
      <c r="L526" s="18" t="s">
        <v>681</v>
      </c>
      <c r="M526" s="18" t="s">
        <v>326</v>
      </c>
      <c r="N526" s="18"/>
      <c r="O526" s="13" t="s">
        <v>258</v>
      </c>
      <c r="P526" s="18"/>
      <c r="Q526" s="18"/>
      <c r="R526" s="18"/>
      <c r="S526" s="18"/>
      <c r="T526" s="13"/>
      <c r="U526" s="18"/>
      <c r="V526" s="18"/>
      <c r="W526" s="18"/>
      <c r="X526" s="18"/>
      <c r="Y526" s="18"/>
      <c r="Z526" s="18"/>
      <c r="AA526" s="18"/>
      <c r="AB526" s="18"/>
      <c r="AC526" s="18"/>
      <c r="AD526" s="18"/>
      <c r="AE526" s="18"/>
      <c r="AF526" s="18"/>
      <c r="AG526" s="231"/>
      <c r="AH526" s="18"/>
      <c r="AI526" s="18"/>
      <c r="AJ526" s="14"/>
      <c r="AK526" s="14"/>
      <c r="AL526" s="18"/>
      <c r="AM526" s="24"/>
      <c r="AN526" s="24"/>
      <c r="AO526" s="14"/>
      <c r="AP526" s="20"/>
      <c r="AQ526" s="24"/>
      <c r="AR526" s="24"/>
      <c r="AS526" s="20"/>
      <c r="AT526" s="20"/>
      <c r="AU526" s="13"/>
      <c r="AV526" s="13"/>
      <c r="AW526" s="13"/>
      <c r="AX526" s="48"/>
      <c r="AY526" s="48"/>
      <c r="AZ526" s="48"/>
      <c r="BA526" s="48"/>
      <c r="BB526" s="19"/>
      <c r="BC526" s="48"/>
      <c r="BD526" s="48"/>
      <c r="BE526" s="48"/>
      <c r="BF526" s="273"/>
      <c r="BG526" s="20"/>
      <c r="BH526" s="22"/>
      <c r="BI526" s="22"/>
      <c r="BJ526" s="14"/>
      <c r="BK526" s="14"/>
      <c r="BL526" s="14"/>
      <c r="BM526" s="17"/>
      <c r="BN526" s="23"/>
      <c r="BO526" s="14"/>
      <c r="BP526" s="14"/>
      <c r="BQ526" s="14"/>
      <c r="BR526" s="14"/>
      <c r="BS526" s="17"/>
      <c r="BT526" s="23"/>
      <c r="BU526" s="14"/>
      <c r="BV526" s="14"/>
      <c r="BW526" s="14"/>
      <c r="BX526" s="14"/>
      <c r="BY526" s="17"/>
      <c r="BZ526" s="23"/>
      <c r="CA526" s="14"/>
      <c r="CB526" s="14"/>
      <c r="CC526" s="14"/>
      <c r="CD526" s="14"/>
      <c r="CE526" s="17"/>
      <c r="CF526" s="23"/>
      <c r="CG526" s="14"/>
      <c r="CH526" s="14"/>
      <c r="CI526" s="14"/>
      <c r="CJ526" s="14"/>
      <c r="CK526" s="17"/>
      <c r="CL526" s="23"/>
      <c r="CM526" s="14"/>
      <c r="CN526" s="14"/>
      <c r="CO526" s="14"/>
      <c r="CP526" s="14"/>
      <c r="CQ526" s="17"/>
      <c r="CR526" s="23"/>
      <c r="CS526" s="14"/>
      <c r="CT526" s="14"/>
      <c r="CU526" s="14"/>
      <c r="CV526" s="14"/>
      <c r="CW526" s="17"/>
      <c r="CX526" s="23"/>
      <c r="CY526" s="14"/>
      <c r="CZ526" s="14"/>
      <c r="DA526" s="14"/>
      <c r="DB526" s="14"/>
      <c r="DC526" s="14"/>
      <c r="DD526" s="14"/>
      <c r="DE526" s="47"/>
      <c r="DF526" s="24"/>
      <c r="DG526" s="14"/>
      <c r="DH526" s="32"/>
      <c r="DI526" s="14"/>
      <c r="DJ526" s="14"/>
      <c r="DK526" s="14"/>
      <c r="DL526" s="14"/>
      <c r="DM526" s="14"/>
      <c r="DN526" s="14"/>
      <c r="DO526" s="23"/>
      <c r="DP526" s="25"/>
      <c r="DQ526" s="14"/>
      <c r="DR526" s="25"/>
      <c r="DS526" s="25"/>
      <c r="DT526" s="25"/>
      <c r="DU526" s="36"/>
      <c r="DV526" s="18"/>
      <c r="DW526" s="18"/>
      <c r="DX526" s="18"/>
      <c r="DY526" s="18"/>
      <c r="DZ526" s="18"/>
      <c r="EA526" s="18"/>
      <c r="EB526" s="18"/>
      <c r="EC526" s="18"/>
      <c r="ED526" s="30"/>
      <c r="EE526" s="18"/>
      <c r="EF526" s="18"/>
      <c r="EG526" s="18"/>
      <c r="EH526" s="18"/>
      <c r="EI526" s="18"/>
      <c r="EJ526" s="30"/>
      <c r="EK526" s="30"/>
      <c r="EL526" s="14"/>
      <c r="EM526" s="14"/>
      <c r="EN526" s="14"/>
      <c r="EO526" s="14"/>
      <c r="EP526" s="14"/>
      <c r="EQ526" s="14"/>
      <c r="ER526" s="14"/>
      <c r="ES526" s="14"/>
      <c r="ET526" s="14"/>
      <c r="EU526" s="14"/>
      <c r="EV526" s="14"/>
      <c r="EW526" s="14"/>
      <c r="EX526" s="14"/>
      <c r="EY526" s="14"/>
      <c r="EZ526" s="14"/>
      <c r="FA526" s="18"/>
      <c r="FB526" s="18"/>
      <c r="FC526" s="18"/>
      <c r="FD526" s="27"/>
      <c r="FE526" s="18"/>
      <c r="FF526" s="18"/>
      <c r="FG526" s="18"/>
      <c r="FH526" s="18"/>
      <c r="FI526" s="18"/>
      <c r="FJ526" s="18"/>
      <c r="FK526" s="18"/>
      <c r="FL526" s="18"/>
      <c r="FM526" s="27"/>
      <c r="FN526" s="18"/>
      <c r="FO526" s="18"/>
      <c r="FP526" s="18"/>
      <c r="FQ526" s="18"/>
      <c r="FR526" s="18"/>
      <c r="FS526" s="14"/>
      <c r="FT526" s="18"/>
      <c r="FU526" s="18"/>
      <c r="FV526" s="18"/>
      <c r="FW526" s="18"/>
      <c r="FX526" s="28"/>
      <c r="FY526" s="18"/>
      <c r="FZ526" s="18"/>
      <c r="GA526" s="18"/>
      <c r="GB526" s="18"/>
      <c r="GC526" s="18"/>
      <c r="GD526" s="18"/>
      <c r="GE526" s="18"/>
      <c r="GF526" s="18"/>
      <c r="GG526" s="18"/>
      <c r="GH526" s="28"/>
      <c r="GI526" s="18"/>
      <c r="GJ526" s="18"/>
      <c r="GK526" s="18"/>
      <c r="GL526" s="18"/>
      <c r="GM526" s="18"/>
      <c r="GN526" s="18"/>
      <c r="GO526" s="18"/>
      <c r="GP526" s="18"/>
      <c r="GQ526" s="18"/>
      <c r="GR526" s="18"/>
      <c r="GS526" s="18"/>
      <c r="GT526" s="18"/>
      <c r="GU526" s="18"/>
      <c r="GV526" s="18"/>
      <c r="GW526" s="27"/>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27"/>
      <c r="IE526" s="14"/>
      <c r="IF526" s="14"/>
      <c r="IG526" s="27"/>
      <c r="IH526" s="18"/>
      <c r="II526" s="18"/>
      <c r="IJ526" s="18"/>
      <c r="IK526" s="18"/>
      <c r="IL526" s="4"/>
      <c r="IM526" s="4"/>
    </row>
    <row r="527" spans="1:263" ht="15" customHeight="1">
      <c r="A527" s="19">
        <v>102019069</v>
      </c>
      <c r="B527" s="14" t="s">
        <v>1925</v>
      </c>
      <c r="C527" s="14"/>
      <c r="D527" s="14"/>
      <c r="E527" s="24" t="s">
        <v>679</v>
      </c>
      <c r="F527" s="19">
        <v>190003320</v>
      </c>
      <c r="G527" s="19"/>
      <c r="H527" s="19"/>
      <c r="I527" s="19"/>
      <c r="J527" s="18" t="s">
        <v>311</v>
      </c>
      <c r="K527" s="18" t="s">
        <v>680</v>
      </c>
      <c r="L527" s="18" t="s">
        <v>681</v>
      </c>
      <c r="M527" s="18" t="s">
        <v>326</v>
      </c>
      <c r="N527" s="18"/>
      <c r="O527" s="13" t="s">
        <v>258</v>
      </c>
      <c r="P527" s="18"/>
      <c r="Q527" s="18"/>
      <c r="R527" s="18"/>
      <c r="S527" s="18"/>
      <c r="T527" s="13"/>
      <c r="U527" s="18"/>
      <c r="V527" s="18"/>
      <c r="W527" s="18"/>
      <c r="X527" s="18"/>
      <c r="Y527" s="18"/>
      <c r="Z527" s="18"/>
      <c r="AA527" s="18"/>
      <c r="AB527" s="18"/>
      <c r="AC527" s="18"/>
      <c r="AD527" s="18"/>
      <c r="AE527" s="18"/>
      <c r="AF527" s="18"/>
      <c r="AG527" s="37"/>
      <c r="AH527" s="18"/>
      <c r="AI527" s="18"/>
      <c r="AJ527" s="14" t="s">
        <v>328</v>
      </c>
      <c r="AK527" s="14"/>
      <c r="AL527" s="18" t="s">
        <v>386</v>
      </c>
      <c r="AM527" s="18"/>
      <c r="AN527" s="18" t="s">
        <v>682</v>
      </c>
      <c r="AO527" s="14" t="s">
        <v>683</v>
      </c>
      <c r="AP527" s="20" t="s">
        <v>258</v>
      </c>
      <c r="AQ527" s="18" t="s">
        <v>684</v>
      </c>
      <c r="AR527" s="24" t="s">
        <v>685</v>
      </c>
      <c r="AS527" s="20"/>
      <c r="AT527" s="20"/>
      <c r="AU527" s="13" t="s">
        <v>258</v>
      </c>
      <c r="AV527" s="13" t="s">
        <v>258</v>
      </c>
      <c r="AW527" s="13" t="s">
        <v>258</v>
      </c>
      <c r="AX527" s="21">
        <v>43654</v>
      </c>
      <c r="AY527" s="21">
        <v>43555</v>
      </c>
      <c r="AZ527" s="21">
        <v>43620</v>
      </c>
      <c r="BA527" s="21">
        <v>43700</v>
      </c>
      <c r="BB527" s="13" t="s">
        <v>318</v>
      </c>
      <c r="BC527" s="21">
        <v>43686</v>
      </c>
      <c r="BD527" s="21">
        <v>43693</v>
      </c>
      <c r="BE527" s="21">
        <v>43763</v>
      </c>
      <c r="BF527" s="46" t="s">
        <v>319</v>
      </c>
      <c r="BG527" s="20">
        <f ca="1">SUM(DJ527)+206.5</f>
        <v>8018.8108666666658</v>
      </c>
      <c r="BH527" s="22">
        <f ca="1">PMT(10%/12,12,BG527,0,0)</f>
        <v>-704.98087187264207</v>
      </c>
      <c r="BI527" s="22">
        <f ca="1">SUM(BH527*-1)</f>
        <v>704.98087187264207</v>
      </c>
      <c r="BJ527" s="14"/>
      <c r="BK527" s="14">
        <f>SUM(BJ527*0.1)</f>
        <v>0</v>
      </c>
      <c r="BL527" s="14">
        <f ca="1">SUM(BM527*BN527)</f>
        <v>0</v>
      </c>
      <c r="BM527" s="17">
        <f>SUM((BJ527+BK527)*0.00833333333333333)</f>
        <v>0</v>
      </c>
      <c r="BN527" s="23">
        <f ca="1">MONTH(TODAY())+73</f>
        <v>77</v>
      </c>
      <c r="BO527" s="14">
        <f ca="1">SUM(BJ527:BL527)</f>
        <v>0</v>
      </c>
      <c r="BP527" s="14"/>
      <c r="BQ527" s="14">
        <f>SUM(BP527*0.1)</f>
        <v>0</v>
      </c>
      <c r="BR527" s="14">
        <f ca="1">SUM(BS527*BT527)</f>
        <v>0</v>
      </c>
      <c r="BS527" s="17">
        <f>SUM((BP527+BQ527)*0.00833333333333333)</f>
        <v>0</v>
      </c>
      <c r="BT527" s="23">
        <f ca="1">MONTH(TODAY())+61</f>
        <v>65</v>
      </c>
      <c r="BU527" s="14">
        <f ca="1">SUM(BP527,BQ527,BR527)</f>
        <v>0</v>
      </c>
      <c r="BV527" s="14"/>
      <c r="BW527" s="14">
        <f>SUM(BV527*0.1)</f>
        <v>0</v>
      </c>
      <c r="BX527" s="14">
        <f>SUM(BY527*BZ527)</f>
        <v>0</v>
      </c>
      <c r="BY527" s="17">
        <f>SUM((BV527+BW527)*0.00833333333333333)</f>
        <v>0</v>
      </c>
      <c r="BZ527" s="23">
        <v>61</v>
      </c>
      <c r="CA527" s="14">
        <f>SUM(BV527,BW527,BX527)</f>
        <v>0</v>
      </c>
      <c r="CB527" s="14">
        <v>500.76</v>
      </c>
      <c r="CC527" s="14">
        <f>SUM(CB527*0.1)</f>
        <v>50.076000000000001</v>
      </c>
      <c r="CD527" s="14">
        <f>SUM(CE527*CF527)</f>
        <v>224.92469999999992</v>
      </c>
      <c r="CE527" s="17">
        <f>SUM((CB527+CC527)*0.00833333333333333)</f>
        <v>4.5902999999999983</v>
      </c>
      <c r="CF527" s="23">
        <v>49</v>
      </c>
      <c r="CG527" s="14">
        <f>SUM(CB527,CC527,CD527)</f>
        <v>775.76069999999993</v>
      </c>
      <c r="CH527" s="14">
        <v>500.76</v>
      </c>
      <c r="CI527" s="14">
        <f>SUM(CH527*0.1)</f>
        <v>50.076000000000001</v>
      </c>
      <c r="CJ527" s="14">
        <f>SUM(CK527*CL527)</f>
        <v>169.84109999999993</v>
      </c>
      <c r="CK527" s="17">
        <f>SUM((CH527+CI527)*0.00833333333333333)</f>
        <v>4.5902999999999983</v>
      </c>
      <c r="CL527" s="23">
        <v>37</v>
      </c>
      <c r="CM527" s="14">
        <f>SUM(CH527,CI527,CJ527)</f>
        <v>720.67709999999988</v>
      </c>
      <c r="CN527" s="14">
        <v>500.76</v>
      </c>
      <c r="CO527" s="14">
        <f>SUM(CN527*0.1)</f>
        <v>50.076000000000001</v>
      </c>
      <c r="CP527" s="14">
        <f>SUM(CQ527*CR527)</f>
        <v>114.75749999999995</v>
      </c>
      <c r="CQ527" s="17">
        <f>SUM((CN527+CO527)*0.00833333333333333)</f>
        <v>4.5902999999999983</v>
      </c>
      <c r="CR527" s="23">
        <v>25</v>
      </c>
      <c r="CS527" s="14">
        <f>SUM(CN527,CO527,CP527)</f>
        <v>665.59349999999995</v>
      </c>
      <c r="CT527" s="14">
        <f>SUM(DS527*0.0052)</f>
        <v>505.96</v>
      </c>
      <c r="CU527" s="14">
        <f>SUM(CT527*0.1)</f>
        <v>50.596000000000004</v>
      </c>
      <c r="CV527" s="14">
        <f>SUM(CW527*CX527)</f>
        <v>60.293566666666642</v>
      </c>
      <c r="CW527" s="17">
        <f>SUM((CT527+CU527)*0.00833333333333333)</f>
        <v>4.6379666666666646</v>
      </c>
      <c r="CX527" s="23">
        <v>13</v>
      </c>
      <c r="CY527" s="14">
        <f>SUM(CT527,CU527,CV527)</f>
        <v>616.84956666666665</v>
      </c>
      <c r="CZ527" s="14">
        <f>SUM(DS527*0.0052)</f>
        <v>505.96</v>
      </c>
      <c r="DA527" s="14">
        <f>SUM(BJ527, BP527, BV527, CB527, CH527, CN527,CT527,CZ527)</f>
        <v>2514.1999999999998</v>
      </c>
      <c r="DB527" s="14">
        <f>SUM(BK527, BQ527, BW527, CC527, CI527, CO527,CU527)</f>
        <v>200.82400000000001</v>
      </c>
      <c r="DC527" s="14">
        <f ca="1">SUM(BL527, BR527, BX527, CD527, CJ527, CP527,CV527)</f>
        <v>569.81686666666644</v>
      </c>
      <c r="DD527" s="14">
        <f ca="1">SUM(DA527:DC527)</f>
        <v>3284.8408666666664</v>
      </c>
      <c r="DE527" s="24" t="s">
        <v>320</v>
      </c>
      <c r="DF527" s="14">
        <f>940+663+39+58+19.5</f>
        <v>1719.5</v>
      </c>
      <c r="DG527" s="32">
        <f>COUNTIF(DM527, "*")+COUNTIF(AO527, "*")+COUNTIF(AJ527, "*")+COUNTIF(AA527, "*")+COUNTIF(EI527, "*")+COUNTIF(EO527, "*")+COUNTIF(EU527, "*")+COUNTIF(EY527, "*")+COUNTIF(FF527, "*")+COUNTIF(FM527, "*")+COUNTIF(FT527, "*")+COUNTIF(GE527, "*")+COUNTIF(GP527, "*")+COUNTIF(GX527, "*")+COUNTIF(HF527, "*")+COUNTIF(HN527, "*")+COUNTIF(HV527, "*")</f>
        <v>3</v>
      </c>
      <c r="DH527" s="14">
        <f>0.5+3*0.5+5.6*3+2*0.65+30+39.35</f>
        <v>89.449999999999989</v>
      </c>
      <c r="DI527" s="14">
        <f>150+150</f>
        <v>300</v>
      </c>
      <c r="DJ527" s="14">
        <f ca="1">SUM(DD527,DF527,DP527, DI527, DH527,FQ527)</f>
        <v>7812.3108666666658</v>
      </c>
      <c r="DK527" s="14">
        <f>93.75+237.5</f>
        <v>331.25</v>
      </c>
      <c r="DL527" s="14">
        <f>21.89+1050+167.05</f>
        <v>1238.94</v>
      </c>
      <c r="DM527" s="14">
        <v>203.33</v>
      </c>
      <c r="DN527" s="14">
        <v>100</v>
      </c>
      <c r="DO527" s="25">
        <v>545</v>
      </c>
      <c r="DP527" s="14">
        <f>SUM(DK527:DO527)</f>
        <v>2418.52</v>
      </c>
      <c r="DQ527" s="25">
        <v>97300</v>
      </c>
      <c r="DR527" s="25">
        <v>0</v>
      </c>
      <c r="DS527" s="25">
        <f>SUM(DQ527+DR527)</f>
        <v>97300</v>
      </c>
      <c r="DT527" s="36">
        <f>2.17+1.6+1.96+2.14+2.23</f>
        <v>10.100000000000001</v>
      </c>
      <c r="DU527" s="18" t="s">
        <v>686</v>
      </c>
      <c r="DV527" s="18" t="s">
        <v>687</v>
      </c>
      <c r="DW527" s="18"/>
      <c r="DX527" s="18"/>
      <c r="DY527" s="18"/>
      <c r="DZ527" s="18"/>
      <c r="EA527" s="18"/>
      <c r="EB527" s="18"/>
      <c r="EC527" s="18"/>
      <c r="ED527" s="18"/>
      <c r="EE527" s="18"/>
      <c r="EF527" s="18"/>
      <c r="EG527" s="18" t="s">
        <v>688</v>
      </c>
      <c r="EH527" s="18"/>
      <c r="EI527" s="18" t="s">
        <v>689</v>
      </c>
      <c r="EJ527" s="18"/>
      <c r="EK527" s="18" t="s">
        <v>690</v>
      </c>
      <c r="EL527" s="18"/>
      <c r="EM527" s="18"/>
      <c r="EN527" s="18"/>
      <c r="EO527" s="18"/>
      <c r="EP527" s="14"/>
      <c r="EQ527" s="14"/>
      <c r="ER527" s="14"/>
      <c r="ES527" s="14"/>
      <c r="ET527" s="14"/>
      <c r="EU527" s="14"/>
      <c r="EV527" s="14"/>
      <c r="EW527" s="14"/>
      <c r="EX527" s="14"/>
      <c r="EY527" s="14"/>
      <c r="EZ527" s="18"/>
      <c r="FA527" s="18"/>
      <c r="FB527" s="18"/>
      <c r="FC527" s="27"/>
      <c r="FD527" s="18"/>
      <c r="FE527" s="18"/>
      <c r="FF527" s="18"/>
      <c r="FG527" s="18"/>
      <c r="FH527" s="18"/>
      <c r="FI527" s="18"/>
      <c r="FJ527" s="18"/>
      <c r="FK527" s="18"/>
      <c r="FL527" s="18"/>
      <c r="FM527" s="18"/>
      <c r="FN527" s="18"/>
      <c r="FO527" s="18"/>
      <c r="FP527" s="18"/>
      <c r="FQ527" s="14"/>
      <c r="FR527" s="18"/>
      <c r="FS527" s="18"/>
      <c r="FT527" s="18"/>
      <c r="FU527" s="18"/>
      <c r="FV527" s="28"/>
      <c r="FW527" s="18"/>
      <c r="FX527" s="18"/>
      <c r="FY527" s="18"/>
      <c r="FZ527" s="18"/>
      <c r="GA527" s="18"/>
      <c r="GB527" s="18"/>
      <c r="GC527" s="18"/>
      <c r="GD527" s="18"/>
      <c r="GE527" s="18"/>
      <c r="GF527" s="28"/>
      <c r="GG527" s="18"/>
      <c r="GH527" s="18"/>
      <c r="GI527" s="18"/>
      <c r="GJ527" s="18"/>
      <c r="GK527" s="18"/>
      <c r="GL527" s="18"/>
      <c r="GM527" s="18"/>
      <c r="GN527" s="18"/>
      <c r="GO527" s="18"/>
      <c r="GP527" s="18"/>
      <c r="GQ527" s="18"/>
      <c r="GR527" s="18"/>
      <c r="GS527" s="18"/>
      <c r="GT527" s="18"/>
      <c r="GU527" s="27"/>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27">
        <v>44128</v>
      </c>
      <c r="IC527" s="14">
        <v>97300</v>
      </c>
      <c r="ID527" s="27">
        <v>44128</v>
      </c>
      <c r="IE527" s="14">
        <v>77000</v>
      </c>
      <c r="IF527" s="14">
        <v>7700</v>
      </c>
      <c r="IG527" s="27"/>
      <c r="IH527" s="18" t="s">
        <v>1957</v>
      </c>
      <c r="II527" s="18" t="s">
        <v>1958</v>
      </c>
      <c r="IJ527" s="18" t="s">
        <v>349</v>
      </c>
      <c r="IK527" s="18"/>
      <c r="IL527" s="14"/>
      <c r="IM527" s="14"/>
      <c r="IN527" s="14">
        <v>468.83</v>
      </c>
      <c r="IO527" s="14">
        <f ca="1">SUM(IE527)-DJ527-IL527</f>
        <v>69187.689133333333</v>
      </c>
      <c r="IP527" s="27">
        <v>43767</v>
      </c>
      <c r="IQ527" s="27">
        <v>43803</v>
      </c>
      <c r="IR527" s="27">
        <v>44131</v>
      </c>
      <c r="IS527" s="27">
        <v>44137</v>
      </c>
      <c r="IT527" s="27">
        <v>44238</v>
      </c>
      <c r="IU527" s="18"/>
      <c r="IV527" s="18"/>
      <c r="IW527" s="18"/>
      <c r="IX527" s="18"/>
      <c r="IY527" s="18"/>
    </row>
    <row r="528" spans="1:263" ht="15" customHeight="1">
      <c r="A528" s="2">
        <v>102024118</v>
      </c>
      <c r="B528" t="s">
        <v>5436</v>
      </c>
      <c r="D528" s="1"/>
      <c r="E528" s="3"/>
      <c r="G528" s="3"/>
      <c r="J528" t="s">
        <v>554</v>
      </c>
      <c r="K528" t="s">
        <v>5426</v>
      </c>
      <c r="L528" t="s">
        <v>5427</v>
      </c>
      <c r="O528" s="3"/>
      <c r="P528" t="s">
        <v>5426</v>
      </c>
      <c r="Q528" t="s">
        <v>1152</v>
      </c>
      <c r="R528" t="s">
        <v>1584</v>
      </c>
      <c r="AG528" s="43"/>
      <c r="AJ528" s="18" t="s">
        <v>328</v>
      </c>
      <c r="AK528" s="1"/>
      <c r="AL528" t="s">
        <v>386</v>
      </c>
      <c r="AM528"/>
      <c r="AN528"/>
      <c r="AO528" t="s">
        <v>5428</v>
      </c>
      <c r="AP528" s="1" t="s">
        <v>258</v>
      </c>
      <c r="AQ528" s="18" t="s">
        <v>5429</v>
      </c>
      <c r="AR528" t="s">
        <v>1668</v>
      </c>
      <c r="AS528" s="10"/>
      <c r="AT528" s="10"/>
      <c r="AU528" s="10"/>
      <c r="AV528" s="10"/>
      <c r="AW528" s="1"/>
      <c r="AY528" s="1"/>
      <c r="AZ528" s="1"/>
      <c r="BA528" s="1"/>
      <c r="BB528" s="1"/>
      <c r="BC528" s="2"/>
      <c r="BD528" s="115">
        <v>45415</v>
      </c>
      <c r="BE528" s="115"/>
      <c r="BF528" s="2"/>
      <c r="BG528" s="2"/>
      <c r="BH528" s="2"/>
      <c r="BI528" s="2"/>
      <c r="BJ528" s="2"/>
      <c r="BK528" s="2"/>
      <c r="BL528" s="20">
        <f t="shared" ref="BL528:BL536" ca="1" si="164">SUM(EN528)+220</f>
        <v>550.22233333333327</v>
      </c>
      <c r="BM528" s="22">
        <f t="shared" ref="BM528:BM537" ca="1" si="165">PMT(10%/12,12,BL528,0,0)</f>
        <v>-48.373284608766077</v>
      </c>
      <c r="BN528" s="22">
        <f t="shared" ref="BN528:BN537" ca="1" si="166">SUM(BM528*-1)</f>
        <v>48.373284608766077</v>
      </c>
      <c r="BO528" s="14">
        <f t="shared" ref="BO528:BO536" si="167">SUM(EV528*0.0052)/12</f>
        <v>9.1866666666666656</v>
      </c>
      <c r="BP528" s="22">
        <f t="shared" ref="BP528:BP537" ca="1" si="168">SUM(BN528+BO528)</f>
        <v>57.559951275432745</v>
      </c>
      <c r="BQ528" s="14"/>
      <c r="BR528" s="14">
        <f t="shared" ref="BR528:BR537" si="169">SUM(BQ528*0.1)</f>
        <v>0</v>
      </c>
      <c r="BS528" s="14">
        <f t="shared" ref="BS528:BS537" ca="1" si="170">SUM(BT528*BU528)</f>
        <v>0</v>
      </c>
      <c r="BT528" s="17">
        <f t="shared" ref="BT528:BT537" si="171">SUM((BQ528+BR528)*0.00833333333333333)</f>
        <v>0</v>
      </c>
      <c r="BU528" s="23">
        <f t="shared" ref="BU528:BU536" ca="1" si="172">MONTH(TODAY())+61</f>
        <v>65</v>
      </c>
      <c r="BV528" s="14">
        <f t="shared" ref="BV528:BV537" ca="1" si="173">SUM(BQ528,BR528,BS528)</f>
        <v>0</v>
      </c>
      <c r="BW528" s="14"/>
      <c r="BX528" s="14">
        <f t="shared" ref="BX528:BX537" si="174">SUM(BW528*0.1)</f>
        <v>0</v>
      </c>
      <c r="BY528" s="14">
        <f t="shared" ref="BY528:BY537" ca="1" si="175">SUM(BZ528*CA528)</f>
        <v>0</v>
      </c>
      <c r="BZ528" s="17">
        <f t="shared" ref="BZ528:BZ537" si="176">SUM((BW528+BX528)*0.00833333333333333)</f>
        <v>0</v>
      </c>
      <c r="CA528" s="23">
        <f t="shared" ref="CA528:CA536" ca="1" si="177">MONTH(TODAY())+49</f>
        <v>53</v>
      </c>
      <c r="CB528" s="14">
        <f t="shared" ref="CB528:CB537" ca="1" si="178">SUM(BW528,BX528,BY528)</f>
        <v>0</v>
      </c>
      <c r="CC528" s="14">
        <v>0</v>
      </c>
      <c r="CD528" s="14">
        <f t="shared" ref="CD528:CD537" si="179">SUM(CC528*0.1)</f>
        <v>0</v>
      </c>
      <c r="CE528" s="14">
        <f t="shared" ref="CE528:CE537" ca="1" si="180">SUM(CF528*CG528)</f>
        <v>0</v>
      </c>
      <c r="CF528" s="17">
        <f t="shared" ref="CF528:CF537" si="181">SUM((CC528+CD528)*0.00833333333333333)</f>
        <v>0</v>
      </c>
      <c r="CG528" s="23">
        <f t="shared" ref="CG528:CG536" ca="1" si="182">MONTH(TODAY())+37</f>
        <v>41</v>
      </c>
      <c r="CH528" s="14">
        <f t="shared" ref="CH528:CH537" ca="1" si="183">SUM(CC528,CD528,CE528)</f>
        <v>0</v>
      </c>
      <c r="CI528" s="14">
        <v>0</v>
      </c>
      <c r="CJ528" s="14">
        <f t="shared" ref="CJ528:CJ537" si="184">SUM(CI528*0.1)</f>
        <v>0</v>
      </c>
      <c r="CK528" s="14">
        <f t="shared" ref="CK528:CK537" ca="1" si="185">SUM(CL528*CM528)</f>
        <v>0</v>
      </c>
      <c r="CL528" s="17">
        <f t="shared" ref="CL528:CL537" si="186">SUM((CI528+CJ528)*0.00833333333333333)</f>
        <v>0</v>
      </c>
      <c r="CM528" s="23">
        <f t="shared" ref="CM528:CM537" ca="1" si="187">MONTH(TODAY())+25</f>
        <v>29</v>
      </c>
      <c r="CN528" s="14">
        <f t="shared" ref="CN528:CN537" ca="1" si="188">SUM(CI528,CJ528,CK528)</f>
        <v>0</v>
      </c>
      <c r="CO528" s="14">
        <f t="shared" ref="CO528:CO536" si="189">SUM(ES528*0.0052)/2</f>
        <v>44.199999999999996</v>
      </c>
      <c r="CP528" s="14">
        <f t="shared" ref="CP528:CP537" si="190">SUM(CO528*0.1)</f>
        <v>4.42</v>
      </c>
      <c r="CQ528" s="14">
        <f t="shared" ref="CQ528:CQ537" ca="1" si="191">SUM(CR528*CS528)</f>
        <v>8.5084999999999962</v>
      </c>
      <c r="CR528" s="17">
        <f t="shared" ref="CR528:CR537" si="192">SUM((CO528+CP528)*0.00833333333333333)</f>
        <v>0.40516666666666645</v>
      </c>
      <c r="CS528" s="23">
        <f t="shared" ref="CS528:CS536" ca="1" si="193">MONTH(TODAY())+17</f>
        <v>21</v>
      </c>
      <c r="CT528" s="23">
        <f t="shared" ref="CT528:CT537" ca="1" si="194">SUM(CO528,CP528,CQ528)</f>
        <v>57.128499999999995</v>
      </c>
      <c r="CU528" s="14">
        <f t="shared" ref="CU528:CU536" si="195">SUM(ES528*0.0052)/2</f>
        <v>44.199999999999996</v>
      </c>
      <c r="CV528" s="14">
        <f t="shared" ref="CV528:CV537" si="196">SUM(CU528*0.1)</f>
        <v>4.42</v>
      </c>
      <c r="CW528" s="14">
        <f t="shared" ref="CW528:CW537" ca="1" si="197">SUM(CX528*CY528)</f>
        <v>6.8878333333333295</v>
      </c>
      <c r="CX528" s="17">
        <f t="shared" ref="CX528:CX537" si="198">SUM((CU528+CV528)*0.00833333333333333)</f>
        <v>0.40516666666666645</v>
      </c>
      <c r="CY528" s="23">
        <f t="shared" ref="CY528:CY537" ca="1" si="199">MONTH(TODAY())+13</f>
        <v>17</v>
      </c>
      <c r="CZ528" s="23">
        <f t="shared" ref="CZ528:CZ537" ca="1" si="200">SUM(CU528,CV528,CW528)</f>
        <v>55.507833333333323</v>
      </c>
      <c r="DA528" s="14">
        <f t="shared" ref="DA528:DA536" si="201">SUM(EV528*0.0045)/2</f>
        <v>47.699999999999996</v>
      </c>
      <c r="DB528" s="14">
        <f t="shared" ref="DB528:DB537" si="202">SUM(DA528*0.1)</f>
        <v>4.7699999999999996</v>
      </c>
      <c r="DC528" s="14">
        <f t="shared" ref="DC528:DC537" ca="1" si="203">SUM(DD528*DE528)</f>
        <v>4.8097499999999975</v>
      </c>
      <c r="DD528" s="17">
        <f t="shared" ref="DD528:DD537" si="204">SUM((DA528+DB528)*0.00833333333333333)</f>
        <v>0.43724999999999981</v>
      </c>
      <c r="DE528" s="23">
        <f t="shared" ref="DE528:DE537" ca="1" si="205">MONTH(TODAY())+7</f>
        <v>11</v>
      </c>
      <c r="DF528" s="23">
        <f t="shared" ref="DF528:DF537" ca="1" si="206">SUM(DA528,DB528,DC528)</f>
        <v>57.279749999999993</v>
      </c>
      <c r="DG528" s="14">
        <f t="shared" ref="DG528:DG536" si="207">SUM(EV528*0.0045)/2</f>
        <v>47.699999999999996</v>
      </c>
      <c r="DH528" s="14">
        <f t="shared" ref="DH528:DH537" si="208">SUM(DG528*0.1)</f>
        <v>4.7699999999999996</v>
      </c>
      <c r="DI528" s="14">
        <f t="shared" ref="DI528:DI537" ca="1" si="209">SUM(DJ528*DK528)</f>
        <v>2.1862499999999989</v>
      </c>
      <c r="DJ528" s="17">
        <f t="shared" ref="DJ528:DJ537" si="210">SUM((DG528+DH528)*0.00833333333333333)</f>
        <v>0.43724999999999981</v>
      </c>
      <c r="DK528" s="23">
        <f t="shared" ref="DK528:DK537" ca="1" si="211">MONTH(TODAY())+1</f>
        <v>5</v>
      </c>
      <c r="DL528" s="14">
        <f t="shared" ref="DL528:DL537" ca="1" si="212">SUM(DG528,DH528,DI528)</f>
        <v>54.65625</v>
      </c>
      <c r="DM528" s="14">
        <f t="shared" ref="DM528:DM536" si="213">SUM(EV528*0.0045)/2</f>
        <v>47.699999999999996</v>
      </c>
      <c r="DN528" s="14">
        <f>0</f>
        <v>0</v>
      </c>
      <c r="DO528" s="14">
        <f>0</f>
        <v>0</v>
      </c>
      <c r="DP528" s="17">
        <f t="shared" ref="DP528:DP536" si="214">SUM((DM528+DN528)*0.00833333333333333)</f>
        <v>0.3974999999999998</v>
      </c>
      <c r="DQ528" s="23">
        <f t="shared" ref="DQ528:DQ536" ca="1" si="215">MONTH(TODAY())+7</f>
        <v>11</v>
      </c>
      <c r="DR528" s="23">
        <f t="shared" ref="DR528:DR536" si="216">SUM(DM528,DN528,DO528)</f>
        <v>47.699999999999996</v>
      </c>
      <c r="DS528" s="14">
        <f>0</f>
        <v>0</v>
      </c>
      <c r="DT528" s="14">
        <f>0</f>
        <v>0</v>
      </c>
      <c r="DU528" s="14">
        <f t="shared" ref="DU528:DU536" ca="1" si="217">SUM(DV528*DW528)</f>
        <v>0</v>
      </c>
      <c r="DV528" s="17">
        <f t="shared" ref="DV528:DV536" si="218">SUM((DS528+DT528)*0.00833333333333333)</f>
        <v>0</v>
      </c>
      <c r="DW528" s="23">
        <f t="shared" ref="DW528:DW536" ca="1" si="219">MONTH(TODAY())+1</f>
        <v>5</v>
      </c>
      <c r="DX528" s="14">
        <f t="shared" ref="DX528:DX536" ca="1" si="220">SUM(DS528,DT528,DU528)</f>
        <v>0</v>
      </c>
      <c r="DY528" s="14">
        <f t="shared" ref="DY528:DY536" si="221">SUM( BQ528, BW528, CC528, CI528, CO528,CU528,DA528,DG528,DM528,DS528)</f>
        <v>231.49999999999997</v>
      </c>
      <c r="DZ528" s="14">
        <f t="shared" ref="DZ528:DZ536" si="222">SUM(BR528,BX528,CD528,CJ528, CP528,CV528,DB528,DH528,DN528,DT528)</f>
        <v>18.38</v>
      </c>
      <c r="EA528" s="14">
        <f t="shared" ref="EA528:EA536" ca="1" si="223">SUM(BS528,BY528,CE528,CK528, CQ528,CW528,DC528,DI528,DO528,DU528)</f>
        <v>22.392333333333323</v>
      </c>
      <c r="EB528" s="25">
        <f t="shared" ref="EB528:EB536" ca="1" si="224">SUM(DY528:EA528)</f>
        <v>272.27233333333328</v>
      </c>
      <c r="EC528" s="47">
        <f t="shared" ref="EC528:EC535" ca="1" si="225">SUM(EB528/ES528)</f>
        <v>1.6016019607843133E-2</v>
      </c>
      <c r="ED528" s="14">
        <f t="shared" ref="ED528:ED535" si="226">20+10</f>
        <v>30</v>
      </c>
      <c r="EE528" s="32">
        <f t="shared" ref="EE528:EE536" si="227">COUNTIF(AO528, "*")+COUNTIF(AJ528, "*")+COUNTIF(AA528, "*")+COUNTIF(FG528, "*")+COUNTIF(FM528, "*")+COUNTIF(FS528, "*")+COUNTIF(FW528, "*")+COUNTIF(GD528, "*")+COUNTIF(AS528, "*")+COUNTIF(GM528, "*")+COUNTIF(GX528, "*")+COUNTIF(HI528, "*")+COUNTIF(HQ528, "*")+COUNTIF(HY528, "*")+COUNTIF(IG528, "*")</f>
        <v>2</v>
      </c>
      <c r="EF528" s="14">
        <f t="shared" ref="EF528:EF536" si="228">EE528*0.64</f>
        <v>1.28</v>
      </c>
      <c r="EG528" s="4"/>
      <c r="EH528" s="4">
        <v>26.67</v>
      </c>
      <c r="EI528" s="4"/>
      <c r="EJ528" s="4"/>
      <c r="EL528" s="4"/>
      <c r="EM528" s="14">
        <f t="shared" ref="EM528:EM536" si="229">SUM(EH528:EL528)</f>
        <v>26.67</v>
      </c>
      <c r="EN528" s="14">
        <f t="shared" ref="EN528:EN536" ca="1" si="230">SUM(EB528,ED528,EM528, EG528, EF528,GJ528)</f>
        <v>330.22233333333327</v>
      </c>
      <c r="EO528" s="24" t="s">
        <v>4935</v>
      </c>
      <c r="EP528" s="23">
        <v>1.29</v>
      </c>
      <c r="EQ528" s="14">
        <v>17000</v>
      </c>
      <c r="ER528" s="14">
        <v>0</v>
      </c>
      <c r="ES528" s="14">
        <f t="shared" ref="ES528:ES536" si="231">SUM(EQ528+ER528)</f>
        <v>17000</v>
      </c>
      <c r="ET528" s="14">
        <v>21200</v>
      </c>
      <c r="EU528" s="14">
        <v>0</v>
      </c>
      <c r="EV528" s="14">
        <f t="shared" ref="EV528:EV536" si="232">SUM(ET528+EU528)</f>
        <v>21200</v>
      </c>
      <c r="EW528" s="10"/>
      <c r="EX528" s="10"/>
      <c r="EY528" s="10"/>
      <c r="EZ528" s="10"/>
      <c r="FA528" s="10"/>
      <c r="FB528" s="10"/>
      <c r="FC528" s="10"/>
      <c r="FD528" s="10"/>
      <c r="GJ528" s="4"/>
      <c r="IK528" s="9"/>
      <c r="IV528" s="4"/>
      <c r="IW528" s="4"/>
      <c r="IX528" s="4"/>
      <c r="IY528" s="9"/>
      <c r="IZ528" s="9"/>
      <c r="JA528" s="9"/>
      <c r="JB528" s="9"/>
      <c r="JC528" s="9"/>
    </row>
    <row r="529" spans="1:263" ht="15" customHeight="1">
      <c r="A529" s="2">
        <v>102024119</v>
      </c>
      <c r="B529" t="s">
        <v>5437</v>
      </c>
      <c r="D529" s="1"/>
      <c r="E529" s="3"/>
      <c r="G529" s="3"/>
      <c r="J529" t="s">
        <v>554</v>
      </c>
      <c r="K529" t="s">
        <v>5426</v>
      </c>
      <c r="L529" t="s">
        <v>5427</v>
      </c>
      <c r="O529" s="3"/>
      <c r="P529" t="s">
        <v>5426</v>
      </c>
      <c r="Q529" t="s">
        <v>1152</v>
      </c>
      <c r="R529" t="s">
        <v>1584</v>
      </c>
      <c r="AG529" s="43"/>
      <c r="AJ529" s="18" t="s">
        <v>328</v>
      </c>
      <c r="AK529" s="1"/>
      <c r="AL529" t="s">
        <v>386</v>
      </c>
      <c r="AM529"/>
      <c r="AN529"/>
      <c r="AO529" t="s">
        <v>5428</v>
      </c>
      <c r="AP529" s="1" t="s">
        <v>258</v>
      </c>
      <c r="AQ529" s="18" t="s">
        <v>5429</v>
      </c>
      <c r="AR529" t="s">
        <v>1668</v>
      </c>
      <c r="AS529" s="10"/>
      <c r="AT529" s="10"/>
      <c r="AU529" s="10"/>
      <c r="AV529" s="10"/>
      <c r="AW529" s="1"/>
      <c r="AY529" s="1"/>
      <c r="AZ529" s="1"/>
      <c r="BA529" s="1"/>
      <c r="BB529" s="1"/>
      <c r="BC529" s="2"/>
      <c r="BD529" s="115">
        <v>45415</v>
      </c>
      <c r="BE529" s="115"/>
      <c r="BF529" s="2"/>
      <c r="BG529" s="2"/>
      <c r="BH529" s="2"/>
      <c r="BI529" s="2"/>
      <c r="BJ529" s="2"/>
      <c r="BK529" s="2"/>
      <c r="BL529" s="20">
        <f t="shared" ca="1" si="164"/>
        <v>356.25833333333333</v>
      </c>
      <c r="BM529" s="22">
        <f t="shared" ca="1" si="165"/>
        <v>-31.3207674580845</v>
      </c>
      <c r="BN529" s="22">
        <f t="shared" ca="1" si="166"/>
        <v>31.3207674580845</v>
      </c>
      <c r="BO529" s="14">
        <f t="shared" si="167"/>
        <v>2.6</v>
      </c>
      <c r="BP529" s="22">
        <f t="shared" ca="1" si="168"/>
        <v>33.920767458084498</v>
      </c>
      <c r="BQ529" s="14"/>
      <c r="BR529" s="14">
        <f t="shared" si="169"/>
        <v>0</v>
      </c>
      <c r="BS529" s="14">
        <f t="shared" ca="1" si="170"/>
        <v>0</v>
      </c>
      <c r="BT529" s="17">
        <f t="shared" si="171"/>
        <v>0</v>
      </c>
      <c r="BU529" s="23">
        <f t="shared" ca="1" si="172"/>
        <v>65</v>
      </c>
      <c r="BV529" s="14">
        <f t="shared" ca="1" si="173"/>
        <v>0</v>
      </c>
      <c r="BW529" s="14"/>
      <c r="BX529" s="14">
        <f t="shared" si="174"/>
        <v>0</v>
      </c>
      <c r="BY529" s="14">
        <f t="shared" ca="1" si="175"/>
        <v>0</v>
      </c>
      <c r="BZ529" s="17">
        <f t="shared" si="176"/>
        <v>0</v>
      </c>
      <c r="CA529" s="23">
        <f t="shared" ca="1" si="177"/>
        <v>53</v>
      </c>
      <c r="CB529" s="14">
        <f t="shared" ca="1" si="178"/>
        <v>0</v>
      </c>
      <c r="CC529" s="14">
        <v>0</v>
      </c>
      <c r="CD529" s="14">
        <f t="shared" si="179"/>
        <v>0</v>
      </c>
      <c r="CE529" s="14">
        <f t="shared" ca="1" si="180"/>
        <v>0</v>
      </c>
      <c r="CF529" s="17">
        <f t="shared" si="181"/>
        <v>0</v>
      </c>
      <c r="CG529" s="23">
        <f t="shared" ca="1" si="182"/>
        <v>41</v>
      </c>
      <c r="CH529" s="14">
        <f t="shared" ca="1" si="183"/>
        <v>0</v>
      </c>
      <c r="CI529" s="14">
        <v>0</v>
      </c>
      <c r="CJ529" s="14">
        <f t="shared" si="184"/>
        <v>0</v>
      </c>
      <c r="CK529" s="14">
        <f t="shared" ca="1" si="185"/>
        <v>0</v>
      </c>
      <c r="CL529" s="17">
        <f t="shared" si="186"/>
        <v>0</v>
      </c>
      <c r="CM529" s="23">
        <f t="shared" ca="1" si="187"/>
        <v>29</v>
      </c>
      <c r="CN529" s="14">
        <f t="shared" ca="1" si="188"/>
        <v>0</v>
      </c>
      <c r="CO529" s="14">
        <f t="shared" si="189"/>
        <v>13</v>
      </c>
      <c r="CP529" s="14">
        <f t="shared" si="190"/>
        <v>1.3</v>
      </c>
      <c r="CQ529" s="14">
        <f t="shared" ca="1" si="191"/>
        <v>2.5024999999999991</v>
      </c>
      <c r="CR529" s="17">
        <f t="shared" si="192"/>
        <v>0.11916666666666662</v>
      </c>
      <c r="CS529" s="23">
        <f t="shared" ca="1" si="193"/>
        <v>21</v>
      </c>
      <c r="CT529" s="23">
        <f t="shared" ca="1" si="194"/>
        <v>16.802499999999998</v>
      </c>
      <c r="CU529" s="14">
        <f t="shared" si="195"/>
        <v>13</v>
      </c>
      <c r="CV529" s="14">
        <f t="shared" si="196"/>
        <v>1.3</v>
      </c>
      <c r="CW529" s="14">
        <f t="shared" ca="1" si="197"/>
        <v>2.0258333333333325</v>
      </c>
      <c r="CX529" s="17">
        <f t="shared" si="198"/>
        <v>0.11916666666666662</v>
      </c>
      <c r="CY529" s="23">
        <f t="shared" ca="1" si="199"/>
        <v>17</v>
      </c>
      <c r="CZ529" s="23">
        <f t="shared" ca="1" si="200"/>
        <v>16.325833333333332</v>
      </c>
      <c r="DA529" s="14">
        <f t="shared" si="201"/>
        <v>13.499999999999998</v>
      </c>
      <c r="DB529" s="14">
        <f t="shared" si="202"/>
        <v>1.3499999999999999</v>
      </c>
      <c r="DC529" s="14">
        <f t="shared" ca="1" si="203"/>
        <v>1.3612499999999992</v>
      </c>
      <c r="DD529" s="17">
        <f t="shared" si="204"/>
        <v>0.12374999999999993</v>
      </c>
      <c r="DE529" s="23">
        <f t="shared" ca="1" si="205"/>
        <v>11</v>
      </c>
      <c r="DF529" s="23">
        <f t="shared" ca="1" si="206"/>
        <v>16.211249999999996</v>
      </c>
      <c r="DG529" s="14">
        <f t="shared" si="207"/>
        <v>13.499999999999998</v>
      </c>
      <c r="DH529" s="14">
        <f t="shared" si="208"/>
        <v>1.3499999999999999</v>
      </c>
      <c r="DI529" s="14">
        <f t="shared" ca="1" si="209"/>
        <v>0.61874999999999969</v>
      </c>
      <c r="DJ529" s="17">
        <f t="shared" si="210"/>
        <v>0.12374999999999993</v>
      </c>
      <c r="DK529" s="23">
        <f t="shared" ca="1" si="211"/>
        <v>5</v>
      </c>
      <c r="DL529" s="14">
        <f t="shared" ca="1" si="212"/>
        <v>15.468749999999998</v>
      </c>
      <c r="DM529" s="14">
        <f t="shared" si="213"/>
        <v>13.499999999999998</v>
      </c>
      <c r="DN529" s="14">
        <f>0</f>
        <v>0</v>
      </c>
      <c r="DO529" s="14">
        <f>0</f>
        <v>0</v>
      </c>
      <c r="DP529" s="17">
        <f t="shared" si="214"/>
        <v>0.11249999999999993</v>
      </c>
      <c r="DQ529" s="23">
        <f t="shared" ca="1" si="215"/>
        <v>11</v>
      </c>
      <c r="DR529" s="23">
        <f t="shared" si="216"/>
        <v>13.499999999999998</v>
      </c>
      <c r="DS529" s="14">
        <f>0</f>
        <v>0</v>
      </c>
      <c r="DT529" s="14">
        <f>0</f>
        <v>0</v>
      </c>
      <c r="DU529" s="14">
        <f t="shared" ca="1" si="217"/>
        <v>0</v>
      </c>
      <c r="DV529" s="17">
        <f t="shared" si="218"/>
        <v>0</v>
      </c>
      <c r="DW529" s="23">
        <f t="shared" ca="1" si="219"/>
        <v>5</v>
      </c>
      <c r="DX529" s="14">
        <f t="shared" ca="1" si="220"/>
        <v>0</v>
      </c>
      <c r="DY529" s="14">
        <f t="shared" si="221"/>
        <v>66.5</v>
      </c>
      <c r="DZ529" s="14">
        <f t="shared" si="222"/>
        <v>5.3</v>
      </c>
      <c r="EA529" s="14">
        <f t="shared" ca="1" si="223"/>
        <v>6.5083333333333302</v>
      </c>
      <c r="EB529" s="25">
        <f t="shared" ca="1" si="224"/>
        <v>78.308333333333323</v>
      </c>
      <c r="EC529" s="47">
        <f t="shared" ca="1" si="225"/>
        <v>1.5661666666666664E-2</v>
      </c>
      <c r="ED529" s="14">
        <f t="shared" si="226"/>
        <v>30</v>
      </c>
      <c r="EE529" s="32">
        <f t="shared" si="227"/>
        <v>2</v>
      </c>
      <c r="EF529" s="14">
        <f t="shared" si="228"/>
        <v>1.28</v>
      </c>
      <c r="EG529" s="4"/>
      <c r="EH529" s="4">
        <v>26.67</v>
      </c>
      <c r="EI529" s="4"/>
      <c r="EJ529" s="4"/>
      <c r="EL529" s="4"/>
      <c r="EM529" s="14">
        <f t="shared" si="229"/>
        <v>26.67</v>
      </c>
      <c r="EN529" s="14">
        <f t="shared" ca="1" si="230"/>
        <v>136.25833333333333</v>
      </c>
      <c r="EO529" s="24" t="s">
        <v>4935</v>
      </c>
      <c r="EP529" s="23">
        <v>1.42</v>
      </c>
      <c r="EQ529" s="14">
        <v>5000</v>
      </c>
      <c r="ER529" s="14">
        <v>0</v>
      </c>
      <c r="ES529" s="14">
        <f t="shared" si="231"/>
        <v>5000</v>
      </c>
      <c r="ET529" s="14">
        <v>6000</v>
      </c>
      <c r="EU529" s="14">
        <v>0</v>
      </c>
      <c r="EV529" s="14">
        <f t="shared" si="232"/>
        <v>6000</v>
      </c>
      <c r="EW529" s="10"/>
      <c r="EX529" s="10"/>
      <c r="EY529" s="10"/>
      <c r="EZ529" s="10"/>
      <c r="FA529" s="10"/>
      <c r="FB529" s="10"/>
      <c r="FC529" s="10"/>
      <c r="FD529" s="10"/>
      <c r="GJ529" s="4"/>
      <c r="IK529" s="9"/>
      <c r="IV529" s="4"/>
      <c r="IW529" s="4"/>
      <c r="IX529" s="4"/>
      <c r="IY529" s="9"/>
      <c r="IZ529" s="9"/>
      <c r="JA529" s="9"/>
      <c r="JB529" s="9"/>
      <c r="JC529" s="9"/>
    </row>
    <row r="530" spans="1:263" ht="15" customHeight="1">
      <c r="A530" s="2">
        <v>102024120</v>
      </c>
      <c r="B530" t="s">
        <v>5438</v>
      </c>
      <c r="D530" s="1"/>
      <c r="E530" s="3"/>
      <c r="G530" s="3"/>
      <c r="J530" t="s">
        <v>554</v>
      </c>
      <c r="K530" t="s">
        <v>5426</v>
      </c>
      <c r="L530" t="s">
        <v>5427</v>
      </c>
      <c r="O530" s="3"/>
      <c r="P530" t="s">
        <v>5426</v>
      </c>
      <c r="Q530" t="s">
        <v>1152</v>
      </c>
      <c r="R530" t="s">
        <v>1584</v>
      </c>
      <c r="AG530" s="43"/>
      <c r="AJ530" s="18" t="s">
        <v>328</v>
      </c>
      <c r="AK530" s="1"/>
      <c r="AL530" t="s">
        <v>386</v>
      </c>
      <c r="AM530"/>
      <c r="AN530"/>
      <c r="AO530" t="s">
        <v>5428</v>
      </c>
      <c r="AP530" s="1" t="s">
        <v>258</v>
      </c>
      <c r="AQ530" s="18" t="s">
        <v>5429</v>
      </c>
      <c r="AR530" t="s">
        <v>1668</v>
      </c>
      <c r="AS530" s="10"/>
      <c r="AT530" s="10"/>
      <c r="AU530" s="10"/>
      <c r="AV530" s="10"/>
      <c r="AW530" s="1"/>
      <c r="AY530" s="1"/>
      <c r="AZ530" s="1"/>
      <c r="BA530" s="1"/>
      <c r="BB530" s="1"/>
      <c r="BC530" s="2"/>
      <c r="BD530" s="115">
        <v>45415</v>
      </c>
      <c r="BE530" s="115"/>
      <c r="BF530" s="2"/>
      <c r="BG530" s="2"/>
      <c r="BH530" s="2"/>
      <c r="BI530" s="2"/>
      <c r="BJ530" s="2"/>
      <c r="BK530" s="2"/>
      <c r="BL530" s="20">
        <f t="shared" ca="1" si="164"/>
        <v>347.01193333333333</v>
      </c>
      <c r="BM530" s="22">
        <f t="shared" ca="1" si="165"/>
        <v>-30.507861998400941</v>
      </c>
      <c r="BN530" s="22">
        <f t="shared" ca="1" si="166"/>
        <v>30.507861998400941</v>
      </c>
      <c r="BO530" s="14">
        <f t="shared" si="167"/>
        <v>2.2966666666666664</v>
      </c>
      <c r="BP530" s="22">
        <f t="shared" ca="1" si="168"/>
        <v>32.804528665067608</v>
      </c>
      <c r="BQ530" s="14"/>
      <c r="BR530" s="14">
        <f t="shared" si="169"/>
        <v>0</v>
      </c>
      <c r="BS530" s="14">
        <f t="shared" ca="1" si="170"/>
        <v>0</v>
      </c>
      <c r="BT530" s="17">
        <f t="shared" si="171"/>
        <v>0</v>
      </c>
      <c r="BU530" s="23">
        <f t="shared" ca="1" si="172"/>
        <v>65</v>
      </c>
      <c r="BV530" s="14">
        <f t="shared" ca="1" si="173"/>
        <v>0</v>
      </c>
      <c r="BW530" s="14"/>
      <c r="BX530" s="14">
        <f t="shared" si="174"/>
        <v>0</v>
      </c>
      <c r="BY530" s="14">
        <f t="shared" ca="1" si="175"/>
        <v>0</v>
      </c>
      <c r="BZ530" s="17">
        <f t="shared" si="176"/>
        <v>0</v>
      </c>
      <c r="CA530" s="23">
        <f t="shared" ca="1" si="177"/>
        <v>53</v>
      </c>
      <c r="CB530" s="14">
        <f t="shared" ca="1" si="178"/>
        <v>0</v>
      </c>
      <c r="CC530" s="14">
        <v>0</v>
      </c>
      <c r="CD530" s="14">
        <f t="shared" si="179"/>
        <v>0</v>
      </c>
      <c r="CE530" s="14">
        <f t="shared" ca="1" si="180"/>
        <v>0</v>
      </c>
      <c r="CF530" s="17">
        <f t="shared" si="181"/>
        <v>0</v>
      </c>
      <c r="CG530" s="23">
        <f t="shared" ca="1" si="182"/>
        <v>41</v>
      </c>
      <c r="CH530" s="14">
        <f t="shared" ca="1" si="183"/>
        <v>0</v>
      </c>
      <c r="CI530" s="14">
        <v>0</v>
      </c>
      <c r="CJ530" s="14">
        <f t="shared" si="184"/>
        <v>0</v>
      </c>
      <c r="CK530" s="14">
        <f t="shared" ca="1" si="185"/>
        <v>0</v>
      </c>
      <c r="CL530" s="17">
        <f t="shared" si="186"/>
        <v>0</v>
      </c>
      <c r="CM530" s="23">
        <f t="shared" ca="1" si="187"/>
        <v>29</v>
      </c>
      <c r="CN530" s="14">
        <f t="shared" ca="1" si="188"/>
        <v>0</v>
      </c>
      <c r="CO530" s="14">
        <f t="shared" si="189"/>
        <v>11.44</v>
      </c>
      <c r="CP530" s="14">
        <f t="shared" si="190"/>
        <v>1.1439999999999999</v>
      </c>
      <c r="CQ530" s="14">
        <f t="shared" ca="1" si="191"/>
        <v>2.202199999999999</v>
      </c>
      <c r="CR530" s="17">
        <f t="shared" si="192"/>
        <v>0.10486666666666662</v>
      </c>
      <c r="CS530" s="23">
        <f t="shared" ca="1" si="193"/>
        <v>21</v>
      </c>
      <c r="CT530" s="23">
        <f t="shared" ca="1" si="194"/>
        <v>14.786199999999999</v>
      </c>
      <c r="CU530" s="14">
        <f t="shared" si="195"/>
        <v>11.44</v>
      </c>
      <c r="CV530" s="14">
        <f t="shared" si="196"/>
        <v>1.1439999999999999</v>
      </c>
      <c r="CW530" s="14">
        <f t="shared" ca="1" si="197"/>
        <v>1.7827333333333326</v>
      </c>
      <c r="CX530" s="17">
        <f t="shared" si="198"/>
        <v>0.10486666666666662</v>
      </c>
      <c r="CY530" s="23">
        <f t="shared" ca="1" si="199"/>
        <v>17</v>
      </c>
      <c r="CZ530" s="23">
        <f t="shared" ca="1" si="200"/>
        <v>14.366733333333332</v>
      </c>
      <c r="DA530" s="14">
        <f t="shared" si="201"/>
        <v>11.924999999999999</v>
      </c>
      <c r="DB530" s="14">
        <f t="shared" si="202"/>
        <v>1.1924999999999999</v>
      </c>
      <c r="DC530" s="14">
        <f t="shared" ca="1" si="203"/>
        <v>1.2024374999999994</v>
      </c>
      <c r="DD530" s="17">
        <f t="shared" si="204"/>
        <v>0.10931249999999995</v>
      </c>
      <c r="DE530" s="23">
        <f t="shared" ca="1" si="205"/>
        <v>11</v>
      </c>
      <c r="DF530" s="23">
        <f t="shared" ca="1" si="206"/>
        <v>14.319937499999998</v>
      </c>
      <c r="DG530" s="14">
        <f t="shared" si="207"/>
        <v>11.924999999999999</v>
      </c>
      <c r="DH530" s="14">
        <f t="shared" si="208"/>
        <v>1.1924999999999999</v>
      </c>
      <c r="DI530" s="14">
        <f t="shared" ca="1" si="209"/>
        <v>0.54656249999999973</v>
      </c>
      <c r="DJ530" s="17">
        <f t="shared" si="210"/>
        <v>0.10931249999999995</v>
      </c>
      <c r="DK530" s="23">
        <f t="shared" ca="1" si="211"/>
        <v>5</v>
      </c>
      <c r="DL530" s="14">
        <f t="shared" ca="1" si="212"/>
        <v>13.6640625</v>
      </c>
      <c r="DM530" s="14">
        <f t="shared" si="213"/>
        <v>11.924999999999999</v>
      </c>
      <c r="DN530" s="14">
        <f>0</f>
        <v>0</v>
      </c>
      <c r="DO530" s="14">
        <f>0</f>
        <v>0</v>
      </c>
      <c r="DP530" s="17">
        <f t="shared" si="214"/>
        <v>9.9374999999999949E-2</v>
      </c>
      <c r="DQ530" s="23">
        <f t="shared" ca="1" si="215"/>
        <v>11</v>
      </c>
      <c r="DR530" s="23">
        <f t="shared" si="216"/>
        <v>11.924999999999999</v>
      </c>
      <c r="DS530" s="14">
        <f>0</f>
        <v>0</v>
      </c>
      <c r="DT530" s="14">
        <f>0</f>
        <v>0</v>
      </c>
      <c r="DU530" s="14">
        <f t="shared" ca="1" si="217"/>
        <v>0</v>
      </c>
      <c r="DV530" s="17">
        <f t="shared" si="218"/>
        <v>0</v>
      </c>
      <c r="DW530" s="23">
        <f t="shared" ca="1" si="219"/>
        <v>5</v>
      </c>
      <c r="DX530" s="14">
        <f t="shared" ca="1" si="220"/>
        <v>0</v>
      </c>
      <c r="DY530" s="14">
        <f t="shared" si="221"/>
        <v>58.654999999999994</v>
      </c>
      <c r="DZ530" s="14">
        <f t="shared" si="222"/>
        <v>4.673</v>
      </c>
      <c r="EA530" s="14">
        <f t="shared" ca="1" si="223"/>
        <v>5.7339333333333302</v>
      </c>
      <c r="EB530" s="25">
        <f t="shared" ca="1" si="224"/>
        <v>69.061933333333329</v>
      </c>
      <c r="EC530" s="47">
        <f t="shared" ca="1" si="225"/>
        <v>1.569589393939394E-2</v>
      </c>
      <c r="ED530" s="14">
        <f t="shared" si="226"/>
        <v>30</v>
      </c>
      <c r="EE530" s="32">
        <f t="shared" si="227"/>
        <v>2</v>
      </c>
      <c r="EF530" s="14">
        <f t="shared" si="228"/>
        <v>1.28</v>
      </c>
      <c r="EG530" s="4"/>
      <c r="EH530" s="4">
        <v>26.67</v>
      </c>
      <c r="EI530" s="4"/>
      <c r="EJ530" s="4"/>
      <c r="EL530" s="4"/>
      <c r="EM530" s="14">
        <f t="shared" si="229"/>
        <v>26.67</v>
      </c>
      <c r="EN530" s="14">
        <f t="shared" ca="1" si="230"/>
        <v>127.01193333333333</v>
      </c>
      <c r="EO530" s="24" t="s">
        <v>4935</v>
      </c>
      <c r="EP530" s="23">
        <v>1.26</v>
      </c>
      <c r="EQ530" s="14">
        <v>4400</v>
      </c>
      <c r="ER530" s="14">
        <v>0</v>
      </c>
      <c r="ES530" s="14">
        <f t="shared" si="231"/>
        <v>4400</v>
      </c>
      <c r="ET530" s="14">
        <v>5300</v>
      </c>
      <c r="EU530" s="14">
        <v>0</v>
      </c>
      <c r="EV530" s="14">
        <f t="shared" si="232"/>
        <v>5300</v>
      </c>
      <c r="EW530" s="10"/>
      <c r="EX530" s="10"/>
      <c r="EY530" s="10"/>
      <c r="EZ530" s="10"/>
      <c r="FA530" s="10"/>
      <c r="FB530" s="10"/>
      <c r="FC530" s="10"/>
      <c r="FD530" s="10"/>
      <c r="GJ530" s="4"/>
      <c r="IK530" s="9"/>
      <c r="IV530" s="4"/>
      <c r="IW530" s="4"/>
      <c r="IX530" s="4"/>
      <c r="IY530" s="9"/>
      <c r="IZ530" s="9"/>
      <c r="JA530" s="9"/>
      <c r="JB530" s="9"/>
      <c r="JC530" s="9"/>
    </row>
    <row r="531" spans="1:263" ht="15" customHeight="1">
      <c r="A531" s="2">
        <v>102024121</v>
      </c>
      <c r="B531" t="s">
        <v>5439</v>
      </c>
      <c r="D531" s="1"/>
      <c r="E531" s="3"/>
      <c r="G531" s="3"/>
      <c r="J531" t="s">
        <v>554</v>
      </c>
      <c r="K531" t="s">
        <v>5426</v>
      </c>
      <c r="L531" t="s">
        <v>5427</v>
      </c>
      <c r="O531" s="3"/>
      <c r="P531" t="s">
        <v>5426</v>
      </c>
      <c r="Q531" t="s">
        <v>1152</v>
      </c>
      <c r="R531" t="s">
        <v>1584</v>
      </c>
      <c r="AG531" s="43"/>
      <c r="AJ531" s="18" t="s">
        <v>328</v>
      </c>
      <c r="AK531" s="1"/>
      <c r="AL531" t="s">
        <v>386</v>
      </c>
      <c r="AM531"/>
      <c r="AN531"/>
      <c r="AO531" t="s">
        <v>5428</v>
      </c>
      <c r="AP531" s="1" t="s">
        <v>258</v>
      </c>
      <c r="AQ531" s="18" t="s">
        <v>5429</v>
      </c>
      <c r="AR531" t="s">
        <v>1668</v>
      </c>
      <c r="AS531" s="10"/>
      <c r="AT531" s="10"/>
      <c r="AU531" s="10"/>
      <c r="AV531" s="10"/>
      <c r="AW531" s="1"/>
      <c r="AY531" s="1"/>
      <c r="AZ531" s="1"/>
      <c r="BA531" s="1"/>
      <c r="BB531" s="1"/>
      <c r="BC531" s="2"/>
      <c r="BD531" s="115">
        <v>45415</v>
      </c>
      <c r="BE531" s="115"/>
      <c r="BF531" s="2"/>
      <c r="BG531" s="2"/>
      <c r="BH531" s="2"/>
      <c r="BI531" s="2"/>
      <c r="BJ531" s="2"/>
      <c r="BK531" s="2"/>
      <c r="BL531" s="20">
        <f t="shared" ca="1" si="164"/>
        <v>337.76553333333334</v>
      </c>
      <c r="BM531" s="22">
        <f t="shared" ca="1" si="165"/>
        <v>-29.694956538717378</v>
      </c>
      <c r="BN531" s="22">
        <f t="shared" ca="1" si="166"/>
        <v>29.694956538717378</v>
      </c>
      <c r="BO531" s="14">
        <f t="shared" si="167"/>
        <v>1.9933333333333332</v>
      </c>
      <c r="BP531" s="22">
        <f t="shared" ca="1" si="168"/>
        <v>31.68828987205071</v>
      </c>
      <c r="BQ531" s="14"/>
      <c r="BR531" s="14">
        <f t="shared" si="169"/>
        <v>0</v>
      </c>
      <c r="BS531" s="14">
        <f t="shared" ca="1" si="170"/>
        <v>0</v>
      </c>
      <c r="BT531" s="17">
        <f t="shared" si="171"/>
        <v>0</v>
      </c>
      <c r="BU531" s="23">
        <f t="shared" ca="1" si="172"/>
        <v>65</v>
      </c>
      <c r="BV531" s="14">
        <f t="shared" ca="1" si="173"/>
        <v>0</v>
      </c>
      <c r="BW531" s="14"/>
      <c r="BX531" s="14">
        <f t="shared" si="174"/>
        <v>0</v>
      </c>
      <c r="BY531" s="14">
        <f t="shared" ca="1" si="175"/>
        <v>0</v>
      </c>
      <c r="BZ531" s="17">
        <f t="shared" si="176"/>
        <v>0</v>
      </c>
      <c r="CA531" s="23">
        <f t="shared" ca="1" si="177"/>
        <v>53</v>
      </c>
      <c r="CB531" s="14">
        <f t="shared" ca="1" si="178"/>
        <v>0</v>
      </c>
      <c r="CC531" s="14">
        <v>0</v>
      </c>
      <c r="CD531" s="14">
        <f t="shared" si="179"/>
        <v>0</v>
      </c>
      <c r="CE531" s="14">
        <f t="shared" ca="1" si="180"/>
        <v>0</v>
      </c>
      <c r="CF531" s="17">
        <f t="shared" si="181"/>
        <v>0</v>
      </c>
      <c r="CG531" s="23">
        <f t="shared" ca="1" si="182"/>
        <v>41</v>
      </c>
      <c r="CH531" s="14">
        <f t="shared" ca="1" si="183"/>
        <v>0</v>
      </c>
      <c r="CI531" s="14">
        <v>0</v>
      </c>
      <c r="CJ531" s="14">
        <f t="shared" si="184"/>
        <v>0</v>
      </c>
      <c r="CK531" s="14">
        <f t="shared" ca="1" si="185"/>
        <v>0</v>
      </c>
      <c r="CL531" s="17">
        <f t="shared" si="186"/>
        <v>0</v>
      </c>
      <c r="CM531" s="23">
        <f t="shared" ca="1" si="187"/>
        <v>29</v>
      </c>
      <c r="CN531" s="14">
        <f t="shared" ca="1" si="188"/>
        <v>0</v>
      </c>
      <c r="CO531" s="14">
        <f t="shared" si="189"/>
        <v>9.879999999999999</v>
      </c>
      <c r="CP531" s="14">
        <f t="shared" si="190"/>
        <v>0.98799999999999999</v>
      </c>
      <c r="CQ531" s="14">
        <f t="shared" ca="1" si="191"/>
        <v>1.9018999999999988</v>
      </c>
      <c r="CR531" s="17">
        <f t="shared" si="192"/>
        <v>9.0566666666666615E-2</v>
      </c>
      <c r="CS531" s="23">
        <f t="shared" ca="1" si="193"/>
        <v>21</v>
      </c>
      <c r="CT531" s="23">
        <f t="shared" ca="1" si="194"/>
        <v>12.769899999999998</v>
      </c>
      <c r="CU531" s="14">
        <f t="shared" si="195"/>
        <v>9.879999999999999</v>
      </c>
      <c r="CV531" s="14">
        <f t="shared" si="196"/>
        <v>0.98799999999999999</v>
      </c>
      <c r="CW531" s="14">
        <f t="shared" ca="1" si="197"/>
        <v>1.5396333333333325</v>
      </c>
      <c r="CX531" s="17">
        <f t="shared" si="198"/>
        <v>9.0566666666666615E-2</v>
      </c>
      <c r="CY531" s="23">
        <f t="shared" ca="1" si="199"/>
        <v>17</v>
      </c>
      <c r="CZ531" s="23">
        <f t="shared" ca="1" si="200"/>
        <v>12.407633333333331</v>
      </c>
      <c r="DA531" s="14">
        <f t="shared" si="201"/>
        <v>10.35</v>
      </c>
      <c r="DB531" s="14">
        <f t="shared" si="202"/>
        <v>1.0349999999999999</v>
      </c>
      <c r="DC531" s="14">
        <f t="shared" ca="1" si="203"/>
        <v>1.0436249999999996</v>
      </c>
      <c r="DD531" s="17">
        <f t="shared" si="204"/>
        <v>9.4874999999999959E-2</v>
      </c>
      <c r="DE531" s="23">
        <f t="shared" ca="1" si="205"/>
        <v>11</v>
      </c>
      <c r="DF531" s="23">
        <f t="shared" ca="1" si="206"/>
        <v>12.428625</v>
      </c>
      <c r="DG531" s="14">
        <f t="shared" si="207"/>
        <v>10.35</v>
      </c>
      <c r="DH531" s="14">
        <f t="shared" si="208"/>
        <v>1.0349999999999999</v>
      </c>
      <c r="DI531" s="14">
        <f t="shared" ca="1" si="209"/>
        <v>0.47437499999999977</v>
      </c>
      <c r="DJ531" s="17">
        <f t="shared" si="210"/>
        <v>9.4874999999999959E-2</v>
      </c>
      <c r="DK531" s="23">
        <f t="shared" ca="1" si="211"/>
        <v>5</v>
      </c>
      <c r="DL531" s="14">
        <f t="shared" ca="1" si="212"/>
        <v>11.859375</v>
      </c>
      <c r="DM531" s="14">
        <f t="shared" si="213"/>
        <v>10.35</v>
      </c>
      <c r="DN531" s="14">
        <f>0</f>
        <v>0</v>
      </c>
      <c r="DO531" s="14">
        <f>0</f>
        <v>0</v>
      </c>
      <c r="DP531" s="17">
        <f t="shared" si="214"/>
        <v>8.6249999999999966E-2</v>
      </c>
      <c r="DQ531" s="23">
        <f t="shared" ca="1" si="215"/>
        <v>11</v>
      </c>
      <c r="DR531" s="23">
        <f t="shared" si="216"/>
        <v>10.35</v>
      </c>
      <c r="DS531" s="14">
        <f>0</f>
        <v>0</v>
      </c>
      <c r="DT531" s="14">
        <f>0</f>
        <v>0</v>
      </c>
      <c r="DU531" s="14">
        <f t="shared" ca="1" si="217"/>
        <v>0</v>
      </c>
      <c r="DV531" s="17">
        <f t="shared" si="218"/>
        <v>0</v>
      </c>
      <c r="DW531" s="23">
        <f t="shared" ca="1" si="219"/>
        <v>5</v>
      </c>
      <c r="DX531" s="14">
        <f t="shared" ca="1" si="220"/>
        <v>0</v>
      </c>
      <c r="DY531" s="14">
        <f t="shared" si="221"/>
        <v>50.81</v>
      </c>
      <c r="DZ531" s="14">
        <f t="shared" si="222"/>
        <v>4.0460000000000003</v>
      </c>
      <c r="EA531" s="14">
        <f t="shared" ca="1" si="223"/>
        <v>4.9595333333333311</v>
      </c>
      <c r="EB531" s="25">
        <f t="shared" ca="1" si="224"/>
        <v>59.815533333333335</v>
      </c>
      <c r="EC531" s="47">
        <f t="shared" ca="1" si="225"/>
        <v>1.5740929824561403E-2</v>
      </c>
      <c r="ED531" s="14">
        <f t="shared" si="226"/>
        <v>30</v>
      </c>
      <c r="EE531" s="32">
        <f t="shared" si="227"/>
        <v>2</v>
      </c>
      <c r="EF531" s="14">
        <f t="shared" si="228"/>
        <v>1.28</v>
      </c>
      <c r="EG531" s="4"/>
      <c r="EH531" s="4">
        <v>26.67</v>
      </c>
      <c r="EI531" s="4"/>
      <c r="EJ531" s="4"/>
      <c r="EL531" s="4"/>
      <c r="EM531" s="14">
        <f t="shared" si="229"/>
        <v>26.67</v>
      </c>
      <c r="EN531" s="14">
        <f t="shared" ca="1" si="230"/>
        <v>117.76553333333334</v>
      </c>
      <c r="EO531" s="24" t="s">
        <v>4935</v>
      </c>
      <c r="EP531" s="23">
        <v>1.0900000000000001</v>
      </c>
      <c r="EQ531" s="14">
        <v>3800</v>
      </c>
      <c r="ER531" s="14">
        <v>0</v>
      </c>
      <c r="ES531" s="14">
        <f t="shared" si="231"/>
        <v>3800</v>
      </c>
      <c r="ET531" s="14">
        <v>4600</v>
      </c>
      <c r="EU531" s="14">
        <v>0</v>
      </c>
      <c r="EV531" s="14">
        <f t="shared" si="232"/>
        <v>4600</v>
      </c>
      <c r="EW531" s="10"/>
      <c r="EX531" s="10"/>
      <c r="EY531" s="10"/>
      <c r="EZ531" s="10"/>
      <c r="FA531" s="10"/>
      <c r="FB531" s="10"/>
      <c r="FC531" s="10"/>
      <c r="FD531" s="10"/>
      <c r="GJ531" s="4"/>
      <c r="IK531" s="9"/>
      <c r="IV531" s="4"/>
      <c r="IW531" s="4"/>
      <c r="IX531" s="4"/>
      <c r="IY531" s="9"/>
      <c r="IZ531" s="9"/>
      <c r="JA531" s="9"/>
      <c r="JB531" s="9"/>
      <c r="JC531" s="9"/>
    </row>
    <row r="532" spans="1:263" ht="15" customHeight="1">
      <c r="A532" s="2">
        <v>102024122</v>
      </c>
      <c r="B532" t="s">
        <v>5440</v>
      </c>
      <c r="D532" s="1"/>
      <c r="E532" s="3"/>
      <c r="G532" s="3"/>
      <c r="J532" t="s">
        <v>554</v>
      </c>
      <c r="K532" t="s">
        <v>5426</v>
      </c>
      <c r="L532" t="s">
        <v>5427</v>
      </c>
      <c r="O532" s="3"/>
      <c r="P532" t="s">
        <v>5426</v>
      </c>
      <c r="Q532" t="s">
        <v>1152</v>
      </c>
      <c r="R532" t="s">
        <v>1584</v>
      </c>
      <c r="AG532" s="43"/>
      <c r="AJ532" s="18" t="s">
        <v>328</v>
      </c>
      <c r="AK532" s="1"/>
      <c r="AL532" t="s">
        <v>386</v>
      </c>
      <c r="AM532"/>
      <c r="AN532"/>
      <c r="AO532" t="s">
        <v>5428</v>
      </c>
      <c r="AP532" s="1" t="s">
        <v>258</v>
      </c>
      <c r="AQ532" s="18" t="s">
        <v>5429</v>
      </c>
      <c r="AR532" t="s">
        <v>1668</v>
      </c>
      <c r="AS532" s="10"/>
      <c r="AT532" s="10"/>
      <c r="AU532" s="10"/>
      <c r="AV532" s="10"/>
      <c r="AW532" s="1"/>
      <c r="AY532" s="1"/>
      <c r="AZ532" s="1"/>
      <c r="BA532" s="1"/>
      <c r="BB532" s="1"/>
      <c r="BC532" s="2"/>
      <c r="BD532" s="115">
        <v>45415</v>
      </c>
      <c r="BE532" s="115"/>
      <c r="BF532" s="2"/>
      <c r="BG532" s="2"/>
      <c r="BH532" s="2"/>
      <c r="BI532" s="2"/>
      <c r="BJ532" s="2"/>
      <c r="BK532" s="2"/>
      <c r="BL532" s="20">
        <f t="shared" ca="1" si="164"/>
        <v>347.01193333333333</v>
      </c>
      <c r="BM532" s="22">
        <f t="shared" ca="1" si="165"/>
        <v>-30.507861998400941</v>
      </c>
      <c r="BN532" s="22">
        <f t="shared" ca="1" si="166"/>
        <v>30.507861998400941</v>
      </c>
      <c r="BO532" s="14">
        <f t="shared" si="167"/>
        <v>2.2966666666666664</v>
      </c>
      <c r="BP532" s="22">
        <f t="shared" ca="1" si="168"/>
        <v>32.804528665067608</v>
      </c>
      <c r="BQ532" s="14"/>
      <c r="BR532" s="14">
        <f t="shared" si="169"/>
        <v>0</v>
      </c>
      <c r="BS532" s="14">
        <f t="shared" ca="1" si="170"/>
        <v>0</v>
      </c>
      <c r="BT532" s="17">
        <f t="shared" si="171"/>
        <v>0</v>
      </c>
      <c r="BU532" s="23">
        <f t="shared" ca="1" si="172"/>
        <v>65</v>
      </c>
      <c r="BV532" s="14">
        <f t="shared" ca="1" si="173"/>
        <v>0</v>
      </c>
      <c r="BW532" s="14"/>
      <c r="BX532" s="14">
        <f t="shared" si="174"/>
        <v>0</v>
      </c>
      <c r="BY532" s="14">
        <f t="shared" ca="1" si="175"/>
        <v>0</v>
      </c>
      <c r="BZ532" s="17">
        <f t="shared" si="176"/>
        <v>0</v>
      </c>
      <c r="CA532" s="23">
        <f t="shared" ca="1" si="177"/>
        <v>53</v>
      </c>
      <c r="CB532" s="14">
        <f t="shared" ca="1" si="178"/>
        <v>0</v>
      </c>
      <c r="CC532" s="14">
        <v>0</v>
      </c>
      <c r="CD532" s="14">
        <f t="shared" si="179"/>
        <v>0</v>
      </c>
      <c r="CE532" s="14">
        <f t="shared" ca="1" si="180"/>
        <v>0</v>
      </c>
      <c r="CF532" s="17">
        <f t="shared" si="181"/>
        <v>0</v>
      </c>
      <c r="CG532" s="23">
        <f t="shared" ca="1" si="182"/>
        <v>41</v>
      </c>
      <c r="CH532" s="14">
        <f t="shared" ca="1" si="183"/>
        <v>0</v>
      </c>
      <c r="CI532" s="14">
        <v>0</v>
      </c>
      <c r="CJ532" s="14">
        <f t="shared" si="184"/>
        <v>0</v>
      </c>
      <c r="CK532" s="14">
        <f t="shared" ca="1" si="185"/>
        <v>0</v>
      </c>
      <c r="CL532" s="17">
        <f t="shared" si="186"/>
        <v>0</v>
      </c>
      <c r="CM532" s="23">
        <f t="shared" ca="1" si="187"/>
        <v>29</v>
      </c>
      <c r="CN532" s="14">
        <f t="shared" ca="1" si="188"/>
        <v>0</v>
      </c>
      <c r="CO532" s="14">
        <f t="shared" si="189"/>
        <v>11.44</v>
      </c>
      <c r="CP532" s="14">
        <f t="shared" si="190"/>
        <v>1.1439999999999999</v>
      </c>
      <c r="CQ532" s="14">
        <f t="shared" ca="1" si="191"/>
        <v>2.202199999999999</v>
      </c>
      <c r="CR532" s="17">
        <f t="shared" si="192"/>
        <v>0.10486666666666662</v>
      </c>
      <c r="CS532" s="23">
        <f t="shared" ca="1" si="193"/>
        <v>21</v>
      </c>
      <c r="CT532" s="23">
        <f t="shared" ca="1" si="194"/>
        <v>14.786199999999999</v>
      </c>
      <c r="CU532" s="14">
        <f t="shared" si="195"/>
        <v>11.44</v>
      </c>
      <c r="CV532" s="14">
        <f t="shared" si="196"/>
        <v>1.1439999999999999</v>
      </c>
      <c r="CW532" s="14">
        <f t="shared" ca="1" si="197"/>
        <v>1.7827333333333326</v>
      </c>
      <c r="CX532" s="17">
        <f t="shared" si="198"/>
        <v>0.10486666666666662</v>
      </c>
      <c r="CY532" s="23">
        <f t="shared" ca="1" si="199"/>
        <v>17</v>
      </c>
      <c r="CZ532" s="23">
        <f t="shared" ca="1" si="200"/>
        <v>14.366733333333332</v>
      </c>
      <c r="DA532" s="14">
        <f t="shared" si="201"/>
        <v>11.924999999999999</v>
      </c>
      <c r="DB532" s="14">
        <f t="shared" si="202"/>
        <v>1.1924999999999999</v>
      </c>
      <c r="DC532" s="14">
        <f t="shared" ca="1" si="203"/>
        <v>1.2024374999999994</v>
      </c>
      <c r="DD532" s="17">
        <f t="shared" si="204"/>
        <v>0.10931249999999995</v>
      </c>
      <c r="DE532" s="23">
        <f t="shared" ca="1" si="205"/>
        <v>11</v>
      </c>
      <c r="DF532" s="23">
        <f t="shared" ca="1" si="206"/>
        <v>14.319937499999998</v>
      </c>
      <c r="DG532" s="14">
        <f t="shared" si="207"/>
        <v>11.924999999999999</v>
      </c>
      <c r="DH532" s="14">
        <f t="shared" si="208"/>
        <v>1.1924999999999999</v>
      </c>
      <c r="DI532" s="14">
        <f t="shared" ca="1" si="209"/>
        <v>0.54656249999999973</v>
      </c>
      <c r="DJ532" s="17">
        <f t="shared" si="210"/>
        <v>0.10931249999999995</v>
      </c>
      <c r="DK532" s="23">
        <f t="shared" ca="1" si="211"/>
        <v>5</v>
      </c>
      <c r="DL532" s="14">
        <f t="shared" ca="1" si="212"/>
        <v>13.6640625</v>
      </c>
      <c r="DM532" s="14">
        <f t="shared" si="213"/>
        <v>11.924999999999999</v>
      </c>
      <c r="DN532" s="14">
        <f>0</f>
        <v>0</v>
      </c>
      <c r="DO532" s="14">
        <f>0</f>
        <v>0</v>
      </c>
      <c r="DP532" s="17">
        <f t="shared" si="214"/>
        <v>9.9374999999999949E-2</v>
      </c>
      <c r="DQ532" s="23">
        <f t="shared" ca="1" si="215"/>
        <v>11</v>
      </c>
      <c r="DR532" s="23">
        <f t="shared" si="216"/>
        <v>11.924999999999999</v>
      </c>
      <c r="DS532" s="14">
        <f>0</f>
        <v>0</v>
      </c>
      <c r="DT532" s="14">
        <f>0</f>
        <v>0</v>
      </c>
      <c r="DU532" s="14">
        <f t="shared" ca="1" si="217"/>
        <v>0</v>
      </c>
      <c r="DV532" s="17">
        <f t="shared" si="218"/>
        <v>0</v>
      </c>
      <c r="DW532" s="23">
        <f t="shared" ca="1" si="219"/>
        <v>5</v>
      </c>
      <c r="DX532" s="14">
        <f t="shared" ca="1" si="220"/>
        <v>0</v>
      </c>
      <c r="DY532" s="14">
        <f t="shared" si="221"/>
        <v>58.654999999999994</v>
      </c>
      <c r="DZ532" s="14">
        <f t="shared" si="222"/>
        <v>4.673</v>
      </c>
      <c r="EA532" s="14">
        <f t="shared" ca="1" si="223"/>
        <v>5.7339333333333302</v>
      </c>
      <c r="EB532" s="25">
        <f t="shared" ca="1" si="224"/>
        <v>69.061933333333329</v>
      </c>
      <c r="EC532" s="47">
        <f t="shared" ca="1" si="225"/>
        <v>1.569589393939394E-2</v>
      </c>
      <c r="ED532" s="14">
        <f t="shared" si="226"/>
        <v>30</v>
      </c>
      <c r="EE532" s="32">
        <f t="shared" si="227"/>
        <v>2</v>
      </c>
      <c r="EF532" s="14">
        <f t="shared" si="228"/>
        <v>1.28</v>
      </c>
      <c r="EG532" s="4"/>
      <c r="EH532" s="4">
        <v>26.67</v>
      </c>
      <c r="EI532" s="4"/>
      <c r="EJ532" s="4"/>
      <c r="EL532" s="4"/>
      <c r="EM532" s="14">
        <f t="shared" si="229"/>
        <v>26.67</v>
      </c>
      <c r="EN532" s="14">
        <f t="shared" ca="1" si="230"/>
        <v>127.01193333333333</v>
      </c>
      <c r="EO532" s="24" t="s">
        <v>4935</v>
      </c>
      <c r="EP532" s="23">
        <v>1.25</v>
      </c>
      <c r="EQ532" s="14">
        <v>4400</v>
      </c>
      <c r="ER532" s="14">
        <v>0</v>
      </c>
      <c r="ES532" s="14">
        <f t="shared" si="231"/>
        <v>4400</v>
      </c>
      <c r="ET532" s="14">
        <v>5300</v>
      </c>
      <c r="EU532" s="14">
        <v>0</v>
      </c>
      <c r="EV532" s="14">
        <f t="shared" si="232"/>
        <v>5300</v>
      </c>
      <c r="EW532" s="10"/>
      <c r="EX532" s="10"/>
      <c r="EY532" s="10"/>
      <c r="EZ532" s="10"/>
      <c r="FA532" s="10"/>
      <c r="FB532" s="10"/>
      <c r="FC532" s="10"/>
      <c r="FD532" s="10"/>
      <c r="GJ532" s="4"/>
      <c r="IK532" s="9"/>
      <c r="IV532" s="4"/>
      <c r="IW532" s="4"/>
      <c r="IX532" s="4"/>
      <c r="IY532" s="9"/>
      <c r="IZ532" s="9"/>
      <c r="JA532" s="9"/>
      <c r="JB532" s="9"/>
      <c r="JC532" s="9"/>
    </row>
    <row r="533" spans="1:263" ht="15" customHeight="1">
      <c r="A533" s="2">
        <v>102024123</v>
      </c>
      <c r="B533" t="s">
        <v>5441</v>
      </c>
      <c r="D533" s="1"/>
      <c r="E533" s="3"/>
      <c r="G533" s="3"/>
      <c r="J533" t="s">
        <v>554</v>
      </c>
      <c r="K533" t="s">
        <v>5426</v>
      </c>
      <c r="L533" t="s">
        <v>5427</v>
      </c>
      <c r="O533" s="3"/>
      <c r="P533" t="s">
        <v>5426</v>
      </c>
      <c r="Q533" t="s">
        <v>1152</v>
      </c>
      <c r="R533" t="s">
        <v>1584</v>
      </c>
      <c r="AG533" s="43"/>
      <c r="AJ533" s="18" t="s">
        <v>328</v>
      </c>
      <c r="AK533" s="1"/>
      <c r="AL533" t="s">
        <v>386</v>
      </c>
      <c r="AM533"/>
      <c r="AN533"/>
      <c r="AO533" t="s">
        <v>5428</v>
      </c>
      <c r="AP533" s="1" t="s">
        <v>258</v>
      </c>
      <c r="AQ533" s="18" t="s">
        <v>5429</v>
      </c>
      <c r="AR533" t="s">
        <v>1668</v>
      </c>
      <c r="AS533" s="10"/>
      <c r="AT533" s="10"/>
      <c r="AU533" s="10"/>
      <c r="AV533" s="10"/>
      <c r="AW533" s="1"/>
      <c r="AY533" s="1"/>
      <c r="AZ533" s="1"/>
      <c r="BA533" s="1"/>
      <c r="BB533" s="1"/>
      <c r="BC533" s="2"/>
      <c r="BD533" s="115">
        <v>45415</v>
      </c>
      <c r="BE533" s="115"/>
      <c r="BF533" s="2"/>
      <c r="BG533" s="2"/>
      <c r="BH533" s="2"/>
      <c r="BI533" s="2"/>
      <c r="BJ533" s="2"/>
      <c r="BK533" s="2"/>
      <c r="BL533" s="20">
        <f t="shared" ca="1" si="164"/>
        <v>345.59636666666665</v>
      </c>
      <c r="BM533" s="22">
        <f t="shared" ca="1" si="165"/>
        <v>-30.38341119896771</v>
      </c>
      <c r="BN533" s="22">
        <f t="shared" ca="1" si="166"/>
        <v>30.38341119896771</v>
      </c>
      <c r="BO533" s="14">
        <f t="shared" si="167"/>
        <v>2.2533333333333334</v>
      </c>
      <c r="BP533" s="22">
        <f t="shared" ca="1" si="168"/>
        <v>32.636744532301044</v>
      </c>
      <c r="BQ533" s="14"/>
      <c r="BR533" s="14">
        <f t="shared" si="169"/>
        <v>0</v>
      </c>
      <c r="BS533" s="14">
        <f t="shared" ca="1" si="170"/>
        <v>0</v>
      </c>
      <c r="BT533" s="17">
        <f t="shared" si="171"/>
        <v>0</v>
      </c>
      <c r="BU533" s="23">
        <f t="shared" ca="1" si="172"/>
        <v>65</v>
      </c>
      <c r="BV533" s="14">
        <f t="shared" ca="1" si="173"/>
        <v>0</v>
      </c>
      <c r="BW533" s="14"/>
      <c r="BX533" s="14">
        <f t="shared" si="174"/>
        <v>0</v>
      </c>
      <c r="BY533" s="14">
        <f t="shared" ca="1" si="175"/>
        <v>0</v>
      </c>
      <c r="BZ533" s="17">
        <f t="shared" si="176"/>
        <v>0</v>
      </c>
      <c r="CA533" s="23">
        <f t="shared" ca="1" si="177"/>
        <v>53</v>
      </c>
      <c r="CB533" s="14">
        <f t="shared" ca="1" si="178"/>
        <v>0</v>
      </c>
      <c r="CC533" s="14">
        <v>0</v>
      </c>
      <c r="CD533" s="14">
        <f t="shared" si="179"/>
        <v>0</v>
      </c>
      <c r="CE533" s="14">
        <f t="shared" ca="1" si="180"/>
        <v>0</v>
      </c>
      <c r="CF533" s="17">
        <f t="shared" si="181"/>
        <v>0</v>
      </c>
      <c r="CG533" s="23">
        <f t="shared" ca="1" si="182"/>
        <v>41</v>
      </c>
      <c r="CH533" s="14">
        <f t="shared" ca="1" si="183"/>
        <v>0</v>
      </c>
      <c r="CI533" s="14">
        <v>0</v>
      </c>
      <c r="CJ533" s="14">
        <f t="shared" si="184"/>
        <v>0</v>
      </c>
      <c r="CK533" s="14">
        <f t="shared" ca="1" si="185"/>
        <v>0</v>
      </c>
      <c r="CL533" s="17">
        <f t="shared" si="186"/>
        <v>0</v>
      </c>
      <c r="CM533" s="23">
        <f t="shared" ca="1" si="187"/>
        <v>29</v>
      </c>
      <c r="CN533" s="14">
        <f t="shared" ca="1" si="188"/>
        <v>0</v>
      </c>
      <c r="CO533" s="14">
        <f t="shared" si="189"/>
        <v>11.18</v>
      </c>
      <c r="CP533" s="14">
        <f t="shared" si="190"/>
        <v>1.1180000000000001</v>
      </c>
      <c r="CQ533" s="14">
        <f t="shared" ca="1" si="191"/>
        <v>2.1521499999999989</v>
      </c>
      <c r="CR533" s="17">
        <f t="shared" si="192"/>
        <v>0.10248333333333329</v>
      </c>
      <c r="CS533" s="23">
        <f t="shared" ca="1" si="193"/>
        <v>21</v>
      </c>
      <c r="CT533" s="23">
        <f t="shared" ca="1" si="194"/>
        <v>14.450149999999999</v>
      </c>
      <c r="CU533" s="14">
        <f t="shared" si="195"/>
        <v>11.18</v>
      </c>
      <c r="CV533" s="14">
        <f t="shared" si="196"/>
        <v>1.1180000000000001</v>
      </c>
      <c r="CW533" s="14">
        <f t="shared" ca="1" si="197"/>
        <v>1.7422166666666659</v>
      </c>
      <c r="CX533" s="17">
        <f t="shared" si="198"/>
        <v>0.10248333333333329</v>
      </c>
      <c r="CY533" s="23">
        <f t="shared" ca="1" si="199"/>
        <v>17</v>
      </c>
      <c r="CZ533" s="23">
        <f t="shared" ca="1" si="200"/>
        <v>14.040216666666666</v>
      </c>
      <c r="DA533" s="14">
        <f t="shared" si="201"/>
        <v>11.7</v>
      </c>
      <c r="DB533" s="14">
        <f t="shared" si="202"/>
        <v>1.17</v>
      </c>
      <c r="DC533" s="14">
        <f t="shared" ca="1" si="203"/>
        <v>1.1797499999999994</v>
      </c>
      <c r="DD533" s="17">
        <f t="shared" si="204"/>
        <v>0.10724999999999994</v>
      </c>
      <c r="DE533" s="23">
        <f t="shared" ca="1" si="205"/>
        <v>11</v>
      </c>
      <c r="DF533" s="23">
        <f t="shared" ca="1" si="206"/>
        <v>14.04975</v>
      </c>
      <c r="DG533" s="14">
        <f t="shared" si="207"/>
        <v>11.7</v>
      </c>
      <c r="DH533" s="14">
        <f t="shared" si="208"/>
        <v>1.17</v>
      </c>
      <c r="DI533" s="14">
        <f t="shared" ca="1" si="209"/>
        <v>0.53624999999999967</v>
      </c>
      <c r="DJ533" s="17">
        <f t="shared" si="210"/>
        <v>0.10724999999999994</v>
      </c>
      <c r="DK533" s="23">
        <f t="shared" ca="1" si="211"/>
        <v>5</v>
      </c>
      <c r="DL533" s="14">
        <f t="shared" ca="1" si="212"/>
        <v>13.406249999999998</v>
      </c>
      <c r="DM533" s="14">
        <f t="shared" si="213"/>
        <v>11.7</v>
      </c>
      <c r="DN533" s="14">
        <f>0</f>
        <v>0</v>
      </c>
      <c r="DO533" s="14">
        <f>0</f>
        <v>0</v>
      </c>
      <c r="DP533" s="17">
        <f t="shared" si="214"/>
        <v>9.7499999999999948E-2</v>
      </c>
      <c r="DQ533" s="23">
        <f t="shared" ca="1" si="215"/>
        <v>11</v>
      </c>
      <c r="DR533" s="23">
        <f t="shared" si="216"/>
        <v>11.7</v>
      </c>
      <c r="DS533" s="14">
        <f>0</f>
        <v>0</v>
      </c>
      <c r="DT533" s="14">
        <f>0</f>
        <v>0</v>
      </c>
      <c r="DU533" s="14">
        <f t="shared" ca="1" si="217"/>
        <v>0</v>
      </c>
      <c r="DV533" s="17">
        <f t="shared" si="218"/>
        <v>0</v>
      </c>
      <c r="DW533" s="23">
        <f t="shared" ca="1" si="219"/>
        <v>5</v>
      </c>
      <c r="DX533" s="14">
        <f t="shared" ca="1" si="220"/>
        <v>0</v>
      </c>
      <c r="DY533" s="14">
        <f t="shared" si="221"/>
        <v>57.460000000000008</v>
      </c>
      <c r="DZ533" s="14">
        <f t="shared" si="222"/>
        <v>4.5760000000000005</v>
      </c>
      <c r="EA533" s="14">
        <f t="shared" ca="1" si="223"/>
        <v>5.6103666666666641</v>
      </c>
      <c r="EB533" s="25">
        <f t="shared" ca="1" si="224"/>
        <v>67.646366666666665</v>
      </c>
      <c r="EC533" s="47">
        <f t="shared" ca="1" si="225"/>
        <v>1.5731713178294575E-2</v>
      </c>
      <c r="ED533" s="14">
        <f t="shared" si="226"/>
        <v>30</v>
      </c>
      <c r="EE533" s="32">
        <f t="shared" si="227"/>
        <v>2</v>
      </c>
      <c r="EF533" s="14">
        <f t="shared" si="228"/>
        <v>1.28</v>
      </c>
      <c r="EG533" s="4"/>
      <c r="EH533" s="4">
        <v>26.67</v>
      </c>
      <c r="EI533" s="4"/>
      <c r="EJ533" s="4"/>
      <c r="EL533" s="4"/>
      <c r="EM533" s="14">
        <f t="shared" si="229"/>
        <v>26.67</v>
      </c>
      <c r="EN533" s="14">
        <f t="shared" ca="1" si="230"/>
        <v>125.59636666666667</v>
      </c>
      <c r="EO533" s="24" t="s">
        <v>4935</v>
      </c>
      <c r="EP533" s="23">
        <v>1.23</v>
      </c>
      <c r="EQ533" s="14">
        <v>4300</v>
      </c>
      <c r="ER533" s="14">
        <v>0</v>
      </c>
      <c r="ES533" s="14">
        <f t="shared" si="231"/>
        <v>4300</v>
      </c>
      <c r="ET533" s="14">
        <v>5200</v>
      </c>
      <c r="EU533" s="14">
        <v>0</v>
      </c>
      <c r="EV533" s="14">
        <f t="shared" si="232"/>
        <v>5200</v>
      </c>
      <c r="EW533" s="10"/>
      <c r="EX533" s="10"/>
      <c r="EY533" s="10"/>
      <c r="EZ533" s="10"/>
      <c r="FA533" s="10"/>
      <c r="FB533" s="10"/>
      <c r="FC533" s="10"/>
      <c r="FD533" s="10"/>
      <c r="GJ533" s="4"/>
      <c r="IK533" s="9"/>
      <c r="IV533" s="4"/>
      <c r="IW533" s="4"/>
      <c r="IX533" s="4"/>
      <c r="IY533" s="9"/>
      <c r="IZ533" s="9"/>
      <c r="JA533" s="9"/>
      <c r="JB533" s="9"/>
      <c r="JC533" s="9"/>
    </row>
    <row r="534" spans="1:263" ht="15" customHeight="1">
      <c r="A534" s="2">
        <v>102024124</v>
      </c>
      <c r="B534" t="s">
        <v>5442</v>
      </c>
      <c r="D534" s="1"/>
      <c r="E534" s="3"/>
      <c r="G534" s="3"/>
      <c r="J534" t="s">
        <v>554</v>
      </c>
      <c r="K534" t="s">
        <v>5426</v>
      </c>
      <c r="L534" t="s">
        <v>5427</v>
      </c>
      <c r="O534" s="3"/>
      <c r="P534" t="s">
        <v>5426</v>
      </c>
      <c r="Q534" t="s">
        <v>1152</v>
      </c>
      <c r="R534" t="s">
        <v>1584</v>
      </c>
      <c r="AG534" s="43"/>
      <c r="AJ534" s="18" t="s">
        <v>328</v>
      </c>
      <c r="AK534" s="1"/>
      <c r="AL534" t="s">
        <v>386</v>
      </c>
      <c r="AM534"/>
      <c r="AN534"/>
      <c r="AO534" t="s">
        <v>5428</v>
      </c>
      <c r="AP534" s="1" t="s">
        <v>258</v>
      </c>
      <c r="AQ534" s="18" t="s">
        <v>5429</v>
      </c>
      <c r="AR534" t="s">
        <v>1668</v>
      </c>
      <c r="AS534" s="10"/>
      <c r="AT534" s="10"/>
      <c r="AU534" s="10"/>
      <c r="AV534" s="10"/>
      <c r="AW534" s="1"/>
      <c r="AY534" s="1"/>
      <c r="AZ534" s="1"/>
      <c r="BA534" s="1"/>
      <c r="BB534" s="1"/>
      <c r="BC534" s="2"/>
      <c r="BD534" s="115">
        <v>45415</v>
      </c>
      <c r="BE534" s="115"/>
      <c r="BF534" s="2"/>
      <c r="BG534" s="2"/>
      <c r="BH534" s="2"/>
      <c r="BI534" s="2"/>
      <c r="BJ534" s="2"/>
      <c r="BK534" s="2"/>
      <c r="BL534" s="20">
        <f t="shared" ca="1" si="164"/>
        <v>339.18110000000001</v>
      </c>
      <c r="BM534" s="22">
        <f t="shared" ca="1" si="165"/>
        <v>-29.819407338150608</v>
      </c>
      <c r="BN534" s="22">
        <f t="shared" ca="1" si="166"/>
        <v>29.819407338150608</v>
      </c>
      <c r="BO534" s="14">
        <f t="shared" si="167"/>
        <v>2.0366666666666666</v>
      </c>
      <c r="BP534" s="22">
        <f t="shared" ca="1" si="168"/>
        <v>31.856074004817273</v>
      </c>
      <c r="BQ534" s="14"/>
      <c r="BR534" s="14">
        <f t="shared" si="169"/>
        <v>0</v>
      </c>
      <c r="BS534" s="14">
        <f t="shared" ca="1" si="170"/>
        <v>0</v>
      </c>
      <c r="BT534" s="17">
        <f t="shared" si="171"/>
        <v>0</v>
      </c>
      <c r="BU534" s="23">
        <f t="shared" ca="1" si="172"/>
        <v>65</v>
      </c>
      <c r="BV534" s="14">
        <f t="shared" ca="1" si="173"/>
        <v>0</v>
      </c>
      <c r="BW534" s="14"/>
      <c r="BX534" s="14">
        <f t="shared" si="174"/>
        <v>0</v>
      </c>
      <c r="BY534" s="14">
        <f t="shared" ca="1" si="175"/>
        <v>0</v>
      </c>
      <c r="BZ534" s="17">
        <f t="shared" si="176"/>
        <v>0</v>
      </c>
      <c r="CA534" s="23">
        <f t="shared" ca="1" si="177"/>
        <v>53</v>
      </c>
      <c r="CB534" s="14">
        <f t="shared" ca="1" si="178"/>
        <v>0</v>
      </c>
      <c r="CC534" s="14">
        <v>0</v>
      </c>
      <c r="CD534" s="14">
        <f t="shared" si="179"/>
        <v>0</v>
      </c>
      <c r="CE534" s="14">
        <f t="shared" ca="1" si="180"/>
        <v>0</v>
      </c>
      <c r="CF534" s="17">
        <f t="shared" si="181"/>
        <v>0</v>
      </c>
      <c r="CG534" s="23">
        <f t="shared" ca="1" si="182"/>
        <v>41</v>
      </c>
      <c r="CH534" s="14">
        <f t="shared" ca="1" si="183"/>
        <v>0</v>
      </c>
      <c r="CI534" s="14">
        <v>0</v>
      </c>
      <c r="CJ534" s="14">
        <f t="shared" si="184"/>
        <v>0</v>
      </c>
      <c r="CK534" s="14">
        <f t="shared" ca="1" si="185"/>
        <v>0</v>
      </c>
      <c r="CL534" s="17">
        <f t="shared" si="186"/>
        <v>0</v>
      </c>
      <c r="CM534" s="23">
        <f t="shared" ca="1" si="187"/>
        <v>29</v>
      </c>
      <c r="CN534" s="14">
        <f t="shared" ca="1" si="188"/>
        <v>0</v>
      </c>
      <c r="CO534" s="14">
        <f t="shared" si="189"/>
        <v>10.139999999999999</v>
      </c>
      <c r="CP534" s="14">
        <f t="shared" si="190"/>
        <v>1.014</v>
      </c>
      <c r="CQ534" s="14">
        <f t="shared" ca="1" si="191"/>
        <v>1.951949999999999</v>
      </c>
      <c r="CR534" s="17">
        <f t="shared" si="192"/>
        <v>9.2949999999999949E-2</v>
      </c>
      <c r="CS534" s="23">
        <f t="shared" ca="1" si="193"/>
        <v>21</v>
      </c>
      <c r="CT534" s="23">
        <f t="shared" ca="1" si="194"/>
        <v>13.105949999999996</v>
      </c>
      <c r="CU534" s="14">
        <f t="shared" si="195"/>
        <v>10.139999999999999</v>
      </c>
      <c r="CV534" s="14">
        <f t="shared" si="196"/>
        <v>1.014</v>
      </c>
      <c r="CW534" s="14">
        <f t="shared" ca="1" si="197"/>
        <v>1.5801499999999991</v>
      </c>
      <c r="CX534" s="17">
        <f t="shared" si="198"/>
        <v>9.2949999999999949E-2</v>
      </c>
      <c r="CY534" s="23">
        <f t="shared" ca="1" si="199"/>
        <v>17</v>
      </c>
      <c r="CZ534" s="23">
        <f t="shared" ca="1" si="200"/>
        <v>12.734149999999998</v>
      </c>
      <c r="DA534" s="14">
        <f t="shared" si="201"/>
        <v>10.574999999999999</v>
      </c>
      <c r="DB534" s="14">
        <f t="shared" si="202"/>
        <v>1.0574999999999999</v>
      </c>
      <c r="DC534" s="14">
        <f t="shared" ca="1" si="203"/>
        <v>1.0663124999999993</v>
      </c>
      <c r="DD534" s="17">
        <f t="shared" si="204"/>
        <v>9.693749999999994E-2</v>
      </c>
      <c r="DE534" s="23">
        <f t="shared" ca="1" si="205"/>
        <v>11</v>
      </c>
      <c r="DF534" s="23">
        <f t="shared" ca="1" si="206"/>
        <v>12.698812499999997</v>
      </c>
      <c r="DG534" s="14">
        <f t="shared" si="207"/>
        <v>10.574999999999999</v>
      </c>
      <c r="DH534" s="14">
        <f t="shared" si="208"/>
        <v>1.0574999999999999</v>
      </c>
      <c r="DI534" s="14">
        <f t="shared" ca="1" si="209"/>
        <v>0.48468749999999972</v>
      </c>
      <c r="DJ534" s="17">
        <f t="shared" si="210"/>
        <v>9.693749999999994E-2</v>
      </c>
      <c r="DK534" s="23">
        <f t="shared" ca="1" si="211"/>
        <v>5</v>
      </c>
      <c r="DL534" s="14">
        <f t="shared" ca="1" si="212"/>
        <v>12.117187499999998</v>
      </c>
      <c r="DM534" s="14">
        <f t="shared" si="213"/>
        <v>10.574999999999999</v>
      </c>
      <c r="DN534" s="14">
        <f>0</f>
        <v>0</v>
      </c>
      <c r="DO534" s="14">
        <f>0</f>
        <v>0</v>
      </c>
      <c r="DP534" s="17">
        <f t="shared" si="214"/>
        <v>8.8124999999999953E-2</v>
      </c>
      <c r="DQ534" s="23">
        <f t="shared" ca="1" si="215"/>
        <v>11</v>
      </c>
      <c r="DR534" s="23">
        <f t="shared" si="216"/>
        <v>10.574999999999999</v>
      </c>
      <c r="DS534" s="14">
        <f>0</f>
        <v>0</v>
      </c>
      <c r="DT534" s="14">
        <f>0</f>
        <v>0</v>
      </c>
      <c r="DU534" s="14">
        <f t="shared" ca="1" si="217"/>
        <v>0</v>
      </c>
      <c r="DV534" s="17">
        <f t="shared" si="218"/>
        <v>0</v>
      </c>
      <c r="DW534" s="23">
        <f t="shared" ca="1" si="219"/>
        <v>5</v>
      </c>
      <c r="DX534" s="14">
        <f t="shared" ca="1" si="220"/>
        <v>0</v>
      </c>
      <c r="DY534" s="14">
        <f t="shared" si="221"/>
        <v>52.004999999999995</v>
      </c>
      <c r="DZ534" s="14">
        <f t="shared" si="222"/>
        <v>4.1429999999999998</v>
      </c>
      <c r="EA534" s="14">
        <f t="shared" ca="1" si="223"/>
        <v>5.0830999999999973</v>
      </c>
      <c r="EB534" s="25">
        <f t="shared" ca="1" si="224"/>
        <v>61.231099999999991</v>
      </c>
      <c r="EC534" s="47">
        <f t="shared" ca="1" si="225"/>
        <v>1.5700282051282047E-2</v>
      </c>
      <c r="ED534" s="14">
        <f t="shared" si="226"/>
        <v>30</v>
      </c>
      <c r="EE534" s="32">
        <f t="shared" si="227"/>
        <v>2</v>
      </c>
      <c r="EF534" s="14">
        <f t="shared" si="228"/>
        <v>1.28</v>
      </c>
      <c r="EG534" s="4"/>
      <c r="EH534" s="4">
        <v>26.67</v>
      </c>
      <c r="EI534" s="4"/>
      <c r="EJ534" s="4"/>
      <c r="EL534" s="4"/>
      <c r="EM534" s="14">
        <f t="shared" si="229"/>
        <v>26.67</v>
      </c>
      <c r="EN534" s="14">
        <f t="shared" ca="1" si="230"/>
        <v>119.1811</v>
      </c>
      <c r="EO534" s="24" t="s">
        <v>4935</v>
      </c>
      <c r="EP534" s="23">
        <v>1.1200000000000001</v>
      </c>
      <c r="EQ534" s="14">
        <v>3900</v>
      </c>
      <c r="ER534" s="14">
        <v>0</v>
      </c>
      <c r="ES534" s="14">
        <f t="shared" si="231"/>
        <v>3900</v>
      </c>
      <c r="ET534" s="14">
        <v>4700</v>
      </c>
      <c r="EU534" s="14">
        <v>0</v>
      </c>
      <c r="EV534" s="14">
        <f t="shared" si="232"/>
        <v>4700</v>
      </c>
      <c r="EW534" s="10"/>
      <c r="EX534" s="10"/>
      <c r="EY534" s="10"/>
      <c r="EZ534" s="10"/>
      <c r="FA534" s="10"/>
      <c r="FB534" s="10"/>
      <c r="FC534" s="10"/>
      <c r="FD534" s="10"/>
      <c r="GJ534" s="4"/>
      <c r="IK534" s="9"/>
      <c r="IV534" s="4"/>
      <c r="IW534" s="4"/>
      <c r="IX534" s="4"/>
      <c r="IY534" s="9"/>
      <c r="IZ534" s="9"/>
      <c r="JA534" s="9"/>
      <c r="JB534" s="9"/>
      <c r="JC534" s="9"/>
    </row>
    <row r="535" spans="1:263" s="18" customFormat="1" ht="15" customHeight="1">
      <c r="A535" s="2">
        <v>102024125</v>
      </c>
      <c r="B535" t="s">
        <v>5443</v>
      </c>
      <c r="C535"/>
      <c r="D535" s="1"/>
      <c r="E535" s="3"/>
      <c r="F535"/>
      <c r="G535" s="3"/>
      <c r="H535"/>
      <c r="I535"/>
      <c r="J535" t="s">
        <v>554</v>
      </c>
      <c r="K535" t="s">
        <v>5426</v>
      </c>
      <c r="L535" t="s">
        <v>5427</v>
      </c>
      <c r="M535"/>
      <c r="N535"/>
      <c r="O535" s="3"/>
      <c r="P535" t="s">
        <v>5426</v>
      </c>
      <c r="Q535" t="s">
        <v>1152</v>
      </c>
      <c r="R535" t="s">
        <v>1584</v>
      </c>
      <c r="S535"/>
      <c r="T535"/>
      <c r="U535"/>
      <c r="V535"/>
      <c r="W535"/>
      <c r="X535"/>
      <c r="Y535"/>
      <c r="Z535"/>
      <c r="AA535"/>
      <c r="AB535"/>
      <c r="AC535"/>
      <c r="AD535"/>
      <c r="AE535"/>
      <c r="AF535"/>
      <c r="AG535" s="43"/>
      <c r="AH535"/>
      <c r="AI535"/>
      <c r="AJ535" s="18" t="s">
        <v>328</v>
      </c>
      <c r="AK535" s="1"/>
      <c r="AL535" t="s">
        <v>386</v>
      </c>
      <c r="AM535"/>
      <c r="AN535"/>
      <c r="AO535" t="s">
        <v>5428</v>
      </c>
      <c r="AP535" s="1" t="s">
        <v>258</v>
      </c>
      <c r="AQ535" s="18" t="s">
        <v>5429</v>
      </c>
      <c r="AR535" t="s">
        <v>1668</v>
      </c>
      <c r="AS535" s="10"/>
      <c r="AT535" s="10"/>
      <c r="AU535" s="10"/>
      <c r="AV535" s="10"/>
      <c r="AW535" s="1"/>
      <c r="AX535"/>
      <c r="AY535" s="1"/>
      <c r="AZ535" s="1"/>
      <c r="BA535" s="1"/>
      <c r="BB535" s="1"/>
      <c r="BC535" s="2"/>
      <c r="BD535" s="115">
        <v>45415</v>
      </c>
      <c r="BE535" s="115"/>
      <c r="BF535" s="2"/>
      <c r="BG535" s="2"/>
      <c r="BH535" s="2"/>
      <c r="BI535" s="2"/>
      <c r="BJ535" s="2"/>
      <c r="BK535" s="2"/>
      <c r="BL535" s="20">
        <f t="shared" ca="1" si="164"/>
        <v>558.0531666666667</v>
      </c>
      <c r="BM535" s="22">
        <f t="shared" ca="1" si="165"/>
        <v>-49.061739269016414</v>
      </c>
      <c r="BN535" s="22">
        <f t="shared" ca="1" si="166"/>
        <v>49.061739269016414</v>
      </c>
      <c r="BO535" s="14">
        <f t="shared" si="167"/>
        <v>9.4466666666666672</v>
      </c>
      <c r="BP535" s="22">
        <f t="shared" ca="1" si="168"/>
        <v>58.508405935683079</v>
      </c>
      <c r="BQ535" s="14"/>
      <c r="BR535" s="14">
        <f t="shared" si="169"/>
        <v>0</v>
      </c>
      <c r="BS535" s="14">
        <f t="shared" ca="1" si="170"/>
        <v>0</v>
      </c>
      <c r="BT535" s="17">
        <f t="shared" si="171"/>
        <v>0</v>
      </c>
      <c r="BU535" s="23">
        <f t="shared" ca="1" si="172"/>
        <v>65</v>
      </c>
      <c r="BV535" s="14">
        <f t="shared" ca="1" si="173"/>
        <v>0</v>
      </c>
      <c r="BW535" s="14"/>
      <c r="BX535" s="14">
        <f t="shared" si="174"/>
        <v>0</v>
      </c>
      <c r="BY535" s="14">
        <f t="shared" ca="1" si="175"/>
        <v>0</v>
      </c>
      <c r="BZ535" s="17">
        <f t="shared" si="176"/>
        <v>0</v>
      </c>
      <c r="CA535" s="23">
        <f t="shared" ca="1" si="177"/>
        <v>53</v>
      </c>
      <c r="CB535" s="14">
        <f t="shared" ca="1" si="178"/>
        <v>0</v>
      </c>
      <c r="CC535" s="14">
        <v>0</v>
      </c>
      <c r="CD535" s="14">
        <f t="shared" si="179"/>
        <v>0</v>
      </c>
      <c r="CE535" s="14">
        <f t="shared" ca="1" si="180"/>
        <v>0</v>
      </c>
      <c r="CF535" s="17">
        <f t="shared" si="181"/>
        <v>0</v>
      </c>
      <c r="CG535" s="23">
        <f t="shared" ca="1" si="182"/>
        <v>41</v>
      </c>
      <c r="CH535" s="14">
        <f t="shared" ca="1" si="183"/>
        <v>0</v>
      </c>
      <c r="CI535" s="14">
        <v>0</v>
      </c>
      <c r="CJ535" s="14">
        <f t="shared" si="184"/>
        <v>0</v>
      </c>
      <c r="CK535" s="14">
        <f t="shared" ca="1" si="185"/>
        <v>0</v>
      </c>
      <c r="CL535" s="17">
        <f t="shared" si="186"/>
        <v>0</v>
      </c>
      <c r="CM535" s="23">
        <f t="shared" ca="1" si="187"/>
        <v>29</v>
      </c>
      <c r="CN535" s="14">
        <f t="shared" ca="1" si="188"/>
        <v>0</v>
      </c>
      <c r="CO535" s="14">
        <f t="shared" si="189"/>
        <v>45.5</v>
      </c>
      <c r="CP535" s="14">
        <f t="shared" si="190"/>
        <v>4.55</v>
      </c>
      <c r="CQ535" s="14">
        <f t="shared" ca="1" si="191"/>
        <v>8.7587499999999956</v>
      </c>
      <c r="CR535" s="17">
        <f t="shared" si="192"/>
        <v>0.41708333333333314</v>
      </c>
      <c r="CS535" s="23">
        <f t="shared" ca="1" si="193"/>
        <v>21</v>
      </c>
      <c r="CT535" s="23">
        <f t="shared" ca="1" si="194"/>
        <v>58.808749999999989</v>
      </c>
      <c r="CU535" s="14">
        <f t="shared" si="195"/>
        <v>45.5</v>
      </c>
      <c r="CV535" s="14">
        <f t="shared" si="196"/>
        <v>4.55</v>
      </c>
      <c r="CW535" s="14">
        <f t="shared" ca="1" si="197"/>
        <v>7.0904166666666635</v>
      </c>
      <c r="CX535" s="17">
        <f t="shared" si="198"/>
        <v>0.41708333333333314</v>
      </c>
      <c r="CY535" s="23">
        <f t="shared" ca="1" si="199"/>
        <v>17</v>
      </c>
      <c r="CZ535" s="23">
        <f t="shared" ca="1" si="200"/>
        <v>57.14041666666666</v>
      </c>
      <c r="DA535" s="14">
        <f t="shared" si="201"/>
        <v>49.05</v>
      </c>
      <c r="DB535" s="14">
        <f t="shared" si="202"/>
        <v>4.9050000000000002</v>
      </c>
      <c r="DC535" s="14">
        <f t="shared" ca="1" si="203"/>
        <v>4.9458749999999974</v>
      </c>
      <c r="DD535" s="17">
        <f t="shared" si="204"/>
        <v>0.44962499999999977</v>
      </c>
      <c r="DE535" s="23">
        <f t="shared" ca="1" si="205"/>
        <v>11</v>
      </c>
      <c r="DF535" s="23">
        <f t="shared" ca="1" si="206"/>
        <v>58.900874999999999</v>
      </c>
      <c r="DG535" s="14">
        <f t="shared" si="207"/>
        <v>49.05</v>
      </c>
      <c r="DH535" s="14">
        <f t="shared" si="208"/>
        <v>4.9050000000000002</v>
      </c>
      <c r="DI535" s="14">
        <f t="shared" ca="1" si="209"/>
        <v>2.248124999999999</v>
      </c>
      <c r="DJ535" s="17">
        <f t="shared" si="210"/>
        <v>0.44962499999999977</v>
      </c>
      <c r="DK535" s="23">
        <f t="shared" ca="1" si="211"/>
        <v>5</v>
      </c>
      <c r="DL535" s="14">
        <f t="shared" ca="1" si="212"/>
        <v>56.203125</v>
      </c>
      <c r="DM535" s="14">
        <f t="shared" si="213"/>
        <v>49.05</v>
      </c>
      <c r="DN535" s="14">
        <f>0</f>
        <v>0</v>
      </c>
      <c r="DO535" s="14">
        <f>0</f>
        <v>0</v>
      </c>
      <c r="DP535" s="17">
        <f t="shared" si="214"/>
        <v>0.40874999999999978</v>
      </c>
      <c r="DQ535" s="23">
        <f t="shared" ca="1" si="215"/>
        <v>11</v>
      </c>
      <c r="DR535" s="23">
        <f t="shared" si="216"/>
        <v>49.05</v>
      </c>
      <c r="DS535" s="14">
        <f>0</f>
        <v>0</v>
      </c>
      <c r="DT535" s="14">
        <f>0</f>
        <v>0</v>
      </c>
      <c r="DU535" s="14">
        <f t="shared" ca="1" si="217"/>
        <v>0</v>
      </c>
      <c r="DV535" s="17">
        <f t="shared" si="218"/>
        <v>0</v>
      </c>
      <c r="DW535" s="23">
        <f t="shared" ca="1" si="219"/>
        <v>5</v>
      </c>
      <c r="DX535" s="14">
        <f t="shared" ca="1" si="220"/>
        <v>0</v>
      </c>
      <c r="DY535" s="14">
        <f t="shared" si="221"/>
        <v>238.15000000000003</v>
      </c>
      <c r="DZ535" s="14">
        <f t="shared" si="222"/>
        <v>18.91</v>
      </c>
      <c r="EA535" s="14">
        <f t="shared" ca="1" si="223"/>
        <v>23.043166666666654</v>
      </c>
      <c r="EB535" s="25">
        <f t="shared" ca="1" si="224"/>
        <v>280.10316666666671</v>
      </c>
      <c r="EC535" s="47">
        <f t="shared" ca="1" si="225"/>
        <v>1.6005895238095241E-2</v>
      </c>
      <c r="ED535" s="14">
        <f t="shared" si="226"/>
        <v>30</v>
      </c>
      <c r="EE535" s="32">
        <f t="shared" si="227"/>
        <v>2</v>
      </c>
      <c r="EF535" s="14">
        <f t="shared" si="228"/>
        <v>1.28</v>
      </c>
      <c r="EG535" s="4"/>
      <c r="EH535" s="4">
        <v>26.67</v>
      </c>
      <c r="EI535" s="4"/>
      <c r="EJ535" s="4"/>
      <c r="EK535"/>
      <c r="EL535" s="4"/>
      <c r="EM535" s="14">
        <f t="shared" si="229"/>
        <v>26.67</v>
      </c>
      <c r="EN535" s="14">
        <f t="shared" ca="1" si="230"/>
        <v>338.0531666666667</v>
      </c>
      <c r="EO535" s="24" t="s">
        <v>4935</v>
      </c>
      <c r="EP535" s="23">
        <v>1.43</v>
      </c>
      <c r="EQ535" s="14">
        <v>17500</v>
      </c>
      <c r="ER535" s="14">
        <v>0</v>
      </c>
      <c r="ES535" s="14">
        <f t="shared" si="231"/>
        <v>17500</v>
      </c>
      <c r="ET535" s="14">
        <v>21800</v>
      </c>
      <c r="EU535" s="14">
        <v>0</v>
      </c>
      <c r="EV535" s="14">
        <f t="shared" si="232"/>
        <v>21800</v>
      </c>
      <c r="EW535" s="10"/>
      <c r="EX535" s="10"/>
      <c r="EY535" s="10"/>
      <c r="EZ535" s="10"/>
      <c r="FA535" s="10"/>
      <c r="FB535" s="10"/>
      <c r="FC535" s="10"/>
      <c r="FD535" s="10"/>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s="4"/>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s="9"/>
      <c r="IL535"/>
      <c r="IM535"/>
      <c r="IN535"/>
      <c r="IO535"/>
      <c r="IP535"/>
      <c r="IQ535"/>
      <c r="IR535"/>
      <c r="IS535"/>
      <c r="IT535"/>
      <c r="IU535"/>
      <c r="IV535" s="4"/>
      <c r="IW535" s="4"/>
      <c r="IX535" s="4"/>
      <c r="IY535" s="9"/>
      <c r="IZ535" s="9"/>
      <c r="JA535" s="9"/>
      <c r="JB535" s="9"/>
      <c r="JC535" s="9"/>
    </row>
    <row r="536" spans="1:263" ht="15" customHeight="1">
      <c r="A536" s="2">
        <v>102024126</v>
      </c>
      <c r="B536" t="s">
        <v>5444</v>
      </c>
      <c r="D536" s="1">
        <v>2026</v>
      </c>
      <c r="E536" s="3"/>
      <c r="G536" s="3"/>
      <c r="J536" t="s">
        <v>554</v>
      </c>
      <c r="K536" t="s">
        <v>5426</v>
      </c>
      <c r="L536" t="s">
        <v>933</v>
      </c>
      <c r="M536" t="s">
        <v>256</v>
      </c>
      <c r="O536" s="3"/>
      <c r="P536" t="s">
        <v>5426</v>
      </c>
      <c r="Q536" t="s">
        <v>1152</v>
      </c>
      <c r="R536" t="s">
        <v>1584</v>
      </c>
      <c r="AG536" s="43"/>
      <c r="AJ536" s="18" t="s">
        <v>328</v>
      </c>
      <c r="AK536" s="1"/>
      <c r="AL536" t="s">
        <v>386</v>
      </c>
      <c r="AM536"/>
      <c r="AN536"/>
      <c r="AO536" t="s">
        <v>5428</v>
      </c>
      <c r="AP536" s="1" t="s">
        <v>258</v>
      </c>
      <c r="AQ536" s="18" t="s">
        <v>5429</v>
      </c>
      <c r="AR536" t="s">
        <v>1668</v>
      </c>
      <c r="AS536" s="10"/>
      <c r="AT536" s="10"/>
      <c r="AU536" s="10"/>
      <c r="AV536" s="10"/>
      <c r="AW536" s="1"/>
      <c r="AY536" s="1"/>
      <c r="AZ536" s="1"/>
      <c r="BA536" s="1"/>
      <c r="BB536" s="1"/>
      <c r="BC536" s="2"/>
      <c r="BD536" s="116"/>
      <c r="BE536" s="115"/>
      <c r="BF536" s="2"/>
      <c r="BG536" s="2"/>
      <c r="BH536" s="2"/>
      <c r="BI536" s="2"/>
      <c r="BJ536" s="2"/>
      <c r="BK536" s="2"/>
      <c r="BL536" s="20">
        <f t="shared" ca="1" si="164"/>
        <v>254.02010000000001</v>
      </c>
      <c r="BM536" s="22">
        <f t="shared" ca="1" si="165"/>
        <v>-22.332402465755763</v>
      </c>
      <c r="BN536" s="22">
        <f t="shared" ca="1" si="166"/>
        <v>22.332402465755763</v>
      </c>
      <c r="BO536" s="14">
        <f t="shared" si="167"/>
        <v>0.38999999999999996</v>
      </c>
      <c r="BP536" s="22">
        <f t="shared" ca="1" si="168"/>
        <v>22.722402465755764</v>
      </c>
      <c r="BQ536" s="14"/>
      <c r="BR536" s="14">
        <f t="shared" si="169"/>
        <v>0</v>
      </c>
      <c r="BS536" s="14">
        <f t="shared" ca="1" si="170"/>
        <v>0</v>
      </c>
      <c r="BT536" s="17">
        <f t="shared" si="171"/>
        <v>0</v>
      </c>
      <c r="BU536" s="23">
        <f t="shared" ca="1" si="172"/>
        <v>65</v>
      </c>
      <c r="BV536" s="14">
        <f t="shared" ca="1" si="173"/>
        <v>0</v>
      </c>
      <c r="BW536" s="14"/>
      <c r="BX536" s="14">
        <f t="shared" si="174"/>
        <v>0</v>
      </c>
      <c r="BY536" s="14">
        <f t="shared" ca="1" si="175"/>
        <v>0</v>
      </c>
      <c r="BZ536" s="17">
        <f t="shared" si="176"/>
        <v>0</v>
      </c>
      <c r="CA536" s="23">
        <f t="shared" ca="1" si="177"/>
        <v>53</v>
      </c>
      <c r="CB536" s="14">
        <f t="shared" ca="1" si="178"/>
        <v>0</v>
      </c>
      <c r="CC536" s="14">
        <v>0</v>
      </c>
      <c r="CD536" s="14">
        <f t="shared" si="179"/>
        <v>0</v>
      </c>
      <c r="CE536" s="14">
        <f t="shared" ca="1" si="180"/>
        <v>0</v>
      </c>
      <c r="CF536" s="17">
        <f t="shared" si="181"/>
        <v>0</v>
      </c>
      <c r="CG536" s="23">
        <f t="shared" ca="1" si="182"/>
        <v>41</v>
      </c>
      <c r="CH536" s="14">
        <f t="shared" ca="1" si="183"/>
        <v>0</v>
      </c>
      <c r="CI536" s="14">
        <v>0</v>
      </c>
      <c r="CJ536" s="14">
        <f t="shared" si="184"/>
        <v>0</v>
      </c>
      <c r="CK536" s="14">
        <f t="shared" ca="1" si="185"/>
        <v>0</v>
      </c>
      <c r="CL536" s="17">
        <f t="shared" si="186"/>
        <v>0</v>
      </c>
      <c r="CM536" s="23">
        <f t="shared" ca="1" si="187"/>
        <v>29</v>
      </c>
      <c r="CN536" s="14">
        <f t="shared" ca="1" si="188"/>
        <v>0</v>
      </c>
      <c r="CO536" s="14">
        <f t="shared" si="189"/>
        <v>2.34</v>
      </c>
      <c r="CP536" s="14">
        <f t="shared" si="190"/>
        <v>0.23399999999999999</v>
      </c>
      <c r="CQ536" s="14">
        <f t="shared" ca="1" si="191"/>
        <v>0.4504499999999998</v>
      </c>
      <c r="CR536" s="17">
        <f t="shared" si="192"/>
        <v>2.144999999999999E-2</v>
      </c>
      <c r="CS536" s="23">
        <f t="shared" ca="1" si="193"/>
        <v>21</v>
      </c>
      <c r="CT536" s="23">
        <f t="shared" ca="1" si="194"/>
        <v>3.0244499999999999</v>
      </c>
      <c r="CU536" s="14">
        <f t="shared" si="195"/>
        <v>2.34</v>
      </c>
      <c r="CV536" s="14">
        <f t="shared" si="196"/>
        <v>0.23399999999999999</v>
      </c>
      <c r="CW536" s="14">
        <f t="shared" ca="1" si="197"/>
        <v>0.36464999999999981</v>
      </c>
      <c r="CX536" s="17">
        <f t="shared" si="198"/>
        <v>2.144999999999999E-2</v>
      </c>
      <c r="CY536" s="23">
        <f t="shared" ca="1" si="199"/>
        <v>17</v>
      </c>
      <c r="CZ536" s="23">
        <f t="shared" ca="1" si="200"/>
        <v>2.9386499999999995</v>
      </c>
      <c r="DA536" s="14">
        <f t="shared" si="201"/>
        <v>2.0249999999999999</v>
      </c>
      <c r="DB536" s="14">
        <f t="shared" si="202"/>
        <v>0.20250000000000001</v>
      </c>
      <c r="DC536" s="14">
        <f t="shared" ca="1" si="203"/>
        <v>0.20418749999999991</v>
      </c>
      <c r="DD536" s="17">
        <f t="shared" si="204"/>
        <v>1.8562499999999992E-2</v>
      </c>
      <c r="DE536" s="23">
        <f t="shared" ca="1" si="205"/>
        <v>11</v>
      </c>
      <c r="DF536" s="23">
        <f t="shared" ca="1" si="206"/>
        <v>2.4316874999999998</v>
      </c>
      <c r="DG536" s="14">
        <f t="shared" si="207"/>
        <v>2.0249999999999999</v>
      </c>
      <c r="DH536" s="14">
        <f t="shared" si="208"/>
        <v>0.20250000000000001</v>
      </c>
      <c r="DI536" s="14">
        <f t="shared" ca="1" si="209"/>
        <v>9.2812499999999964E-2</v>
      </c>
      <c r="DJ536" s="17">
        <f t="shared" si="210"/>
        <v>1.8562499999999992E-2</v>
      </c>
      <c r="DK536" s="23">
        <f t="shared" ca="1" si="211"/>
        <v>5</v>
      </c>
      <c r="DL536" s="14">
        <f t="shared" ca="1" si="212"/>
        <v>2.3203125</v>
      </c>
      <c r="DM536" s="14">
        <f t="shared" si="213"/>
        <v>2.0249999999999999</v>
      </c>
      <c r="DN536" s="14">
        <f>0</f>
        <v>0</v>
      </c>
      <c r="DO536" s="14">
        <f>0</f>
        <v>0</v>
      </c>
      <c r="DP536" s="17">
        <f t="shared" si="214"/>
        <v>1.6874999999999991E-2</v>
      </c>
      <c r="DQ536" s="23">
        <f t="shared" ca="1" si="215"/>
        <v>11</v>
      </c>
      <c r="DR536" s="23">
        <f t="shared" si="216"/>
        <v>2.0249999999999999</v>
      </c>
      <c r="DS536" s="14">
        <f>0</f>
        <v>0</v>
      </c>
      <c r="DT536" s="14">
        <f>0</f>
        <v>0</v>
      </c>
      <c r="DU536" s="14">
        <f t="shared" ca="1" si="217"/>
        <v>0</v>
      </c>
      <c r="DV536" s="17">
        <f t="shared" si="218"/>
        <v>0</v>
      </c>
      <c r="DW536" s="23">
        <f t="shared" ca="1" si="219"/>
        <v>5</v>
      </c>
      <c r="DX536" s="14">
        <f t="shared" ca="1" si="220"/>
        <v>0</v>
      </c>
      <c r="DY536" s="14">
        <f t="shared" si="221"/>
        <v>10.755000000000001</v>
      </c>
      <c r="DZ536" s="14">
        <f t="shared" si="222"/>
        <v>0.873</v>
      </c>
      <c r="EA536" s="14">
        <f t="shared" ca="1" si="223"/>
        <v>1.1120999999999994</v>
      </c>
      <c r="EB536" s="25">
        <f t="shared" ca="1" si="224"/>
        <v>12.7401</v>
      </c>
      <c r="EC536" s="47">
        <f ca="1">SUM(EB536/ET536)</f>
        <v>1.4155666666666667E-2</v>
      </c>
      <c r="ED536" s="14">
        <f>20</f>
        <v>20</v>
      </c>
      <c r="EE536" s="32">
        <f t="shared" si="227"/>
        <v>2</v>
      </c>
      <c r="EF536" s="14">
        <f t="shared" si="228"/>
        <v>1.28</v>
      </c>
      <c r="EG536" s="4"/>
      <c r="EH536" s="4"/>
      <c r="EI536" s="4"/>
      <c r="EJ536" s="4"/>
      <c r="EL536" s="4"/>
      <c r="EM536" s="14">
        <f t="shared" si="229"/>
        <v>0</v>
      </c>
      <c r="EN536" s="14">
        <f t="shared" ca="1" si="230"/>
        <v>34.020099999999999</v>
      </c>
      <c r="EO536" s="24" t="s">
        <v>4935</v>
      </c>
      <c r="EP536" s="23">
        <v>0.25</v>
      </c>
      <c r="EQ536" s="14">
        <v>900</v>
      </c>
      <c r="ER536" s="14">
        <v>0</v>
      </c>
      <c r="ES536" s="4">
        <f t="shared" si="231"/>
        <v>900</v>
      </c>
      <c r="ET536" s="14">
        <v>900</v>
      </c>
      <c r="EU536" s="14">
        <v>0</v>
      </c>
      <c r="EV536" s="4">
        <f t="shared" si="232"/>
        <v>900</v>
      </c>
      <c r="EW536" s="10"/>
      <c r="EX536" s="10"/>
      <c r="EY536" s="10"/>
      <c r="EZ536" s="10"/>
      <c r="FA536" s="10"/>
      <c r="FB536" s="10"/>
      <c r="FC536" s="10"/>
      <c r="FD536" s="10"/>
      <c r="GJ536" s="4"/>
      <c r="IK536" s="9"/>
      <c r="IV536" s="4"/>
      <c r="IW536" s="4"/>
      <c r="IX536" s="4"/>
      <c r="IY536" s="9"/>
      <c r="IZ536" s="9"/>
      <c r="JA536" s="9"/>
      <c r="JB536" s="9"/>
      <c r="JC536" s="9"/>
    </row>
    <row r="537" spans="1:263" ht="15" customHeight="1">
      <c r="A537" s="19">
        <v>102022008</v>
      </c>
      <c r="B537" s="18" t="s">
        <v>2779</v>
      </c>
      <c r="C537" s="28"/>
      <c r="D537" s="159"/>
      <c r="E537" s="150"/>
      <c r="F537" s="149"/>
      <c r="G537" s="150">
        <v>220001837</v>
      </c>
      <c r="H537" s="28"/>
      <c r="I537" s="28"/>
      <c r="J537" s="28" t="s">
        <v>311</v>
      </c>
      <c r="K537" s="28" t="s">
        <v>399</v>
      </c>
      <c r="L537" s="28" t="s">
        <v>577</v>
      </c>
      <c r="M537" s="28" t="s">
        <v>850</v>
      </c>
      <c r="N537" s="28"/>
      <c r="O537" s="150"/>
      <c r="P537" s="28"/>
      <c r="Q537" s="28"/>
      <c r="R537" s="28"/>
      <c r="S537" s="28"/>
      <c r="T537" s="28"/>
      <c r="U537" s="28"/>
      <c r="V537" s="28"/>
      <c r="W537" s="28"/>
      <c r="X537" s="28"/>
      <c r="Y537" s="28"/>
      <c r="Z537" s="28"/>
      <c r="AA537" s="28"/>
      <c r="AB537" s="28"/>
      <c r="AC537" s="28"/>
      <c r="AD537" s="28"/>
      <c r="AE537" s="28"/>
      <c r="AF537" s="28"/>
      <c r="AG537" s="148" t="s">
        <v>3459</v>
      </c>
      <c r="AH537" s="28"/>
      <c r="AI537" s="28"/>
      <c r="AJ537" s="18"/>
      <c r="AK537" s="13"/>
      <c r="AL537" s="18"/>
      <c r="AM537" s="18"/>
      <c r="AN537" s="18"/>
      <c r="AO537" s="18" t="s">
        <v>2941</v>
      </c>
      <c r="AP537" s="13" t="s">
        <v>258</v>
      </c>
      <c r="AQ537" s="18" t="s">
        <v>349</v>
      </c>
      <c r="AR537" s="18" t="s">
        <v>260</v>
      </c>
      <c r="AS537" s="18"/>
      <c r="AT537" s="18"/>
      <c r="AU537" s="18"/>
      <c r="AV537" s="18"/>
      <c r="AW537" s="18"/>
      <c r="AX537" s="13"/>
      <c r="AY537" s="13"/>
      <c r="AZ537" s="13"/>
      <c r="BA537" s="13"/>
      <c r="BB537" s="13"/>
      <c r="BC537" s="48"/>
      <c r="BD537" s="114">
        <v>44605</v>
      </c>
      <c r="BE537" s="143">
        <v>44614</v>
      </c>
      <c r="BF537" s="48"/>
      <c r="BG537" s="19"/>
      <c r="BH537" s="48"/>
      <c r="BI537" s="48"/>
      <c r="BJ537" s="48"/>
      <c r="BK537" s="48"/>
      <c r="BL537" s="20">
        <f ca="1">SUM(EB537)+220</f>
        <v>5369.401116666666</v>
      </c>
      <c r="BM537" s="22">
        <f t="shared" ca="1" si="165"/>
        <v>-472.0556630655542</v>
      </c>
      <c r="BN537" s="22">
        <f t="shared" ca="1" si="166"/>
        <v>472.0556630655542</v>
      </c>
      <c r="BO537" s="14">
        <f>SUM(EJ537*0.0052)/12</f>
        <v>81.11999999999999</v>
      </c>
      <c r="BP537" s="22">
        <f t="shared" ca="1" si="168"/>
        <v>553.1756630655542</v>
      </c>
      <c r="BQ537" s="14">
        <v>516.72</v>
      </c>
      <c r="BR537" s="14">
        <f t="shared" si="169"/>
        <v>51.672000000000004</v>
      </c>
      <c r="BS537" s="14">
        <f t="shared" ca="1" si="170"/>
        <v>194.20059999999992</v>
      </c>
      <c r="BT537" s="17">
        <f t="shared" si="171"/>
        <v>4.7365999999999984</v>
      </c>
      <c r="BU537" s="23">
        <f ca="1">MONTH(TODAY())+37</f>
        <v>41</v>
      </c>
      <c r="BV537" s="14">
        <f t="shared" ca="1" si="173"/>
        <v>762.59259999999995</v>
      </c>
      <c r="BW537" s="14">
        <f>SUM(EG537*0.0052)</f>
        <v>814.83999999999992</v>
      </c>
      <c r="BX537" s="14">
        <f t="shared" si="174"/>
        <v>81.483999999999995</v>
      </c>
      <c r="BY537" s="14">
        <f t="shared" ca="1" si="175"/>
        <v>306.24403333333316</v>
      </c>
      <c r="BZ537" s="17">
        <f t="shared" si="176"/>
        <v>7.4693666666666632</v>
      </c>
      <c r="CA537" s="23">
        <f ca="1">MONTH(TODAY())+37</f>
        <v>41</v>
      </c>
      <c r="CB537" s="14">
        <f t="shared" ca="1" si="178"/>
        <v>1202.568033333333</v>
      </c>
      <c r="CC537" s="14">
        <v>6.7</v>
      </c>
      <c r="CD537" s="14">
        <f t="shared" si="179"/>
        <v>0.67</v>
      </c>
      <c r="CE537" s="14">
        <f t="shared" ca="1" si="180"/>
        <v>2.0267499999999989</v>
      </c>
      <c r="CF537" s="17">
        <f t="shared" si="181"/>
        <v>6.141666666666664E-2</v>
      </c>
      <c r="CG537" s="23">
        <f ca="1">MONTH(TODAY())+29</f>
        <v>33</v>
      </c>
      <c r="CH537" s="23">
        <f t="shared" ca="1" si="183"/>
        <v>9.396749999999999</v>
      </c>
      <c r="CI537" s="14">
        <v>339.52</v>
      </c>
      <c r="CJ537" s="14">
        <f t="shared" si="184"/>
        <v>33.951999999999998</v>
      </c>
      <c r="CK537" s="14">
        <f t="shared" ca="1" si="185"/>
        <v>90.255733333333282</v>
      </c>
      <c r="CL537" s="17">
        <f t="shared" si="186"/>
        <v>3.112266666666665</v>
      </c>
      <c r="CM537" s="23">
        <f t="shared" ca="1" si="187"/>
        <v>29</v>
      </c>
      <c r="CN537" s="14">
        <f t="shared" ca="1" si="188"/>
        <v>463.72773333333328</v>
      </c>
      <c r="CO537" s="14">
        <f>SUM(EJ537*0.0045)/2</f>
        <v>421.2</v>
      </c>
      <c r="CP537" s="14">
        <f t="shared" si="190"/>
        <v>42.120000000000005</v>
      </c>
      <c r="CQ537" s="14">
        <f t="shared" ca="1" si="191"/>
        <v>88.802999999999969</v>
      </c>
      <c r="CR537" s="17">
        <f t="shared" si="192"/>
        <v>3.8609999999999984</v>
      </c>
      <c r="CS537" s="23">
        <f ca="1">MONTH(TODAY())+19</f>
        <v>23</v>
      </c>
      <c r="CT537" s="14">
        <f t="shared" ca="1" si="194"/>
        <v>552.12299999999993</v>
      </c>
      <c r="CU537" s="14">
        <f>SUM(EJ537*0.0045)/2</f>
        <v>421.2</v>
      </c>
      <c r="CV537" s="14">
        <f t="shared" si="196"/>
        <v>42.120000000000005</v>
      </c>
      <c r="CW537" s="14">
        <f t="shared" ca="1" si="197"/>
        <v>65.636999999999972</v>
      </c>
      <c r="CX537" s="17">
        <f t="shared" si="198"/>
        <v>3.8609999999999984</v>
      </c>
      <c r="CY537" s="23">
        <f t="shared" ca="1" si="199"/>
        <v>17</v>
      </c>
      <c r="CZ537" s="14">
        <f t="shared" ca="1" si="200"/>
        <v>528.95699999999999</v>
      </c>
      <c r="DA537" s="14">
        <f>SUM(EJ537*0.0045)/2</f>
        <v>421.2</v>
      </c>
      <c r="DB537" s="14">
        <f t="shared" si="202"/>
        <v>42.120000000000005</v>
      </c>
      <c r="DC537" s="14">
        <f t="shared" ca="1" si="203"/>
        <v>42.470999999999982</v>
      </c>
      <c r="DD537" s="17">
        <f t="shared" si="204"/>
        <v>3.8609999999999984</v>
      </c>
      <c r="DE537" s="23">
        <f t="shared" ca="1" si="205"/>
        <v>11</v>
      </c>
      <c r="DF537" s="14">
        <f t="shared" ca="1" si="206"/>
        <v>505.791</v>
      </c>
      <c r="DG537" s="14">
        <f>SUM(EJ537*0.0045)/2</f>
        <v>421.2</v>
      </c>
      <c r="DH537" s="14">
        <f t="shared" si="208"/>
        <v>42.120000000000005</v>
      </c>
      <c r="DI537" s="14">
        <f t="shared" ca="1" si="209"/>
        <v>19.304999999999993</v>
      </c>
      <c r="DJ537" s="17">
        <f t="shared" si="210"/>
        <v>3.8609999999999984</v>
      </c>
      <c r="DK537" s="23">
        <f t="shared" ca="1" si="211"/>
        <v>5</v>
      </c>
      <c r="DL537" s="14">
        <f t="shared" ca="1" si="212"/>
        <v>482.625</v>
      </c>
      <c r="DM537" s="14">
        <f>SUM(BQ537, BW537, CC537,CI537,CO537,CU537,DA537,DG537)</f>
        <v>3362.5799999999995</v>
      </c>
      <c r="DN537" s="14">
        <f>SUM(BR537,BX537, CD537,CJ537,CP537,CV537,DB537,DH537)</f>
        <v>336.25800000000004</v>
      </c>
      <c r="DO537" s="14">
        <f ca="1">SUM(BS537,BY537, CE537,CK537,CQ537,CW537,DC537,DI537)</f>
        <v>808.94311666666624</v>
      </c>
      <c r="DP537" s="25">
        <f ca="1">SUM(DM537:DO537)</f>
        <v>4507.7811166666661</v>
      </c>
      <c r="DQ537" s="47">
        <f ca="1">SUM(DP537/EG537)</f>
        <v>2.8766950329717079E-2</v>
      </c>
      <c r="DR537" s="14">
        <f>19.5+19.5+195+156+40</f>
        <v>430</v>
      </c>
      <c r="DS537" s="32">
        <f>COUNTIF(AO537, "*")+COUNTIF(AJ537, "*")+COUNTIF(AA537, "*")+COUNTIF(EU537, "*")+COUNTIF(FA537, "*")+COUNTIF(FG537, "*")+COUNTIF(FK537, "*")+COUNTIF(FR537, "*")+COUNTIF(AT537, "*")+COUNTIF(GA537, "*")+COUNTIF(GL537, "*")+COUNTIF(GW537, "*")+COUNTIF(HE537, "*")+COUNTIF(HM537, "*")+COUNTIF(HU537, "*")</f>
        <v>1</v>
      </c>
      <c r="DT537" s="14">
        <f>DS537*0.53+DS537*6.66</f>
        <v>7.19</v>
      </c>
      <c r="DU537" s="14">
        <v>54.43</v>
      </c>
      <c r="DV537" s="14">
        <v>150</v>
      </c>
      <c r="DW537" s="14"/>
      <c r="DX537" s="14"/>
      <c r="DY537" s="14"/>
      <c r="DZ537" s="14"/>
      <c r="EA537" s="14">
        <f>SUM(DU537:DZ537)</f>
        <v>204.43</v>
      </c>
      <c r="EB537" s="14">
        <f ca="1">SUM(DP537,DR537,EA537,DT537,FX537)</f>
        <v>5149.401116666666</v>
      </c>
      <c r="EC537" s="24" t="s">
        <v>2770</v>
      </c>
      <c r="ED537" s="23">
        <v>6.8890000000000002</v>
      </c>
      <c r="EE537" s="14">
        <v>54400</v>
      </c>
      <c r="EF537" s="14">
        <v>102300</v>
      </c>
      <c r="EG537" s="14">
        <f>SUM(EE537+EF537)</f>
        <v>156700</v>
      </c>
      <c r="EH537" s="14">
        <v>67400</v>
      </c>
      <c r="EI537" s="14">
        <v>119800</v>
      </c>
      <c r="EJ537" s="14">
        <f>SUM(EH537+EI537)</f>
        <v>187200</v>
      </c>
      <c r="EK537" s="28" t="s">
        <v>3392</v>
      </c>
      <c r="EL537" s="28" t="s">
        <v>3393</v>
      </c>
      <c r="EM537" s="28" t="s">
        <v>3391</v>
      </c>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7"/>
      <c r="FP537" s="28"/>
      <c r="FQ537" s="28"/>
      <c r="FR537" s="28"/>
      <c r="FS537" s="28"/>
      <c r="FT537" s="28"/>
      <c r="FU537" s="28"/>
      <c r="FV537" s="27"/>
      <c r="FW537" s="28"/>
      <c r="FX537" s="28"/>
      <c r="FY537" s="28"/>
      <c r="FZ537" s="28"/>
      <c r="GA537" s="28"/>
      <c r="GB537" s="28"/>
      <c r="GC537" s="28"/>
      <c r="GD537" s="28"/>
      <c r="GE537" s="27"/>
      <c r="GF537" s="28"/>
      <c r="GG537" s="28"/>
      <c r="GH537" s="28"/>
      <c r="GI537" s="28"/>
      <c r="GJ537" s="28"/>
      <c r="GK537" s="28"/>
      <c r="GL537" s="28"/>
      <c r="GM537" s="28"/>
      <c r="GN537" s="28"/>
      <c r="GO537" s="28"/>
      <c r="GP537" s="27"/>
      <c r="GQ537" s="28"/>
      <c r="GR537" s="28"/>
      <c r="GS537" s="28"/>
      <c r="GT537" s="28"/>
      <c r="GU537" s="28"/>
      <c r="GV537" s="28"/>
      <c r="GW537" s="28"/>
      <c r="GX537" s="28"/>
      <c r="GY537" s="28"/>
      <c r="GZ537" s="28"/>
      <c r="HA537" s="27"/>
      <c r="HB537" s="28"/>
      <c r="HC537" s="28"/>
      <c r="HD537" s="28"/>
      <c r="HE537" s="28"/>
      <c r="HF537" s="28"/>
      <c r="HG537" s="28"/>
      <c r="HH537" s="28"/>
      <c r="HI537" s="27"/>
      <c r="HJ537" s="28"/>
      <c r="HK537" s="28"/>
      <c r="HL537" s="28"/>
      <c r="HM537" s="28"/>
      <c r="HN537" s="28"/>
      <c r="HO537" s="28"/>
      <c r="HP537" s="28"/>
      <c r="HQ537" s="27"/>
      <c r="HR537" s="28"/>
      <c r="HS537" s="28"/>
      <c r="HT537" s="28"/>
      <c r="HU537" s="28"/>
      <c r="HV537" s="28"/>
      <c r="HW537" s="28"/>
      <c r="HX537" s="28"/>
      <c r="HY537" s="27"/>
      <c r="HZ537" s="14"/>
      <c r="IA537" s="14"/>
      <c r="IB537" s="28"/>
      <c r="IC537" s="28"/>
      <c r="ID537" s="28"/>
      <c r="IE537" s="28"/>
      <c r="IF537" s="14"/>
      <c r="IG537" s="14"/>
      <c r="IH537" s="14">
        <f ca="1">SUM(HZ537-EB537-FX537-IF537)</f>
        <v>-5149.401116666666</v>
      </c>
      <c r="II537" s="14"/>
      <c r="IJ537" s="14"/>
      <c r="IK537" s="27"/>
      <c r="IL537" s="27"/>
      <c r="IM537" s="27"/>
      <c r="IN537" s="27"/>
      <c r="IO537" s="27"/>
      <c r="IP537" t="s">
        <v>5913</v>
      </c>
    </row>
    <row r="538" spans="1:263" ht="15" customHeight="1">
      <c r="A538" s="2">
        <v>102019050</v>
      </c>
      <c r="B538" s="4" t="s">
        <v>1374</v>
      </c>
      <c r="C538" s="4"/>
      <c r="E538" s="3"/>
      <c r="F538" s="2"/>
      <c r="G538" s="2"/>
      <c r="H538" s="2"/>
      <c r="J538" t="s">
        <v>311</v>
      </c>
      <c r="K538" t="s">
        <v>1325</v>
      </c>
      <c r="L538" t="s">
        <v>692</v>
      </c>
      <c r="M538" t="s">
        <v>426</v>
      </c>
      <c r="O538" s="1"/>
      <c r="T538" s="1"/>
      <c r="AF538" s="3"/>
      <c r="AG538" s="1"/>
      <c r="AJ538" s="4"/>
      <c r="AK538" s="4"/>
      <c r="AO538" s="4"/>
      <c r="AP538" s="5"/>
      <c r="AS538" s="5"/>
      <c r="AT538" s="5"/>
      <c r="AU538" s="1"/>
      <c r="AV538" s="1"/>
      <c r="AW538" s="1"/>
      <c r="AX538" s="1"/>
      <c r="AY538" s="1"/>
      <c r="AZ538" s="1"/>
      <c r="BA538" s="1"/>
      <c r="BB538" s="1"/>
      <c r="BC538" s="1"/>
      <c r="BD538" s="1"/>
      <c r="BE538" s="1"/>
      <c r="BF538" s="1"/>
      <c r="BG538" s="5"/>
      <c r="BH538" s="16"/>
      <c r="BI538" s="16"/>
      <c r="BK538" s="4"/>
      <c r="BL538" s="4"/>
      <c r="BM538" s="6"/>
      <c r="BN538" s="7"/>
      <c r="BO538" s="4"/>
      <c r="BP538" s="4"/>
      <c r="BQ538" s="4"/>
      <c r="BR538" s="4"/>
      <c r="BS538" s="6"/>
      <c r="BT538" s="7"/>
      <c r="BU538" s="4"/>
      <c r="BV538" s="4"/>
      <c r="BW538" s="4"/>
      <c r="BX538" s="4"/>
      <c r="BY538" s="6"/>
      <c r="BZ538" s="7"/>
      <c r="CA538" s="4"/>
      <c r="CB538" s="4"/>
      <c r="CC538" s="4"/>
      <c r="CD538" s="4"/>
      <c r="CE538" s="6"/>
      <c r="CF538" s="7"/>
      <c r="CG538" s="4"/>
      <c r="CH538" s="4"/>
      <c r="CI538" s="4"/>
      <c r="CJ538" s="4"/>
      <c r="CK538" s="6"/>
      <c r="CL538" s="7"/>
      <c r="CM538" s="4"/>
      <c r="CN538" s="4"/>
      <c r="CO538" s="4"/>
      <c r="CP538" s="4"/>
      <c r="CQ538" s="6"/>
      <c r="CR538" s="7"/>
      <c r="CS538" s="4"/>
      <c r="CT538" s="4"/>
      <c r="CU538" s="4"/>
      <c r="CV538" s="4"/>
      <c r="CW538" s="6"/>
      <c r="CX538" s="7"/>
      <c r="CY538" s="4"/>
      <c r="CZ538" s="4"/>
      <c r="DA538" s="4"/>
      <c r="DB538" s="4"/>
      <c r="DC538" s="6"/>
      <c r="DD538" s="7"/>
      <c r="DE538" s="4"/>
      <c r="DF538" s="4"/>
      <c r="DG538" s="4"/>
      <c r="DH538" s="14"/>
      <c r="DI538" s="14"/>
      <c r="DJ538" s="4"/>
      <c r="DK538" s="3"/>
      <c r="DL538" s="4"/>
      <c r="DM538" s="234"/>
      <c r="DN538" s="4"/>
      <c r="DO538" s="4"/>
      <c r="DP538" s="4"/>
      <c r="DQ538" s="4"/>
      <c r="DR538" s="4"/>
      <c r="DS538" s="4"/>
      <c r="DT538" s="7"/>
      <c r="DU538" s="8"/>
      <c r="DV538" s="4"/>
      <c r="DW538" s="8"/>
      <c r="DX538" s="4"/>
      <c r="DY538" s="4"/>
      <c r="DZ538" s="7"/>
      <c r="EI538" s="11"/>
      <c r="EO538" s="11"/>
      <c r="EP538" s="11"/>
      <c r="EQ538" s="4"/>
      <c r="ER538" s="4"/>
      <c r="ES538" s="4"/>
      <c r="ET538" s="4"/>
      <c r="EU538" s="4"/>
      <c r="EV538" s="4"/>
      <c r="EW538" s="4"/>
      <c r="EX538" s="4"/>
      <c r="EY538" s="4"/>
      <c r="EZ538" s="4"/>
      <c r="FA538" s="4"/>
      <c r="FB538" s="4"/>
      <c r="FC538" s="4"/>
      <c r="FD538" s="4"/>
      <c r="FE538" s="4"/>
      <c r="FI538" s="9"/>
      <c r="FR538" s="9"/>
      <c r="FX538" s="4"/>
      <c r="GC538" s="10"/>
      <c r="GM538" s="10"/>
      <c r="HB538" s="9"/>
      <c r="IJ538" s="4"/>
      <c r="IK538" s="4"/>
      <c r="IN538" t="s">
        <v>1410</v>
      </c>
      <c r="IO538" t="s">
        <v>846</v>
      </c>
      <c r="IP538" t="s">
        <v>386</v>
      </c>
      <c r="IS538" s="66">
        <v>32</v>
      </c>
      <c r="IU538" s="9">
        <v>43549</v>
      </c>
      <c r="IV538" s="9">
        <v>43565</v>
      </c>
      <c r="IW538" s="9">
        <v>43699</v>
      </c>
      <c r="IX538" s="9">
        <v>43711</v>
      </c>
    </row>
    <row r="539" spans="1:263" ht="15" customHeight="1">
      <c r="A539" s="2">
        <v>102019071</v>
      </c>
      <c r="B539" s="4" t="s">
        <v>1420</v>
      </c>
      <c r="D539" s="3"/>
      <c r="E539" s="3"/>
      <c r="F539" s="3"/>
      <c r="G539" s="3"/>
      <c r="H539" s="3"/>
      <c r="J539" t="s">
        <v>434</v>
      </c>
      <c r="K539" t="s">
        <v>1421</v>
      </c>
      <c r="L539" t="s">
        <v>1422</v>
      </c>
      <c r="M539" t="s">
        <v>850</v>
      </c>
      <c r="O539" s="1"/>
      <c r="P539" t="s">
        <v>1421</v>
      </c>
      <c r="Q539" t="s">
        <v>1243</v>
      </c>
      <c r="R539" t="s">
        <v>392</v>
      </c>
      <c r="T539" s="1"/>
      <c r="W539" s="1"/>
      <c r="AX539" s="9"/>
      <c r="AY539" s="9"/>
      <c r="AZ539" s="9"/>
      <c r="BA539" s="9"/>
      <c r="BC539" s="9"/>
      <c r="BD539" s="9"/>
      <c r="BE539" s="9"/>
      <c r="BG539" s="66"/>
      <c r="BH539" s="66"/>
      <c r="BI539" s="66"/>
      <c r="BK539" s="66"/>
      <c r="BL539" s="66"/>
      <c r="BO539" s="66"/>
      <c r="BQ539" s="66"/>
      <c r="BR539" s="66"/>
      <c r="BU539" s="66"/>
      <c r="BW539" s="66"/>
      <c r="BX539" s="66"/>
      <c r="CA539" s="66"/>
      <c r="CB539" s="66"/>
      <c r="CC539" s="66"/>
      <c r="CD539" s="66"/>
      <c r="CG539" s="66"/>
      <c r="CH539" s="66"/>
      <c r="CI539" s="66"/>
      <c r="CJ539" s="66"/>
      <c r="CM539" s="66"/>
      <c r="CN539" s="66"/>
      <c r="CO539" s="66"/>
      <c r="CP539" s="66"/>
      <c r="CS539" s="66"/>
      <c r="CT539" s="66"/>
      <c r="CU539" s="66"/>
      <c r="CV539" s="66"/>
      <c r="CY539" s="66"/>
      <c r="CZ539" s="66"/>
      <c r="DA539" s="66"/>
      <c r="DB539" s="66"/>
      <c r="DE539" s="66"/>
      <c r="DF539" s="66"/>
      <c r="DG539" s="66"/>
      <c r="DH539" s="66"/>
      <c r="DI539" s="66"/>
      <c r="DJ539" s="66"/>
      <c r="DL539" s="66"/>
      <c r="DN539" s="66"/>
      <c r="DO539" s="66"/>
      <c r="DP539" s="66"/>
      <c r="DQ539" s="66"/>
      <c r="DR539" s="66"/>
      <c r="DS539" s="66"/>
      <c r="DT539" s="66"/>
      <c r="DU539" s="66"/>
      <c r="DV539" s="66"/>
      <c r="DW539" s="66"/>
      <c r="DX539" s="66"/>
      <c r="DY539" s="66"/>
      <c r="FR539" s="9"/>
      <c r="GE539" s="9"/>
      <c r="II539" s="9"/>
      <c r="IJ539" s="66"/>
      <c r="IK539" s="66"/>
      <c r="IL539" s="27"/>
      <c r="IM539" s="18"/>
      <c r="IN539" s="18"/>
      <c r="IO539" s="18"/>
      <c r="IP539" s="18"/>
      <c r="IQ539" s="18"/>
      <c r="IR539" s="18"/>
      <c r="IS539" s="14"/>
      <c r="IT539" s="14"/>
      <c r="IU539" s="18"/>
      <c r="IV539" s="18"/>
    </row>
    <row r="540" spans="1:263" ht="15" customHeight="1">
      <c r="A540" s="19">
        <v>102022192</v>
      </c>
      <c r="B540" t="s">
        <v>1420</v>
      </c>
      <c r="D540" s="1"/>
      <c r="J540" t="s">
        <v>253</v>
      </c>
      <c r="K540" t="s">
        <v>1421</v>
      </c>
      <c r="L540" t="s">
        <v>3255</v>
      </c>
      <c r="M540" t="s">
        <v>850</v>
      </c>
      <c r="AJ540" s="18" t="s">
        <v>328</v>
      </c>
      <c r="AL540" t="s">
        <v>349</v>
      </c>
      <c r="AM540"/>
      <c r="AN540"/>
      <c r="AO540" s="3" t="s">
        <v>3256</v>
      </c>
      <c r="AP540" s="3" t="s">
        <v>258</v>
      </c>
      <c r="AQ540" s="3" t="s">
        <v>349</v>
      </c>
      <c r="AR540" t="s">
        <v>260</v>
      </c>
      <c r="AT540" s="1"/>
      <c r="AU540" s="1"/>
      <c r="AV540" s="1"/>
      <c r="AW540" s="1"/>
      <c r="AX540" s="2"/>
      <c r="AY540" s="116"/>
      <c r="AZ540" s="115"/>
      <c r="BA540" s="2"/>
      <c r="BB540" s="2"/>
      <c r="BC540" s="2"/>
      <c r="BD540" s="2"/>
      <c r="BE540" s="2"/>
      <c r="BF540" s="2"/>
      <c r="BG540" s="20"/>
      <c r="BH540" s="22"/>
      <c r="BI540" s="22"/>
      <c r="BJ540" s="14"/>
      <c r="BK540" s="22"/>
      <c r="BL540" s="14"/>
      <c r="BM540" s="14"/>
      <c r="BN540" s="14"/>
      <c r="BO540" s="17"/>
      <c r="BP540" s="23"/>
      <c r="BQ540" s="14"/>
      <c r="BR540" s="14"/>
      <c r="BS540" s="14"/>
      <c r="BT540" s="14"/>
      <c r="BU540" s="17"/>
      <c r="BV540" s="23"/>
      <c r="BW540" s="14"/>
      <c r="BX540" s="14"/>
      <c r="BY540" s="14"/>
      <c r="BZ540" s="14"/>
      <c r="CA540" s="17"/>
      <c r="CB540" s="23"/>
      <c r="CC540" s="14"/>
      <c r="CD540" s="14"/>
      <c r="CE540" s="14"/>
      <c r="CF540" s="14"/>
      <c r="CG540" s="17"/>
      <c r="CH540" s="23"/>
      <c r="CI540" s="14"/>
      <c r="CJ540" s="14"/>
      <c r="CK540" s="14"/>
      <c r="CL540" s="14"/>
      <c r="CM540" s="17"/>
      <c r="CN540" s="23"/>
      <c r="CO540" s="14"/>
      <c r="CP540" s="14"/>
      <c r="CQ540" s="14"/>
      <c r="CR540" s="14"/>
      <c r="CS540" s="14"/>
      <c r="CT540" s="47"/>
      <c r="CU540" s="14"/>
      <c r="CV540" s="32"/>
      <c r="CW540" s="14"/>
      <c r="CX540" s="4"/>
      <c r="CY540" s="14"/>
      <c r="CZ540" s="4"/>
      <c r="DE540" s="14"/>
      <c r="DF540" s="24"/>
      <c r="DG540" s="4"/>
      <c r="DH540" s="4"/>
      <c r="DI540" s="25"/>
      <c r="DJ540" s="35">
        <v>1.5</v>
      </c>
      <c r="IC540" s="4"/>
      <c r="IL540" s="240"/>
      <c r="IM540" s="240"/>
      <c r="IN540" s="240"/>
      <c r="IO540" s="240"/>
      <c r="IP540" s="240"/>
      <c r="IQ540" s="240"/>
      <c r="IR540" s="240"/>
      <c r="IS540" s="240"/>
      <c r="IT540" s="240"/>
      <c r="IU540" s="240"/>
      <c r="IV540" s="240"/>
      <c r="IW540" s="240"/>
      <c r="IX540" s="240"/>
      <c r="IY540" s="240"/>
    </row>
    <row r="541" spans="1:263" ht="15" customHeight="1">
      <c r="A541" s="2">
        <v>102018076</v>
      </c>
      <c r="B541" s="4" t="s">
        <v>1241</v>
      </c>
      <c r="C541" s="3"/>
      <c r="D541" s="3"/>
      <c r="E541" s="3"/>
      <c r="F541" s="3"/>
      <c r="G541" s="3"/>
      <c r="H541" s="3"/>
      <c r="J541" t="s">
        <v>253</v>
      </c>
      <c r="K541" t="s">
        <v>1242</v>
      </c>
      <c r="L541" t="s">
        <v>1243</v>
      </c>
      <c r="M541" t="s">
        <v>392</v>
      </c>
      <c r="O541" s="1"/>
      <c r="T541" s="1"/>
      <c r="AF541" s="3"/>
      <c r="AH541" s="4"/>
      <c r="AI541" s="4"/>
      <c r="AJ541" s="4"/>
      <c r="AK541" s="4"/>
      <c r="AO541" s="4"/>
      <c r="AP541" s="5"/>
      <c r="AQ541" s="34"/>
      <c r="AS541" s="1"/>
      <c r="AT541" s="1"/>
      <c r="AU541" s="1"/>
      <c r="AV541" s="1"/>
      <c r="AW541" s="1"/>
      <c r="AX541" s="1"/>
      <c r="AY541" s="1"/>
      <c r="AZ541" s="1"/>
      <c r="BA541" s="1"/>
      <c r="BB541" s="1"/>
      <c r="BC541" s="1"/>
      <c r="BD541" s="1"/>
      <c r="BE541" s="1"/>
      <c r="BF541" s="1"/>
      <c r="BG541" s="5"/>
      <c r="BH541" s="16"/>
      <c r="BI541" s="16"/>
      <c r="BJ541" s="4"/>
      <c r="BK541" s="4"/>
      <c r="BL541" s="4"/>
      <c r="BM541" s="6"/>
      <c r="BN541" s="7"/>
      <c r="BO541" s="4"/>
      <c r="BQ541" s="4"/>
      <c r="BR541" s="4"/>
      <c r="BS541" s="6"/>
      <c r="BT541" s="7"/>
      <c r="BU541" s="4"/>
      <c r="BV541" s="4"/>
      <c r="BW541" s="4"/>
      <c r="BX541" s="4"/>
      <c r="BY541" s="6"/>
      <c r="BZ541" s="7"/>
      <c r="CA541" s="4"/>
      <c r="CB541" s="4"/>
      <c r="CC541" s="4"/>
      <c r="CD541" s="4"/>
      <c r="CE541" s="6"/>
      <c r="CF541" s="7"/>
      <c r="CG541" s="4"/>
      <c r="CH541" s="4"/>
      <c r="CI541" s="4"/>
      <c r="CJ541" s="4"/>
      <c r="CK541" s="6"/>
      <c r="CL541" s="7"/>
      <c r="CM541" s="4"/>
      <c r="CN541" s="4"/>
      <c r="CO541" s="4"/>
      <c r="CP541" s="4"/>
      <c r="CQ541" s="6"/>
      <c r="CR541" s="7"/>
      <c r="CS541" s="4"/>
      <c r="CT541" s="4"/>
      <c r="CU541" s="4"/>
      <c r="CV541" s="4"/>
      <c r="CW541" s="6"/>
      <c r="CX541" s="7"/>
      <c r="CY541" s="4"/>
      <c r="CZ541" s="4"/>
      <c r="DA541" s="4"/>
      <c r="DB541" s="4"/>
      <c r="DC541" s="6"/>
      <c r="DD541" s="7"/>
      <c r="DE541" s="4"/>
      <c r="DF541" s="4"/>
      <c r="DG541" s="14"/>
      <c r="DH541" s="14"/>
      <c r="DI541" s="4"/>
      <c r="DJ541" s="3"/>
      <c r="DK541" s="4"/>
      <c r="DL541" s="234"/>
      <c r="DM541" s="4"/>
      <c r="DN541" s="4"/>
      <c r="DO541" s="4"/>
      <c r="DP541" s="4"/>
      <c r="DQ541" s="4"/>
      <c r="DR541" s="4"/>
      <c r="DS541" s="4"/>
      <c r="DT541" s="4"/>
      <c r="DU541" s="4"/>
      <c r="DV541" s="8"/>
      <c r="DW541" s="4"/>
      <c r="DX541" s="4"/>
      <c r="EG541" s="11"/>
      <c r="EM541" s="11"/>
      <c r="EN541" s="11"/>
      <c r="EO541" s="4"/>
      <c r="EP541" s="4"/>
      <c r="EQ541" s="4"/>
      <c r="ER541" s="4"/>
      <c r="ES541" s="4"/>
      <c r="ET541" s="4"/>
      <c r="EU541" s="4"/>
      <c r="EV541" s="4"/>
      <c r="EW541" s="4"/>
      <c r="EX541" s="4"/>
      <c r="EY541" s="4"/>
      <c r="EZ541" s="4"/>
      <c r="FA541" s="4"/>
      <c r="FG541" s="9"/>
      <c r="FP541" s="9"/>
      <c r="GB541" s="9"/>
      <c r="GM541" s="9"/>
      <c r="GY541" s="9"/>
      <c r="IK541" s="4"/>
    </row>
    <row r="542" spans="1:263" ht="15" customHeight="1">
      <c r="A542" s="2">
        <v>102017099</v>
      </c>
      <c r="B542" t="s">
        <v>1056</v>
      </c>
      <c r="J542" t="s">
        <v>434</v>
      </c>
      <c r="K542" t="s">
        <v>1057</v>
      </c>
      <c r="L542" t="s">
        <v>1058</v>
      </c>
      <c r="O542" s="1"/>
      <c r="P542" t="s">
        <v>1057</v>
      </c>
      <c r="Q542" t="s">
        <v>1059</v>
      </c>
      <c r="T542" s="1"/>
      <c r="AE542" s="1"/>
      <c r="AJ542" s="4"/>
      <c r="AK542" s="4"/>
      <c r="AL542" s="4"/>
      <c r="AM542" s="34"/>
      <c r="AP542" s="13"/>
      <c r="AQ542" s="63"/>
      <c r="AR542" s="34"/>
      <c r="AS542" s="5"/>
      <c r="AT542" s="13"/>
      <c r="AU542" s="1"/>
      <c r="AV542" s="1"/>
      <c r="AW542" s="1"/>
      <c r="AX542" s="1"/>
      <c r="AY542" s="1"/>
      <c r="AZ542" s="1"/>
      <c r="BA542" s="1"/>
      <c r="BB542" s="1"/>
      <c r="BC542" s="1"/>
      <c r="BD542" s="1"/>
      <c r="BE542" s="5"/>
      <c r="BF542" s="16"/>
      <c r="BG542" s="16"/>
      <c r="BI542" s="4"/>
      <c r="BJ542" s="4"/>
      <c r="BK542" s="6"/>
      <c r="BL542" s="7"/>
      <c r="BM542" s="4"/>
      <c r="BO542" s="4"/>
      <c r="BP542" s="4"/>
      <c r="BQ542" s="6"/>
      <c r="BR542" s="7"/>
      <c r="BS542" s="4"/>
      <c r="BT542" s="4"/>
      <c r="BU542" s="4"/>
      <c r="BV542" s="4"/>
      <c r="BW542" s="6"/>
      <c r="BX542" s="7"/>
      <c r="BY542" s="4"/>
      <c r="CA542" s="4"/>
      <c r="CB542" s="4"/>
      <c r="CC542" s="6"/>
      <c r="CD542" s="7"/>
      <c r="CE542" s="4"/>
      <c r="CF542" s="4"/>
      <c r="CG542" s="4"/>
      <c r="CH542" s="4"/>
      <c r="CI542" s="6"/>
      <c r="CJ542" s="7"/>
      <c r="CK542" s="4"/>
      <c r="CL542" s="4"/>
      <c r="CM542" s="4"/>
      <c r="CN542" s="4"/>
      <c r="CO542" s="6"/>
      <c r="CP542" s="7"/>
      <c r="CQ542" s="4"/>
      <c r="CR542" s="4"/>
      <c r="CS542" s="4"/>
      <c r="CT542" s="4"/>
      <c r="CU542" s="6"/>
      <c r="CV542" s="7"/>
      <c r="CW542" s="4"/>
      <c r="CX542" s="4"/>
      <c r="CY542" s="4"/>
      <c r="CZ542" s="4"/>
      <c r="DA542" s="6"/>
      <c r="DB542" s="7"/>
      <c r="DC542" s="4"/>
      <c r="DD542" s="4"/>
      <c r="DE542" s="4"/>
      <c r="DF542" s="4"/>
      <c r="DG542" s="6"/>
      <c r="DH542" s="7"/>
      <c r="DI542" s="4"/>
      <c r="DJ542" s="4"/>
      <c r="DK542" s="4"/>
      <c r="DL542" s="4"/>
      <c r="DM542" s="4"/>
      <c r="DN542" s="3"/>
      <c r="DO542" s="4"/>
      <c r="DP542" s="4"/>
      <c r="DQ542" s="4"/>
      <c r="DR542" s="4"/>
      <c r="DS542" s="4"/>
      <c r="DT542" s="4"/>
      <c r="DU542" s="4"/>
      <c r="DV542" s="4"/>
      <c r="DW542" s="4"/>
      <c r="DX542" s="4"/>
      <c r="DY542" s="4"/>
      <c r="DZ542" s="4"/>
      <c r="EA542" s="4"/>
      <c r="EB542" s="4"/>
      <c r="EC542" s="4"/>
      <c r="ED542" s="4"/>
      <c r="EE542" s="4"/>
      <c r="EF542" s="4"/>
      <c r="EG542" s="4"/>
      <c r="FO542" s="9"/>
      <c r="FP542" s="10"/>
      <c r="FW542" s="10"/>
      <c r="GI542" s="9"/>
    </row>
    <row r="543" spans="1:263" ht="15" customHeight="1">
      <c r="A543" s="2">
        <v>102018016</v>
      </c>
      <c r="B543" t="s">
        <v>779</v>
      </c>
      <c r="C543" s="10"/>
      <c r="D543" s="10"/>
      <c r="E543" s="10" t="s">
        <v>5717</v>
      </c>
      <c r="F543" s="160">
        <v>240002158</v>
      </c>
      <c r="G543" s="10"/>
      <c r="H543" s="10"/>
      <c r="I543" s="10"/>
      <c r="J543" s="10" t="s">
        <v>253</v>
      </c>
      <c r="K543" s="10" t="s">
        <v>780</v>
      </c>
      <c r="L543" s="10" t="s">
        <v>420</v>
      </c>
      <c r="M543" s="10" t="s">
        <v>469</v>
      </c>
      <c r="N543" s="10"/>
      <c r="O543" s="161" t="s">
        <v>258</v>
      </c>
      <c r="P543" s="10" t="s">
        <v>780</v>
      </c>
      <c r="Q543" s="10" t="s">
        <v>781</v>
      </c>
      <c r="R543" s="10" t="s">
        <v>469</v>
      </c>
      <c r="S543" s="10"/>
      <c r="T543" s="161"/>
      <c r="U543" s="10"/>
      <c r="V543" s="10"/>
      <c r="W543" s="10"/>
      <c r="X543" s="10"/>
      <c r="Y543" s="10"/>
      <c r="Z543" s="10"/>
      <c r="AA543" s="10"/>
      <c r="AB543" s="10"/>
      <c r="AC543" s="10"/>
      <c r="AD543" s="147"/>
      <c r="AE543" s="10"/>
      <c r="AF543" s="10"/>
      <c r="AG543" s="10"/>
      <c r="AH543" s="10"/>
      <c r="AI543" s="10"/>
      <c r="AJ543" t="s">
        <v>5141</v>
      </c>
      <c r="AK543" s="1" t="s">
        <v>258</v>
      </c>
      <c r="AL543" s="3" t="s">
        <v>349</v>
      </c>
      <c r="AM543" s="3" t="s">
        <v>260</v>
      </c>
      <c r="AO543" t="s">
        <v>5140</v>
      </c>
      <c r="AP543" s="1" t="s">
        <v>258</v>
      </c>
      <c r="AQ543" t="s">
        <v>756</v>
      </c>
      <c r="AR543" s="3" t="s">
        <v>757</v>
      </c>
      <c r="AS543" s="1"/>
      <c r="AT543" s="1"/>
      <c r="AU543" s="1"/>
      <c r="AV543" s="1"/>
      <c r="AW543" s="1"/>
      <c r="AX543" s="1"/>
      <c r="AY543" s="1"/>
      <c r="AZ543" s="1" t="s">
        <v>258</v>
      </c>
      <c r="BA543" s="1" t="s">
        <v>258</v>
      </c>
      <c r="BB543" s="1" t="s">
        <v>258</v>
      </c>
      <c r="BC543" s="9">
        <v>45419</v>
      </c>
      <c r="BD543" s="144">
        <v>45382</v>
      </c>
      <c r="BE543" s="144">
        <v>45387</v>
      </c>
      <c r="BF543" s="70">
        <v>45534</v>
      </c>
      <c r="BG543" s="20" t="s">
        <v>319</v>
      </c>
      <c r="BH543" s="21">
        <v>45520</v>
      </c>
      <c r="BI543" s="21">
        <v>45527</v>
      </c>
      <c r="BJ543" s="70">
        <v>45545</v>
      </c>
      <c r="BK543" s="70" t="s">
        <v>5895</v>
      </c>
      <c r="BL543" s="20">
        <f ca="1">SUM(EB543)+220</f>
        <v>3778.078</v>
      </c>
      <c r="BM543" s="22">
        <f ca="1">PMT(10%/12,12,BL543,0,0)</f>
        <v>-332.15307939418017</v>
      </c>
      <c r="BN543" s="22">
        <f ca="1">SUM(BM543*-1)</f>
        <v>332.15307939418017</v>
      </c>
      <c r="BO543" s="14">
        <f>SUM(EJ543*0.0052)/12</f>
        <v>15.6</v>
      </c>
      <c r="BP543" s="22">
        <f ca="1">SUM(BN543+BO543)</f>
        <v>347.75307939418019</v>
      </c>
      <c r="BQ543" s="14">
        <v>0</v>
      </c>
      <c r="BR543" s="14">
        <f>SUM(BQ543*0.1)</f>
        <v>0</v>
      </c>
      <c r="BS543" s="14">
        <f ca="1">SUM(BT543*BU543)</f>
        <v>0</v>
      </c>
      <c r="BT543" s="17">
        <f>SUM((BQ543+BR543)*0.00833333333333333)</f>
        <v>0</v>
      </c>
      <c r="BU543" s="23">
        <f ca="1">MONTH(TODAY())+37</f>
        <v>41</v>
      </c>
      <c r="BV543" s="14">
        <f ca="1">SUM(BQ543,BR543,BS543)</f>
        <v>0</v>
      </c>
      <c r="BW543" s="14">
        <f>SUM(EG543*0.0052)</f>
        <v>163.79999999999998</v>
      </c>
      <c r="BX543" s="14">
        <f>SUM(BW543*0.1)</f>
        <v>16.38</v>
      </c>
      <c r="BY543" s="14">
        <f ca="1">SUM(BZ543*CA543)</f>
        <v>61.561499999999967</v>
      </c>
      <c r="BZ543" s="17">
        <f>SUM((BW543+BX543)*0.00833333333333333)</f>
        <v>1.5014999999999992</v>
      </c>
      <c r="CA543" s="23">
        <f ca="1">MONTH(TODAY())+37</f>
        <v>41</v>
      </c>
      <c r="CB543" s="14">
        <f ca="1">SUM(BW543,BX543,BY543)</f>
        <v>241.74149999999995</v>
      </c>
      <c r="CC543" s="14">
        <f>SUM(EG543*0.0052)/2</f>
        <v>81.899999999999991</v>
      </c>
      <c r="CD543" s="14">
        <f>SUM(CC543*0.1)</f>
        <v>8.19</v>
      </c>
      <c r="CE543" s="14">
        <f ca="1">SUM(CF543*CG543)</f>
        <v>24.774749999999987</v>
      </c>
      <c r="CF543" s="17">
        <f>SUM((CC543+CD543)*0.00833333333333333)</f>
        <v>0.75074999999999958</v>
      </c>
      <c r="CG543" s="23">
        <f ca="1">MONTH(TODAY())+29</f>
        <v>33</v>
      </c>
      <c r="CH543" s="23">
        <f ca="1">SUM(CC543,CD543,CE543)</f>
        <v>114.86474999999997</v>
      </c>
      <c r="CI543" s="14">
        <f>SUM(EG543*0.0052)/2</f>
        <v>81.899999999999991</v>
      </c>
      <c r="CJ543" s="14">
        <f>SUM(CI543*0.1)</f>
        <v>8.19</v>
      </c>
      <c r="CK543" s="14">
        <f ca="1">SUM(CL543*CM543)</f>
        <v>21.771749999999987</v>
      </c>
      <c r="CL543" s="17">
        <f>SUM((CI543+CJ543)*0.00833333333333333)</f>
        <v>0.75074999999999958</v>
      </c>
      <c r="CM543" s="23">
        <f ca="1">MONTH(TODAY())+25</f>
        <v>29</v>
      </c>
      <c r="CN543" s="14">
        <f ca="1">SUM(CI543,CJ543,CK543)</f>
        <v>111.86174999999997</v>
      </c>
      <c r="CO543" s="14">
        <f>SUM(EJ543*0.0045)/2</f>
        <v>81</v>
      </c>
      <c r="CP543" s="14">
        <f>SUM(CO543*0.1)</f>
        <v>8.1</v>
      </c>
      <c r="CQ543" s="14">
        <f ca="1">SUM(CR543*CS543)</f>
        <v>17.07749999999999</v>
      </c>
      <c r="CR543" s="17">
        <f>SUM((CO543+CP543)*0.00833333333333333)</f>
        <v>0.7424999999999996</v>
      </c>
      <c r="CS543" s="23">
        <f ca="1">MONTH(TODAY())+19</f>
        <v>23</v>
      </c>
      <c r="CT543" s="14">
        <f ca="1">SUM(CO543,CP543,CQ543)</f>
        <v>106.17749999999998</v>
      </c>
      <c r="CU543" s="14">
        <f>SUM(EJ543*0.0045)/2</f>
        <v>81</v>
      </c>
      <c r="CV543" s="14">
        <f>SUM(CU543*0.1)</f>
        <v>8.1</v>
      </c>
      <c r="CW543" s="14">
        <f ca="1">SUM(CX543*CY543)</f>
        <v>12.622499999999993</v>
      </c>
      <c r="CX543" s="17">
        <f>SUM((CU543+CV543)*0.00833333333333333)</f>
        <v>0.7424999999999996</v>
      </c>
      <c r="CY543" s="23">
        <f ca="1">MONTH(TODAY())+13</f>
        <v>17</v>
      </c>
      <c r="CZ543" s="14">
        <f ca="1">SUM(CU543,CV543,CW543)</f>
        <v>101.72249999999998</v>
      </c>
      <c r="DA543" s="14">
        <f>SUM(EJ543*0.0045)/2</f>
        <v>81</v>
      </c>
      <c r="DB543" s="14">
        <f>SUM(DA543*0.1)</f>
        <v>8.1</v>
      </c>
      <c r="DC543" s="14">
        <f ca="1">SUM(DD543*DE543)</f>
        <v>8.1674999999999951</v>
      </c>
      <c r="DD543" s="17">
        <f>SUM((DA543+DB543)*0.00833333333333333)</f>
        <v>0.7424999999999996</v>
      </c>
      <c r="DE543" s="23">
        <f ca="1">MONTH(TODAY())+7</f>
        <v>11</v>
      </c>
      <c r="DF543" s="14">
        <f ca="1">SUM(DA543,DB543,DC543)</f>
        <v>97.267499999999984</v>
      </c>
      <c r="DG543" s="14">
        <f>SUM(EJ543*0.0045)/2</f>
        <v>81</v>
      </c>
      <c r="DH543" s="14">
        <f>SUM(DG543*0.1)</f>
        <v>8.1</v>
      </c>
      <c r="DI543" s="14">
        <f ca="1">SUM(DJ543*DK543)</f>
        <v>3.7124999999999981</v>
      </c>
      <c r="DJ543" s="17">
        <f>SUM((DG543+DH543)*0.00833333333333333)</f>
        <v>0.7424999999999996</v>
      </c>
      <c r="DK543" s="23">
        <f ca="1">MONTH(TODAY())+1</f>
        <v>5</v>
      </c>
      <c r="DL543" s="14">
        <f ca="1">SUM(DG543,DH543,DI543)</f>
        <v>92.812499999999986</v>
      </c>
      <c r="DM543" s="14">
        <f>SUM(BQ543, BW543, CC543,CI543,CO543,CU543,DA543,DG543)</f>
        <v>651.59999999999991</v>
      </c>
      <c r="DN543" s="14">
        <f>SUM(BR543,BX543, CD543,CJ543,CP543,CV543,DB543,DH543)</f>
        <v>65.16</v>
      </c>
      <c r="DO543" s="14">
        <f ca="1">SUM(BS543,BY543, CE543,CK543,CQ543,CW543,DC543,DI543)</f>
        <v>149.6879999999999</v>
      </c>
      <c r="DP543" s="25">
        <f ca="1">SUM(DM543:DO543)</f>
        <v>866.44799999999975</v>
      </c>
      <c r="DQ543" s="47">
        <f ca="1">SUM(DP543/EG543)</f>
        <v>2.7506285714285705E-2</v>
      </c>
      <c r="DR543" s="14">
        <f>40+10+200+200+100+40+40+100</f>
        <v>730</v>
      </c>
      <c r="DS543" s="32">
        <f>COUNTIF(AO543, "*")+COUNTIF(AJ543, "*")+COUNTIF(AA543, "*")+COUNTIF(EU543, "*")+COUNTIF(FA543, "*")+COUNTIF(FG543, "*")+COUNTIF(FK543, "*")+COUNTIF(FR543, "*")+COUNTIF(AT543, "*")+COUNTIF(GA543, "*")+COUNTIF(GL543, "*")+COUNTIF(GW543, "*")+COUNTIF(HE543, "*")+COUNTIF(HM543, "*")+COUNTIF(HU543, "*")</f>
        <v>3</v>
      </c>
      <c r="DT543" s="14">
        <f>DS543*0.64+DS543*8</f>
        <v>25.92</v>
      </c>
      <c r="DU543" s="4">
        <f>27.96+827</f>
        <v>854.96</v>
      </c>
      <c r="DV543" s="4">
        <v>279.5</v>
      </c>
      <c r="DW543" s="4">
        <f>93.75+147.5</f>
        <v>241.25</v>
      </c>
      <c r="DX543" s="4"/>
      <c r="DY543" s="14">
        <f>IF(SUM(EE543*0.004)&lt;100, 100, SUM(EE543*0.004))</f>
        <v>100</v>
      </c>
      <c r="DZ543" s="4">
        <v>460</v>
      </c>
      <c r="EA543" s="14">
        <f>SUM(DU543:DZ543)</f>
        <v>1935.71</v>
      </c>
      <c r="EB543" s="14">
        <f ca="1">SUM(DP543,DR543,EA543,DT543,FX543)</f>
        <v>3558.078</v>
      </c>
      <c r="EC543" s="24" t="s">
        <v>5892</v>
      </c>
      <c r="ED543" s="23">
        <v>1.65</v>
      </c>
      <c r="EE543" s="14">
        <v>22300</v>
      </c>
      <c r="EF543" s="14">
        <v>9200</v>
      </c>
      <c r="EG543" s="14">
        <f>SUM(EE543+EF543)</f>
        <v>31500</v>
      </c>
      <c r="EH543" s="14">
        <v>27700</v>
      </c>
      <c r="EI543" s="14">
        <v>8300</v>
      </c>
      <c r="EJ543" s="14">
        <f>SUM(EH543+EI543)</f>
        <v>36000</v>
      </c>
      <c r="EK543" s="10" t="s">
        <v>5309</v>
      </c>
      <c r="EL543" s="10" t="s">
        <v>5310</v>
      </c>
      <c r="EM543" s="10"/>
      <c r="EN543" s="10"/>
      <c r="EO543" s="10"/>
      <c r="EP543" s="10"/>
      <c r="EQ543" s="10"/>
      <c r="ER543" s="10"/>
      <c r="ES543" s="10" t="s">
        <v>5307</v>
      </c>
      <c r="ET543" s="10"/>
      <c r="EU543" s="10" t="s">
        <v>5308</v>
      </c>
      <c r="EV543" s="10"/>
      <c r="EW543" s="10" t="s">
        <v>349</v>
      </c>
      <c r="EX543" s="10" t="s">
        <v>260</v>
      </c>
      <c r="EY543" s="10"/>
      <c r="EZ543" s="10"/>
      <c r="FA543" s="10"/>
      <c r="FB543" s="10"/>
      <c r="FC543" s="10"/>
      <c r="FD543" s="10"/>
      <c r="FE543" s="10"/>
      <c r="FF543" s="10"/>
      <c r="FG543" s="10"/>
      <c r="FH543" s="10"/>
      <c r="FI543" s="10"/>
      <c r="FJ543" s="10"/>
      <c r="FK543" s="10"/>
      <c r="FL543" s="10"/>
      <c r="FM543" s="10"/>
      <c r="FN543" s="10"/>
      <c r="FO543" s="9"/>
      <c r="FP543" s="10"/>
      <c r="FQ543" s="10"/>
      <c r="FR543" s="10"/>
      <c r="FS543" s="10"/>
      <c r="FT543" s="10"/>
      <c r="FU543" s="10"/>
      <c r="FV543" s="9"/>
      <c r="FW543" s="10"/>
      <c r="FX543" s="10"/>
      <c r="FY543" s="10"/>
      <c r="FZ543" s="10"/>
      <c r="GA543" s="10"/>
      <c r="GB543" s="10"/>
      <c r="GC543" s="10"/>
      <c r="GD543" s="10"/>
      <c r="GE543" s="9"/>
      <c r="GF543" s="10"/>
      <c r="GG543" s="10"/>
      <c r="GH543" s="10"/>
      <c r="GI543" s="10"/>
      <c r="GJ543" s="10"/>
      <c r="GK543" s="10"/>
      <c r="GL543" s="10"/>
      <c r="GM543" s="10"/>
      <c r="GN543" s="10"/>
      <c r="GO543" s="10"/>
      <c r="GP543" s="9"/>
      <c r="GQ543" s="10"/>
      <c r="GR543" s="10"/>
      <c r="GS543" s="10"/>
      <c r="GT543" s="10"/>
      <c r="GU543" s="10"/>
      <c r="GV543" s="10"/>
      <c r="GW543" s="10"/>
      <c r="GX543" s="10"/>
      <c r="GY543" s="10"/>
      <c r="GZ543" s="10"/>
      <c r="HA543" s="9"/>
      <c r="HB543" s="10"/>
      <c r="HC543" s="10"/>
      <c r="HD543" s="10"/>
      <c r="HE543" s="10"/>
      <c r="HF543" s="10"/>
      <c r="HG543" s="10"/>
      <c r="HH543" s="10"/>
      <c r="HI543" s="9"/>
      <c r="HJ543" s="10"/>
      <c r="HK543" s="10"/>
      <c r="HL543" s="10"/>
      <c r="HM543" s="10"/>
      <c r="HN543" s="10"/>
      <c r="HO543" s="10"/>
      <c r="HP543" s="10"/>
      <c r="HQ543" s="9"/>
      <c r="HR543" s="10"/>
      <c r="HS543" s="10"/>
      <c r="HT543" s="10"/>
      <c r="HU543" s="10"/>
      <c r="HV543" s="10"/>
      <c r="HW543" s="10"/>
      <c r="HX543" s="10"/>
      <c r="HY543" s="9"/>
      <c r="HZ543" s="4"/>
      <c r="IA543" s="4"/>
      <c r="IB543" s="10"/>
      <c r="IC543" s="10"/>
      <c r="ID543" s="10"/>
      <c r="IE543" s="10"/>
      <c r="IF543" s="4"/>
      <c r="IG543" s="4"/>
      <c r="IH543" s="4"/>
      <c r="II543" s="4"/>
      <c r="IJ543" s="4"/>
      <c r="IK543" s="9"/>
      <c r="IL543" s="9"/>
      <c r="IM543" s="9"/>
      <c r="IN543" s="9"/>
      <c r="IO543" s="9"/>
      <c r="IP543" s="27" t="s">
        <v>5913</v>
      </c>
    </row>
    <row r="544" spans="1:263" ht="15" customHeight="1">
      <c r="A544" s="2">
        <v>102017061</v>
      </c>
      <c r="B544" t="s">
        <v>955</v>
      </c>
      <c r="J544" t="s">
        <v>253</v>
      </c>
      <c r="K544" t="s">
        <v>956</v>
      </c>
      <c r="L544" t="s">
        <v>957</v>
      </c>
      <c r="M544" t="s">
        <v>763</v>
      </c>
      <c r="N544" s="1"/>
      <c r="O544" s="4"/>
      <c r="T544" s="1"/>
      <c r="AE544" s="1"/>
      <c r="AS544" s="5"/>
      <c r="AT544" s="16"/>
      <c r="AU544" s="16"/>
      <c r="AW544" s="4"/>
      <c r="AX544" s="4"/>
      <c r="AY544" s="6"/>
      <c r="AZ544" s="7"/>
      <c r="BA544" s="4"/>
      <c r="BC544" s="4"/>
      <c r="BD544" s="4"/>
      <c r="BE544" s="6"/>
      <c r="BF544" s="7"/>
      <c r="BG544" s="4"/>
      <c r="BH544" s="4"/>
      <c r="BI544" s="4"/>
      <c r="BJ544" s="4"/>
      <c r="BK544" s="6"/>
      <c r="BL544" s="7"/>
      <c r="BM544" s="4"/>
      <c r="BO544" s="4"/>
      <c r="BP544" s="4"/>
      <c r="BQ544" s="6"/>
      <c r="BR544" s="7"/>
      <c r="BS544" s="4"/>
      <c r="BT544" s="4"/>
      <c r="BU544" s="4"/>
      <c r="BV544" s="4"/>
      <c r="BW544" s="6"/>
      <c r="BX544" s="7"/>
      <c r="BY544" s="4"/>
      <c r="BZ544" s="4"/>
      <c r="CA544" s="4"/>
      <c r="CB544" s="4"/>
      <c r="CC544" s="6"/>
      <c r="CD544" s="7"/>
      <c r="CE544" s="4"/>
      <c r="CF544" s="4"/>
      <c r="CG544" s="4"/>
      <c r="CH544" s="4"/>
      <c r="CI544" s="6"/>
      <c r="CJ544" s="7"/>
      <c r="CK544" s="4"/>
      <c r="CL544" s="4"/>
      <c r="CM544" s="4"/>
      <c r="CN544" s="4"/>
      <c r="CO544" s="6"/>
      <c r="CP544" s="7"/>
      <c r="CQ544" s="4"/>
      <c r="CS544" s="4"/>
      <c r="CT544" s="4"/>
      <c r="CU544" s="6"/>
      <c r="CV544" s="7"/>
      <c r="CW544" s="4"/>
      <c r="CX544" s="4"/>
      <c r="CY544" s="4"/>
      <c r="CZ544" s="4"/>
      <c r="DA544" s="4"/>
      <c r="DC544" s="4"/>
      <c r="DD544" s="4"/>
      <c r="DE544" s="4"/>
      <c r="DF544" s="4"/>
      <c r="DG544" s="4"/>
      <c r="DH544" s="4"/>
      <c r="DI544" s="4"/>
      <c r="DJ544" s="4"/>
      <c r="DK544" s="4"/>
      <c r="DL544" s="4"/>
      <c r="DM544" s="4"/>
      <c r="DN544" s="4"/>
      <c r="DO544" s="4"/>
      <c r="DP544" s="4"/>
      <c r="DQ544" s="4"/>
      <c r="DR544" s="4"/>
      <c r="DS544" s="4"/>
      <c r="DW544" s="4"/>
      <c r="DX544" s="18"/>
      <c r="DY544" s="4"/>
      <c r="DZ544" s="4"/>
      <c r="EB544" s="4"/>
      <c r="EC544" s="4"/>
      <c r="ED544" s="18"/>
      <c r="EF544" s="4"/>
      <c r="EG544" s="4"/>
      <c r="EH544" s="4"/>
      <c r="FQ544" s="10"/>
      <c r="FX544" s="10"/>
      <c r="GJ544" s="9"/>
    </row>
    <row r="545" spans="1:263" ht="15" customHeight="1">
      <c r="A545" s="2">
        <v>102024109</v>
      </c>
      <c r="B545" t="s">
        <v>5417</v>
      </c>
      <c r="D545" s="1"/>
      <c r="E545" s="3"/>
      <c r="G545" s="3"/>
      <c r="J545" t="s">
        <v>554</v>
      </c>
      <c r="K545" t="s">
        <v>5418</v>
      </c>
      <c r="L545" t="s">
        <v>5419</v>
      </c>
      <c r="M545" t="s">
        <v>469</v>
      </c>
      <c r="O545" s="3"/>
      <c r="P545" t="s">
        <v>5420</v>
      </c>
      <c r="Q545" t="s">
        <v>5421</v>
      </c>
      <c r="R545" t="s">
        <v>326</v>
      </c>
      <c r="AG545" s="43"/>
      <c r="AJ545" s="18" t="s">
        <v>328</v>
      </c>
      <c r="AK545" s="1"/>
      <c r="AL545" t="s">
        <v>329</v>
      </c>
      <c r="AM545"/>
      <c r="AN545"/>
      <c r="AO545" t="s">
        <v>5422</v>
      </c>
      <c r="AP545" s="1" t="s">
        <v>258</v>
      </c>
      <c r="AQ545" s="18" t="s">
        <v>567</v>
      </c>
      <c r="AR545" t="s">
        <v>821</v>
      </c>
      <c r="AS545" s="10"/>
      <c r="AT545" s="10"/>
      <c r="AU545" s="10"/>
      <c r="AV545" s="10"/>
      <c r="AW545" s="1"/>
      <c r="AY545" s="1" t="s">
        <v>258</v>
      </c>
      <c r="AZ545" s="1"/>
      <c r="BA545" s="1"/>
      <c r="BB545" s="1"/>
      <c r="BC545" s="70">
        <v>45470</v>
      </c>
      <c r="BD545" s="115">
        <v>45408</v>
      </c>
      <c r="BE545" s="144">
        <v>45428</v>
      </c>
      <c r="BF545" s="2"/>
      <c r="BG545" s="2"/>
      <c r="BH545" s="2"/>
      <c r="BI545" s="2"/>
      <c r="BJ545" s="2"/>
      <c r="BK545" s="2"/>
      <c r="BL545" s="20">
        <f ca="1">SUM(EH545)+220</f>
        <v>1598.5911999999998</v>
      </c>
      <c r="BM545" s="22">
        <f ca="1">PMT(10%/12,12,BL545,0,0)</f>
        <v>-140.54156366608569</v>
      </c>
      <c r="BN545" s="22">
        <f ca="1">SUM(BM545*-1)</f>
        <v>140.54156366608569</v>
      </c>
      <c r="BO545" s="14">
        <f>SUM(EP545*0.0052)/12</f>
        <v>26.39</v>
      </c>
      <c r="BP545" s="22">
        <f ca="1">SUM(BN545+BO545)</f>
        <v>166.93156366608571</v>
      </c>
      <c r="BQ545" s="14"/>
      <c r="BR545" s="14">
        <f>SUM(BQ545*0.1)</f>
        <v>0</v>
      </c>
      <c r="BS545" s="14">
        <f ca="1">SUM(BT545*BU545)</f>
        <v>0</v>
      </c>
      <c r="BT545" s="17">
        <f>SUM((BQ545+BR545)*0.00833333333333333)</f>
        <v>0</v>
      </c>
      <c r="BU545" s="23">
        <f ca="1">MONTH(TODAY())+49</f>
        <v>53</v>
      </c>
      <c r="BV545" s="14">
        <f ca="1">SUM(BQ545,BR545,BS545)</f>
        <v>0</v>
      </c>
      <c r="BW545" s="14">
        <v>0</v>
      </c>
      <c r="BX545" s="14">
        <f>SUM(BW545*0.1)</f>
        <v>0</v>
      </c>
      <c r="BY545" s="14">
        <f ca="1">SUM(BZ545*CA545)</f>
        <v>0</v>
      </c>
      <c r="BZ545" s="17">
        <f>SUM((BW545+BX545)*0.00833333333333333)</f>
        <v>0</v>
      </c>
      <c r="CA545" s="23">
        <f ca="1">MONTH(TODAY())+37</f>
        <v>41</v>
      </c>
      <c r="CB545" s="14">
        <f ca="1">SUM(BW545,BX545,BY545)</f>
        <v>0</v>
      </c>
      <c r="CC545" s="14">
        <v>0</v>
      </c>
      <c r="CD545" s="14">
        <f>SUM(CC545*0.1)</f>
        <v>0</v>
      </c>
      <c r="CE545" s="14">
        <f ca="1">SUM(CF545*CG545)</f>
        <v>0</v>
      </c>
      <c r="CF545" s="17">
        <f>SUM((CC545+CD545)*0.00833333333333333)</f>
        <v>0</v>
      </c>
      <c r="CG545" s="23">
        <f ca="1">MONTH(TODAY())+25</f>
        <v>29</v>
      </c>
      <c r="CH545" s="14">
        <f ca="1">SUM(CC545,CD545,CE545)</f>
        <v>0</v>
      </c>
      <c r="CI545" s="14">
        <f>SUM(EM545*0.0052)/2</f>
        <v>113.88</v>
      </c>
      <c r="CJ545" s="14">
        <f>SUM(CI545*0.1)</f>
        <v>11.388</v>
      </c>
      <c r="CK545" s="14">
        <f ca="1">SUM(CL545*CM545)</f>
        <v>21.92189999999999</v>
      </c>
      <c r="CL545" s="17">
        <f>SUM((CI545+CJ545)*0.00833333333333333)</f>
        <v>1.0438999999999996</v>
      </c>
      <c r="CM545" s="23">
        <f ca="1">MONTH(TODAY())+17</f>
        <v>21</v>
      </c>
      <c r="CN545" s="23">
        <f ca="1">SUM(CI545,CJ545,CK545)</f>
        <v>147.18989999999999</v>
      </c>
      <c r="CO545" s="14">
        <f>SUM(EM545*0.0052)/2</f>
        <v>113.88</v>
      </c>
      <c r="CP545" s="14">
        <f>SUM(CO545*0.1)</f>
        <v>11.388</v>
      </c>
      <c r="CQ545" s="14">
        <f ca="1">SUM(CR545*CS545)</f>
        <v>17.746299999999994</v>
      </c>
      <c r="CR545" s="17">
        <f>SUM((CO545+CP545)*0.00833333333333333)</f>
        <v>1.0438999999999996</v>
      </c>
      <c r="CS545" s="23">
        <f ca="1">MONTH(TODAY())+13</f>
        <v>17</v>
      </c>
      <c r="CT545" s="23">
        <f ca="1">SUM(CO545,CP545,CQ545)</f>
        <v>143.01429999999999</v>
      </c>
      <c r="CU545" s="14">
        <f>SUM(EP545*0.0045)/2</f>
        <v>137.02499999999998</v>
      </c>
      <c r="CV545" s="14">
        <f>SUM(CU545*0.1)</f>
        <v>13.702499999999999</v>
      </c>
      <c r="CW545" s="14">
        <f ca="1">SUM(CX545*CY545)</f>
        <v>13.816687499999992</v>
      </c>
      <c r="CX545" s="17">
        <f>SUM((CU545+CV545)*0.00833333333333333)</f>
        <v>1.2560624999999992</v>
      </c>
      <c r="CY545" s="23">
        <f ca="1">MONTH(TODAY())+7</f>
        <v>11</v>
      </c>
      <c r="CZ545" s="23">
        <f ca="1">SUM(CU545,CV545,CW545)</f>
        <v>164.54418749999996</v>
      </c>
      <c r="DA545" s="14">
        <f>SUM(EP545*0.0045)/2</f>
        <v>137.02499999999998</v>
      </c>
      <c r="DB545" s="14">
        <f>SUM(DA545*0.1)</f>
        <v>13.702499999999999</v>
      </c>
      <c r="DC545" s="14">
        <f ca="1">SUM(DD545*DE545)</f>
        <v>6.2803124999999955</v>
      </c>
      <c r="DD545" s="17">
        <f>SUM((DA545+DB545)*0.00833333333333333)</f>
        <v>1.2560624999999992</v>
      </c>
      <c r="DE545" s="23">
        <f ca="1">MONTH(TODAY())+1</f>
        <v>5</v>
      </c>
      <c r="DF545" s="14">
        <f ca="1">SUM(DA545,DB545,DC545)</f>
        <v>157.00781249999997</v>
      </c>
      <c r="DG545" s="14">
        <f>SUM(EP545*0.0045)/2</f>
        <v>137.02499999999998</v>
      </c>
      <c r="DH545" s="14">
        <f>0</f>
        <v>0</v>
      </c>
      <c r="DI545" s="14">
        <f>0</f>
        <v>0</v>
      </c>
      <c r="DJ545" s="17">
        <f>SUM((DG545+DH545)*0.00833333333333333)</f>
        <v>1.1418749999999993</v>
      </c>
      <c r="DK545" s="23">
        <f ca="1">MONTH(TODAY())+7</f>
        <v>11</v>
      </c>
      <c r="DL545" s="23">
        <f>SUM(DG545,DH545,DI545)</f>
        <v>137.02499999999998</v>
      </c>
      <c r="DM545" s="14">
        <f>0</f>
        <v>0</v>
      </c>
      <c r="DN545" s="14">
        <f>0</f>
        <v>0</v>
      </c>
      <c r="DO545" s="14">
        <f ca="1">SUM(DP545*DQ545)</f>
        <v>0</v>
      </c>
      <c r="DP545" s="17">
        <f>SUM((DM545+DN545)*0.00833333333333333)</f>
        <v>0</v>
      </c>
      <c r="DQ545" s="23">
        <f ca="1">MONTH(TODAY())+1</f>
        <v>5</v>
      </c>
      <c r="DR545" s="14">
        <f ca="1">SUM(DM545,DN545,DO545)</f>
        <v>0</v>
      </c>
      <c r="DS545" s="14">
        <f>SUM(BQ545, BW545, CC545, CI545,CO545,CU545,DA545,DG545,DM545)</f>
        <v>638.83499999999992</v>
      </c>
      <c r="DT545" s="14">
        <f>SUM(BR545,BX545,CD545, CJ545,CP545,CV545,DB545,DH545,DN545)</f>
        <v>50.180999999999997</v>
      </c>
      <c r="DU545" s="14">
        <f ca="1">SUM(BS545,BY545,CE545, CK545,CQ545,CW545,DC545,DI545,DO545)</f>
        <v>59.765199999999972</v>
      </c>
      <c r="DV545" s="25">
        <f ca="1">SUM(DS545:DU545)</f>
        <v>748.7811999999999</v>
      </c>
      <c r="DW545" s="47">
        <f ca="1">SUM(DV545/EM545)</f>
        <v>1.7095461187214611E-2</v>
      </c>
      <c r="DX545" s="14">
        <f>20+10+200+200</f>
        <v>430</v>
      </c>
      <c r="DY545" s="32">
        <f>COUNTIF(AO545, "*")+COUNTIF(AJ545, "*")+COUNTIF(AA545, "*")+COUNTIF(FA545, "*")+COUNTIF(FG545, "*")+COUNTIF(FM545, "*")+COUNTIF(FQ545, "*")+COUNTIF(FX545, "*")+COUNTIF(AS545, "*")+COUNTIF(GG545, "*")+COUNTIF(GR545, "*")+COUNTIF(HC545, "*")+COUNTIF(HK545, "*")+COUNTIF(HS545, "*")+COUNTIF(IA545, "*")</f>
        <v>2</v>
      </c>
      <c r="DZ545" s="14">
        <f>1.28+DY545*8</f>
        <v>17.28</v>
      </c>
      <c r="EA545" s="4">
        <v>150</v>
      </c>
      <c r="EB545" s="4">
        <v>32.53</v>
      </c>
      <c r="EC545" s="4"/>
      <c r="ED545" s="4"/>
      <c r="EF545" s="4"/>
      <c r="EG545" s="14">
        <f>SUM(EB545:EF545)</f>
        <v>32.53</v>
      </c>
      <c r="EH545" s="14">
        <f ca="1">SUM(DV545,DX545,EG545, EA545, DZ545,GD545)</f>
        <v>1378.5911999999998</v>
      </c>
      <c r="EI545" s="24" t="s">
        <v>4935</v>
      </c>
      <c r="EJ545" s="23">
        <v>10.09</v>
      </c>
      <c r="EK545" s="14">
        <v>43800</v>
      </c>
      <c r="EL545" s="14">
        <v>0</v>
      </c>
      <c r="EM545" s="14">
        <f>SUM(EK545+EL545)</f>
        <v>43800</v>
      </c>
      <c r="EN545" s="14">
        <v>60900</v>
      </c>
      <c r="EO545" s="14">
        <v>0</v>
      </c>
      <c r="EP545" s="14">
        <f>SUM(EN545+EO545)</f>
        <v>60900</v>
      </c>
      <c r="EQ545" s="10" t="s">
        <v>5682</v>
      </c>
      <c r="ER545" s="10" t="s">
        <v>5683</v>
      </c>
      <c r="ES545" s="10"/>
      <c r="ET545" s="10"/>
      <c r="EU545" s="10"/>
      <c r="EV545" s="10"/>
      <c r="EW545" s="10"/>
      <c r="EX545" s="10"/>
      <c r="GD545" s="4"/>
      <c r="IE545" s="9"/>
      <c r="IN545" s="4"/>
      <c r="IO545" s="4"/>
      <c r="IP545" s="4"/>
      <c r="IQ545" s="9"/>
      <c r="IR545" s="9"/>
      <c r="IS545" s="9"/>
      <c r="IT545" s="9"/>
      <c r="IU545" s="9"/>
    </row>
    <row r="546" spans="1:263" ht="15" customHeight="1">
      <c r="A546" s="19">
        <v>102019067</v>
      </c>
      <c r="B546" s="14" t="s">
        <v>671</v>
      </c>
      <c r="C546" s="13"/>
      <c r="D546" s="13"/>
      <c r="E546" s="24" t="s">
        <v>2386</v>
      </c>
      <c r="F546" s="19">
        <v>210001575</v>
      </c>
      <c r="G546" s="18"/>
      <c r="H546" s="18"/>
      <c r="I546" s="18"/>
      <c r="J546" s="18" t="s">
        <v>311</v>
      </c>
      <c r="K546" s="18" t="s">
        <v>672</v>
      </c>
      <c r="L546" s="18" t="s">
        <v>673</v>
      </c>
      <c r="M546" s="18" t="s">
        <v>537</v>
      </c>
      <c r="N546" s="18"/>
      <c r="O546" s="13"/>
      <c r="P546" s="18"/>
      <c r="Q546" s="18"/>
      <c r="R546" s="18"/>
      <c r="S546" s="18"/>
      <c r="T546" s="13"/>
      <c r="U546" s="18"/>
      <c r="V546" s="18"/>
      <c r="W546" s="18"/>
      <c r="X546" s="18"/>
      <c r="Y546" s="18"/>
      <c r="Z546" s="18"/>
      <c r="AA546" s="18"/>
      <c r="AB546" s="18"/>
      <c r="AC546" s="18"/>
      <c r="AD546" s="18"/>
      <c r="AE546" s="18"/>
      <c r="AF546" s="18"/>
      <c r="AG546" s="231"/>
      <c r="AH546" s="18"/>
      <c r="AI546" s="18"/>
      <c r="AJ546" s="14" t="s">
        <v>328</v>
      </c>
      <c r="AK546" s="14"/>
      <c r="AL546" s="18" t="s">
        <v>386</v>
      </c>
      <c r="AM546" s="24"/>
      <c r="AN546" s="24" t="s">
        <v>603</v>
      </c>
      <c r="AO546" s="14" t="s">
        <v>604</v>
      </c>
      <c r="AP546" s="20" t="s">
        <v>258</v>
      </c>
      <c r="AQ546" s="24" t="s">
        <v>259</v>
      </c>
      <c r="AR546" s="24" t="s">
        <v>260</v>
      </c>
      <c r="AS546" s="20"/>
      <c r="AT546" s="20"/>
      <c r="AU546" s="13"/>
      <c r="AV546" s="13"/>
      <c r="AW546" s="13"/>
      <c r="AX546" s="48"/>
      <c r="AY546" s="48"/>
      <c r="AZ546" s="48"/>
      <c r="BA546" s="48"/>
      <c r="BB546" s="19"/>
      <c r="BC546" s="48"/>
      <c r="BD546" s="48"/>
      <c r="BE546" s="48"/>
      <c r="BF546" s="19"/>
      <c r="BG546" s="20"/>
      <c r="BH546" s="22"/>
      <c r="BI546" s="22"/>
      <c r="BJ546" s="14"/>
      <c r="BK546" s="22"/>
      <c r="BL546" s="14"/>
      <c r="BM546" s="14"/>
      <c r="BN546" s="14"/>
      <c r="BO546" s="17"/>
      <c r="BP546" s="23"/>
      <c r="BQ546" s="14"/>
      <c r="BR546" s="14"/>
      <c r="BS546" s="14"/>
      <c r="BT546" s="14"/>
      <c r="BU546" s="17"/>
      <c r="BV546" s="23"/>
      <c r="BW546" s="14"/>
      <c r="BX546" s="14"/>
      <c r="BY546" s="14"/>
      <c r="BZ546" s="14"/>
      <c r="CA546" s="17"/>
      <c r="CB546" s="23"/>
      <c r="CC546" s="14"/>
      <c r="CD546" s="14"/>
      <c r="CE546" s="14"/>
      <c r="CF546" s="14"/>
      <c r="CG546" s="17"/>
      <c r="CH546" s="23"/>
      <c r="CI546" s="14"/>
      <c r="CJ546" s="14"/>
      <c r="CK546" s="14"/>
      <c r="CL546" s="14"/>
      <c r="CM546" s="17"/>
      <c r="CN546" s="23"/>
      <c r="CO546" s="14"/>
      <c r="CP546" s="14"/>
      <c r="CQ546" s="14"/>
      <c r="CR546" s="14"/>
      <c r="CS546" s="17"/>
      <c r="CT546" s="23"/>
      <c r="CU546" s="14"/>
      <c r="CV546" s="14"/>
      <c r="CW546" s="14"/>
      <c r="CX546" s="14"/>
      <c r="CY546" s="14"/>
      <c r="CZ546" s="14"/>
      <c r="DA546" s="14"/>
      <c r="DB546" s="14"/>
      <c r="DC546" s="14"/>
      <c r="DD546" s="14"/>
      <c r="DE546" s="14"/>
      <c r="DF546" s="47"/>
      <c r="DG546" s="14"/>
      <c r="DH546" s="32"/>
      <c r="DI546" s="14"/>
      <c r="DJ546" s="14">
        <v>150</v>
      </c>
      <c r="DK546" s="14">
        <f>SUM(DE546,DG546,DQ546, DJ546, DI546,FS546)</f>
        <v>1718.33</v>
      </c>
      <c r="DL546" s="14">
        <f>32.58+641</f>
        <v>673.58</v>
      </c>
      <c r="DM546" s="14">
        <f>93.75+110</f>
        <v>203.75</v>
      </c>
      <c r="DN546" s="14">
        <v>81</v>
      </c>
      <c r="DO546" s="23"/>
      <c r="DP546" s="25">
        <v>610</v>
      </c>
      <c r="DQ546" s="14">
        <f>SUM(DL546:DP546)</f>
        <v>1568.33</v>
      </c>
      <c r="DR546" s="24" t="s">
        <v>2217</v>
      </c>
      <c r="DS546" s="25">
        <v>46400</v>
      </c>
      <c r="DT546" s="25">
        <v>0</v>
      </c>
      <c r="DU546" s="25">
        <f>SUM(DS546+DT546)</f>
        <v>46400</v>
      </c>
      <c r="DV546" s="36">
        <v>12.3</v>
      </c>
      <c r="DW546" s="18" t="s">
        <v>2220</v>
      </c>
      <c r="DX546" s="18" t="s">
        <v>2221</v>
      </c>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27"/>
      <c r="FF546" s="18"/>
      <c r="FG546" s="18"/>
      <c r="FH546" s="18"/>
      <c r="FI546" s="18"/>
      <c r="FJ546" s="18"/>
      <c r="FK546" s="18"/>
      <c r="FL546" s="18"/>
      <c r="FM546" s="18"/>
      <c r="FN546" s="18"/>
      <c r="FO546" s="18"/>
      <c r="FP546" s="18"/>
      <c r="FQ546" s="18"/>
      <c r="FR546" s="18"/>
      <c r="FS546" s="14"/>
      <c r="FT546" s="18"/>
      <c r="FU546" s="18"/>
      <c r="FV546" s="18"/>
      <c r="FW546" s="18"/>
      <c r="FX546" s="28"/>
      <c r="FY546" s="18"/>
      <c r="FZ546" s="18"/>
      <c r="GA546" s="18"/>
      <c r="GB546" s="18"/>
      <c r="GC546" s="18"/>
      <c r="GD546" s="18"/>
      <c r="GE546" s="18"/>
      <c r="GF546" s="18"/>
      <c r="GG546" s="18"/>
      <c r="GH546" s="28"/>
      <c r="GI546" s="18"/>
      <c r="GJ546" s="18"/>
      <c r="GK546" s="18"/>
      <c r="GL546" s="18"/>
      <c r="GM546" s="18"/>
      <c r="GN546" s="18"/>
      <c r="GO546" s="18"/>
      <c r="GP546" s="18"/>
      <c r="GQ546" s="18"/>
      <c r="GR546" s="18"/>
      <c r="GS546" s="18"/>
      <c r="GT546" s="18"/>
      <c r="GU546" s="18"/>
      <c r="GV546" s="18"/>
      <c r="GW546" s="27"/>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4"/>
      <c r="IF546" s="14"/>
      <c r="IG546" s="27"/>
      <c r="IH546" s="18"/>
      <c r="II546" s="18"/>
      <c r="IJ546" s="18"/>
      <c r="IK546" s="18"/>
      <c r="IN546" t="s">
        <v>1410</v>
      </c>
      <c r="IO546" t="s">
        <v>846</v>
      </c>
      <c r="IP546" t="s">
        <v>386</v>
      </c>
      <c r="IS546" s="66">
        <v>41.5</v>
      </c>
      <c r="IT546" s="66">
        <v>0</v>
      </c>
      <c r="IU546" s="9">
        <v>43643</v>
      </c>
      <c r="IV546" s="9">
        <v>43661</v>
      </c>
      <c r="IW546" s="9">
        <v>43699</v>
      </c>
      <c r="IX546" s="9">
        <v>43711</v>
      </c>
    </row>
    <row r="547" spans="1:263" ht="15" customHeight="1">
      <c r="A547" s="19">
        <v>102019067</v>
      </c>
      <c r="B547" s="14" t="s">
        <v>671</v>
      </c>
      <c r="C547" s="13"/>
      <c r="D547" s="13"/>
      <c r="E547" s="24" t="s">
        <v>2386</v>
      </c>
      <c r="F547" s="19">
        <v>210001575</v>
      </c>
      <c r="G547" s="18"/>
      <c r="H547" s="18"/>
      <c r="I547" s="18"/>
      <c r="J547" s="18" t="s">
        <v>311</v>
      </c>
      <c r="K547" s="18" t="s">
        <v>672</v>
      </c>
      <c r="L547" s="18" t="s">
        <v>673</v>
      </c>
      <c r="M547" s="18" t="s">
        <v>537</v>
      </c>
      <c r="N547" s="18"/>
      <c r="O547" s="13"/>
      <c r="P547" s="18"/>
      <c r="Q547" s="18"/>
      <c r="R547" s="18"/>
      <c r="S547" s="18"/>
      <c r="T547" s="13"/>
      <c r="U547" s="18"/>
      <c r="V547" s="18"/>
      <c r="W547" s="18"/>
      <c r="X547" s="18"/>
      <c r="Y547" s="18"/>
      <c r="Z547" s="18"/>
      <c r="AA547" s="18"/>
      <c r="AB547" s="18"/>
      <c r="AC547" s="18"/>
      <c r="AD547" s="18"/>
      <c r="AE547" s="18"/>
      <c r="AF547" s="18"/>
      <c r="AG547" s="37"/>
      <c r="AH547" s="18"/>
      <c r="AI547" s="18"/>
      <c r="AJ547" s="14" t="s">
        <v>328</v>
      </c>
      <c r="AK547" s="14"/>
      <c r="AL547" s="18" t="s">
        <v>386</v>
      </c>
      <c r="AM547" s="18"/>
      <c r="AN547" s="18" t="s">
        <v>603</v>
      </c>
      <c r="AO547" s="63" t="s">
        <v>604</v>
      </c>
      <c r="AP547" s="63" t="s">
        <v>258</v>
      </c>
      <c r="AQ547" s="24" t="s">
        <v>259</v>
      </c>
      <c r="AR547" s="24" t="s">
        <v>260</v>
      </c>
      <c r="AS547" s="20"/>
      <c r="AT547" s="20"/>
      <c r="AU547" s="13" t="s">
        <v>258</v>
      </c>
      <c r="AV547" s="13" t="s">
        <v>258</v>
      </c>
      <c r="AW547" s="13" t="s">
        <v>258</v>
      </c>
      <c r="AX547" s="48">
        <v>44256</v>
      </c>
      <c r="AY547" s="48">
        <v>43842</v>
      </c>
      <c r="AZ547" s="48">
        <v>44222</v>
      </c>
      <c r="BA547" s="48">
        <v>44302</v>
      </c>
      <c r="BB547" s="19" t="s">
        <v>318</v>
      </c>
      <c r="BC547" s="48">
        <v>44288</v>
      </c>
      <c r="BD547" s="48">
        <v>44295</v>
      </c>
      <c r="BE547" s="48">
        <v>44316</v>
      </c>
      <c r="BF547" s="19" t="s">
        <v>319</v>
      </c>
      <c r="BG547" s="20">
        <v>4526.1300666666657</v>
      </c>
      <c r="BH547" s="22">
        <v>-397.91874052942239</v>
      </c>
      <c r="BI547" s="22">
        <v>397.91874052942239</v>
      </c>
      <c r="BJ547" s="14">
        <v>20.106666666666666</v>
      </c>
      <c r="BK547" s="22">
        <v>418.02540719608908</v>
      </c>
      <c r="BL547" s="14"/>
      <c r="BM547" s="14">
        <v>0</v>
      </c>
      <c r="BN547" s="14">
        <v>0</v>
      </c>
      <c r="BO547" s="17">
        <v>0</v>
      </c>
      <c r="BP547" s="23">
        <v>70</v>
      </c>
      <c r="BQ547" s="14">
        <v>0</v>
      </c>
      <c r="BR547" s="14">
        <v>232.44</v>
      </c>
      <c r="BS547" s="14">
        <f>SUM(BR547*0.1)</f>
        <v>23.244</v>
      </c>
      <c r="BT547" s="14">
        <f>SUM(BU547*BV547)</f>
        <v>129.97269999999995</v>
      </c>
      <c r="BU547" s="17">
        <f>SUM((BR547+BS547)*0.00833333333333333)</f>
        <v>2.1306999999999992</v>
      </c>
      <c r="BV547" s="23">
        <v>61</v>
      </c>
      <c r="BW547" s="14">
        <f>SUM(BR547,BS547,BT547)</f>
        <v>385.65669999999994</v>
      </c>
      <c r="BX547" s="14">
        <v>232.44</v>
      </c>
      <c r="BY547" s="14">
        <f>SUM(BX547*0.1)</f>
        <v>23.244</v>
      </c>
      <c r="BZ547" s="14">
        <f>SUM(CA547*CB547)</f>
        <v>104.40429999999996</v>
      </c>
      <c r="CA547" s="17">
        <f>SUM((BX547+BY547)*0.00833333333333333)</f>
        <v>2.1306999999999992</v>
      </c>
      <c r="CB547" s="23">
        <v>49</v>
      </c>
      <c r="CC547" s="14">
        <f>SUM(BX547,BY547,BZ547)</f>
        <v>360.08829999999995</v>
      </c>
      <c r="CD547" s="14">
        <v>232.44</v>
      </c>
      <c r="CE547" s="14">
        <f>SUM(CD547*0.1)</f>
        <v>23.244</v>
      </c>
      <c r="CF547" s="14">
        <f>SUM(CG547*CH547)</f>
        <v>78.835899999999967</v>
      </c>
      <c r="CG547" s="17">
        <f>SUM((CD547+CE547)*0.00833333333333333)</f>
        <v>2.1306999999999992</v>
      </c>
      <c r="CH547" s="23">
        <v>37</v>
      </c>
      <c r="CI547" s="14">
        <f>SUM(CD547,CE547,CF547)</f>
        <v>334.51989999999995</v>
      </c>
      <c r="CJ547" s="14">
        <v>241.28</v>
      </c>
      <c r="CK547" s="14">
        <v>24.128</v>
      </c>
      <c r="CL547" s="14">
        <f>SUM(CM547*CN547)</f>
        <v>55.293333333333315</v>
      </c>
      <c r="CM547" s="17">
        <f>SUM((CJ547+CK547)*0.00833333333333333)</f>
        <v>2.2117333333333327</v>
      </c>
      <c r="CN547" s="23">
        <v>25</v>
      </c>
      <c r="CO547" s="14">
        <f>SUM(CJ547,CK547,CL547)</f>
        <v>320.70133333333331</v>
      </c>
      <c r="CP547" s="14">
        <v>241.28</v>
      </c>
      <c r="CQ547" s="14">
        <v>24.128</v>
      </c>
      <c r="CR547" s="14">
        <f>SUM(CS547*CT547)</f>
        <v>28.752533333333325</v>
      </c>
      <c r="CS547" s="17">
        <f>SUM((CP547+CQ547)*0.00833333333333333)</f>
        <v>2.2117333333333327</v>
      </c>
      <c r="CT547" s="23">
        <v>13</v>
      </c>
      <c r="CU547" s="14">
        <f>SUM(CP547,CQ547,CR547)</f>
        <v>294.16053333333332</v>
      </c>
      <c r="CV547" s="14">
        <f>SUM(DP547*0.0052)</f>
        <v>241.28</v>
      </c>
      <c r="CW547" s="14">
        <f>SUM(BL547, BR547, BX547, CD547,CJ547,CP547, CV547)</f>
        <v>1421.1599999999999</v>
      </c>
      <c r="CX547" s="14">
        <f>SUM(BM547, BS547, BY547, CE547,CK547,CQ547)</f>
        <v>117.988</v>
      </c>
      <c r="CY547" s="14">
        <f>SUM(BN547, BT547, BZ547, CF547,CL547,CR547)</f>
        <v>397.25876666666647</v>
      </c>
      <c r="CZ547" s="14">
        <f>SUM(CW547:CY547)</f>
        <v>1936.4067666666665</v>
      </c>
      <c r="DA547" s="47">
        <v>3.5833622126436773E-2</v>
      </c>
      <c r="DB547" s="14">
        <v>1789.5</v>
      </c>
      <c r="DC547" s="32">
        <v>2</v>
      </c>
      <c r="DD547" s="14">
        <f>14.62+25.03</f>
        <v>39.65</v>
      </c>
      <c r="DE547" s="14">
        <v>150</v>
      </c>
      <c r="DF547" s="18"/>
      <c r="DG547" s="14">
        <f>673.58+182.42</f>
        <v>856</v>
      </c>
      <c r="DH547" s="14">
        <v>203.75</v>
      </c>
      <c r="DI547" s="14">
        <v>81</v>
      </c>
      <c r="DJ547" s="14">
        <f>SUM(DP547*0.004)</f>
        <v>185.6</v>
      </c>
      <c r="DK547" s="25">
        <v>610</v>
      </c>
      <c r="DL547" s="14">
        <f>SUM(DG547:DK547)</f>
        <v>1936.35</v>
      </c>
      <c r="DM547" s="24" t="s">
        <v>2217</v>
      </c>
      <c r="DN547" s="25">
        <v>46400</v>
      </c>
      <c r="DO547" s="25">
        <v>0</v>
      </c>
      <c r="DP547" s="25">
        <v>46400</v>
      </c>
      <c r="DQ547" s="36">
        <v>12.3</v>
      </c>
      <c r="DR547" s="18" t="s">
        <v>2220</v>
      </c>
      <c r="DS547" s="18" t="s">
        <v>2221</v>
      </c>
      <c r="DT547" s="18"/>
      <c r="DU547" s="18"/>
      <c r="DV547" s="18"/>
      <c r="DW547" s="18"/>
      <c r="DX547" s="18"/>
      <c r="DY547" s="18"/>
      <c r="DZ547" s="18"/>
      <c r="EA547" s="18"/>
      <c r="EB547" s="14">
        <f>SUM(CZ547,DB547,DL547, DE547, DD547,FK547)</f>
        <v>5851.906766666666</v>
      </c>
      <c r="EC547" s="18"/>
      <c r="ED547" s="18"/>
      <c r="EE547" s="18"/>
      <c r="EF547" s="18"/>
      <c r="EG547" s="18"/>
      <c r="EH547" s="18"/>
      <c r="EI547" s="18"/>
      <c r="EJ547" s="18"/>
      <c r="EK547" s="18"/>
      <c r="EL547" s="18"/>
      <c r="EM547" s="18"/>
      <c r="EN547" s="18"/>
      <c r="EO547" s="18"/>
      <c r="EP547" s="18"/>
      <c r="EQ547" s="18"/>
      <c r="ER547" s="18"/>
      <c r="ES547" s="18"/>
      <c r="ET547" s="18"/>
      <c r="EU547" s="18"/>
      <c r="EV547" s="27"/>
      <c r="EW547" s="18"/>
      <c r="EX547" s="18"/>
      <c r="EY547" s="18"/>
      <c r="EZ547" s="18"/>
      <c r="FA547" s="18"/>
      <c r="FB547" s="18"/>
      <c r="FC547" s="18"/>
      <c r="FD547" s="18"/>
      <c r="FE547" s="27"/>
      <c r="FF547" s="18"/>
      <c r="FG547" s="18"/>
      <c r="FH547" s="18"/>
      <c r="FI547" s="18"/>
      <c r="FJ547" s="18"/>
      <c r="FK547" s="14"/>
      <c r="FL547" s="18"/>
      <c r="FM547" s="18"/>
      <c r="FN547" s="18"/>
      <c r="FO547" s="18"/>
      <c r="FP547" s="28"/>
      <c r="FQ547" s="18"/>
      <c r="FR547" s="18"/>
      <c r="FS547" s="18"/>
      <c r="FT547" s="18"/>
      <c r="FU547" s="18"/>
      <c r="FV547" s="18"/>
      <c r="FW547" s="18"/>
      <c r="FX547" s="18"/>
      <c r="FY547" s="18"/>
      <c r="FZ547" s="28"/>
      <c r="GA547" s="18"/>
      <c r="GB547" s="18"/>
      <c r="GC547" s="18"/>
      <c r="GD547" s="18"/>
      <c r="GE547" s="18"/>
      <c r="GF547" s="18"/>
      <c r="GG547" s="18"/>
      <c r="GH547" s="18"/>
      <c r="GI547" s="18"/>
      <c r="GJ547" s="18"/>
      <c r="GK547" s="18"/>
      <c r="GL547" s="18"/>
      <c r="GM547" s="18"/>
      <c r="GN547" s="18"/>
      <c r="GO547" s="27"/>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27">
        <v>44499</v>
      </c>
      <c r="IB547" s="14">
        <v>41000</v>
      </c>
      <c r="IC547" s="14">
        <v>4100</v>
      </c>
      <c r="ID547" s="27"/>
      <c r="IE547" s="18"/>
      <c r="IF547" s="18" t="s">
        <v>2718</v>
      </c>
      <c r="IG547" s="18" t="s">
        <v>2719</v>
      </c>
      <c r="IH547" s="18" t="s">
        <v>386</v>
      </c>
      <c r="II547" s="18"/>
      <c r="IJ547" s="18"/>
      <c r="IK547" s="14">
        <v>248.17</v>
      </c>
      <c r="IL547" s="14">
        <f>SUM(IB547-EB547-IJ547)</f>
        <v>35148.093233333333</v>
      </c>
      <c r="IM547" s="14"/>
      <c r="IN547" s="14"/>
      <c r="IO547" s="27">
        <v>44333</v>
      </c>
      <c r="IP547" s="27">
        <v>44349</v>
      </c>
      <c r="IQ547" s="27">
        <v>44501</v>
      </c>
      <c r="IR547" s="27">
        <v>44505</v>
      </c>
      <c r="IS547" s="18"/>
      <c r="IT547" s="18"/>
      <c r="IU547" s="18"/>
      <c r="IV547" s="18"/>
      <c r="IW547" s="18"/>
      <c r="IX547" s="18"/>
      <c r="IY547" s="18"/>
      <c r="IZ547" s="18"/>
      <c r="JA547" s="18"/>
      <c r="JB547" s="18"/>
      <c r="JC547" s="18"/>
    </row>
    <row r="548" spans="1:263" ht="15" customHeight="1">
      <c r="A548" s="19">
        <v>102019051</v>
      </c>
      <c r="B548" s="14" t="s">
        <v>643</v>
      </c>
      <c r="C548" s="13"/>
      <c r="D548" s="13" t="s">
        <v>258</v>
      </c>
      <c r="E548" s="24"/>
      <c r="F548" s="19"/>
      <c r="G548" s="18"/>
      <c r="H548" s="18"/>
      <c r="I548" s="18"/>
      <c r="J548" s="18" t="s">
        <v>311</v>
      </c>
      <c r="K548" s="18" t="s">
        <v>644</v>
      </c>
      <c r="L548" s="18" t="s">
        <v>512</v>
      </c>
      <c r="M548" s="18" t="s">
        <v>645</v>
      </c>
      <c r="N548" s="18"/>
      <c r="O548" s="13"/>
      <c r="P548" s="18"/>
      <c r="Q548" s="18"/>
      <c r="R548" s="18"/>
      <c r="S548" s="18"/>
      <c r="T548" s="13"/>
      <c r="U548" s="18"/>
      <c r="V548" s="18"/>
      <c r="W548" s="18"/>
      <c r="X548" s="18"/>
      <c r="Y548" s="18"/>
      <c r="Z548" s="18"/>
      <c r="AA548" s="18"/>
      <c r="AB548" s="18"/>
      <c r="AC548" s="18"/>
      <c r="AD548" s="18"/>
      <c r="AE548" s="18"/>
      <c r="AF548" s="18"/>
      <c r="AG548" s="231"/>
      <c r="AH548" s="18"/>
      <c r="AI548" s="18"/>
      <c r="AJ548" s="14" t="s">
        <v>646</v>
      </c>
      <c r="AK548" s="14" t="s">
        <v>258</v>
      </c>
      <c r="AL548" s="18" t="s">
        <v>386</v>
      </c>
      <c r="AM548" s="24" t="s">
        <v>260</v>
      </c>
      <c r="AN548" s="24" t="s">
        <v>603</v>
      </c>
      <c r="AO548" s="14" t="s">
        <v>604</v>
      </c>
      <c r="AP548" s="20" t="s">
        <v>258</v>
      </c>
      <c r="AQ548" s="24" t="s">
        <v>259</v>
      </c>
      <c r="AR548" s="24" t="s">
        <v>260</v>
      </c>
      <c r="AS548" s="20"/>
      <c r="AT548" s="20"/>
      <c r="AU548" s="13"/>
      <c r="AV548" s="13"/>
      <c r="AW548" s="13"/>
      <c r="AX548" s="19"/>
      <c r="AY548" s="48"/>
      <c r="AZ548" s="48"/>
      <c r="BA548" s="19"/>
      <c r="BB548" s="19"/>
      <c r="BC548" s="19"/>
      <c r="BD548" s="19"/>
      <c r="BE548" s="19"/>
      <c r="BF548" s="19"/>
      <c r="BG548" s="20"/>
      <c r="BH548" s="22"/>
      <c r="BI548" s="22"/>
      <c r="BJ548" s="14"/>
      <c r="BK548" s="22"/>
      <c r="BL548" s="14"/>
      <c r="BM548" s="14"/>
      <c r="BN548" s="14"/>
      <c r="BO548" s="17"/>
      <c r="BP548" s="23"/>
      <c r="BQ548" s="14"/>
      <c r="BR548" s="14"/>
      <c r="BS548" s="14"/>
      <c r="BT548" s="14"/>
      <c r="BU548" s="17"/>
      <c r="BV548" s="23"/>
      <c r="BW548" s="14"/>
      <c r="BX548" s="14"/>
      <c r="BY548" s="14"/>
      <c r="BZ548" s="14"/>
      <c r="CA548" s="17"/>
      <c r="CB548" s="23"/>
      <c r="CC548" s="14"/>
      <c r="CD548" s="14"/>
      <c r="CE548" s="14"/>
      <c r="CF548" s="14"/>
      <c r="CG548" s="17"/>
      <c r="CH548" s="23"/>
      <c r="CI548" s="14"/>
      <c r="CJ548" s="14"/>
      <c r="CK548" s="14"/>
      <c r="CL548" s="14"/>
      <c r="CM548" s="17"/>
      <c r="CN548" s="23"/>
      <c r="CO548" s="14"/>
      <c r="CP548" s="14"/>
      <c r="CQ548" s="14"/>
      <c r="CR548" s="14"/>
      <c r="CS548" s="17"/>
      <c r="CT548" s="23"/>
      <c r="CU548" s="14"/>
      <c r="CV548" s="14"/>
      <c r="CW548" s="14"/>
      <c r="CX548" s="14"/>
      <c r="CY548" s="14"/>
      <c r="CZ548" s="14"/>
      <c r="DA548" s="14"/>
      <c r="DB548" s="14"/>
      <c r="DC548" s="14"/>
      <c r="DD548" s="14"/>
      <c r="DE548" s="14"/>
      <c r="DF548" s="47"/>
      <c r="DG548" s="14"/>
      <c r="DH548" s="32"/>
      <c r="DI548" s="14"/>
      <c r="DJ548" s="14">
        <v>250</v>
      </c>
      <c r="DK548" s="14">
        <f>SUM(DE548,DG548,DQ548, DJ548, DI548,FS548)</f>
        <v>282.58</v>
      </c>
      <c r="DL548" s="14">
        <v>32.58</v>
      </c>
      <c r="DM548" s="14"/>
      <c r="DN548" s="14"/>
      <c r="DO548" s="23"/>
      <c r="DP548" s="25"/>
      <c r="DQ548" s="14">
        <f>SUM(DL548:DP548)</f>
        <v>32.58</v>
      </c>
      <c r="DR548" s="24" t="s">
        <v>2217</v>
      </c>
      <c r="DS548" s="25">
        <v>15800</v>
      </c>
      <c r="DT548" s="25">
        <v>0</v>
      </c>
      <c r="DU548" s="25">
        <f>SUM(DS548+DT548)</f>
        <v>15800</v>
      </c>
      <c r="DV548" s="36">
        <v>0.99</v>
      </c>
      <c r="DW548" s="23" t="s">
        <v>2218</v>
      </c>
      <c r="DX548" s="18" t="s">
        <v>2219</v>
      </c>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27"/>
      <c r="FF548" s="18"/>
      <c r="FG548" s="18"/>
      <c r="FH548" s="18"/>
      <c r="FI548" s="18"/>
      <c r="FJ548" s="18"/>
      <c r="FK548" s="18"/>
      <c r="FL548" s="18"/>
      <c r="FM548" s="18"/>
      <c r="FN548" s="18"/>
      <c r="FO548" s="18"/>
      <c r="FP548" s="18"/>
      <c r="FQ548" s="18"/>
      <c r="FR548" s="18"/>
      <c r="FS548" s="14"/>
      <c r="FT548" s="18"/>
      <c r="FU548" s="18"/>
      <c r="FV548" s="18"/>
      <c r="FW548" s="18"/>
      <c r="FX548" s="28"/>
      <c r="FY548" s="18"/>
      <c r="FZ548" s="18"/>
      <c r="GA548" s="18"/>
      <c r="GB548" s="18"/>
      <c r="GC548" s="18"/>
      <c r="GD548" s="18"/>
      <c r="GE548" s="18"/>
      <c r="GF548" s="18"/>
      <c r="GG548" s="18"/>
      <c r="GH548" s="28"/>
      <c r="GI548" s="18"/>
      <c r="GJ548" s="18"/>
      <c r="GK548" s="18"/>
      <c r="GL548" s="18"/>
      <c r="GM548" s="18"/>
      <c r="GN548" s="18"/>
      <c r="GO548" s="18"/>
      <c r="GP548" s="18"/>
      <c r="GQ548" s="18"/>
      <c r="GR548" s="18"/>
      <c r="GS548" s="18"/>
      <c r="GT548" s="18"/>
      <c r="GU548" s="18"/>
      <c r="GV548" s="18"/>
      <c r="GW548" s="27"/>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4"/>
      <c r="IF548" s="14"/>
      <c r="IG548" s="27"/>
      <c r="IH548" s="18"/>
      <c r="II548" s="18"/>
      <c r="IJ548" s="18"/>
      <c r="IK548" s="18"/>
      <c r="IN548" t="s">
        <v>1410</v>
      </c>
      <c r="IO548" t="s">
        <v>846</v>
      </c>
      <c r="IP548" t="s">
        <v>386</v>
      </c>
      <c r="IS548" s="66">
        <v>39</v>
      </c>
      <c r="IU548" s="9">
        <v>43643</v>
      </c>
      <c r="IV548" s="9">
        <v>43661</v>
      </c>
      <c r="IW548" s="9">
        <v>43699</v>
      </c>
      <c r="IX548" s="9">
        <v>43711</v>
      </c>
    </row>
    <row r="549" spans="1:263" ht="15" customHeight="1">
      <c r="A549" s="19">
        <v>102019051</v>
      </c>
      <c r="B549" s="14" t="s">
        <v>643</v>
      </c>
      <c r="C549" s="13"/>
      <c r="D549" s="13" t="s">
        <v>258</v>
      </c>
      <c r="E549" s="24"/>
      <c r="F549" s="19"/>
      <c r="G549" s="18"/>
      <c r="H549" s="18"/>
      <c r="I549" s="18"/>
      <c r="J549" s="18" t="s">
        <v>311</v>
      </c>
      <c r="K549" s="18" t="s">
        <v>644</v>
      </c>
      <c r="L549" s="18" t="s">
        <v>512</v>
      </c>
      <c r="M549" s="18" t="s">
        <v>645</v>
      </c>
      <c r="N549" s="18"/>
      <c r="O549" s="13"/>
      <c r="P549" s="18"/>
      <c r="Q549" s="18"/>
      <c r="R549" s="18"/>
      <c r="S549" s="18"/>
      <c r="T549" s="13"/>
      <c r="U549" s="18"/>
      <c r="V549" s="18"/>
      <c r="W549" s="18"/>
      <c r="X549" s="18"/>
      <c r="Y549" s="18"/>
      <c r="Z549" s="18"/>
      <c r="AA549" s="18"/>
      <c r="AB549" s="18"/>
      <c r="AC549" s="18"/>
      <c r="AD549" s="18"/>
      <c r="AE549" s="18"/>
      <c r="AF549" s="18"/>
      <c r="AG549" s="37"/>
      <c r="AH549" s="18"/>
      <c r="AI549" s="18"/>
      <c r="AJ549" s="14" t="s">
        <v>646</v>
      </c>
      <c r="AK549" s="14" t="s">
        <v>258</v>
      </c>
      <c r="AL549" s="18" t="s">
        <v>386</v>
      </c>
      <c r="AM549" s="18" t="s">
        <v>260</v>
      </c>
      <c r="AN549" s="18" t="s">
        <v>603</v>
      </c>
      <c r="AO549" s="63" t="s">
        <v>604</v>
      </c>
      <c r="AP549" s="63" t="s">
        <v>258</v>
      </c>
      <c r="AQ549" s="24" t="s">
        <v>259</v>
      </c>
      <c r="AR549" s="24" t="s">
        <v>260</v>
      </c>
      <c r="AS549" s="20"/>
      <c r="AT549" s="20"/>
      <c r="AU549" s="13" t="s">
        <v>258</v>
      </c>
      <c r="AV549" s="13" t="s">
        <v>258</v>
      </c>
      <c r="AW549" s="13" t="s">
        <v>258</v>
      </c>
      <c r="AX549" s="19"/>
      <c r="AY549" s="48">
        <v>43842</v>
      </c>
      <c r="AZ549" s="48">
        <v>44222</v>
      </c>
      <c r="BA549" s="19"/>
      <c r="BB549" s="19"/>
      <c r="BC549" s="19"/>
      <c r="BD549" s="19"/>
      <c r="BE549" s="19"/>
      <c r="BF549" s="19"/>
      <c r="BG549" s="20">
        <v>1532.1934666666666</v>
      </c>
      <c r="BH549" s="22">
        <v>-134.70414803002413</v>
      </c>
      <c r="BI549" s="22">
        <v>134.70414803002413</v>
      </c>
      <c r="BJ549" s="14">
        <v>6.8466666666666667</v>
      </c>
      <c r="BK549" s="22">
        <v>141.55081469669079</v>
      </c>
      <c r="BL549" s="14"/>
      <c r="BM549" s="14">
        <v>0</v>
      </c>
      <c r="BN549" s="14">
        <v>0</v>
      </c>
      <c r="BO549" s="17">
        <v>0</v>
      </c>
      <c r="BP549" s="23">
        <v>70</v>
      </c>
      <c r="BQ549" s="14">
        <v>0</v>
      </c>
      <c r="BR549" s="14">
        <v>90.48</v>
      </c>
      <c r="BS549" s="14">
        <f>SUM(BR549*0.1)</f>
        <v>9.048</v>
      </c>
      <c r="BT549" s="14">
        <f>SUM(BU549*BV549)</f>
        <v>50.593399999999981</v>
      </c>
      <c r="BU549" s="17">
        <f>SUM((BR549+BS549)*0.00833333333333333)</f>
        <v>0.82939999999999969</v>
      </c>
      <c r="BV549" s="23">
        <v>61</v>
      </c>
      <c r="BW549" s="14">
        <f>SUM(BR549,BS549,BT549)</f>
        <v>150.12139999999999</v>
      </c>
      <c r="BX549" s="14">
        <v>90.48</v>
      </c>
      <c r="BY549" s="14">
        <f>SUM(BX549*0.1)</f>
        <v>9.048</v>
      </c>
      <c r="BZ549" s="14">
        <f>SUM(CA549*CB549)</f>
        <v>40.640599999999985</v>
      </c>
      <c r="CA549" s="17">
        <f>SUM((BX549+BY549)*0.00833333333333333)</f>
        <v>0.82939999999999969</v>
      </c>
      <c r="CB549" s="23">
        <v>49</v>
      </c>
      <c r="CC549" s="14">
        <f>SUM(BX549,BY549,BZ549)</f>
        <v>140.1686</v>
      </c>
      <c r="CD549" s="14">
        <v>90.48</v>
      </c>
      <c r="CE549" s="14">
        <f>SUM(CD549*0.1)</f>
        <v>9.048</v>
      </c>
      <c r="CF549" s="14">
        <f>SUM(CG549*CH549)</f>
        <v>30.687799999999989</v>
      </c>
      <c r="CG549" s="17">
        <f>SUM((CD549+CE549)*0.00833333333333333)</f>
        <v>0.82939999999999969</v>
      </c>
      <c r="CH549" s="23">
        <v>37</v>
      </c>
      <c r="CI549" s="14">
        <f>SUM(CD549,CE549,CF549)</f>
        <v>130.2158</v>
      </c>
      <c r="CJ549" s="14">
        <v>82.16</v>
      </c>
      <c r="CK549" s="14">
        <v>8.2159999999999993</v>
      </c>
      <c r="CL549" s="14">
        <f>SUM(CM549*CN549)</f>
        <v>18.828333333333322</v>
      </c>
      <c r="CM549" s="17">
        <f>SUM((CJ549+CK549)*0.00833333333333333)</f>
        <v>0.75313333333333288</v>
      </c>
      <c r="CN549" s="23">
        <v>25</v>
      </c>
      <c r="CO549" s="14">
        <f>SUM(CJ549,CK549,CL549)</f>
        <v>109.20433333333331</v>
      </c>
      <c r="CP549" s="14">
        <v>82.16</v>
      </c>
      <c r="CQ549" s="14">
        <v>8.2159999999999993</v>
      </c>
      <c r="CR549" s="14">
        <f>SUM(CS549*CT549)</f>
        <v>9.7907333333333266</v>
      </c>
      <c r="CS549" s="17">
        <f>SUM((CP549+CQ549)*0.00833333333333333)</f>
        <v>0.75313333333333288</v>
      </c>
      <c r="CT549" s="23">
        <v>13</v>
      </c>
      <c r="CU549" s="14">
        <f>SUM(CP549,CQ549,CR549)</f>
        <v>100.16673333333331</v>
      </c>
      <c r="CV549" s="14">
        <f>SUM(DP549*0.0052)</f>
        <v>82.16</v>
      </c>
      <c r="CW549" s="14">
        <f>SUM(BL549, BR549, BX549, CD549,CJ549,CP549, CV549)</f>
        <v>517.91999999999996</v>
      </c>
      <c r="CX549" s="14">
        <f>SUM(BM549, BS549, BY549, CE549,CK549,CQ549)</f>
        <v>43.576000000000001</v>
      </c>
      <c r="CY549" s="14">
        <f>SUM(BN549, BT549, BZ549, CF549,CL549,CR549)</f>
        <v>150.5408666666666</v>
      </c>
      <c r="CZ549" s="14">
        <f>SUM(CW549:CY549)</f>
        <v>712.03686666666658</v>
      </c>
      <c r="DA549" s="47">
        <v>3.9107181434599153E-2</v>
      </c>
      <c r="DB549" s="14">
        <f>403.5+273</f>
        <v>676.5</v>
      </c>
      <c r="DC549" s="32">
        <v>2</v>
      </c>
      <c r="DD549" s="14">
        <f>13.72+25.03</f>
        <v>38.75</v>
      </c>
      <c r="DE549" s="14">
        <v>250</v>
      </c>
      <c r="DF549" s="18"/>
      <c r="DG549" s="14">
        <f>32.58+(702.6/3)</f>
        <v>266.78000000000003</v>
      </c>
      <c r="DH549" s="14"/>
      <c r="DI549" s="14"/>
      <c r="DJ549" s="14"/>
      <c r="DK549" s="25"/>
      <c r="DL549" s="14">
        <f>SUM(DG549:DK549)</f>
        <v>266.78000000000003</v>
      </c>
      <c r="DM549" s="24" t="s">
        <v>2217</v>
      </c>
      <c r="DN549" s="25">
        <v>15800</v>
      </c>
      <c r="DO549" s="25">
        <v>0</v>
      </c>
      <c r="DP549" s="25">
        <v>15800</v>
      </c>
      <c r="DQ549" s="36">
        <v>0.99</v>
      </c>
      <c r="DR549" s="23" t="s">
        <v>2218</v>
      </c>
      <c r="DS549" s="18" t="s">
        <v>2219</v>
      </c>
      <c r="DT549" s="18"/>
      <c r="DU549" s="18"/>
      <c r="DV549" s="18"/>
      <c r="DW549" s="18"/>
      <c r="DX549" s="18"/>
      <c r="DY549" s="18"/>
      <c r="DZ549" s="18"/>
      <c r="EA549" s="18"/>
      <c r="EB549" s="14">
        <f>SUM(CZ549,DB549,DL549, DE549, DD549,FK549)</f>
        <v>1944.0668666666666</v>
      </c>
      <c r="EC549" s="18"/>
      <c r="ED549" s="18"/>
      <c r="EE549" s="18"/>
      <c r="EF549" s="18"/>
      <c r="EG549" s="18"/>
      <c r="EH549" s="18"/>
      <c r="EI549" s="18"/>
      <c r="EJ549" s="18"/>
      <c r="EK549" s="18"/>
      <c r="EL549" s="18"/>
      <c r="EM549" s="18"/>
      <c r="EN549" s="18"/>
      <c r="EO549" s="18"/>
      <c r="EP549" s="18"/>
      <c r="EQ549" s="18"/>
      <c r="ER549" s="18"/>
      <c r="ES549" s="18"/>
      <c r="ET549" s="18"/>
      <c r="EU549" s="18"/>
      <c r="EV549" s="27"/>
      <c r="EW549" s="18"/>
      <c r="EX549" s="18"/>
      <c r="EY549" s="18"/>
      <c r="EZ549" s="18"/>
      <c r="FA549" s="18"/>
      <c r="FB549" s="18"/>
      <c r="FC549" s="18"/>
      <c r="FD549" s="18"/>
      <c r="FE549" s="27"/>
      <c r="FF549" s="18"/>
      <c r="FG549" s="18"/>
      <c r="FH549" s="18"/>
      <c r="FI549" s="18"/>
      <c r="FJ549" s="18"/>
      <c r="FK549" s="14"/>
      <c r="FL549" s="18"/>
      <c r="FM549" s="18"/>
      <c r="FN549" s="18"/>
      <c r="FO549" s="18"/>
      <c r="FP549" s="28"/>
      <c r="FQ549" s="18"/>
      <c r="FR549" s="18"/>
      <c r="FS549" s="18"/>
      <c r="FT549" s="18"/>
      <c r="FU549" s="18"/>
      <c r="FV549" s="18"/>
      <c r="FW549" s="18"/>
      <c r="FX549" s="18"/>
      <c r="FY549" s="18"/>
      <c r="FZ549" s="28"/>
      <c r="GA549" s="18"/>
      <c r="GB549" s="18"/>
      <c r="GC549" s="18"/>
      <c r="GD549" s="18"/>
      <c r="GE549" s="18"/>
      <c r="GF549" s="18"/>
      <c r="GG549" s="18"/>
      <c r="GH549" s="18"/>
      <c r="GI549" s="18"/>
      <c r="GJ549" s="18"/>
      <c r="GK549" s="18"/>
      <c r="GL549" s="18"/>
      <c r="GM549" s="18"/>
      <c r="GN549" s="18"/>
      <c r="GO549" s="27"/>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27">
        <v>44499</v>
      </c>
      <c r="IB549" s="14">
        <v>9500</v>
      </c>
      <c r="IC549" s="14">
        <v>950</v>
      </c>
      <c r="ID549" s="27"/>
      <c r="IE549" s="18"/>
      <c r="IF549" s="18" t="s">
        <v>2723</v>
      </c>
      <c r="IG549" s="18" t="s">
        <v>2724</v>
      </c>
      <c r="IH549" s="18" t="s">
        <v>2722</v>
      </c>
      <c r="II549" s="18"/>
      <c r="IJ549" s="18"/>
      <c r="IK549" s="14">
        <v>115.67</v>
      </c>
      <c r="IL549" s="14">
        <f>SUM(IB549-EB549-IJ549)</f>
        <v>7555.9331333333339</v>
      </c>
      <c r="IM549" s="14"/>
      <c r="IN549" s="14"/>
      <c r="IO549" s="18"/>
      <c r="IP549" s="18"/>
      <c r="IQ549" s="27"/>
      <c r="IR549" s="18"/>
      <c r="IS549" s="18"/>
      <c r="IT549" s="18"/>
      <c r="IU549" s="18"/>
      <c r="IV549" s="18"/>
      <c r="IW549" s="18"/>
      <c r="IX549" s="18"/>
      <c r="IY549" s="18"/>
      <c r="IZ549" s="18"/>
      <c r="JA549" s="18"/>
      <c r="JB549" s="18"/>
      <c r="JC549" s="18"/>
    </row>
    <row r="550" spans="1:263" ht="15" customHeight="1">
      <c r="A550" s="2">
        <v>102019027</v>
      </c>
      <c r="B550" s="4" t="s">
        <v>1338</v>
      </c>
      <c r="C550" s="4"/>
      <c r="D550" s="4"/>
      <c r="E550" s="3"/>
      <c r="F550" s="3"/>
      <c r="G550" s="3"/>
      <c r="H550" s="2"/>
      <c r="J550" t="s">
        <v>554</v>
      </c>
      <c r="K550" t="s">
        <v>1339</v>
      </c>
      <c r="L550" t="s">
        <v>574</v>
      </c>
      <c r="M550" t="s">
        <v>537</v>
      </c>
      <c r="O550" s="1"/>
      <c r="P550" t="s">
        <v>1339</v>
      </c>
      <c r="Q550" t="s">
        <v>1340</v>
      </c>
      <c r="R550" t="s">
        <v>426</v>
      </c>
      <c r="T550" s="1"/>
      <c r="W550" s="18"/>
      <c r="X550" s="18"/>
      <c r="Y550" s="18"/>
      <c r="Z550" s="18"/>
      <c r="AA550" s="18"/>
      <c r="AB550" s="18"/>
      <c r="AC550" s="18"/>
      <c r="AD550" s="13"/>
      <c r="AE550" s="18"/>
      <c r="AF550" s="18"/>
      <c r="AG550" s="24"/>
      <c r="AH550" s="18"/>
      <c r="AI550" s="14"/>
      <c r="AJ550" s="14"/>
      <c r="AK550" s="14"/>
      <c r="AL550" s="18"/>
      <c r="AM550" s="24"/>
      <c r="AN550" s="24"/>
      <c r="AO550" s="14"/>
      <c r="AP550" s="13"/>
      <c r="AQ550" s="63"/>
      <c r="AR550" s="63"/>
      <c r="AS550" s="20"/>
      <c r="AT550" s="13"/>
      <c r="AU550" s="13"/>
      <c r="AV550" s="13"/>
      <c r="AW550" s="13"/>
      <c r="AX550" s="21"/>
      <c r="AY550" s="21"/>
      <c r="AZ550" s="21"/>
      <c r="BA550" s="21"/>
      <c r="BB550" s="13"/>
      <c r="BC550" s="21"/>
      <c r="BD550" s="21"/>
      <c r="BE550" s="21"/>
      <c r="BF550" s="21"/>
      <c r="BG550" s="20"/>
      <c r="BH550" s="22"/>
      <c r="BI550" s="22"/>
      <c r="BJ550" s="14"/>
      <c r="BK550" s="14"/>
      <c r="BL550" s="14"/>
      <c r="BM550" s="17"/>
      <c r="BN550" s="23"/>
      <c r="BO550" s="14"/>
      <c r="BP550" s="18"/>
      <c r="BQ550" s="14"/>
      <c r="BR550" s="14"/>
      <c r="BS550" s="17"/>
      <c r="BT550" s="23"/>
      <c r="BU550" s="14"/>
      <c r="BV550" s="14"/>
      <c r="BW550" s="14"/>
      <c r="BX550" s="14"/>
      <c r="BY550" s="6"/>
      <c r="BZ550" s="23"/>
      <c r="CA550" s="14"/>
      <c r="CB550" s="14"/>
      <c r="CC550" s="14"/>
      <c r="CD550" s="14"/>
      <c r="CE550" s="6"/>
      <c r="CF550" s="7"/>
      <c r="CG550" s="14"/>
      <c r="CH550" s="14"/>
      <c r="CI550" s="14"/>
      <c r="CJ550" s="14"/>
      <c r="CK550" s="6"/>
      <c r="CL550" s="23"/>
      <c r="CM550" s="14"/>
      <c r="CN550" s="14"/>
      <c r="CO550" s="14"/>
      <c r="CP550" s="4"/>
      <c r="CQ550" s="6"/>
      <c r="CR550" s="7"/>
      <c r="CS550" s="14"/>
      <c r="CT550" s="14"/>
      <c r="CU550" s="14"/>
      <c r="CV550" s="14"/>
      <c r="CW550" s="6"/>
      <c r="CX550" s="23"/>
      <c r="CY550" s="14"/>
      <c r="CZ550" s="14"/>
      <c r="DA550" s="14"/>
      <c r="DB550" s="4"/>
      <c r="DC550" s="6"/>
      <c r="DD550" s="7"/>
      <c r="DE550" s="14"/>
      <c r="DF550" s="4"/>
      <c r="DG550" s="4"/>
      <c r="DH550" s="14"/>
      <c r="DI550" s="14"/>
      <c r="DJ550" s="14"/>
      <c r="DK550" s="24"/>
      <c r="DL550" s="14"/>
      <c r="DM550" s="234"/>
      <c r="DN550" s="14"/>
      <c r="DO550" s="14"/>
      <c r="DP550" s="4"/>
      <c r="DQ550" s="14"/>
      <c r="DR550" s="14"/>
      <c r="DS550" s="14"/>
      <c r="DT550" s="14"/>
      <c r="DU550" s="25"/>
      <c r="DV550" s="14"/>
      <c r="DW550" s="25"/>
      <c r="DX550" s="14"/>
      <c r="DY550" s="14"/>
      <c r="DZ550" s="23"/>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27"/>
      <c r="FJ550" s="28"/>
      <c r="FK550" s="18"/>
      <c r="FL550" s="18"/>
      <c r="FM550" s="18"/>
      <c r="FN550" s="18"/>
      <c r="FO550" s="18"/>
      <c r="FP550" s="18"/>
      <c r="FQ550" s="28"/>
      <c r="FR550" s="27"/>
      <c r="FS550" s="18"/>
      <c r="FT550" s="18"/>
      <c r="FU550" s="18"/>
      <c r="FV550" s="18"/>
      <c r="FW550" s="18"/>
      <c r="FX550" s="14"/>
      <c r="FY550" s="18"/>
      <c r="FZ550" s="18"/>
      <c r="GA550" s="18"/>
      <c r="GB550" s="18"/>
      <c r="GC550" s="18"/>
      <c r="GD550" s="18"/>
      <c r="GE550" s="27"/>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27"/>
      <c r="IJ550" s="14"/>
      <c r="IK550" s="14"/>
      <c r="IL550" s="27"/>
      <c r="IM550" s="18"/>
      <c r="IN550" s="18"/>
      <c r="IO550" s="18"/>
      <c r="IP550" s="18"/>
      <c r="IQ550" s="18"/>
      <c r="IR550" s="18"/>
      <c r="IS550" s="14"/>
      <c r="IT550" s="14"/>
      <c r="IU550" s="27">
        <v>43931</v>
      </c>
      <c r="IV550" s="27">
        <v>43965</v>
      </c>
    </row>
    <row r="551" spans="1:263" ht="15" customHeight="1">
      <c r="A551" s="19">
        <v>102021041</v>
      </c>
      <c r="B551" t="s">
        <v>2054</v>
      </c>
      <c r="J551" t="s">
        <v>253</v>
      </c>
      <c r="K551" t="s">
        <v>956</v>
      </c>
      <c r="L551" t="s">
        <v>957</v>
      </c>
      <c r="M551" t="s">
        <v>763</v>
      </c>
      <c r="AF551" s="3"/>
      <c r="AG551" s="272"/>
      <c r="AL551" s="3"/>
      <c r="AN551" t="s">
        <v>2162</v>
      </c>
      <c r="AO551" s="1" t="s">
        <v>258</v>
      </c>
      <c r="AP551" s="3" t="s">
        <v>329</v>
      </c>
      <c r="AR551"/>
      <c r="AW551" s="2"/>
      <c r="AX551" s="70"/>
      <c r="AY551" s="70"/>
      <c r="AZ551" s="2"/>
      <c r="BA551" s="2"/>
      <c r="BB551" s="2"/>
      <c r="BC551" s="2"/>
      <c r="BD551" s="2"/>
      <c r="BE551" s="2"/>
      <c r="BF551" s="20"/>
      <c r="BG551" s="22"/>
      <c r="BH551" s="22"/>
      <c r="BI551" s="14"/>
      <c r="BJ551" s="14"/>
      <c r="BK551" s="14"/>
      <c r="BL551" s="17"/>
      <c r="BM551" s="23"/>
      <c r="BN551" s="14"/>
      <c r="BO551" s="14"/>
      <c r="BP551" s="14"/>
      <c r="BQ551" s="14"/>
      <c r="BR551" s="17"/>
      <c r="BS551" s="23"/>
      <c r="BT551" s="14"/>
      <c r="BU551" s="14"/>
      <c r="BV551" s="14"/>
      <c r="BW551" s="14"/>
      <c r="BX551" s="17"/>
      <c r="BY551" s="23"/>
      <c r="BZ551" s="14"/>
      <c r="CA551" s="14"/>
      <c r="CB551" s="14"/>
      <c r="CC551" s="14"/>
      <c r="CD551" s="17"/>
      <c r="CE551" s="23"/>
      <c r="CF551" s="14"/>
      <c r="CG551" s="14"/>
      <c r="CH551" s="14"/>
      <c r="CI551" s="14"/>
      <c r="CJ551" s="17"/>
      <c r="CK551" s="23"/>
      <c r="CL551" s="14"/>
      <c r="CM551" s="14"/>
      <c r="CN551" s="14"/>
      <c r="CO551" s="14"/>
      <c r="CP551" s="17"/>
      <c r="CQ551" s="23"/>
      <c r="CR551" s="14"/>
      <c r="CS551" s="14"/>
      <c r="CT551" s="14"/>
      <c r="CU551" s="14"/>
      <c r="CV551" s="17"/>
      <c r="CW551" s="23"/>
      <c r="CX551" s="14"/>
      <c r="CY551" s="14"/>
      <c r="CZ551" s="14"/>
      <c r="DA551" s="14"/>
      <c r="DB551" s="17"/>
      <c r="DC551" s="23"/>
      <c r="DD551" s="14"/>
      <c r="DE551" s="14"/>
      <c r="DF551" s="14"/>
      <c r="DG551" s="14"/>
      <c r="DH551" s="14">
        <f>SUM(DE551:DG551)</f>
        <v>0</v>
      </c>
      <c r="DI551" s="47">
        <f>SUM(DH551/DX551)</f>
        <v>0</v>
      </c>
      <c r="DJ551" s="14">
        <f>39+195</f>
        <v>234</v>
      </c>
      <c r="DK551" s="32">
        <f>COUNTIF(DQ551, "*")+COUNTIF(AN551, "*")+COUNTIF(AJ551, "*")+COUNTIF(AA551, "*")+COUNTIF(EN551, "*")+COUNTIF(ET551, "*")+COUNTIF(EZ551, "*")+COUNTIF(FD551, "*")+COUNTIF(FK551, "*")+COUNTIF(FS551, "*")+COUNTIF(FZ551, "*")+COUNTIF(GK551, "*")+COUNTIF(GV551, "*")+COUNTIF(HD551, "*")+COUNTIF(HL551, "*")+COUNTIF(HT551, "*")+COUNTIF(IB551, "*")</f>
        <v>5</v>
      </c>
      <c r="DL551" s="14">
        <f>DK551*0.5+DK551*6.36</f>
        <v>34.299999999999997</v>
      </c>
      <c r="DM551" s="14"/>
      <c r="DN551" s="14">
        <f>SUM(DH551,DJ551,DT551, DM551, DL551,FW551)</f>
        <v>268.3</v>
      </c>
      <c r="DO551" s="14"/>
      <c r="DP551" s="14"/>
      <c r="DQ551" s="14"/>
      <c r="DR551" s="23"/>
      <c r="DS551" s="25"/>
      <c r="DT551" s="14">
        <f>SUM(DO551:DS551)</f>
        <v>0</v>
      </c>
      <c r="DU551" s="24" t="s">
        <v>1997</v>
      </c>
      <c r="DV551" s="25">
        <v>16200</v>
      </c>
      <c r="DW551" s="25">
        <v>26000</v>
      </c>
      <c r="DX551" s="25">
        <f>SUM(DV551+DW551)</f>
        <v>42200</v>
      </c>
      <c r="DY551" s="36">
        <v>1.01</v>
      </c>
      <c r="DZ551" s="18"/>
      <c r="FX551" t="s">
        <v>833</v>
      </c>
      <c r="FY551" t="s">
        <v>834</v>
      </c>
      <c r="FZ551" t="s">
        <v>266</v>
      </c>
      <c r="GB551" t="s">
        <v>267</v>
      </c>
      <c r="GC551" t="s">
        <v>268</v>
      </c>
      <c r="GD551" s="9">
        <v>40644</v>
      </c>
      <c r="GE551" t="s">
        <v>2264</v>
      </c>
      <c r="GI551" t="s">
        <v>2265</v>
      </c>
      <c r="GJ551" t="s">
        <v>2266</v>
      </c>
      <c r="GK551" t="s">
        <v>2267</v>
      </c>
      <c r="GM551" t="s">
        <v>2268</v>
      </c>
      <c r="GN551" t="s">
        <v>2269</v>
      </c>
      <c r="GO551" s="9">
        <v>41605</v>
      </c>
      <c r="GP551" t="s">
        <v>2270</v>
      </c>
      <c r="GT551" t="s">
        <v>2265</v>
      </c>
      <c r="GU551" t="s">
        <v>2266</v>
      </c>
      <c r="GV551" t="s">
        <v>2267</v>
      </c>
      <c r="GX551" t="s">
        <v>2268</v>
      </c>
      <c r="GY551" t="s">
        <v>2269</v>
      </c>
      <c r="GZ551" s="9">
        <v>41628</v>
      </c>
      <c r="HA551" t="s">
        <v>2271</v>
      </c>
      <c r="HB551" t="s">
        <v>859</v>
      </c>
      <c r="HC551" t="s">
        <v>2272</v>
      </c>
      <c r="HD551" t="s">
        <v>1764</v>
      </c>
      <c r="HF551" t="s">
        <v>543</v>
      </c>
      <c r="HG551" t="s">
        <v>544</v>
      </c>
      <c r="HH551" s="9">
        <v>43944</v>
      </c>
      <c r="HI551" t="s">
        <v>2273</v>
      </c>
      <c r="IK551" s="18"/>
      <c r="IL551" s="18"/>
      <c r="IM551" s="14"/>
      <c r="IN551" s="14"/>
      <c r="IO551" s="27">
        <v>44333</v>
      </c>
      <c r="IP551" s="18"/>
      <c r="IQ551" s="18"/>
      <c r="IR551" s="18"/>
      <c r="IS551" s="18"/>
    </row>
    <row r="552" spans="1:263" ht="15" customHeight="1">
      <c r="A552" s="19">
        <v>102022116</v>
      </c>
      <c r="B552" t="s">
        <v>2855</v>
      </c>
      <c r="D552" s="1"/>
      <c r="J552" t="s">
        <v>311</v>
      </c>
      <c r="K552" t="s">
        <v>1309</v>
      </c>
      <c r="L552" t="s">
        <v>2115</v>
      </c>
      <c r="M552" t="s">
        <v>403</v>
      </c>
      <c r="AM552"/>
      <c r="AN552"/>
      <c r="AO552" s="3" t="s">
        <v>3121</v>
      </c>
      <c r="AP552" s="3" t="s">
        <v>258</v>
      </c>
      <c r="AQ552" s="3" t="s">
        <v>329</v>
      </c>
      <c r="AR552" t="s">
        <v>260</v>
      </c>
      <c r="AT552" s="1"/>
      <c r="AU552" s="1"/>
      <c r="AV552" s="1"/>
      <c r="AW552" s="1"/>
      <c r="AX552" s="2"/>
      <c r="AY552" s="116"/>
      <c r="AZ552" s="115"/>
      <c r="BA552" s="2"/>
      <c r="BB552" s="2"/>
      <c r="BC552" s="2"/>
      <c r="BD552" s="2"/>
      <c r="BE552" s="2"/>
      <c r="BF552" s="2"/>
      <c r="BG552" s="20"/>
      <c r="BH552" s="22"/>
      <c r="BI552" s="22"/>
      <c r="BJ552" s="14"/>
      <c r="BK552" s="22"/>
      <c r="BL552" s="14"/>
      <c r="BM552" s="14"/>
      <c r="BN552" s="14"/>
      <c r="BO552" s="17"/>
      <c r="BP552" s="23"/>
      <c r="BQ552" s="14"/>
      <c r="BR552" s="14"/>
      <c r="BS552" s="14"/>
      <c r="BT552" s="14"/>
      <c r="BU552" s="17"/>
      <c r="BV552" s="23"/>
      <c r="BW552" s="14"/>
      <c r="BX552" s="14"/>
      <c r="BY552" s="14"/>
      <c r="BZ552" s="14"/>
      <c r="CA552" s="17"/>
      <c r="CB552" s="23"/>
      <c r="CC552" s="14"/>
      <c r="CD552" s="14"/>
      <c r="CE552" s="14"/>
      <c r="CF552" s="14"/>
      <c r="CG552" s="17"/>
      <c r="CH552" s="23"/>
      <c r="CI552" s="14"/>
      <c r="CJ552" s="14"/>
      <c r="CK552" s="14"/>
      <c r="CL552" s="14"/>
      <c r="CM552" s="17"/>
      <c r="CN552" s="23"/>
      <c r="CO552" s="14"/>
      <c r="CP552" s="14"/>
      <c r="CQ552" s="14"/>
      <c r="CR552" s="14"/>
      <c r="CS552" s="14"/>
      <c r="CT552" s="47"/>
      <c r="CU552" s="14"/>
      <c r="CV552" s="32"/>
      <c r="CW552" s="14"/>
      <c r="CX552" s="4"/>
      <c r="CY552" s="14"/>
      <c r="CZ552" s="4"/>
      <c r="DE552" s="14"/>
      <c r="DF552" s="24"/>
      <c r="DG552" s="4"/>
      <c r="DH552" s="4"/>
      <c r="DI552" s="25"/>
      <c r="DJ552" s="35">
        <v>2.08</v>
      </c>
      <c r="IC552" s="4"/>
    </row>
    <row r="553" spans="1:263" ht="15" customHeight="1">
      <c r="A553" s="19">
        <v>102023134</v>
      </c>
      <c r="B553" s="18" t="s">
        <v>4352</v>
      </c>
      <c r="D553" s="1"/>
      <c r="E553" s="3"/>
      <c r="F553" s="3"/>
      <c r="J553" s="18" t="s">
        <v>253</v>
      </c>
      <c r="K553" s="18" t="s">
        <v>4474</v>
      </c>
      <c r="L553" s="18" t="s">
        <v>4283</v>
      </c>
      <c r="M553" s="18" t="s">
        <v>256</v>
      </c>
      <c r="N553" s="18"/>
      <c r="O553" s="19"/>
      <c r="P553" s="18"/>
      <c r="Q553" s="18"/>
      <c r="R553" s="18"/>
      <c r="S553" s="18"/>
      <c r="AG553" s="43"/>
      <c r="AM553"/>
      <c r="AN553"/>
      <c r="AO553" s="18" t="s">
        <v>4478</v>
      </c>
      <c r="AP553" s="3" t="s">
        <v>258</v>
      </c>
      <c r="AQ553" s="18" t="s">
        <v>329</v>
      </c>
      <c r="AR553" t="s">
        <v>260</v>
      </c>
      <c r="AX553" s="1"/>
      <c r="AY553" s="1"/>
      <c r="AZ553" s="1"/>
      <c r="BA553" s="1"/>
      <c r="BB553" s="1"/>
      <c r="BC553" s="2"/>
      <c r="BD553" s="116"/>
      <c r="BE553" s="115"/>
      <c r="BF553" s="2"/>
      <c r="BG553" s="2"/>
      <c r="BH553" s="2"/>
      <c r="BI553" s="2"/>
      <c r="BJ553" s="2"/>
      <c r="BK553" s="2"/>
      <c r="BL553" s="20">
        <f ca="1">SUM(EB553)+220</f>
        <v>813.25175833333333</v>
      </c>
      <c r="BM553" s="22">
        <f ca="1">PMT(10%/12,12,BL553,0,0)</f>
        <v>-71.497749875240345</v>
      </c>
      <c r="BN553" s="22">
        <f ca="1">SUM(BM553*-1)</f>
        <v>71.497749875240345</v>
      </c>
      <c r="BO553" s="14">
        <f>SUM(EJ553*0.0052)/12</f>
        <v>32.976666666666667</v>
      </c>
      <c r="BP553" s="22">
        <f ca="1">SUM(BN553+BO553)</f>
        <v>104.474416541907</v>
      </c>
      <c r="BQ553" s="14"/>
      <c r="BR553" s="14">
        <f>SUM(BQ553*0.1)</f>
        <v>0</v>
      </c>
      <c r="BS553" s="14">
        <f ca="1">SUM(BT553*BU553)</f>
        <v>0</v>
      </c>
      <c r="BT553" s="17">
        <f>SUM((BQ553+BR553)*0.00833333333333333)</f>
        <v>0</v>
      </c>
      <c r="BU553" s="23">
        <f ca="1">MONTH(TODAY())+49</f>
        <v>53</v>
      </c>
      <c r="BV553" s="14">
        <f ca="1">SUM(BQ553,BR553,BS553)</f>
        <v>0</v>
      </c>
      <c r="BW553" s="14"/>
      <c r="BX553" s="14">
        <f>SUM(BW553*0.1)</f>
        <v>0</v>
      </c>
      <c r="BY553" s="14">
        <f ca="1">SUM(BZ553*CA553)</f>
        <v>0</v>
      </c>
      <c r="BZ553" s="17">
        <f>SUM((BW553+BX553)*0.00833333333333333)</f>
        <v>0</v>
      </c>
      <c r="CA553" s="23">
        <f ca="1">MONTH(TODAY())+37</f>
        <v>41</v>
      </c>
      <c r="CB553" s="14">
        <f ca="1">SUM(BW553,BX553,BY553)</f>
        <v>0</v>
      </c>
      <c r="CC553" s="14">
        <v>0</v>
      </c>
      <c r="CD553" s="14">
        <f>SUM(CC553*0.1)</f>
        <v>0</v>
      </c>
      <c r="CE553" s="14">
        <f ca="1">SUM(CF553*CG553)</f>
        <v>0</v>
      </c>
      <c r="CF553" s="17">
        <f>SUM((CC553+CD553)*0.00833333333333333)</f>
        <v>0</v>
      </c>
      <c r="CG553" s="23">
        <f ca="1">MONTH(TODAY())+25</f>
        <v>29</v>
      </c>
      <c r="CH553" s="14">
        <f ca="1">SUM(CC553,CD553,CE553)</f>
        <v>0</v>
      </c>
      <c r="CI553" s="14">
        <f>SUM(EG553*0.0052)-268.55</f>
        <v>36.69</v>
      </c>
      <c r="CJ553" s="14">
        <f>SUM(CI553*0.1)</f>
        <v>3.669</v>
      </c>
      <c r="CK553" s="14">
        <f ca="1">SUM(CL553*CM553)</f>
        <v>5.7175249999999966</v>
      </c>
      <c r="CL553" s="17">
        <f>SUM((CI553+CJ553)*0.00833333333333333)</f>
        <v>0.33632499999999982</v>
      </c>
      <c r="CM553" s="23">
        <f ca="1">MONTH(TODAY())+13</f>
        <v>17</v>
      </c>
      <c r="CN553" s="14">
        <f ca="1">SUM(CI553,CJ553,CK553)</f>
        <v>46.07652499999999</v>
      </c>
      <c r="CO553" s="14">
        <f>SUM(EG553*0.0052)/2</f>
        <v>152.62</v>
      </c>
      <c r="CP553" s="14">
        <f>SUM(CO553*0.1)</f>
        <v>15.262</v>
      </c>
      <c r="CQ553" s="14">
        <f ca="1">SUM(CR553*CS553)</f>
        <v>12.591149999999995</v>
      </c>
      <c r="CR553" s="17">
        <f>SUM((CO553+CP553)*0.00833333333333333)</f>
        <v>1.3990166666666661</v>
      </c>
      <c r="CS553" s="23">
        <f ca="1">MONTH(TODAY())+5</f>
        <v>9</v>
      </c>
      <c r="CT553" s="23">
        <f ca="1">SUM(CO553,CP553,CQ553)</f>
        <v>180.47315</v>
      </c>
      <c r="CU553" s="14">
        <f>SUM(EG553*0.0052)/2</f>
        <v>152.62</v>
      </c>
      <c r="CV553" s="14">
        <f>SUM(CU553*0.1)</f>
        <v>15.262</v>
      </c>
      <c r="CW553" s="14">
        <f ca="1">SUM(CX553*CY553)</f>
        <v>6.9950833333333309</v>
      </c>
      <c r="CX553" s="17">
        <f>SUM((CU553+CV553)*0.00833333333333333)</f>
        <v>1.3990166666666661</v>
      </c>
      <c r="CY553" s="23">
        <f ca="1">MONTH(TODAY())+1</f>
        <v>5</v>
      </c>
      <c r="CZ553" s="23">
        <f ca="1">SUM(CU553,CV553,CW553)</f>
        <v>174.87708333333333</v>
      </c>
      <c r="DA553" s="14">
        <f>SUM(EJ553*0.0045)/2</f>
        <v>171.22499999999999</v>
      </c>
      <c r="DB553" s="14">
        <v>0</v>
      </c>
      <c r="DC553" s="14">
        <v>0</v>
      </c>
      <c r="DD553" s="17">
        <f>SUM((DA553+DB553)*0.00833333333333333)</f>
        <v>1.4268749999999994</v>
      </c>
      <c r="DE553" s="23">
        <f ca="1">MONTH(TODAY())-5</f>
        <v>-1</v>
      </c>
      <c r="DF553" s="23">
        <f>SUM(DA553,DB553,DC553)</f>
        <v>171.22499999999999</v>
      </c>
      <c r="DG553" s="14">
        <v>0</v>
      </c>
      <c r="DH553" s="14">
        <v>0</v>
      </c>
      <c r="DI553" s="14">
        <v>0</v>
      </c>
      <c r="DJ553" s="17">
        <f>SUM((DG553+DH553)*0.00833333333333333)</f>
        <v>0</v>
      </c>
      <c r="DK553" s="23">
        <f ca="1">MONTH(TODAY())+1</f>
        <v>5</v>
      </c>
      <c r="DL553" s="23">
        <f>SUM(DG553,DH553,DI553)</f>
        <v>0</v>
      </c>
      <c r="DM553" s="14">
        <f>SUM( BQ553, BW553, CC553, CI553, CO553,CU553,DA553,DG553)</f>
        <v>513.15499999999997</v>
      </c>
      <c r="DN553" s="14">
        <f>SUM(BR553,BX553,CD553,CJ553, CP553,CV553,DB553,DH553)</f>
        <v>34.192999999999998</v>
      </c>
      <c r="DO553" s="14">
        <f ca="1">SUM(BS553,BY553,CE553,CK553, CQ553,CW553,DC553,DI553)</f>
        <v>25.303758333333324</v>
      </c>
      <c r="DP553" s="25">
        <f ca="1">SUM(DM553:DO553)</f>
        <v>572.65175833333331</v>
      </c>
      <c r="DQ553" s="47">
        <f ca="1">SUM(DP553/EG553)</f>
        <v>9.7555665814877904E-3</v>
      </c>
      <c r="DR553" s="14">
        <v>20</v>
      </c>
      <c r="DS553" s="32">
        <f>COUNTIF(DX553, "*")+COUNTIF(AO553, "*")+COUNTIF(AJ553, "*")+COUNTIF(AA553, "*")+COUNTIF(EY553, "*")+COUNTIF(FE553, "*")+COUNTIF(FK553, "*")+COUNTIF(FO553, "*")+COUNTIF(FV553, "*")+COUNTIF(AT553, "*")+COUNTIF(GE553, "*")+COUNTIF(GP553, "*")+COUNTIF(HA553, "*")+COUNTIF(HI553, "*")+COUNTIF(HQ553, "*")+COUNTIF(HY553, "*")+COUNTIF(IG553, "*")</f>
        <v>1</v>
      </c>
      <c r="DT553" s="14">
        <f>DS553*0.6</f>
        <v>0.6</v>
      </c>
      <c r="DU553" s="4"/>
      <c r="DV553" s="4"/>
      <c r="DW553" s="4"/>
      <c r="DX553" s="4"/>
      <c r="DZ553" s="4"/>
      <c r="EA553" s="14">
        <f>SUM(DV553:DZ553)</f>
        <v>0</v>
      </c>
      <c r="EB553" s="14">
        <f ca="1">SUM(DP553,DR553,EA553, DU553, DT553,GB553)</f>
        <v>593.25175833333333</v>
      </c>
      <c r="EC553" s="24" t="s">
        <v>3879</v>
      </c>
      <c r="ED553" s="130">
        <v>0.57999999999999996</v>
      </c>
      <c r="EE553" s="14">
        <v>11200</v>
      </c>
      <c r="EF553" s="14">
        <v>47500</v>
      </c>
      <c r="EG553" s="14">
        <v>58700</v>
      </c>
      <c r="EH553" s="14">
        <v>13900</v>
      </c>
      <c r="EI553" s="14">
        <v>62200</v>
      </c>
      <c r="EJ553" s="14">
        <f>SUM(EH553+EI553)</f>
        <v>76100</v>
      </c>
      <c r="IM553" s="9"/>
      <c r="IX553" s="14">
        <f ca="1">SUM(IN553-EB553-GB553-IV553)</f>
        <v>-593.25175833333333</v>
      </c>
      <c r="IY553" s="9"/>
      <c r="IZ553" s="9"/>
      <c r="JA553" s="9"/>
      <c r="JB553" s="9"/>
      <c r="JC553" s="9"/>
    </row>
    <row r="554" spans="1:263" ht="15" customHeight="1">
      <c r="A554" s="19">
        <v>102021063</v>
      </c>
      <c r="B554" t="s">
        <v>2085</v>
      </c>
      <c r="J554" t="s">
        <v>554</v>
      </c>
      <c r="K554" t="s">
        <v>2086</v>
      </c>
      <c r="L554" t="s">
        <v>2087</v>
      </c>
      <c r="P554" t="s">
        <v>2086</v>
      </c>
      <c r="Q554" t="s">
        <v>1051</v>
      </c>
      <c r="AF554" s="3"/>
      <c r="AG554" s="272"/>
      <c r="AL554" s="3"/>
      <c r="AM554"/>
      <c r="AN554" s="1" t="s">
        <v>2188</v>
      </c>
      <c r="AO554" s="1" t="s">
        <v>258</v>
      </c>
      <c r="AP554" s="3" t="s">
        <v>329</v>
      </c>
      <c r="AQ554"/>
      <c r="AR554"/>
      <c r="AW554" s="2"/>
      <c r="AX554" s="2"/>
      <c r="AY554" s="2"/>
      <c r="AZ554" s="2"/>
      <c r="BA554" s="2"/>
      <c r="BB554" s="2"/>
      <c r="BC554" s="2"/>
      <c r="BD554" s="2"/>
      <c r="BE554" s="2"/>
      <c r="BF554" s="20"/>
      <c r="BG554" s="22"/>
      <c r="BH554" s="22"/>
      <c r="BI554" s="14"/>
      <c r="BJ554" s="14"/>
      <c r="BK554" s="14"/>
      <c r="BL554" s="17"/>
      <c r="BM554" s="23"/>
      <c r="BN554" s="14"/>
      <c r="BO554" s="14"/>
      <c r="BP554" s="14"/>
      <c r="BQ554" s="14"/>
      <c r="BR554" s="17"/>
      <c r="BS554" s="23"/>
      <c r="BT554" s="14"/>
      <c r="BU554" s="14"/>
      <c r="BV554" s="14"/>
      <c r="BW554" s="14"/>
      <c r="BX554" s="17"/>
      <c r="BY554" s="23"/>
      <c r="BZ554" s="14"/>
      <c r="CA554" s="14"/>
      <c r="CB554" s="14"/>
      <c r="CC554" s="14"/>
      <c r="CD554" s="17"/>
      <c r="CE554" s="23"/>
      <c r="CF554" s="14"/>
      <c r="CG554" s="14"/>
      <c r="CH554" s="14"/>
      <c r="CI554" s="14"/>
      <c r="CJ554" s="17"/>
      <c r="CK554" s="23"/>
      <c r="CL554" s="14"/>
      <c r="CM554" s="14"/>
      <c r="CN554" s="14"/>
      <c r="CO554" s="14"/>
      <c r="CP554" s="17"/>
      <c r="CQ554" s="23"/>
      <c r="CR554" s="14"/>
      <c r="CS554" s="14"/>
      <c r="CT554" s="14"/>
      <c r="CU554" s="14"/>
      <c r="CV554" s="17"/>
      <c r="CW554" s="23"/>
      <c r="CX554" s="14"/>
      <c r="CY554" s="14"/>
      <c r="CZ554" s="14"/>
      <c r="DA554" s="14"/>
      <c r="DB554" s="17"/>
      <c r="DC554" s="23"/>
      <c r="DD554" s="14"/>
      <c r="DE554" s="14"/>
      <c r="DF554" s="14"/>
      <c r="DG554" s="14"/>
      <c r="DH554" s="14">
        <f>SUM(DE554:DG554)</f>
        <v>0</v>
      </c>
      <c r="DI554" s="47">
        <f>SUM(DH554/DX554)</f>
        <v>0</v>
      </c>
      <c r="DJ554" s="14">
        <v>39</v>
      </c>
      <c r="DK554" s="32">
        <f>COUNTIF(DQ554, "*")+COUNTIF(AN554, "*")+COUNTIF(AJ554, "*")+COUNTIF(AA554, "*")+COUNTIF(EN554, "*")+COUNTIF(ET554, "*")+COUNTIF(EZ554, "*")+COUNTIF(FD554, "*")+COUNTIF(FK554, "*")+COUNTIF(FS554, "*")+COUNTIF(FZ554, "*")+COUNTIF(GK554, "*")+COUNTIF(GV554, "*")+COUNTIF(HD554, "*")+COUNTIF(HL554, "*")+COUNTIF(HT554, "*")+COUNTIF(IB554, "*")</f>
        <v>1</v>
      </c>
      <c r="DL554" s="14">
        <f>DK554*0.5</f>
        <v>0.5</v>
      </c>
      <c r="DM554" s="14"/>
      <c r="DN554" s="14">
        <f>SUM(DH554,DJ554,DT554, DM554, DL554,FW554)</f>
        <v>39.5</v>
      </c>
      <c r="DO554" s="14"/>
      <c r="DP554" s="14"/>
      <c r="DQ554" s="14"/>
      <c r="DR554" s="23"/>
      <c r="DS554" s="25"/>
      <c r="DT554" s="14">
        <f>SUM(DO554:DS554)</f>
        <v>0</v>
      </c>
      <c r="DU554" s="24" t="s">
        <v>1997</v>
      </c>
      <c r="DV554" s="4">
        <v>30400</v>
      </c>
      <c r="DW554" s="4">
        <v>57800</v>
      </c>
      <c r="DX554" s="25">
        <f>SUM(DV554+DW554)</f>
        <v>88200</v>
      </c>
      <c r="DY554" s="36">
        <v>4.96</v>
      </c>
      <c r="DZ554" s="18"/>
      <c r="IJ554" s="18"/>
      <c r="IK554" s="18"/>
      <c r="IL554" s="18"/>
      <c r="IM554" s="14"/>
      <c r="IN554" s="27">
        <v>44377</v>
      </c>
      <c r="IO554" s="18"/>
      <c r="IP554" s="18"/>
      <c r="IQ554" s="18"/>
      <c r="IR554" s="18"/>
    </row>
    <row r="555" spans="1:263" ht="15" customHeight="1">
      <c r="A555" s="2">
        <v>102017062</v>
      </c>
      <c r="B555" t="s">
        <v>958</v>
      </c>
      <c r="F555">
        <v>170001510</v>
      </c>
      <c r="J555" t="s">
        <v>253</v>
      </c>
      <c r="K555" t="s">
        <v>959</v>
      </c>
      <c r="L555" t="s">
        <v>960</v>
      </c>
      <c r="M555" t="s">
        <v>598</v>
      </c>
      <c r="O555" s="1"/>
      <c r="T555" s="1"/>
      <c r="AF555" s="1"/>
      <c r="AJ555" s="4"/>
      <c r="AK555" s="18"/>
      <c r="AL555" s="4"/>
      <c r="AM555" s="34"/>
      <c r="AO555" s="4"/>
      <c r="AP555" s="13"/>
      <c r="AQ555" s="34"/>
      <c r="AR555" s="34"/>
      <c r="AS555" s="13"/>
      <c r="AT555" s="13"/>
      <c r="AU555" s="1"/>
      <c r="AV555" s="1"/>
      <c r="AW555" s="1"/>
      <c r="AX555" s="1"/>
      <c r="AY555" s="15"/>
      <c r="AZ555" s="15"/>
      <c r="BA555" s="1"/>
      <c r="BB555" s="1"/>
      <c r="BC555" s="1"/>
      <c r="BD555" s="1"/>
      <c r="BE555" s="1"/>
      <c r="BF555" s="1"/>
      <c r="BG555" s="5"/>
      <c r="BH555" s="16"/>
      <c r="BI555" s="16"/>
      <c r="BJ555" s="4"/>
      <c r="BK555" s="4"/>
      <c r="BL555" s="4"/>
      <c r="BM555" s="6"/>
      <c r="BN555" s="7"/>
      <c r="BO555" s="4"/>
      <c r="BQ555" s="4"/>
      <c r="BR555" s="4"/>
      <c r="BS555" s="6"/>
      <c r="BT555" s="7"/>
      <c r="BU555" s="4"/>
      <c r="BV555" s="4"/>
      <c r="BW555" s="4"/>
      <c r="BX555" s="4"/>
      <c r="BY555" s="17"/>
      <c r="BZ555" s="7"/>
      <c r="CA555" s="4"/>
      <c r="CB555" s="4"/>
      <c r="CC555" s="4"/>
      <c r="CD555" s="4"/>
      <c r="CE555" s="17"/>
      <c r="CF555" s="7"/>
      <c r="CG555" s="4"/>
      <c r="CH555" s="4"/>
      <c r="CI555" s="4"/>
      <c r="CJ555" s="4"/>
      <c r="CK555" s="17"/>
      <c r="CL555" s="7"/>
      <c r="CM555" s="4"/>
      <c r="CN555" s="4"/>
      <c r="CO555" s="4"/>
      <c r="CP555" s="4"/>
      <c r="CQ555" s="17"/>
      <c r="CR555" s="7"/>
      <c r="CS555" s="4"/>
      <c r="CT555" s="4"/>
      <c r="CU555" s="4"/>
      <c r="CV555" s="4"/>
      <c r="CW555" s="17"/>
      <c r="CX555" s="7"/>
      <c r="CY555" s="4"/>
      <c r="CZ555" s="4"/>
      <c r="DA555" s="4"/>
      <c r="DB555" s="4"/>
      <c r="DC555" s="17"/>
      <c r="DD555" s="7"/>
      <c r="DE555" s="4"/>
      <c r="DF555" s="4"/>
      <c r="DG555" s="14"/>
      <c r="DH555" s="14"/>
      <c r="DI555" s="4"/>
      <c r="DJ555" s="3"/>
      <c r="DK555" s="4"/>
      <c r="DL555" s="234"/>
      <c r="DM555" s="4"/>
      <c r="DN555" s="4"/>
      <c r="DO555" s="4"/>
      <c r="DP555" s="4"/>
      <c r="DQ555" s="4"/>
      <c r="DR555" s="4"/>
      <c r="DS555" s="4"/>
      <c r="DT555" s="8"/>
      <c r="DU555" s="4"/>
      <c r="DV555" s="8"/>
      <c r="DW555" s="4"/>
      <c r="DX555" s="4"/>
      <c r="FG555" s="9"/>
      <c r="FH555" s="10"/>
      <c r="FO555" s="10"/>
      <c r="FP555" s="9"/>
      <c r="GB555" s="9"/>
      <c r="GM555" s="9"/>
      <c r="GX555" s="9"/>
      <c r="HF555" s="9"/>
      <c r="IK555" s="4"/>
    </row>
    <row r="556" spans="1:263" ht="15" customHeight="1">
      <c r="A556" s="2">
        <v>102024024</v>
      </c>
      <c r="B556" t="s">
        <v>5073</v>
      </c>
      <c r="C556" s="10"/>
      <c r="D556" s="161">
        <v>2025</v>
      </c>
      <c r="E556" s="147"/>
      <c r="F556" s="160"/>
      <c r="G556" s="147"/>
      <c r="H556" s="10"/>
      <c r="I556" s="10"/>
      <c r="J556" s="10" t="s">
        <v>311</v>
      </c>
      <c r="K556" s="10" t="s">
        <v>254</v>
      </c>
      <c r="L556" s="10" t="s">
        <v>5142</v>
      </c>
      <c r="M556" s="10" t="s">
        <v>428</v>
      </c>
      <c r="N556" s="10"/>
      <c r="O556" s="147"/>
      <c r="P556" s="10"/>
      <c r="Q556" s="10"/>
      <c r="R556" s="10"/>
      <c r="S556" s="10"/>
      <c r="T556" s="10"/>
      <c r="U556" s="10"/>
      <c r="V556" s="10"/>
      <c r="W556" s="10"/>
      <c r="X556" s="10"/>
      <c r="Y556" s="10"/>
      <c r="Z556" s="10"/>
      <c r="AA556" s="10"/>
      <c r="AB556" s="10"/>
      <c r="AC556" s="10"/>
      <c r="AD556" s="10"/>
      <c r="AE556" s="10"/>
      <c r="AF556" s="10"/>
      <c r="AG556" s="141"/>
      <c r="AH556" s="10"/>
      <c r="AI556" s="10"/>
      <c r="AJ556" t="s">
        <v>328</v>
      </c>
      <c r="AK556" s="1"/>
      <c r="AL556" t="s">
        <v>386</v>
      </c>
      <c r="AM556"/>
      <c r="AN556"/>
      <c r="AO556" t="s">
        <v>5143</v>
      </c>
      <c r="AP556" s="1" t="s">
        <v>258</v>
      </c>
      <c r="AQ556" t="s">
        <v>386</v>
      </c>
      <c r="AR556" t="s">
        <v>260</v>
      </c>
      <c r="AX556" s="1"/>
      <c r="AY556" s="1"/>
      <c r="AZ556" s="1"/>
      <c r="BA556" s="1"/>
      <c r="BB556" s="1"/>
      <c r="BC556" s="70"/>
      <c r="BD556" s="115"/>
      <c r="BE556" s="144"/>
      <c r="BF556" s="70"/>
      <c r="BG556" s="2"/>
      <c r="BH556" s="70"/>
      <c r="BI556" s="70"/>
      <c r="BJ556" s="70"/>
      <c r="BK556" s="70"/>
      <c r="BL556" s="20">
        <f ca="1">SUM(EB556)+220</f>
        <v>284.23259999999999</v>
      </c>
      <c r="BM556" s="22">
        <f ca="1">PMT(10%/12,12,BL556,0,0)</f>
        <v>-24.988561208692424</v>
      </c>
      <c r="BN556" s="22">
        <f ca="1">SUM(BM556*-1)</f>
        <v>24.988561208692424</v>
      </c>
      <c r="BO556" s="14">
        <f>SUM(EJ556*0.0052)/12</f>
        <v>0.43333333333333335</v>
      </c>
      <c r="BP556" s="22">
        <f ca="1">SUM(BN556+BO556)</f>
        <v>25.421894542025758</v>
      </c>
      <c r="BQ556" s="14">
        <v>0</v>
      </c>
      <c r="BR556" s="14">
        <f>SUM(BQ556*0.1)</f>
        <v>0</v>
      </c>
      <c r="BS556" s="14">
        <f ca="1">SUM(BT556*BU556)</f>
        <v>0</v>
      </c>
      <c r="BT556" s="17">
        <f>SUM((BQ556+BR556)*0.00833333333333333)</f>
        <v>0</v>
      </c>
      <c r="BU556" s="23">
        <f ca="1">MONTH(TODAY())+37</f>
        <v>41</v>
      </c>
      <c r="BV556" s="14">
        <f ca="1">SUM(BQ556,BR556,BS556)</f>
        <v>0</v>
      </c>
      <c r="BW556" s="14">
        <f>SUM(EG556*0.0052)</f>
        <v>4.16</v>
      </c>
      <c r="BX556" s="14">
        <f>SUM(BW556*0.1)</f>
        <v>0.41600000000000004</v>
      </c>
      <c r="BY556" s="14">
        <f ca="1">SUM(BZ556*CA556)</f>
        <v>1.5634666666666663</v>
      </c>
      <c r="BZ556" s="17">
        <f>SUM((BW556+BX556)*0.00833333333333333)</f>
        <v>3.8133333333333325E-2</v>
      </c>
      <c r="CA556" s="167">
        <f ca="1">MONTH(TODAY())+37</f>
        <v>41</v>
      </c>
      <c r="CB556" s="14">
        <f ca="1">SUM(BW556,BX556,BY556)</f>
        <v>6.1394666666666673</v>
      </c>
      <c r="CC556" s="14">
        <f>SUM(EG556*0.0052)/2</f>
        <v>2.08</v>
      </c>
      <c r="CD556" s="14">
        <f>SUM(CC556*0.1)</f>
        <v>0.20800000000000002</v>
      </c>
      <c r="CE556" s="14">
        <f ca="1">SUM(CF556*CG556)</f>
        <v>0.62919999999999987</v>
      </c>
      <c r="CF556" s="17">
        <f>SUM((CC556+CD556)*0.00833333333333333)</f>
        <v>1.9066666666666662E-2</v>
      </c>
      <c r="CG556" s="167">
        <f ca="1">MONTH(TODAY())+29</f>
        <v>33</v>
      </c>
      <c r="CH556" s="23">
        <f ca="1">SUM(CC556,CD556,CE556)</f>
        <v>2.9172000000000002</v>
      </c>
      <c r="CI556" s="14">
        <f>SUM(EG556*0.0052)/2</f>
        <v>2.08</v>
      </c>
      <c r="CJ556" s="14">
        <f>SUM(CI556*0.1)</f>
        <v>0.20800000000000002</v>
      </c>
      <c r="CK556" s="14">
        <f ca="1">SUM(CL556*CM556)</f>
        <v>0.55293333333333317</v>
      </c>
      <c r="CL556" s="17">
        <f>SUM((CI556+CJ556)*0.00833333333333333)</f>
        <v>1.9066666666666662E-2</v>
      </c>
      <c r="CM556" s="58">
        <f ca="1">MONTH(TODAY())+25</f>
        <v>29</v>
      </c>
      <c r="CN556" s="14">
        <f ca="1">SUM(CI556,CJ556,CK556)</f>
        <v>2.8409333333333335</v>
      </c>
      <c r="CO556" s="14">
        <f>SUM(EJ556*0.0045)/2</f>
        <v>2.25</v>
      </c>
      <c r="CP556" s="14">
        <f>SUM(CO556*0.1)</f>
        <v>0.22500000000000001</v>
      </c>
      <c r="CQ556" s="14">
        <f ca="1">SUM(CR556*CS556)</f>
        <v>0.47437499999999977</v>
      </c>
      <c r="CR556" s="17">
        <f>SUM((CO556+CP556)*0.00833333333333333)</f>
        <v>2.0624999999999991E-2</v>
      </c>
      <c r="CS556" s="58">
        <f ca="1">MONTH(TODAY())+19</f>
        <v>23</v>
      </c>
      <c r="CT556" s="14">
        <f ca="1">SUM(CO556,CP556,CQ556)</f>
        <v>2.9493749999999999</v>
      </c>
      <c r="CU556" s="14">
        <f>SUM(EJ556*0.0045)/2</f>
        <v>2.25</v>
      </c>
      <c r="CV556" s="14">
        <f>SUM(CU556*0.1)</f>
        <v>0.22500000000000001</v>
      </c>
      <c r="CW556" s="14">
        <f ca="1">SUM(CX556*CY556)</f>
        <v>0.35062499999999985</v>
      </c>
      <c r="CX556" s="17">
        <f>SUM((CU556+CV556)*0.00833333333333333)</f>
        <v>2.0624999999999991E-2</v>
      </c>
      <c r="CY556" s="58">
        <f ca="1">MONTH(TODAY())+13</f>
        <v>17</v>
      </c>
      <c r="CZ556" s="14">
        <f ca="1">SUM(CU556,CV556,CW556)</f>
        <v>2.8256250000000001</v>
      </c>
      <c r="DA556" s="14">
        <f>SUM(EJ556*0.0045)/2</f>
        <v>2.25</v>
      </c>
      <c r="DB556" s="14">
        <f>SUM(DA556*0.1)</f>
        <v>0.22500000000000001</v>
      </c>
      <c r="DC556" s="14">
        <f ca="1">SUM(DD556*DE556)</f>
        <v>0.22687499999999988</v>
      </c>
      <c r="DD556" s="17">
        <f>SUM((DA556+DB556)*0.00833333333333333)</f>
        <v>2.0624999999999991E-2</v>
      </c>
      <c r="DE556" s="58">
        <f ca="1">MONTH(TODAY())+7</f>
        <v>11</v>
      </c>
      <c r="DF556" s="14">
        <f ca="1">SUM(DA556,DB556,DC556)</f>
        <v>2.7018749999999998</v>
      </c>
      <c r="DG556" s="180">
        <f>SUM(EJ556*0.0045)/2</f>
        <v>2.25</v>
      </c>
      <c r="DH556" s="14">
        <f>SUM(DG556*0.1)</f>
        <v>0.22500000000000001</v>
      </c>
      <c r="DI556" s="103">
        <f ca="1">SUM(DJ556*DK556)</f>
        <v>0.10312499999999995</v>
      </c>
      <c r="DJ556" s="17">
        <f>SUM((DG556+DH556)*0.00833333333333333)</f>
        <v>2.0624999999999991E-2</v>
      </c>
      <c r="DK556" s="58">
        <f ca="1">MONTH(TODAY())+1</f>
        <v>5</v>
      </c>
      <c r="DL556" s="14">
        <f ca="1">SUM(DG556,DH556,DI556)</f>
        <v>2.578125</v>
      </c>
      <c r="DM556" s="192">
        <f>SUM(BQ556, BW556, CC556,CI556,CO556,CU556,DA556,DG556)</f>
        <v>17.32</v>
      </c>
      <c r="DN556" s="192">
        <f>SUM(BR556,BX556, CD556,CJ556,CP556,CV556,DB556,DH556)</f>
        <v>1.7320000000000004</v>
      </c>
      <c r="DO556" s="192">
        <f ca="1">SUM(BS556,BY556, CE556,CK556,CQ556,CW556,DC556,DI556)</f>
        <v>3.900599999999999</v>
      </c>
      <c r="DP556" s="25">
        <f ca="1">SUM(DM556:DO556)</f>
        <v>22.952599999999997</v>
      </c>
      <c r="DQ556" s="47">
        <f ca="1">SUM(DP556/EH556)</f>
        <v>2.2952599999999997E-2</v>
      </c>
      <c r="DR556" s="14">
        <v>40</v>
      </c>
      <c r="DS556" s="32">
        <f>COUNTIF(AO556, "*")+COUNTIF(AJ556, "*")+COUNTIF(AA556, "*")+COUNTIF(EU556, "*")+COUNTIF(FA556, "*")+COUNTIF(FG556, "*")+COUNTIF(FK556, "*")+COUNTIF(FR556, "*")+COUNTIF(AT556, "*")+COUNTIF(GA556, "*")+COUNTIF(GL556, "*")+COUNTIF(GW556, "*")+COUNTIF(HE556, "*")+COUNTIF(HM556, "*")+COUNTIF(HU556, "*")</f>
        <v>2</v>
      </c>
      <c r="DT556" s="14">
        <f>DS556*0.64</f>
        <v>1.28</v>
      </c>
      <c r="DU556" s="4"/>
      <c r="DV556" s="4"/>
      <c r="DW556" s="4"/>
      <c r="DX556" s="4"/>
      <c r="DY556" s="4"/>
      <c r="DZ556" s="4"/>
      <c r="EA556" s="14">
        <f>SUM(DU556:DZ556)</f>
        <v>0</v>
      </c>
      <c r="EB556" s="103">
        <f ca="1">SUM(DP556,DR556,EA556,DT556,FX556)</f>
        <v>64.232599999999991</v>
      </c>
      <c r="EC556" s="24" t="s">
        <v>4944</v>
      </c>
      <c r="ED556" s="23">
        <v>0.19</v>
      </c>
      <c r="EE556" s="14">
        <v>800</v>
      </c>
      <c r="EF556" s="14">
        <v>0</v>
      </c>
      <c r="EG556" s="4">
        <f>SUM(EE556+EF556)</f>
        <v>800</v>
      </c>
      <c r="EH556" s="14">
        <v>1000</v>
      </c>
      <c r="EI556" s="14">
        <v>0</v>
      </c>
      <c r="EJ556" s="4">
        <f>SUM(EH556+EI556)</f>
        <v>1000</v>
      </c>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9"/>
      <c r="FP556" s="10"/>
      <c r="FQ556" s="10"/>
      <c r="FR556" s="10"/>
      <c r="FS556" s="10"/>
      <c r="FT556" s="10"/>
      <c r="FU556" s="10"/>
      <c r="FV556" s="9"/>
      <c r="FW556" s="10"/>
      <c r="FX556" s="10"/>
      <c r="FY556" s="10"/>
      <c r="FZ556" s="10"/>
      <c r="GA556" s="10"/>
      <c r="GB556" s="10"/>
      <c r="GC556" s="10"/>
      <c r="GD556" s="10"/>
      <c r="GE556" s="9"/>
      <c r="GF556" s="10"/>
      <c r="GG556" s="10"/>
      <c r="GH556" s="10"/>
      <c r="GI556" s="10"/>
      <c r="GJ556" s="10"/>
      <c r="GK556" s="10"/>
      <c r="GL556" s="10"/>
      <c r="GM556" s="10"/>
      <c r="GN556" s="10"/>
      <c r="GO556" s="10"/>
      <c r="GP556" s="9"/>
      <c r="GQ556" s="10"/>
      <c r="GR556" s="10"/>
      <c r="GS556" s="10"/>
      <c r="GT556" s="10"/>
      <c r="GU556" s="10"/>
      <c r="GV556" s="10"/>
      <c r="GW556" s="10"/>
      <c r="GX556" s="10"/>
      <c r="GY556" s="10"/>
      <c r="GZ556" s="10"/>
      <c r="HA556" s="9"/>
      <c r="HB556" s="10"/>
      <c r="HC556" s="10"/>
      <c r="HD556" s="10"/>
      <c r="HE556" s="10"/>
      <c r="HF556" s="10"/>
      <c r="HG556" s="10"/>
      <c r="HH556" s="10"/>
      <c r="HI556" s="9"/>
      <c r="HJ556" s="10"/>
      <c r="HK556" s="10"/>
      <c r="HL556" s="10"/>
      <c r="HM556" s="10"/>
      <c r="HN556" s="10"/>
      <c r="HO556" s="10"/>
      <c r="HP556" s="10"/>
      <c r="HQ556" s="9"/>
      <c r="HR556" s="10"/>
      <c r="HS556" s="10"/>
      <c r="HT556" s="10"/>
      <c r="HU556" s="10"/>
      <c r="HV556" s="10"/>
      <c r="HW556" s="10"/>
      <c r="HX556" s="10"/>
      <c r="HY556" s="9"/>
      <c r="HZ556" s="4"/>
      <c r="IA556" s="4"/>
      <c r="IB556" s="10"/>
      <c r="IC556" s="10"/>
      <c r="ID556" s="10"/>
      <c r="IE556" s="10"/>
      <c r="IF556" s="4"/>
      <c r="IG556" s="4"/>
      <c r="IH556" s="4"/>
      <c r="II556" s="4"/>
      <c r="IJ556" s="4"/>
      <c r="IK556" s="9"/>
      <c r="IL556" s="9"/>
      <c r="IM556" s="9"/>
      <c r="IN556" s="9"/>
      <c r="IO556" s="9"/>
      <c r="IP556" t="s">
        <v>5913</v>
      </c>
    </row>
    <row r="557" spans="1:263" ht="15" customHeight="1">
      <c r="A557" s="2">
        <v>102018023</v>
      </c>
      <c r="B557" s="4" t="s">
        <v>1120</v>
      </c>
      <c r="J557" t="s">
        <v>311</v>
      </c>
      <c r="K557" t="s">
        <v>1121</v>
      </c>
      <c r="L557" t="s">
        <v>1122</v>
      </c>
      <c r="M557" t="s">
        <v>256</v>
      </c>
      <c r="O557" s="1"/>
      <c r="T557" s="1"/>
      <c r="AJ557" s="4"/>
      <c r="AK557" s="4"/>
      <c r="AM557" s="34"/>
      <c r="AO557" s="4"/>
      <c r="AP557" s="5"/>
      <c r="AQ557" s="34"/>
      <c r="AS557" s="1"/>
      <c r="AT557" s="1"/>
      <c r="AU557" s="29"/>
      <c r="AV557" s="1"/>
      <c r="AW557" s="1"/>
      <c r="AX557" s="1"/>
      <c r="AY557" s="1"/>
      <c r="AZ557" s="1"/>
      <c r="BA557" s="1"/>
      <c r="BB557" s="1"/>
      <c r="BC557" s="1"/>
      <c r="BD557" s="1"/>
      <c r="BE557" s="1"/>
      <c r="BF557" s="1"/>
      <c r="BG557" s="5"/>
      <c r="BH557" s="16"/>
      <c r="BI557" s="16"/>
      <c r="BK557" s="4"/>
      <c r="BL557" s="4"/>
      <c r="BM557" s="6"/>
      <c r="BN557" s="7"/>
      <c r="BO557" s="4"/>
      <c r="BQ557" s="4"/>
      <c r="BR557" s="4"/>
      <c r="BS557" s="6"/>
      <c r="BT557" s="7"/>
      <c r="BU557" s="4"/>
      <c r="BW557" s="4"/>
      <c r="BX557" s="4"/>
      <c r="BY557" s="6"/>
      <c r="BZ557" s="7"/>
      <c r="CA557" s="4"/>
      <c r="CB557" s="6"/>
      <c r="CC557" s="4"/>
      <c r="CD557" s="4"/>
      <c r="CE557" s="6"/>
      <c r="CF557" s="7"/>
      <c r="CG557" s="4"/>
      <c r="CH557" s="6"/>
      <c r="CI557" s="4"/>
      <c r="CJ557" s="4"/>
      <c r="CK557" s="6"/>
      <c r="CL557" s="7"/>
      <c r="CM557" s="4"/>
      <c r="CN557" s="4"/>
      <c r="CO557" s="4"/>
      <c r="CP557" s="4"/>
      <c r="CQ557" s="6"/>
      <c r="CR557" s="7"/>
      <c r="CS557" s="4"/>
      <c r="CT557" s="4"/>
      <c r="CU557" s="4"/>
      <c r="CV557" s="4"/>
      <c r="CW557" s="6"/>
      <c r="CX557" s="7"/>
      <c r="CY557" s="4"/>
      <c r="CZ557" s="4"/>
      <c r="DA557" s="4"/>
      <c r="DB557" s="4"/>
      <c r="DC557" s="6"/>
      <c r="DD557" s="7"/>
      <c r="DE557" s="4"/>
      <c r="DF557" s="4"/>
      <c r="DG557" s="4"/>
      <c r="DH557" s="4"/>
      <c r="DI557" s="6"/>
      <c r="DJ557" s="7"/>
      <c r="DK557" s="4"/>
      <c r="DL557" s="4"/>
      <c r="DM557" s="4"/>
      <c r="DN557" s="4"/>
      <c r="DO557" s="4"/>
      <c r="DP557" s="4"/>
      <c r="DR557" s="4"/>
      <c r="DS557" s="4"/>
      <c r="DT557" s="4"/>
      <c r="DU557" s="4"/>
      <c r="DV557" s="7"/>
      <c r="DW557" s="7"/>
      <c r="DX557" s="4"/>
      <c r="DY557" s="4"/>
      <c r="DZ557" s="4"/>
      <c r="EA557" s="4"/>
      <c r="EB557" s="4"/>
      <c r="EC557" s="4"/>
      <c r="ED557" s="4"/>
      <c r="EK557" s="11"/>
      <c r="EQ557" s="11"/>
      <c r="ER557" s="4"/>
      <c r="ES557" s="4"/>
      <c r="ET557" s="4"/>
      <c r="EU557" s="4"/>
      <c r="EV557" s="4"/>
      <c r="EW557" s="4"/>
      <c r="EX557" s="4"/>
      <c r="EY557" s="4"/>
      <c r="EZ557" s="4"/>
      <c r="FA557" s="4"/>
      <c r="FB557" s="4"/>
      <c r="FC557" s="4"/>
      <c r="FD557" s="4"/>
      <c r="FE557" s="4"/>
      <c r="FF557" s="4"/>
      <c r="FL557" s="9"/>
      <c r="FU557" s="9"/>
      <c r="GC557" s="10"/>
      <c r="GM557" s="10"/>
      <c r="HB557" s="9"/>
      <c r="IL557" s="18"/>
      <c r="IM557" s="18"/>
      <c r="IN557" s="14"/>
      <c r="IO557" s="14"/>
      <c r="IP557" s="27">
        <v>44068</v>
      </c>
      <c r="IQ557" s="18"/>
      <c r="IR557" s="18"/>
      <c r="IS557" s="18"/>
      <c r="IT557" s="18"/>
      <c r="IU557" s="243"/>
      <c r="IV557" s="243"/>
    </row>
    <row r="558" spans="1:263" ht="15" customHeight="1">
      <c r="A558" s="19">
        <v>102023090</v>
      </c>
      <c r="B558" s="18" t="s">
        <v>4302</v>
      </c>
      <c r="D558" s="1"/>
      <c r="E558" s="3"/>
      <c r="F558" s="3"/>
      <c r="J558" s="18" t="s">
        <v>311</v>
      </c>
      <c r="K558" s="18" t="s">
        <v>959</v>
      </c>
      <c r="L558" s="18" t="s">
        <v>4327</v>
      </c>
      <c r="M558" s="18"/>
      <c r="N558" s="18"/>
      <c r="O558" s="19"/>
      <c r="P558" s="18" t="s">
        <v>4251</v>
      </c>
      <c r="Q558" s="18" t="s">
        <v>4328</v>
      </c>
      <c r="R558" s="18"/>
      <c r="S558" s="18"/>
      <c r="U558" t="s">
        <v>4330</v>
      </c>
      <c r="V558" t="s">
        <v>4329</v>
      </c>
      <c r="AG558" s="43"/>
      <c r="AH558" s="3"/>
      <c r="AI558" s="3"/>
      <c r="AJ558" s="18" t="s">
        <v>328</v>
      </c>
      <c r="AK558" s="18"/>
      <c r="AL558" s="18" t="s">
        <v>386</v>
      </c>
      <c r="AM558"/>
      <c r="AN558"/>
      <c r="AO558" s="18" t="s">
        <v>4331</v>
      </c>
      <c r="AP558" s="3" t="s">
        <v>258</v>
      </c>
      <c r="AQ558" s="18" t="s">
        <v>386</v>
      </c>
      <c r="AR558" s="18" t="s">
        <v>260</v>
      </c>
      <c r="AY558" s="1"/>
      <c r="AZ558" s="1"/>
      <c r="BA558" s="1"/>
      <c r="BB558" s="1"/>
      <c r="BC558" s="2"/>
      <c r="BD558" s="116"/>
      <c r="BE558" s="115"/>
      <c r="BF558" s="2"/>
      <c r="BG558" s="2"/>
      <c r="BH558" s="2"/>
      <c r="BI558" s="2"/>
      <c r="BJ558" s="2"/>
      <c r="BK558" s="2"/>
      <c r="BL558" s="20">
        <f ca="1">SUM(EB558)+220</f>
        <v>465.52252499999997</v>
      </c>
      <c r="BM558" s="22">
        <f ca="1">PMT(10%/12,12,BL558,0,0)</f>
        <v>-40.926825810929323</v>
      </c>
      <c r="BN558" s="22">
        <f ca="1">SUM(BM558*-1)</f>
        <v>40.926825810929323</v>
      </c>
      <c r="BO558" s="14">
        <f>SUM(EJ558*0.0052)/12</f>
        <v>13.649999999999999</v>
      </c>
      <c r="BP558" s="22">
        <f ca="1">SUM(BN558+BO558)</f>
        <v>54.576825810929321</v>
      </c>
      <c r="BQ558" s="14"/>
      <c r="BR558" s="14">
        <f>SUM(BQ558*0.1)</f>
        <v>0</v>
      </c>
      <c r="BS558" s="14">
        <f ca="1">SUM(BT558*BU558)</f>
        <v>0</v>
      </c>
      <c r="BT558" s="17">
        <f>SUM((BQ558+BR558)*0.00833333333333333)</f>
        <v>0</v>
      </c>
      <c r="BU558" s="23">
        <f ca="1">MONTH(TODAY())+49</f>
        <v>53</v>
      </c>
      <c r="BV558" s="14">
        <f ca="1">SUM(BQ558,BR558,BS558)</f>
        <v>0</v>
      </c>
      <c r="BW558" s="14"/>
      <c r="BX558" s="14">
        <f>SUM(BW558*0.1)</f>
        <v>0</v>
      </c>
      <c r="BY558" s="14">
        <f ca="1">SUM(BZ558*CA558)</f>
        <v>0</v>
      </c>
      <c r="BZ558" s="17">
        <f>SUM((BW558+BX558)*0.00833333333333333)</f>
        <v>0</v>
      </c>
      <c r="CA558" s="23">
        <f ca="1">MONTH(TODAY())+37</f>
        <v>41</v>
      </c>
      <c r="CB558" s="14">
        <f ca="1">SUM(BW558,BX558,BY558)</f>
        <v>0</v>
      </c>
      <c r="CC558" s="14">
        <v>0</v>
      </c>
      <c r="CD558" s="14">
        <f>SUM(CC558*0.1)</f>
        <v>0</v>
      </c>
      <c r="CE558" s="14">
        <f ca="1">SUM(CF558*CG558)</f>
        <v>0</v>
      </c>
      <c r="CF558" s="17">
        <f>SUM((CC558+CD558)*0.00833333333333333)</f>
        <v>0</v>
      </c>
      <c r="CG558" s="23">
        <f ca="1">MONTH(TODAY())+25</f>
        <v>29</v>
      </c>
      <c r="CH558" s="14">
        <f ca="1">SUM(CC558,CD558,CE558)</f>
        <v>0</v>
      </c>
      <c r="CI558" s="14">
        <f>SUM(EG558*0.0052)-102.27</f>
        <v>14.209999999999994</v>
      </c>
      <c r="CJ558" s="14">
        <f>SUM(CI558*0.1)</f>
        <v>1.4209999999999994</v>
      </c>
      <c r="CK558" s="14">
        <f ca="1">SUM(CL558*CM558)</f>
        <v>2.214391666666665</v>
      </c>
      <c r="CL558" s="17">
        <f>SUM((CI558+CJ558)*0.00833333333333333)</f>
        <v>0.13025833333333323</v>
      </c>
      <c r="CM558" s="23">
        <f ca="1">MONTH(TODAY())+13</f>
        <v>17</v>
      </c>
      <c r="CN558" s="14">
        <f ca="1">SUM(CI558,CJ558,CK558)</f>
        <v>17.845391666666657</v>
      </c>
      <c r="CO558" s="14">
        <f>SUM(EG558*0.0052)/2</f>
        <v>58.239999999999995</v>
      </c>
      <c r="CP558" s="14">
        <f>SUM(CO558*0.1)</f>
        <v>5.8239999999999998</v>
      </c>
      <c r="CQ558" s="14">
        <f ca="1">SUM(CR558*CS558)</f>
        <v>4.8047999999999975</v>
      </c>
      <c r="CR558" s="17">
        <f>SUM((CO558+CP558)*0.00833333333333333)</f>
        <v>0.53386666666666638</v>
      </c>
      <c r="CS558" s="23">
        <f ca="1">MONTH(TODAY())+5</f>
        <v>9</v>
      </c>
      <c r="CT558" s="23">
        <f ca="1">SUM(CO558,CP558,CQ558)</f>
        <v>68.868799999999993</v>
      </c>
      <c r="CU558" s="14">
        <f>SUM(EG558*0.0052)/2</f>
        <v>58.239999999999995</v>
      </c>
      <c r="CV558" s="14">
        <f>SUM(CU558*0.1)</f>
        <v>5.8239999999999998</v>
      </c>
      <c r="CW558" s="14">
        <f ca="1">SUM(CX558*CY558)</f>
        <v>2.669333333333332</v>
      </c>
      <c r="CX558" s="17">
        <f>SUM((CU558+CV558)*0.00833333333333333)</f>
        <v>0.53386666666666638</v>
      </c>
      <c r="CY558" s="23">
        <f ca="1">MONTH(TODAY())+1</f>
        <v>5</v>
      </c>
      <c r="CZ558" s="23">
        <f ca="1">SUM(CU558,CV558,CW558)</f>
        <v>66.73333333333332</v>
      </c>
      <c r="DA558" s="14">
        <f>SUM(EJ558*0.0045)/2</f>
        <v>70.875</v>
      </c>
      <c r="DB558" s="14">
        <v>0</v>
      </c>
      <c r="DC558" s="14">
        <v>0</v>
      </c>
      <c r="DD558" s="17">
        <f>SUM((DA558+DB558)*0.00833333333333333)</f>
        <v>0.59062499999999973</v>
      </c>
      <c r="DE558" s="23">
        <f ca="1">MONTH(TODAY())-5</f>
        <v>-1</v>
      </c>
      <c r="DF558" s="23">
        <f>SUM(DA558,DB558,DC558)</f>
        <v>70.875</v>
      </c>
      <c r="DG558" s="14">
        <v>0</v>
      </c>
      <c r="DH558" s="14">
        <v>0</v>
      </c>
      <c r="DI558" s="14">
        <v>0</v>
      </c>
      <c r="DJ558" s="17">
        <f>SUM((DG558+DH558)*0.00833333333333333)</f>
        <v>0</v>
      </c>
      <c r="DK558" s="23">
        <f ca="1">MONTH(TODAY())+1</f>
        <v>5</v>
      </c>
      <c r="DL558" s="23">
        <f>SUM(DG558,DH558,DI558)</f>
        <v>0</v>
      </c>
      <c r="DM558" s="14">
        <f>SUM( BQ558, BW558, CC558, CI558, CO558,CU558,DA558,DG558)</f>
        <v>201.565</v>
      </c>
      <c r="DN558" s="14">
        <f>SUM(BR558,BX558,CD558,CJ558, CP558,CV558,DB558,DH558)</f>
        <v>13.068999999999999</v>
      </c>
      <c r="DO558" s="14">
        <f ca="1">SUM(BS558,BY558,CE558,CK558, CQ558,CW558,DC558,DI558)</f>
        <v>9.6885249999999949</v>
      </c>
      <c r="DP558" s="25">
        <f ca="1">SUM(DM558:DO558)</f>
        <v>224.32252499999998</v>
      </c>
      <c r="DQ558" s="47">
        <f ca="1">SUM(DP558/EG558)</f>
        <v>1.0014398437499999E-2</v>
      </c>
      <c r="DR558" s="14">
        <v>20</v>
      </c>
      <c r="DS558" s="32">
        <f>COUNTIF(DX558, "*")+COUNTIF(AO558, "*")+COUNTIF(AJ558, "*")+COUNTIF(AA558, "*")+COUNTIF(EY558, "*")+COUNTIF(FE558, "*")+COUNTIF(FK558, "*")+COUNTIF(FO558, "*")+COUNTIF(FV558, "*")+COUNTIF(AT558, "*")+COUNTIF(GE558, "*")+COUNTIF(GP558, "*")+COUNTIF(HA558, "*")+COUNTIF(HI558, "*")+COUNTIF(HQ558, "*")+COUNTIF(HY558, "*")+COUNTIF(IG558, "*")</f>
        <v>2</v>
      </c>
      <c r="DT558" s="14">
        <f>DS558*0.6</f>
        <v>1.2</v>
      </c>
      <c r="DU558" s="4"/>
      <c r="DV558" s="4"/>
      <c r="DW558" s="4"/>
      <c r="DX558" s="4"/>
      <c r="DZ558" s="4"/>
      <c r="EA558" s="14">
        <f>SUM(DV558:DZ558)</f>
        <v>0</v>
      </c>
      <c r="EB558" s="14">
        <f ca="1">SUM(DP558,DR558,EA558, DU558, DT558,GB558)</f>
        <v>245.52252499999997</v>
      </c>
      <c r="EC558" s="24" t="s">
        <v>3879</v>
      </c>
      <c r="ED558" s="130">
        <v>7</v>
      </c>
      <c r="EE558" s="14">
        <v>22400</v>
      </c>
      <c r="EF558" s="14">
        <v>0</v>
      </c>
      <c r="EG558" s="14">
        <v>22400</v>
      </c>
      <c r="EH558" s="14">
        <v>31500</v>
      </c>
      <c r="EI558" s="14">
        <v>0</v>
      </c>
      <c r="EJ558" s="14">
        <f>SUM(EH558+EI558)</f>
        <v>31500</v>
      </c>
      <c r="IM558" s="9"/>
      <c r="IX558" s="14">
        <f ca="1">SUM(IN558-EB558-GB558-IV558)</f>
        <v>-245.52252499999997</v>
      </c>
      <c r="IY558" s="9"/>
      <c r="IZ558" s="9"/>
      <c r="JA558" s="9"/>
      <c r="JB558" s="9"/>
      <c r="JC558" s="9"/>
    </row>
    <row r="559" spans="1:263" ht="15" customHeight="1">
      <c r="A559" s="19">
        <v>102023126</v>
      </c>
      <c r="B559" s="18" t="s">
        <v>4378</v>
      </c>
      <c r="D559" s="1"/>
      <c r="E559" s="3"/>
      <c r="F559" s="3"/>
      <c r="J559" s="18" t="s">
        <v>554</v>
      </c>
      <c r="K559" s="18" t="s">
        <v>695</v>
      </c>
      <c r="L559" s="130" t="s">
        <v>857</v>
      </c>
      <c r="M559" s="130" t="s">
        <v>537</v>
      </c>
      <c r="N559" s="130" t="s">
        <v>470</v>
      </c>
      <c r="O559" s="288"/>
      <c r="P559" s="130" t="s">
        <v>695</v>
      </c>
      <c r="Q559" s="130" t="s">
        <v>1607</v>
      </c>
      <c r="R559" s="130" t="s">
        <v>403</v>
      </c>
      <c r="S559" s="130"/>
      <c r="AG559" s="43"/>
      <c r="AJ559" s="18" t="s">
        <v>4461</v>
      </c>
      <c r="AK559" t="s">
        <v>258</v>
      </c>
      <c r="AL559" s="18" t="s">
        <v>386</v>
      </c>
      <c r="AM559" t="s">
        <v>260</v>
      </c>
      <c r="AN559"/>
      <c r="AO559" s="18" t="s">
        <v>4462</v>
      </c>
      <c r="AP559" s="3"/>
      <c r="AQ559" s="18" t="s">
        <v>386</v>
      </c>
      <c r="AR559"/>
      <c r="AX559" s="1"/>
      <c r="AY559" s="1"/>
      <c r="AZ559" s="1"/>
      <c r="BA559" s="1"/>
      <c r="BB559" s="1"/>
      <c r="BC559" s="2"/>
      <c r="BD559" s="116"/>
      <c r="BE559" s="115"/>
      <c r="BF559" s="2"/>
      <c r="BG559" s="2"/>
      <c r="BH559" s="2"/>
      <c r="BI559" s="2"/>
      <c r="BJ559" s="2"/>
      <c r="BK559" s="2"/>
      <c r="BL559" s="20">
        <f ca="1">SUM(DP559)+220</f>
        <v>560.02803333333327</v>
      </c>
      <c r="BM559" s="22">
        <f ca="1">PMT(10%/12,12,BL559,0,0)</f>
        <v>-49.235361424177384</v>
      </c>
      <c r="BN559" s="22">
        <f ca="1">SUM(BM559*-1)</f>
        <v>49.235361424177384</v>
      </c>
      <c r="BO559" s="14">
        <f>SUM(DX559*0.0052)/12</f>
        <v>21.796666666666667</v>
      </c>
      <c r="BP559" s="22">
        <f ca="1">SUM(BN559+BO559)</f>
        <v>71.032028090844051</v>
      </c>
      <c r="BQ559" s="14"/>
      <c r="BR559" s="14">
        <f>SUM(BQ559*0.1)</f>
        <v>0</v>
      </c>
      <c r="BS559" s="14">
        <f ca="1">SUM(BT559*BU559)</f>
        <v>0</v>
      </c>
      <c r="BT559" s="17">
        <f>SUM((BQ559+BR559)*0.00833333333333333)</f>
        <v>0</v>
      </c>
      <c r="BU559" s="23">
        <f ca="1">MONTH(TODAY())+49</f>
        <v>53</v>
      </c>
      <c r="BV559" s="14">
        <f ca="1">SUM(BQ559,BR559,BS559)</f>
        <v>0</v>
      </c>
      <c r="BW559" s="14"/>
      <c r="BX559" s="14">
        <f>SUM(BW559*0.1)</f>
        <v>0</v>
      </c>
      <c r="BY559" s="14">
        <f ca="1">SUM(BZ559*CA559)</f>
        <v>0</v>
      </c>
      <c r="BZ559" s="17">
        <f>SUM((BW559+BX559)*0.00833333333333333)</f>
        <v>0</v>
      </c>
      <c r="CA559" s="23">
        <f ca="1">MONTH(TODAY())+37</f>
        <v>41</v>
      </c>
      <c r="CB559" s="14">
        <f ca="1">SUM(BW559,BX559,BY559)</f>
        <v>0</v>
      </c>
      <c r="CC559" s="14">
        <v>0</v>
      </c>
      <c r="CD559" s="14">
        <f>SUM(CC559*0.1)</f>
        <v>0</v>
      </c>
      <c r="CE559" s="14">
        <f ca="1">SUM(CF559*CG559)</f>
        <v>0</v>
      </c>
      <c r="CF559" s="17">
        <f>SUM((CC559+CD559)*0.00833333333333333)</f>
        <v>0</v>
      </c>
      <c r="CG559" s="23">
        <f ca="1">MONTH(TODAY())+25</f>
        <v>29</v>
      </c>
      <c r="CH559" s="14">
        <f ca="1">SUM(CC559,CD559,CE559)</f>
        <v>0</v>
      </c>
      <c r="CI559" s="14">
        <v>37.44</v>
      </c>
      <c r="CJ559" s="14">
        <f>SUM(CI559*0.1)</f>
        <v>3.7439999999999998</v>
      </c>
      <c r="CK559" s="14">
        <f ca="1">SUM(CL559*CM559)</f>
        <v>5.8343999999999969</v>
      </c>
      <c r="CL559" s="17">
        <f>SUM((CI559+CJ559)*0.00833333333333333)</f>
        <v>0.34319999999999984</v>
      </c>
      <c r="CM559" s="23">
        <f ca="1">MONTH(TODAY())+13</f>
        <v>17</v>
      </c>
      <c r="CN559" s="14">
        <f ca="1">SUM(CI559,CJ559,CK559)</f>
        <v>47.018399999999993</v>
      </c>
      <c r="CO559" s="14">
        <f>SUM(DU559*0.0052)/2</f>
        <v>116.74</v>
      </c>
      <c r="CP559" s="14">
        <f>SUM(CO559*0.1)</f>
        <v>11.673999999999999</v>
      </c>
      <c r="CQ559" s="14">
        <f ca="1">SUM(CR559*CS559)</f>
        <v>9.6310499999999948</v>
      </c>
      <c r="CR559" s="17">
        <f>SUM((CO559+CP559)*0.00833333333333333)</f>
        <v>1.0701166666666662</v>
      </c>
      <c r="CS559" s="23">
        <f ca="1">MONTH(TODAY())+5</f>
        <v>9</v>
      </c>
      <c r="CT559" s="23">
        <f ca="1">SUM(CO559,CP559,CQ559)</f>
        <v>138.04504999999997</v>
      </c>
      <c r="CU559" s="14">
        <f>SUM(DU559*0.0052)/2</f>
        <v>116.74</v>
      </c>
      <c r="CV559" s="14">
        <f>SUM(CU559*0.1)</f>
        <v>11.673999999999999</v>
      </c>
      <c r="CW559" s="14">
        <f ca="1">SUM(CX559*CY559)</f>
        <v>5.350583333333331</v>
      </c>
      <c r="CX559" s="17">
        <f>SUM((CU559+CV559)*0.00833333333333333)</f>
        <v>1.0701166666666662</v>
      </c>
      <c r="CY559" s="23">
        <f ca="1">MONTH(TODAY())+1</f>
        <v>5</v>
      </c>
      <c r="CZ559" s="23">
        <f ca="1">SUM(CU559,CV559,CW559)</f>
        <v>133.76458333333332</v>
      </c>
      <c r="DA559" s="14">
        <f>SUM( BQ559, BW559, CC559, CI559, CO559,CU559)</f>
        <v>270.92</v>
      </c>
      <c r="DB559" s="14">
        <f>SUM(BR559,BX559,CD559,CJ559, CP559,CV559)</f>
        <v>27.091999999999999</v>
      </c>
      <c r="DC559" s="14">
        <f ca="1">SUM(BS559,BY559,CE559,CK559, CQ559,CW559)</f>
        <v>20.816033333333323</v>
      </c>
      <c r="DD559" s="25">
        <f ca="1">SUM(DA559:DC559)</f>
        <v>318.82803333333334</v>
      </c>
      <c r="DE559" s="47">
        <f ca="1">SUM(DD559/DU559)</f>
        <v>7.1008470675575355E-3</v>
      </c>
      <c r="DF559" s="14">
        <v>20</v>
      </c>
      <c r="DG559" s="32">
        <f>COUNTIF(DL559, "*")+COUNTIF(AO559, "*")+COUNTIF(AJ559, "*")+COUNTIF(AA559, "*")+COUNTIF(EM559, "*")+COUNTIF(ES559, "*")+COUNTIF(EY559, "*")+COUNTIF(FC559, "*")+COUNTIF(FJ559, "*")+COUNTIF(AT559, "*")+COUNTIF(FS559, "*")+COUNTIF(GD559, "*")+COUNTIF(GO559, "*")+COUNTIF(GW559, "*")+COUNTIF(HE559, "*")+COUNTIF(HM559, "*")+COUNTIF(HU559, "*")</f>
        <v>2</v>
      </c>
      <c r="DH559" s="14">
        <f>DG559*0.6</f>
        <v>1.2</v>
      </c>
      <c r="DI559" s="4"/>
      <c r="DJ559" s="4"/>
      <c r="DK559" s="4"/>
      <c r="DL559" s="4"/>
      <c r="DN559" s="4"/>
      <c r="DO559" s="14">
        <f>SUM(DJ559:DN559)</f>
        <v>0</v>
      </c>
      <c r="DP559" s="14">
        <f ca="1">SUM(DD559,DF559,DO559, DI559, DH559,FP559)</f>
        <v>340.02803333333333</v>
      </c>
      <c r="DQ559" s="24" t="s">
        <v>3879</v>
      </c>
      <c r="DR559" s="130">
        <v>3</v>
      </c>
      <c r="DS559" s="14">
        <v>21600</v>
      </c>
      <c r="DT559" s="14">
        <v>23300</v>
      </c>
      <c r="DU559" s="14">
        <v>44900</v>
      </c>
      <c r="DV559" s="14">
        <v>27000</v>
      </c>
      <c r="DW559" s="14">
        <v>23300</v>
      </c>
      <c r="DX559" s="14">
        <f>SUM(DV559+DW559)</f>
        <v>50300</v>
      </c>
      <c r="IA559" s="9"/>
      <c r="IL559" s="14">
        <f ca="1">SUM(IB559-DP559-FP559-IJ559)</f>
        <v>-340.02803333333333</v>
      </c>
      <c r="IM559" s="9"/>
      <c r="IN559" s="9"/>
      <c r="IO559" s="9"/>
      <c r="IP559" s="9"/>
      <c r="IQ559" s="9"/>
    </row>
    <row r="560" spans="1:263" ht="15" customHeight="1">
      <c r="A560" s="19">
        <v>102022073</v>
      </c>
      <c r="B560" t="s">
        <v>2818</v>
      </c>
      <c r="D560" s="1"/>
      <c r="J560" t="s">
        <v>253</v>
      </c>
      <c r="K560" t="s">
        <v>419</v>
      </c>
      <c r="L560" t="s">
        <v>3069</v>
      </c>
      <c r="M560" t="s">
        <v>469</v>
      </c>
      <c r="AG560" s="43"/>
      <c r="AJ560" t="s">
        <v>3070</v>
      </c>
      <c r="AK560" t="s">
        <v>258</v>
      </c>
      <c r="AL560" t="s">
        <v>386</v>
      </c>
      <c r="AM560"/>
      <c r="AN560"/>
      <c r="AO560" s="3" t="s">
        <v>3071</v>
      </c>
      <c r="AP560" s="3"/>
      <c r="AQ560" s="3" t="s">
        <v>386</v>
      </c>
      <c r="AR560"/>
      <c r="AS560" s="1"/>
      <c r="AT560" s="1"/>
      <c r="AU560" s="1"/>
      <c r="AV560" s="1"/>
      <c r="AW560" s="1"/>
      <c r="AX560" s="2"/>
      <c r="AY560" s="116"/>
      <c r="AZ560" s="115">
        <v>44642</v>
      </c>
      <c r="BA560" s="2"/>
      <c r="BB560" s="2"/>
      <c r="BC560" s="2"/>
      <c r="BD560" s="2"/>
      <c r="BE560" s="2"/>
      <c r="BF560" s="2"/>
      <c r="BG560" s="20">
        <f ca="1">SUM(CY560)+214.5</f>
        <v>1210.0217666666667</v>
      </c>
      <c r="BH560" s="22">
        <f ca="1">PMT(10%/12,12,BG560,0,0)</f>
        <v>-106.38013718412365</v>
      </c>
      <c r="BI560" s="22">
        <f ca="1">SUM(BH560*-1)</f>
        <v>106.38013718412365</v>
      </c>
      <c r="BJ560" s="14">
        <f>SUM(DI560*0.0052)/12</f>
        <v>31.676666666666666</v>
      </c>
      <c r="BK560" s="22">
        <f ca="1">SUM(BI560+BJ560)</f>
        <v>138.05680385079032</v>
      </c>
      <c r="BL560" s="14"/>
      <c r="BM560" s="14">
        <f>SUM(BL560*0.1)</f>
        <v>0</v>
      </c>
      <c r="BN560" s="14">
        <f ca="1">SUM(BO560*BP560)</f>
        <v>0</v>
      </c>
      <c r="BO560" s="17">
        <f>SUM((BL560+BM560)*0.00833333333333333)</f>
        <v>0</v>
      </c>
      <c r="BP560" s="23">
        <f ca="1">MONTH(TODAY())+49</f>
        <v>53</v>
      </c>
      <c r="BQ560" s="14">
        <f ca="1">SUM(BL560,BM560,BN560)</f>
        <v>0</v>
      </c>
      <c r="BR560" s="14"/>
      <c r="BS560" s="14">
        <f>SUM(BR560*0.1)</f>
        <v>0</v>
      </c>
      <c r="BT560" s="14">
        <f ca="1">SUM(BU560*BV560)</f>
        <v>0</v>
      </c>
      <c r="BU560" s="17">
        <f>SUM((BR560+BS560)*0.00833333333333333)</f>
        <v>0</v>
      </c>
      <c r="BV560" s="23">
        <f ca="1">MONTH(TODAY())+37</f>
        <v>41</v>
      </c>
      <c r="BW560" s="14">
        <f ca="1">SUM(BR560,BS560,BT560)</f>
        <v>0</v>
      </c>
      <c r="BX560" s="14"/>
      <c r="BY560" s="14">
        <f>SUM(BX560*0.1)</f>
        <v>0</v>
      </c>
      <c r="BZ560" s="14">
        <f ca="1">SUM(CA560*CB560)</f>
        <v>0</v>
      </c>
      <c r="CA560" s="17">
        <f>SUM((BX560+BY560)*0.00833333333333333)</f>
        <v>0</v>
      </c>
      <c r="CB560" s="23">
        <f ca="1">MONTH(TODAY())+25</f>
        <v>29</v>
      </c>
      <c r="CC560" s="14">
        <f ca="1">SUM(BX560,BY560,BZ560)</f>
        <v>0</v>
      </c>
      <c r="CD560" s="14">
        <v>248.16</v>
      </c>
      <c r="CE560" s="14">
        <f>SUM(CD560*0.1)</f>
        <v>24.816000000000003</v>
      </c>
      <c r="CF560" s="14">
        <f ca="1">SUM(CG560*CH560)</f>
        <v>38.671599999999984</v>
      </c>
      <c r="CG560" s="17">
        <f>SUM((CD560+CE560)*0.00833333333333333)</f>
        <v>2.274799999999999</v>
      </c>
      <c r="CH560" s="23">
        <f ca="1">MONTH(TODAY())+13</f>
        <v>17</v>
      </c>
      <c r="CI560" s="14">
        <f ca="1">SUM(CD560,CE560,CF560)</f>
        <v>311.64760000000001</v>
      </c>
      <c r="CJ560" s="14">
        <f>SUM(DI560*0.0052)</f>
        <v>380.12</v>
      </c>
      <c r="CK560" s="14">
        <f>SUM(CJ560*0.1)</f>
        <v>38.012</v>
      </c>
      <c r="CL560" s="14">
        <f ca="1">SUM(CM560*CN560)</f>
        <v>17.422166666666659</v>
      </c>
      <c r="CM560" s="17">
        <f>SUM((CJ560+CK560)*0.00833333333333333)</f>
        <v>3.4844333333333317</v>
      </c>
      <c r="CN560" s="23">
        <f ca="1">MONTH(TODAY())+1</f>
        <v>5</v>
      </c>
      <c r="CO560" s="14">
        <f ca="1">SUM(CJ560,CK560,CL560)</f>
        <v>435.55416666666667</v>
      </c>
      <c r="CP560" s="14">
        <f>SUM(BL560, BR560,BX560,CD560,CJ560)</f>
        <v>628.28</v>
      </c>
      <c r="CQ560" s="14">
        <f>SUM(BM560, BS560,BY560,CE560,CK560)</f>
        <v>62.828000000000003</v>
      </c>
      <c r="CR560" s="14">
        <f ca="1">SUM(BN560, BT560,BZ560,CF560,CL560)</f>
        <v>56.093766666666639</v>
      </c>
      <c r="CS560" s="14">
        <f ca="1">SUM(CP560:CR560)</f>
        <v>747.20176666666657</v>
      </c>
      <c r="CT560" s="47">
        <f ca="1">SUM(CS560/DI560)</f>
        <v>1.0221638394892839E-2</v>
      </c>
      <c r="CU560" s="14">
        <f>19.5+19.5+195</f>
        <v>234</v>
      </c>
      <c r="CV560" s="32">
        <f>COUNTIF(DB560, "*")+COUNTIF(AO560, "*")+COUNTIF(AJ560, "*")+COUNTIF(AA560, "*")+COUNTIF(DY560, "*")+COUNTIF(EE560, "*")+COUNTIF(EK560, "*")+COUNTIF(EO560, "*")+COUNTIF(EV560, "*")+COUNTIF(FC560, "*")+COUNTIF(FJ560, "*")+COUNTIF(FU560, "*")+COUNTIF(GF560, "*")+COUNTIF(GN560, "*")+COUNTIF(GV560, "*")+COUNTIF(HD560, "*")+COUNTIF(HL560, "*")</f>
        <v>2</v>
      </c>
      <c r="CW560" s="14">
        <f>CV560*0.5+CV560*6.66</f>
        <v>14.32</v>
      </c>
      <c r="CX560" s="4"/>
      <c r="CY560" s="14">
        <f ca="1">SUM(CS560,CU560,DE560, CX560, CW560,FG560)</f>
        <v>995.52176666666662</v>
      </c>
      <c r="CZ560" s="4"/>
      <c r="DE560" s="14">
        <f>SUM(CZ560:DD560)</f>
        <v>0</v>
      </c>
      <c r="DF560" s="24" t="s">
        <v>2773</v>
      </c>
      <c r="DG560" s="4">
        <v>14000</v>
      </c>
      <c r="DH560" s="4">
        <v>59100</v>
      </c>
      <c r="DI560" s="25">
        <f>SUM(DG560+DH560)</f>
        <v>73100</v>
      </c>
      <c r="DJ560" s="35">
        <v>0.52</v>
      </c>
      <c r="DK560" t="s">
        <v>3542</v>
      </c>
      <c r="DL560" t="s">
        <v>3543</v>
      </c>
      <c r="IC560" s="4"/>
    </row>
    <row r="561" spans="1:263" ht="15" customHeight="1">
      <c r="A561" s="19">
        <v>102019018</v>
      </c>
      <c r="B561" s="14" t="s">
        <v>568</v>
      </c>
      <c r="C561" s="20"/>
      <c r="D561" s="20"/>
      <c r="E561" s="20" t="s">
        <v>258</v>
      </c>
      <c r="F561" s="24"/>
      <c r="G561" s="19"/>
      <c r="H561" s="18"/>
      <c r="I561" s="18"/>
      <c r="J561" s="18"/>
      <c r="K561" s="18" t="s">
        <v>569</v>
      </c>
      <c r="L561" s="18"/>
      <c r="M561" s="18"/>
      <c r="N561" s="18"/>
      <c r="O561" s="13"/>
      <c r="P561" s="18"/>
      <c r="Q561" s="18"/>
      <c r="R561" s="18"/>
      <c r="S561" s="18"/>
      <c r="T561" s="13"/>
      <c r="U561" s="18"/>
      <c r="V561" s="18"/>
      <c r="W561" s="18"/>
      <c r="X561" s="18"/>
      <c r="Y561" s="18"/>
      <c r="Z561" s="18"/>
      <c r="AA561" s="18"/>
      <c r="AB561" s="18"/>
      <c r="AC561" s="18"/>
      <c r="AD561" s="18"/>
      <c r="AE561" s="18"/>
      <c r="AF561" s="18"/>
      <c r="AG561" s="231"/>
      <c r="AH561" s="18"/>
      <c r="AI561" s="18"/>
      <c r="AJ561" s="14"/>
      <c r="AK561" s="14"/>
      <c r="AL561" s="18"/>
      <c r="AM561" s="24"/>
      <c r="AN561" s="24"/>
      <c r="AO561" s="14"/>
      <c r="AP561" s="20"/>
      <c r="AQ561" s="24"/>
      <c r="AR561" s="24"/>
      <c r="AS561" s="20"/>
      <c r="AT561" s="20"/>
      <c r="AU561" s="13"/>
      <c r="AV561" s="13"/>
      <c r="AW561" s="13"/>
      <c r="AX561" s="19"/>
      <c r="AY561" s="19"/>
      <c r="AZ561" s="48"/>
      <c r="BA561" s="19"/>
      <c r="BB561" s="19"/>
      <c r="BC561" s="19"/>
      <c r="BD561" s="19"/>
      <c r="BE561" s="19"/>
      <c r="BF561" s="19"/>
      <c r="BG561" s="20"/>
      <c r="BH561" s="22"/>
      <c r="BI561" s="22"/>
      <c r="BJ561" s="14"/>
      <c r="BK561" s="14"/>
      <c r="BL561" s="14"/>
      <c r="BM561" s="17"/>
      <c r="BN561" s="23"/>
      <c r="BO561" s="14"/>
      <c r="BP561" s="14"/>
      <c r="BQ561" s="14"/>
      <c r="BR561" s="14"/>
      <c r="BS561" s="17"/>
      <c r="BT561" s="23"/>
      <c r="BU561" s="14"/>
      <c r="BV561" s="14"/>
      <c r="BW561" s="14"/>
      <c r="BX561" s="14"/>
      <c r="BY561" s="17"/>
      <c r="BZ561" s="23"/>
      <c r="CA561" s="14"/>
      <c r="CB561" s="14"/>
      <c r="CC561" s="14"/>
      <c r="CD561" s="14"/>
      <c r="CE561" s="17"/>
      <c r="CF561" s="23"/>
      <c r="CG561" s="14"/>
      <c r="CH561" s="14"/>
      <c r="CI561" s="14"/>
      <c r="CJ561" s="14"/>
      <c r="CK561" s="17"/>
      <c r="CL561" s="23"/>
      <c r="CM561" s="14"/>
      <c r="CN561" s="14"/>
      <c r="CO561" s="14"/>
      <c r="CP561" s="14"/>
      <c r="CQ561" s="17"/>
      <c r="CR561" s="23"/>
      <c r="CS561" s="14"/>
      <c r="CT561" s="14"/>
      <c r="CU561" s="14"/>
      <c r="CV561" s="14"/>
      <c r="CW561" s="17"/>
      <c r="CX561" s="23"/>
      <c r="CY561" s="14"/>
      <c r="CZ561" s="14"/>
      <c r="DA561" s="14"/>
      <c r="DB561" s="14"/>
      <c r="DC561" s="14"/>
      <c r="DD561" s="14"/>
      <c r="DE561" s="47"/>
      <c r="DF561" s="24"/>
      <c r="DG561" s="14"/>
      <c r="DH561" s="32"/>
      <c r="DI561" s="14"/>
      <c r="DJ561" s="14"/>
      <c r="DK561" s="14"/>
      <c r="DL561" s="14"/>
      <c r="DM561" s="14"/>
      <c r="DN561" s="14"/>
      <c r="DO561" s="23"/>
      <c r="DP561" s="25"/>
      <c r="DQ561" s="14"/>
      <c r="DR561" s="25"/>
      <c r="DS561" s="25"/>
      <c r="DT561" s="25"/>
      <c r="DU561" s="36"/>
      <c r="DV561" s="18"/>
      <c r="DW561" s="18"/>
      <c r="DX561" s="18"/>
      <c r="DY561" s="18"/>
      <c r="DZ561" s="18"/>
      <c r="EA561" s="18"/>
      <c r="EB561" s="18"/>
      <c r="EC561" s="18"/>
      <c r="ED561" s="30"/>
      <c r="EE561" s="18"/>
      <c r="EF561" s="18"/>
      <c r="EG561" s="18"/>
      <c r="EH561" s="18"/>
      <c r="EI561" s="18"/>
      <c r="EJ561" s="30"/>
      <c r="EK561" s="30"/>
      <c r="EL561" s="14"/>
      <c r="EM561" s="14"/>
      <c r="EN561" s="14"/>
      <c r="EO561" s="14"/>
      <c r="EP561" s="14"/>
      <c r="EQ561" s="14"/>
      <c r="ER561" s="14"/>
      <c r="ES561" s="14"/>
      <c r="ET561" s="14"/>
      <c r="EU561" s="14"/>
      <c r="EV561" s="14"/>
      <c r="EW561" s="14"/>
      <c r="EX561" s="14"/>
      <c r="EY561" s="14"/>
      <c r="EZ561" s="14"/>
      <c r="FA561" s="18"/>
      <c r="FB561" s="18"/>
      <c r="FC561" s="18"/>
      <c r="FD561" s="27"/>
      <c r="FE561" s="18"/>
      <c r="FF561" s="18"/>
      <c r="FG561" s="18"/>
      <c r="FH561" s="18"/>
      <c r="FI561" s="18"/>
      <c r="FJ561" s="18"/>
      <c r="FK561" s="18"/>
      <c r="FL561" s="18"/>
      <c r="FM561" s="27"/>
      <c r="FN561" s="18"/>
      <c r="FO561" s="18"/>
      <c r="FP561" s="18"/>
      <c r="FQ561" s="18"/>
      <c r="FR561" s="18"/>
      <c r="FS561" s="14"/>
      <c r="FT561" s="18"/>
      <c r="FU561" s="18"/>
      <c r="FV561" s="18"/>
      <c r="FW561" s="18"/>
      <c r="FX561" s="28"/>
      <c r="FY561" s="18"/>
      <c r="FZ561" s="18"/>
      <c r="GA561" s="18"/>
      <c r="GB561" s="18"/>
      <c r="GC561" s="18"/>
      <c r="GD561" s="18"/>
      <c r="GE561" s="18"/>
      <c r="GF561" s="18"/>
      <c r="GG561" s="18"/>
      <c r="GH561" s="28"/>
      <c r="GI561" s="18"/>
      <c r="GJ561" s="18"/>
      <c r="GK561" s="18"/>
      <c r="GL561" s="18"/>
      <c r="GM561" s="18"/>
      <c r="GN561" s="18"/>
      <c r="GO561" s="18"/>
      <c r="GP561" s="18"/>
      <c r="GQ561" s="18"/>
      <c r="GR561" s="18"/>
      <c r="GS561" s="18"/>
      <c r="GT561" s="18"/>
      <c r="GU561" s="18"/>
      <c r="GV561" s="18"/>
      <c r="GW561" s="27"/>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27"/>
      <c r="IE561" s="14"/>
      <c r="IF561" s="14"/>
      <c r="IG561" s="27"/>
      <c r="IH561" s="18"/>
      <c r="II561" s="18"/>
      <c r="IJ561" s="18"/>
      <c r="IK561" s="18"/>
      <c r="IL561" s="9"/>
      <c r="IN561" s="18" t="s">
        <v>1410</v>
      </c>
      <c r="IO561" s="18" t="s">
        <v>846</v>
      </c>
      <c r="IP561" s="18" t="s">
        <v>386</v>
      </c>
      <c r="IQ561" s="18"/>
      <c r="IR561" s="18"/>
      <c r="IS561" s="14">
        <v>32</v>
      </c>
      <c r="IT561" s="14"/>
      <c r="IU561" s="27">
        <v>43549</v>
      </c>
      <c r="IV561" s="27">
        <v>43565</v>
      </c>
      <c r="IW561" s="27">
        <v>43699</v>
      </c>
      <c r="IX561" s="27">
        <v>43711</v>
      </c>
      <c r="IY561" s="18"/>
    </row>
    <row r="562" spans="1:263" ht="15" customHeight="1">
      <c r="A562" s="2">
        <v>102020077</v>
      </c>
      <c r="B562" t="s">
        <v>1879</v>
      </c>
      <c r="D562" s="1"/>
      <c r="G562">
        <v>140002039</v>
      </c>
      <c r="J562" t="s">
        <v>311</v>
      </c>
      <c r="K562" t="s">
        <v>1880</v>
      </c>
      <c r="L562" t="s">
        <v>944</v>
      </c>
      <c r="M562" t="s">
        <v>326</v>
      </c>
      <c r="AG562" s="248"/>
      <c r="AY562" s="1"/>
      <c r="AZ562" s="1"/>
      <c r="BG562" s="5"/>
      <c r="BH562" s="16"/>
      <c r="BI562" s="16"/>
      <c r="BJ562" s="4"/>
      <c r="BK562" s="4"/>
      <c r="BL562" s="4"/>
      <c r="BM562" s="6"/>
      <c r="BN562" s="7"/>
      <c r="BO562" s="4"/>
      <c r="BP562" s="4"/>
      <c r="BQ562" s="4"/>
      <c r="BR562" s="4"/>
      <c r="BS562" s="6"/>
      <c r="BT562" s="7"/>
      <c r="BU562" s="4"/>
      <c r="BV562" s="4"/>
      <c r="BW562" s="4"/>
      <c r="BX562" s="4"/>
      <c r="BY562" s="6"/>
      <c r="BZ562" s="7"/>
      <c r="CA562" s="4"/>
      <c r="CB562" s="4"/>
      <c r="CC562" s="4"/>
      <c r="CD562" s="4"/>
      <c r="CE562" s="6"/>
      <c r="CF562" s="7"/>
      <c r="CG562" s="4"/>
      <c r="CH562" s="4"/>
      <c r="CI562" s="4"/>
      <c r="CJ562" s="4"/>
      <c r="CK562" s="6"/>
      <c r="CL562" s="7"/>
      <c r="CM562" s="4"/>
      <c r="CN562" s="4"/>
      <c r="CO562" s="4"/>
      <c r="CP562" s="4"/>
      <c r="CQ562" s="6"/>
      <c r="CR562" s="7"/>
      <c r="CS562" s="4"/>
      <c r="CT562" s="4"/>
      <c r="CU562" s="4"/>
      <c r="CV562" s="4"/>
      <c r="CW562" s="6"/>
      <c r="CX562" s="7"/>
      <c r="CY562" s="4"/>
      <c r="CZ562" s="4"/>
      <c r="DA562" s="4"/>
      <c r="DB562" s="4"/>
      <c r="DC562" s="4"/>
      <c r="DD562" s="3"/>
      <c r="DE562" s="4"/>
      <c r="DF562" s="234"/>
      <c r="DG562" s="4"/>
      <c r="DH562" s="4"/>
      <c r="DI562" s="4"/>
      <c r="DJ562" s="4"/>
      <c r="DK562" s="4"/>
      <c r="DL562" s="4"/>
      <c r="DM562" s="7"/>
      <c r="DN562" s="8"/>
      <c r="DO562" s="4"/>
      <c r="DP562" s="8"/>
      <c r="DQ562" s="8"/>
      <c r="DR562" s="8"/>
      <c r="DS562" s="35"/>
      <c r="IL562" s="18"/>
      <c r="IM562" s="18"/>
      <c r="IN562" s="18"/>
      <c r="IO562" s="18"/>
    </row>
    <row r="563" spans="1:263" ht="15" customHeight="1">
      <c r="A563" s="19">
        <v>102022097</v>
      </c>
      <c r="B563" t="s">
        <v>2839</v>
      </c>
      <c r="D563" s="1">
        <v>2025</v>
      </c>
      <c r="J563" t="s">
        <v>311</v>
      </c>
      <c r="K563" t="s">
        <v>1186</v>
      </c>
      <c r="L563" t="s">
        <v>3083</v>
      </c>
      <c r="AG563" s="248"/>
      <c r="AJ563" t="s">
        <v>3094</v>
      </c>
      <c r="AK563" t="s">
        <v>258</v>
      </c>
      <c r="AL563" t="s">
        <v>386</v>
      </c>
      <c r="AM563" s="3" t="s">
        <v>260</v>
      </c>
      <c r="AO563" t="s">
        <v>773</v>
      </c>
      <c r="AP563" s="1" t="s">
        <v>258</v>
      </c>
      <c r="AQ563" s="3" t="s">
        <v>386</v>
      </c>
      <c r="AR563" s="3" t="s">
        <v>260</v>
      </c>
      <c r="AS563" s="1"/>
      <c r="AT563" s="1"/>
      <c r="AU563" s="1"/>
      <c r="AV563" s="1"/>
      <c r="AW563" s="1"/>
      <c r="AX563" s="2"/>
      <c r="AY563" s="116"/>
      <c r="AZ563" s="115"/>
      <c r="BA563" s="2"/>
      <c r="BB563" s="2"/>
      <c r="BC563" s="2"/>
      <c r="BD563" s="2"/>
      <c r="BE563" s="2"/>
      <c r="BF563" s="2"/>
      <c r="BG563" s="20"/>
      <c r="BH563" s="22"/>
      <c r="BI563" s="22"/>
      <c r="BJ563" s="14"/>
      <c r="BK563" s="22"/>
      <c r="BL563" s="14"/>
      <c r="BM563" s="14"/>
      <c r="BN563" s="14"/>
      <c r="BO563" s="17"/>
      <c r="BP563" s="23"/>
      <c r="BQ563" s="14"/>
      <c r="BR563" s="14"/>
      <c r="BS563" s="14"/>
      <c r="BT563" s="14"/>
      <c r="BU563" s="17"/>
      <c r="BV563" s="23"/>
      <c r="BW563" s="14"/>
      <c r="BX563" s="14"/>
      <c r="BY563" s="14"/>
      <c r="BZ563" s="14"/>
      <c r="CA563" s="17"/>
      <c r="CB563" s="23"/>
      <c r="CC563" s="14"/>
      <c r="CD563" s="14"/>
      <c r="CE563" s="14"/>
      <c r="CF563" s="14"/>
      <c r="CG563" s="17"/>
      <c r="CH563" s="23"/>
      <c r="CI563" s="14"/>
      <c r="CJ563" s="14"/>
      <c r="CK563" s="14"/>
      <c r="CL563" s="14"/>
      <c r="CM563" s="17"/>
      <c r="CN563" s="23"/>
      <c r="CO563" s="14"/>
      <c r="CP563" s="14"/>
      <c r="CQ563" s="14"/>
      <c r="CR563" s="14"/>
      <c r="CS563" s="14"/>
      <c r="CT563" s="47"/>
      <c r="CU563" s="14"/>
      <c r="CV563" s="32"/>
      <c r="CW563" s="14"/>
      <c r="CX563" s="4"/>
      <c r="CY563" s="14"/>
      <c r="CZ563" s="4"/>
      <c r="DE563" s="14"/>
      <c r="DF563" s="24"/>
      <c r="DG563" s="4"/>
      <c r="DH563" s="4"/>
      <c r="DI563" s="25"/>
      <c r="DJ563" s="35">
        <v>1</v>
      </c>
      <c r="IC563" s="4"/>
      <c r="IZ563" s="18"/>
    </row>
    <row r="564" spans="1:263" ht="15" customHeight="1">
      <c r="A564" s="2">
        <v>102017095</v>
      </c>
      <c r="B564" t="s">
        <v>1512</v>
      </c>
      <c r="C564" s="1"/>
      <c r="D564" s="1"/>
      <c r="F564" s="2"/>
      <c r="G564">
        <v>170001157</v>
      </c>
      <c r="J564" t="s">
        <v>305</v>
      </c>
      <c r="K564" t="s">
        <v>1050</v>
      </c>
      <c r="L564" t="s">
        <v>1513</v>
      </c>
      <c r="M564" t="s">
        <v>396</v>
      </c>
      <c r="O564" s="1"/>
      <c r="P564" t="s">
        <v>1050</v>
      </c>
      <c r="Q564" t="s">
        <v>1514</v>
      </c>
      <c r="R564" t="s">
        <v>537</v>
      </c>
      <c r="T564" s="1"/>
      <c r="AD564" s="1"/>
      <c r="AI564" s="11"/>
      <c r="AJ564" s="11"/>
      <c r="AK564" s="4"/>
      <c r="AN564" s="245"/>
      <c r="AO564" s="18"/>
      <c r="AP564" s="5"/>
      <c r="AQ564" s="34"/>
      <c r="AR564" s="245"/>
      <c r="AS564" s="13"/>
      <c r="AT564" s="1"/>
      <c r="AU564" s="1"/>
      <c r="AV564" s="1"/>
      <c r="AW564" s="15"/>
      <c r="AX564" s="15"/>
      <c r="AY564" s="15"/>
      <c r="AZ564" s="15"/>
      <c r="BA564" s="1"/>
      <c r="BB564" s="15"/>
      <c r="BC564" s="15"/>
      <c r="BD564" s="15"/>
      <c r="BE564" s="21"/>
      <c r="BF564" s="5"/>
      <c r="BG564" s="16"/>
      <c r="BH564" s="16"/>
      <c r="BI564" s="4"/>
      <c r="BJ564" s="4"/>
      <c r="BK564" s="4"/>
      <c r="BL564" s="6"/>
      <c r="BM564" s="7"/>
      <c r="BN564" s="4"/>
      <c r="BP564" s="4"/>
      <c r="BQ564" s="4"/>
      <c r="BR564" s="6"/>
      <c r="BS564" s="7"/>
      <c r="BT564" s="4"/>
      <c r="BU564" s="4"/>
      <c r="BV564" s="4"/>
      <c r="BW564" s="4"/>
      <c r="BX564" s="6"/>
      <c r="BY564" s="7"/>
      <c r="BZ564" s="4"/>
      <c r="CA564" s="4"/>
      <c r="CB564" s="4"/>
      <c r="CC564" s="4"/>
      <c r="CD564" s="6"/>
      <c r="CE564" s="7"/>
      <c r="CF564" s="4"/>
      <c r="CG564" s="4"/>
      <c r="CH564" s="4"/>
      <c r="CI564" s="4"/>
      <c r="CJ564" s="6"/>
      <c r="CK564" s="7"/>
      <c r="CL564" s="4"/>
      <c r="CM564" s="4"/>
      <c r="CN564" s="4"/>
      <c r="CO564" s="4"/>
      <c r="CP564" s="6"/>
      <c r="CQ564" s="7"/>
      <c r="CR564" s="4"/>
      <c r="CS564" s="4"/>
      <c r="CT564" s="4"/>
      <c r="CU564" s="4"/>
      <c r="CV564" s="6"/>
      <c r="CW564" s="7"/>
      <c r="CX564" s="4"/>
      <c r="CY564" s="4"/>
      <c r="CZ564" s="4"/>
      <c r="DA564" s="4"/>
      <c r="DB564" s="6"/>
      <c r="DC564" s="7"/>
      <c r="DD564" s="4"/>
      <c r="DE564" s="4"/>
      <c r="DF564" s="4"/>
      <c r="DG564" s="14"/>
      <c r="DH564" s="14"/>
      <c r="DI564" s="4"/>
      <c r="DJ564" s="3"/>
      <c r="DK564" s="4"/>
      <c r="DL564" s="234"/>
      <c r="DM564" s="4"/>
      <c r="DN564" s="4"/>
      <c r="DO564" s="4"/>
      <c r="DP564" s="4"/>
      <c r="DQ564" s="7"/>
      <c r="DR564" s="4"/>
      <c r="DS564" s="4"/>
      <c r="DT564" s="8"/>
      <c r="DU564" s="4"/>
      <c r="DV564" s="8"/>
      <c r="DW564" s="4"/>
      <c r="DX564" s="4"/>
      <c r="DY564" s="7"/>
      <c r="FH564" s="9"/>
      <c r="FI564" s="10"/>
      <c r="FO564" s="9"/>
      <c r="FP564" s="10"/>
      <c r="FQ564" s="9"/>
      <c r="FW564" s="4"/>
      <c r="GD564" s="9"/>
      <c r="GL564" s="18"/>
      <c r="GO564" s="9"/>
      <c r="GW564" s="18"/>
      <c r="GZ564" s="9"/>
      <c r="HH564" s="9"/>
      <c r="HP564" s="9"/>
      <c r="HX564" s="9"/>
      <c r="IF564" s="9"/>
      <c r="II564" s="4"/>
      <c r="IJ564" s="4"/>
      <c r="IK564" s="9"/>
    </row>
    <row r="565" spans="1:263" ht="15" customHeight="1">
      <c r="A565" s="2">
        <v>102018100</v>
      </c>
      <c r="B565" s="4" t="s">
        <v>1296</v>
      </c>
      <c r="C565" s="4"/>
      <c r="D565" s="3"/>
      <c r="E565" s="3"/>
      <c r="F565" s="3"/>
      <c r="G565" s="3"/>
      <c r="H565" s="3"/>
      <c r="J565" t="s">
        <v>311</v>
      </c>
      <c r="K565" t="s">
        <v>1078</v>
      </c>
      <c r="L565" t="s">
        <v>1079</v>
      </c>
      <c r="M565" t="s">
        <v>401</v>
      </c>
      <c r="N565" t="s">
        <v>470</v>
      </c>
      <c r="O565" s="1"/>
      <c r="T565" s="1"/>
      <c r="AF565" s="3"/>
      <c r="AJ565" s="4"/>
      <c r="AK565" s="4"/>
      <c r="AO565" s="4"/>
      <c r="AP565" s="5"/>
      <c r="AS565" s="5"/>
      <c r="AT565" s="5"/>
      <c r="AU565" s="1"/>
      <c r="AV565" s="1"/>
      <c r="AW565" s="1"/>
      <c r="AX565" s="1"/>
      <c r="AY565" s="1"/>
      <c r="AZ565" s="1"/>
      <c r="BA565" s="1"/>
      <c r="BB565" s="1"/>
      <c r="BC565" s="1"/>
      <c r="BD565" s="1"/>
      <c r="BE565" s="1"/>
      <c r="BF565" s="1"/>
      <c r="BG565" s="5"/>
      <c r="BH565" s="16"/>
      <c r="BI565" s="16"/>
      <c r="BK565" s="4"/>
      <c r="BL565" s="4"/>
      <c r="BM565" s="6"/>
      <c r="BN565" s="7"/>
      <c r="BO565" s="4"/>
      <c r="BP565" s="4"/>
      <c r="BQ565" s="4"/>
      <c r="BR565" s="4"/>
      <c r="BS565" s="6"/>
      <c r="BT565" s="7"/>
      <c r="BU565" s="4"/>
      <c r="BV565" s="4"/>
      <c r="BW565" s="4"/>
      <c r="BX565" s="4"/>
      <c r="BY565" s="6"/>
      <c r="BZ565" s="7"/>
      <c r="CA565" s="4"/>
      <c r="CB565" s="4"/>
      <c r="CC565" s="4"/>
      <c r="CD565" s="4"/>
      <c r="CE565" s="6"/>
      <c r="CF565" s="7"/>
      <c r="CG565" s="4"/>
      <c r="CH565" s="4"/>
      <c r="CI565" s="4"/>
      <c r="CJ565" s="4"/>
      <c r="CK565" s="6"/>
      <c r="CL565" s="7"/>
      <c r="CM565" s="4"/>
      <c r="CN565" s="4"/>
      <c r="CO565" s="4"/>
      <c r="CP565" s="4"/>
      <c r="CQ565" s="6"/>
      <c r="CR565" s="7"/>
      <c r="CS565" s="4"/>
      <c r="CT565" s="4"/>
      <c r="CU565" s="4"/>
      <c r="CV565" s="4"/>
      <c r="CW565" s="6"/>
      <c r="CX565" s="7"/>
      <c r="CY565" s="4"/>
      <c r="CZ565" s="4"/>
      <c r="DA565" s="4"/>
      <c r="DB565" s="4"/>
      <c r="DC565" s="6"/>
      <c r="DD565" s="7"/>
      <c r="DE565" s="4"/>
      <c r="DF565" s="4"/>
      <c r="DG565" s="14"/>
      <c r="DH565" s="14"/>
      <c r="DI565" s="4"/>
      <c r="DJ565" s="3"/>
      <c r="DK565" s="4"/>
      <c r="DL565" s="234"/>
      <c r="DM565" s="4"/>
      <c r="DN565" s="4"/>
      <c r="DO565" s="4"/>
      <c r="DP565" s="4"/>
      <c r="DQ565" s="4"/>
      <c r="DR565" s="4"/>
      <c r="DS565" s="7"/>
      <c r="DT565" s="4"/>
      <c r="DU565" s="4"/>
      <c r="DV565" s="8"/>
      <c r="DW565" s="4"/>
      <c r="DX565" s="4"/>
      <c r="EG565" s="11"/>
      <c r="EM565" s="11"/>
      <c r="EN565" s="11"/>
      <c r="EO565" s="4"/>
      <c r="EP565" s="4"/>
      <c r="EQ565" s="4"/>
      <c r="ER565" s="4"/>
      <c r="ES565" s="4"/>
      <c r="ET565" s="4"/>
      <c r="EU565" s="4"/>
      <c r="EV565" s="4"/>
      <c r="EW565" s="4"/>
      <c r="EX565" s="4"/>
      <c r="EY565" s="4"/>
      <c r="EZ565" s="4"/>
      <c r="FA565" s="4"/>
      <c r="FB565" s="4"/>
      <c r="FC565" s="4"/>
      <c r="FG565" s="9"/>
      <c r="FP565" s="9"/>
      <c r="FZ565" s="10"/>
      <c r="GJ565" s="10"/>
      <c r="GY565" s="9"/>
      <c r="IK565" s="4"/>
      <c r="IL565" s="18"/>
      <c r="IM565" s="18"/>
      <c r="IN565" s="14"/>
      <c r="IO565" s="14"/>
      <c r="IP565" s="27">
        <v>43661</v>
      </c>
      <c r="IQ565" s="27">
        <v>43682</v>
      </c>
      <c r="IR565" s="18"/>
      <c r="IS565" s="18"/>
      <c r="IT565" s="18"/>
      <c r="IU565" s="240"/>
      <c r="IV565" s="240"/>
      <c r="IZ565" s="18"/>
      <c r="JA565" s="18"/>
      <c r="JB565" s="18"/>
      <c r="JC565" s="18"/>
    </row>
    <row r="566" spans="1:263" ht="15" customHeight="1">
      <c r="A566" s="19">
        <v>102020035</v>
      </c>
      <c r="B566" s="18" t="s">
        <v>1633</v>
      </c>
      <c r="C566" s="18"/>
      <c r="D566" s="13"/>
      <c r="E566" s="18"/>
      <c r="F566" s="18"/>
      <c r="G566" s="18"/>
      <c r="H566" s="18"/>
      <c r="I566" s="18"/>
      <c r="J566" s="18" t="s">
        <v>311</v>
      </c>
      <c r="K566" s="18" t="s">
        <v>632</v>
      </c>
      <c r="L566" s="18" t="s">
        <v>574</v>
      </c>
      <c r="M566" s="18" t="s">
        <v>354</v>
      </c>
      <c r="N566" s="18" t="s">
        <v>341</v>
      </c>
      <c r="O566" s="18"/>
      <c r="P566" s="18"/>
      <c r="Q566" s="18"/>
      <c r="R566" s="18"/>
      <c r="S566" s="18"/>
      <c r="T566" s="18"/>
      <c r="U566" s="18"/>
      <c r="V566" s="18"/>
      <c r="W566" s="18"/>
      <c r="X566" s="18"/>
      <c r="Y566" s="18"/>
      <c r="Z566" s="18"/>
      <c r="AA566" s="18"/>
      <c r="AB566" s="18"/>
      <c r="AC566" s="18"/>
      <c r="AD566" s="18"/>
      <c r="AE566" s="18"/>
      <c r="AF566" s="18"/>
      <c r="AG566" s="231"/>
      <c r="AH566" s="18"/>
      <c r="AI566" s="18"/>
      <c r="AJ566" s="18"/>
      <c r="AK566" s="18"/>
      <c r="AL566" s="18"/>
      <c r="AM566" s="24"/>
      <c r="AN566" s="24"/>
      <c r="AO566" s="18"/>
      <c r="AP566" s="13"/>
      <c r="AQ566" s="24"/>
      <c r="AR566" s="24"/>
      <c r="AS566" s="18"/>
      <c r="AT566" s="18"/>
      <c r="AU566" s="18"/>
      <c r="AV566" s="18"/>
      <c r="AW566" s="18"/>
      <c r="AX566" s="19"/>
      <c r="AY566" s="48"/>
      <c r="AZ566" s="19"/>
      <c r="BA566" s="19"/>
      <c r="BB566" s="19"/>
      <c r="BC566" s="19"/>
      <c r="BD566" s="19"/>
      <c r="BE566" s="19"/>
      <c r="BF566" s="19"/>
      <c r="BG566" s="20"/>
      <c r="BH566" s="22"/>
      <c r="BI566" s="22"/>
      <c r="BJ566" s="14"/>
      <c r="BK566" s="14"/>
      <c r="BL566" s="14"/>
      <c r="BM566" s="17"/>
      <c r="BN566" s="23"/>
      <c r="BO566" s="14"/>
      <c r="BP566" s="14"/>
      <c r="BQ566" s="14"/>
      <c r="BR566" s="14"/>
      <c r="BS566" s="17"/>
      <c r="BT566" s="23"/>
      <c r="BU566" s="14"/>
      <c r="BV566" s="14"/>
      <c r="BW566" s="14"/>
      <c r="BX566" s="14"/>
      <c r="BY566" s="17"/>
      <c r="BZ566" s="23"/>
      <c r="CA566" s="14"/>
      <c r="CB566" s="14"/>
      <c r="CC566" s="14"/>
      <c r="CD566" s="14"/>
      <c r="CE566" s="17"/>
      <c r="CF566" s="23"/>
      <c r="CG566" s="14"/>
      <c r="CH566" s="14"/>
      <c r="CI566" s="14"/>
      <c r="CJ566" s="14"/>
      <c r="CK566" s="17"/>
      <c r="CL566" s="23"/>
      <c r="CM566" s="14"/>
      <c r="CN566" s="14"/>
      <c r="CO566" s="14"/>
      <c r="CP566" s="14"/>
      <c r="CQ566" s="17"/>
      <c r="CR566" s="23"/>
      <c r="CS566" s="14"/>
      <c r="CT566" s="14"/>
      <c r="CU566" s="14"/>
      <c r="CV566" s="14"/>
      <c r="CW566" s="17"/>
      <c r="CX566" s="23"/>
      <c r="CY566" s="14"/>
      <c r="CZ566" s="14"/>
      <c r="DA566" s="14"/>
      <c r="DB566" s="14"/>
      <c r="DC566" s="17"/>
      <c r="DD566" s="23"/>
      <c r="DE566" s="14"/>
      <c r="DF566" s="14"/>
      <c r="DG566" s="14"/>
      <c r="DH566" s="14"/>
      <c r="DI566" s="14"/>
      <c r="DJ566" s="47"/>
      <c r="DK566" s="14"/>
      <c r="DL566" s="32"/>
      <c r="DM566" s="14"/>
      <c r="DN566" s="14"/>
      <c r="DO566" s="14"/>
      <c r="DP566" s="14"/>
      <c r="DQ566" s="14"/>
      <c r="DR566" s="14"/>
      <c r="DS566" s="14"/>
      <c r="DT566" s="25"/>
      <c r="DU566" s="14"/>
      <c r="DV566" s="24"/>
      <c r="DW566" s="25"/>
      <c r="DX566" s="25"/>
      <c r="DY566" s="25"/>
      <c r="DZ566" s="36"/>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4"/>
      <c r="IM566" s="4"/>
      <c r="IS566" s="18"/>
      <c r="IT566" s="18"/>
      <c r="IU566" s="18"/>
      <c r="IV566" s="18"/>
      <c r="IW566" s="18"/>
      <c r="IX566" s="18"/>
      <c r="IY566" s="18"/>
    </row>
    <row r="567" spans="1:263" ht="15" customHeight="1">
      <c r="A567" s="19">
        <v>102020035</v>
      </c>
      <c r="B567" s="18" t="s">
        <v>1633</v>
      </c>
      <c r="D567" s="1"/>
      <c r="E567" t="s">
        <v>4943</v>
      </c>
      <c r="F567">
        <v>230003203</v>
      </c>
      <c r="G567" s="3"/>
      <c r="J567" s="18" t="s">
        <v>311</v>
      </c>
      <c r="K567" s="18" t="s">
        <v>632</v>
      </c>
      <c r="L567" s="18" t="s">
        <v>574</v>
      </c>
      <c r="M567" s="18" t="s">
        <v>354</v>
      </c>
      <c r="N567" s="18" t="s">
        <v>341</v>
      </c>
      <c r="O567" s="24"/>
      <c r="P567" s="18"/>
      <c r="Q567" s="18"/>
      <c r="R567" s="18"/>
      <c r="S567" s="18"/>
      <c r="AD567" t="s">
        <v>4970</v>
      </c>
      <c r="AE567" t="s">
        <v>796</v>
      </c>
      <c r="AF567" t="s">
        <v>4971</v>
      </c>
      <c r="AG567" s="43"/>
      <c r="AH567" s="31" t="s">
        <v>4972</v>
      </c>
      <c r="AJ567" s="18" t="s">
        <v>328</v>
      </c>
      <c r="AK567" s="18"/>
      <c r="AL567" s="18" t="s">
        <v>386</v>
      </c>
      <c r="AM567" s="18"/>
      <c r="AN567" s="18"/>
      <c r="AO567" s="18" t="s">
        <v>4903</v>
      </c>
      <c r="AP567" s="18" t="s">
        <v>258</v>
      </c>
      <c r="AQ567" s="18" t="s">
        <v>386</v>
      </c>
      <c r="AR567" s="18" t="s">
        <v>260</v>
      </c>
      <c r="AX567" s="1"/>
      <c r="AY567" s="1"/>
      <c r="AZ567" s="1" t="s">
        <v>258</v>
      </c>
      <c r="BA567" s="1" t="s">
        <v>258</v>
      </c>
      <c r="BB567" s="1" t="s">
        <v>258</v>
      </c>
      <c r="BC567" s="9">
        <v>45096</v>
      </c>
      <c r="BD567" s="115">
        <v>45060</v>
      </c>
      <c r="BE567" s="115">
        <v>45061</v>
      </c>
      <c r="BF567" s="70">
        <v>45156</v>
      </c>
      <c r="BG567" t="s">
        <v>4902</v>
      </c>
      <c r="BH567" s="9">
        <v>45149</v>
      </c>
      <c r="BI567" s="9">
        <v>45149</v>
      </c>
      <c r="BJ567" s="70">
        <v>45181</v>
      </c>
      <c r="BK567" s="2" t="s">
        <v>319</v>
      </c>
      <c r="BL567" s="20">
        <f ca="1">SUM(EB567)+220</f>
        <v>3149.86</v>
      </c>
      <c r="BM567" s="22">
        <f ca="1">PMT(10%/12,12,BL567,0,0)</f>
        <v>-276.92273655031806</v>
      </c>
      <c r="BN567" s="22">
        <f ca="1">SUM(BM567*-1)</f>
        <v>276.92273655031806</v>
      </c>
      <c r="BO567" s="14">
        <f>SUM(EJ567*0.0052)/12</f>
        <v>12.566666666666665</v>
      </c>
      <c r="BP567" s="22">
        <f ca="1">SUM(BN567+BO567)</f>
        <v>289.48940321698473</v>
      </c>
      <c r="BQ567" s="14"/>
      <c r="BR567" s="14">
        <f>SUM(BQ567*0.1)</f>
        <v>0</v>
      </c>
      <c r="BS567" s="14">
        <f ca="1">SUM(BT567*BU567)</f>
        <v>0</v>
      </c>
      <c r="BT567" s="17">
        <f>SUM((BQ567+BR567)*0.00833333333333333)</f>
        <v>0</v>
      </c>
      <c r="BU567" s="23">
        <f ca="1">MONTH(TODAY())+49</f>
        <v>53</v>
      </c>
      <c r="BV567" s="14">
        <f ca="1">SUM(BQ567,BR567,BS567)</f>
        <v>0</v>
      </c>
      <c r="BW567" s="14"/>
      <c r="BX567" s="14">
        <f>SUM(BW567*0.1)</f>
        <v>0</v>
      </c>
      <c r="BY567" s="14">
        <f ca="1">SUM(BZ567*CA567)</f>
        <v>0</v>
      </c>
      <c r="BZ567" s="17">
        <f>SUM((BW567+BX567)*0.00833333333333333)</f>
        <v>0</v>
      </c>
      <c r="CA567" s="23">
        <f ca="1">MONTH(TODAY())+37</f>
        <v>41</v>
      </c>
      <c r="CB567" s="14">
        <f ca="1">SUM(BW567,BX567,BY567)</f>
        <v>0</v>
      </c>
      <c r="CC567" s="14">
        <v>0</v>
      </c>
      <c r="CD567" s="14">
        <f>SUM(CC567*0.1)</f>
        <v>0</v>
      </c>
      <c r="CE567" s="14">
        <f ca="1">SUM(CF567*CG567)</f>
        <v>0</v>
      </c>
      <c r="CF567" s="17">
        <f>SUM((CC567+CD567)*0.00833333333333333)</f>
        <v>0</v>
      </c>
      <c r="CG567" s="23">
        <f ca="1">MONTH(TODAY())+25</f>
        <v>29</v>
      </c>
      <c r="CH567" s="14">
        <f ca="1">SUM(CC567,CD567,CE567)</f>
        <v>0</v>
      </c>
      <c r="CI567" s="14">
        <v>0</v>
      </c>
      <c r="CJ567" s="14">
        <f>SUM(CI567*0.1)</f>
        <v>0</v>
      </c>
      <c r="CK567" s="14">
        <f ca="1">SUM(CL567*CM567)</f>
        <v>0</v>
      </c>
      <c r="CL567" s="17">
        <f>SUM((CI567+CJ567)*0.00833333333333333)</f>
        <v>0</v>
      </c>
      <c r="CM567" s="23">
        <f ca="1">MONTH(TODAY())+13</f>
        <v>17</v>
      </c>
      <c r="CN567" s="14">
        <f ca="1">SUM(CI567,CJ567,CK567)</f>
        <v>0</v>
      </c>
      <c r="CO567" s="14">
        <v>0</v>
      </c>
      <c r="CP567" s="14">
        <f>SUM(CO567*0.1)</f>
        <v>0</v>
      </c>
      <c r="CQ567" s="14">
        <f ca="1">SUM(CR567*CS567)</f>
        <v>0</v>
      </c>
      <c r="CR567" s="17">
        <f>SUM((CO567+CP567)*0.00833333333333333)</f>
        <v>0</v>
      </c>
      <c r="CS567" s="23">
        <f ca="1">MONTH(TODAY())+5</f>
        <v>9</v>
      </c>
      <c r="CT567" s="23">
        <f ca="1">SUM(CO567,CP567,CQ567)</f>
        <v>0</v>
      </c>
      <c r="CU567" s="14">
        <v>0</v>
      </c>
      <c r="CV567" s="14">
        <f>SUM(CU567*0.1)</f>
        <v>0</v>
      </c>
      <c r="CW567" s="14">
        <f ca="1">SUM(CX567*CY567)</f>
        <v>0</v>
      </c>
      <c r="CX567" s="17">
        <f>SUM((CU567+CV567)*0.00833333333333333)</f>
        <v>0</v>
      </c>
      <c r="CY567" s="23">
        <f ca="1">MONTH(TODAY())+1</f>
        <v>5</v>
      </c>
      <c r="CZ567" s="23">
        <f ca="1">SUM(CU567,CV567,CW567)</f>
        <v>0</v>
      </c>
      <c r="DA567" s="14">
        <v>0</v>
      </c>
      <c r="DB567" s="14">
        <f>SUM(DA567*0.1)</f>
        <v>0</v>
      </c>
      <c r="DC567" s="14">
        <f ca="1">SUM(DD567*DE567)</f>
        <v>0</v>
      </c>
      <c r="DD567" s="17">
        <f>SUM((DA567+DB567)*0.00833333333333333)</f>
        <v>0</v>
      </c>
      <c r="DE567" s="23">
        <f ca="1">MONTH(TODAY())-5</f>
        <v>-1</v>
      </c>
      <c r="DF567" s="23">
        <f ca="1">SUM(DA567,DB567,DC567)</f>
        <v>0</v>
      </c>
      <c r="DG567" s="14">
        <f>SUM(EJ567*0.0045)/2</f>
        <v>65.25</v>
      </c>
      <c r="DH567" s="14">
        <v>0</v>
      </c>
      <c r="DI567" s="14">
        <v>0</v>
      </c>
      <c r="DJ567" s="17">
        <f>SUM((DG567+DH567)*0.00833333333333333)</f>
        <v>0.54374999999999973</v>
      </c>
      <c r="DK567" s="23">
        <f ca="1">MONTH(TODAY())+1</f>
        <v>5</v>
      </c>
      <c r="DL567" s="14">
        <f>SUM(DG567,DH567,DI567)</f>
        <v>65.25</v>
      </c>
      <c r="DM567" s="14">
        <f>SUM( BQ567, BW567, CC567, CI567, CO567,CU567,DA567,DG567)</f>
        <v>65.25</v>
      </c>
      <c r="DN567" s="14">
        <f>SUM(BR567,BX567,CD567,CJ567, CP567,CV567,DB567,DH567)</f>
        <v>0</v>
      </c>
      <c r="DO567" s="14">
        <f ca="1">SUM(BS567,BY567,CE567,CK567, CQ567,CW567,DC567,DI567)</f>
        <v>0</v>
      </c>
      <c r="DP567" s="25">
        <f ca="1">SUM(DM567:DO567)</f>
        <v>65.25</v>
      </c>
      <c r="DQ567" s="47">
        <f ca="1">SUM(DP567/EG567)</f>
        <v>2.8124999999999999E-3</v>
      </c>
      <c r="DR567" s="14">
        <f>19.5+10+200+200+40+40+40+40+40+40+80+100+40+40+40</f>
        <v>969.5</v>
      </c>
      <c r="DS567" s="32">
        <f>COUNTIF(DX567, "*")+COUNTIF(AO567, "*")+COUNTIF(AJ567, "*")+COUNTIF(AA567, "*")+COUNTIF(EY567, "*")+COUNTIF(FE567, "*")+COUNTIF(FK567, "*")+COUNTIF(FO567, "*")+COUNTIF(FV567, "*")+COUNTIF(AT567, "*")+COUNTIF(GE567, "*")+COUNTIF(GP567, "*")+COUNTIF(HA567, "*")+COUNTIF(HI567, "*")+COUNTIF(HQ567, "*")+COUNTIF(HY567, "*")</f>
        <v>4</v>
      </c>
      <c r="DT567" s="14">
        <f>1.2+29.8+28+28</f>
        <v>87</v>
      </c>
      <c r="DU567" s="4">
        <v>250</v>
      </c>
      <c r="DV567" s="4">
        <f>36.76+414.6</f>
        <v>451.36</v>
      </c>
      <c r="DW567" s="4">
        <f>93.75+267.5</f>
        <v>361.25</v>
      </c>
      <c r="DX567" s="4">
        <v>185.5</v>
      </c>
      <c r="DZ567" s="4">
        <v>560</v>
      </c>
      <c r="EA567" s="14">
        <f>SUM(DV567:DZ567)</f>
        <v>1558.1100000000001</v>
      </c>
      <c r="EB567" s="14">
        <f ca="1">SUM(DP567,DR567,EA567, DU567, DT567,GB567)</f>
        <v>2929.86</v>
      </c>
      <c r="EC567" s="24" t="s">
        <v>4944</v>
      </c>
      <c r="ED567" s="23">
        <v>3</v>
      </c>
      <c r="EE567" s="14">
        <v>23200</v>
      </c>
      <c r="EF567" s="14">
        <v>0</v>
      </c>
      <c r="EG567" s="14">
        <v>23200</v>
      </c>
      <c r="EH567" s="14">
        <v>29000</v>
      </c>
      <c r="EI567" s="14">
        <v>0</v>
      </c>
      <c r="EJ567" s="14">
        <f>SUM(EH567+EI567)</f>
        <v>29000</v>
      </c>
      <c r="EK567" t="s">
        <v>4866</v>
      </c>
      <c r="EL567" t="s">
        <v>4905</v>
      </c>
      <c r="EM567" t="s">
        <v>4867</v>
      </c>
      <c r="EW567" t="s">
        <v>4868</v>
      </c>
      <c r="EY567" t="s">
        <v>4869</v>
      </c>
      <c r="FA567" t="s">
        <v>1022</v>
      </c>
      <c r="FB567" t="s">
        <v>268</v>
      </c>
      <c r="FC567" t="s">
        <v>4870</v>
      </c>
      <c r="FE567" t="s">
        <v>4871</v>
      </c>
      <c r="FF567" t="s">
        <v>4872</v>
      </c>
      <c r="FG567" t="s">
        <v>3014</v>
      </c>
      <c r="GB567" s="4"/>
      <c r="IE567" s="9"/>
      <c r="IP567" s="14">
        <f ca="1">SUM(IF567-EB567-GB567-IN567)</f>
        <v>-2929.86</v>
      </c>
      <c r="IQ567" s="9"/>
      <c r="IR567" s="9"/>
      <c r="IS567" s="9"/>
      <c r="IT567" s="9"/>
      <c r="IU567" s="9"/>
      <c r="IV567" s="18"/>
      <c r="IW567" s="18"/>
    </row>
    <row r="568" spans="1:263" ht="15" customHeight="1">
      <c r="A568" s="2">
        <v>102024086</v>
      </c>
      <c r="B568" t="s">
        <v>5384</v>
      </c>
      <c r="D568" s="1"/>
      <c r="E568" s="3"/>
      <c r="G568" s="3"/>
      <c r="J568" t="s">
        <v>311</v>
      </c>
      <c r="K568" t="s">
        <v>5385</v>
      </c>
      <c r="L568" t="s">
        <v>395</v>
      </c>
      <c r="O568" s="3"/>
      <c r="P568" t="s">
        <v>5386</v>
      </c>
      <c r="Q568" t="s">
        <v>957</v>
      </c>
      <c r="R568" t="s">
        <v>763</v>
      </c>
      <c r="AG568" s="43"/>
      <c r="AK568" s="1"/>
      <c r="AM568"/>
      <c r="AN568"/>
      <c r="AO568" t="s">
        <v>5387</v>
      </c>
      <c r="AP568" s="1" t="s">
        <v>258</v>
      </c>
      <c r="AQ568" s="18" t="s">
        <v>386</v>
      </c>
      <c r="AR568" t="s">
        <v>260</v>
      </c>
      <c r="AS568" s="10"/>
      <c r="AT568" s="10"/>
      <c r="AU568" s="10"/>
      <c r="AV568" s="10"/>
      <c r="AW568" s="1"/>
      <c r="AY568" s="1"/>
      <c r="AZ568" s="1"/>
      <c r="BA568" s="1"/>
      <c r="BB568" s="1"/>
      <c r="BC568" s="2"/>
      <c r="BD568" s="116"/>
      <c r="BE568" s="115"/>
      <c r="BF568" s="2"/>
      <c r="BG568" s="2"/>
      <c r="BH568" s="2"/>
      <c r="BI568" s="2"/>
      <c r="BJ568" s="2"/>
      <c r="BK568" s="2"/>
      <c r="BL568" s="20">
        <f ca="1">SUM(EB568)+220</f>
        <v>528.47351666666657</v>
      </c>
      <c r="BM568" s="22">
        <f ca="1">PMT(10%/12,12,BL568,0,0)</f>
        <v>-46.461218095313257</v>
      </c>
      <c r="BN568" s="22">
        <f ca="1">SUM(BM568*-1)</f>
        <v>46.461218095313257</v>
      </c>
      <c r="BO568" s="14">
        <f>SUM(EJ568*0.0052)/12</f>
        <v>15.556666666666665</v>
      </c>
      <c r="BP568" s="22">
        <f ca="1">SUM(BN568+BO568)</f>
        <v>62.017884761979921</v>
      </c>
      <c r="BQ568" s="14"/>
      <c r="BR568" s="14">
        <f>SUM(BQ568*0.1)</f>
        <v>0</v>
      </c>
      <c r="BS568" s="14">
        <f ca="1">SUM(BT568*BU568)</f>
        <v>0</v>
      </c>
      <c r="BT568" s="17">
        <f>SUM((BQ568+BR568)*0.00833333333333333)</f>
        <v>0</v>
      </c>
      <c r="BU568" s="23">
        <f ca="1">MONTH(TODAY())+61</f>
        <v>65</v>
      </c>
      <c r="BV568" s="14">
        <f ca="1">SUM(BQ568,BR568,BS568)</f>
        <v>0</v>
      </c>
      <c r="BW568" s="14"/>
      <c r="BX568" s="14">
        <f>SUM(BW568*0.1)</f>
        <v>0</v>
      </c>
      <c r="BY568" s="14">
        <f ca="1">SUM(BZ568*CA568)</f>
        <v>0</v>
      </c>
      <c r="BZ568" s="17">
        <f>SUM((BW568+BX568)*0.00833333333333333)</f>
        <v>0</v>
      </c>
      <c r="CA568" s="23">
        <f ca="1">MONTH(TODAY())+49</f>
        <v>53</v>
      </c>
      <c r="CB568" s="14">
        <f ca="1">SUM(BW568,BX568,BY568)</f>
        <v>0</v>
      </c>
      <c r="CC568" s="14">
        <v>0</v>
      </c>
      <c r="CD568" s="14">
        <f>SUM(CC568*0.1)</f>
        <v>0</v>
      </c>
      <c r="CE568" s="14">
        <f ca="1">SUM(CF568*CG568)</f>
        <v>0</v>
      </c>
      <c r="CF568" s="17">
        <f>SUM((CC568+CD568)*0.00833333333333333)</f>
        <v>0</v>
      </c>
      <c r="CG568" s="23">
        <f ca="1">MONTH(TODAY())+37</f>
        <v>41</v>
      </c>
      <c r="CH568" s="14">
        <f ca="1">SUM(CC568,CD568,CE568)</f>
        <v>0</v>
      </c>
      <c r="CI568" s="14">
        <v>0</v>
      </c>
      <c r="CJ568" s="14">
        <f>SUM(CI568*0.1)</f>
        <v>0</v>
      </c>
      <c r="CK568" s="14">
        <f ca="1">SUM(CL568*CM568)</f>
        <v>0</v>
      </c>
      <c r="CL568" s="17">
        <f>SUM((CI568+CJ568)*0.00833333333333333)</f>
        <v>0</v>
      </c>
      <c r="CM568" s="23">
        <f ca="1">MONTH(TODAY())+25</f>
        <v>29</v>
      </c>
      <c r="CN568" s="14">
        <f ca="1">SUM(CI568,CJ568,CK568)</f>
        <v>0</v>
      </c>
      <c r="CO568" s="14">
        <v>0</v>
      </c>
      <c r="CP568" s="14">
        <f>SUM(CO568*0.1)</f>
        <v>0</v>
      </c>
      <c r="CQ568" s="14">
        <f ca="1">SUM(CR568*CS568)</f>
        <v>0</v>
      </c>
      <c r="CR568" s="17">
        <f>SUM((CO568+CP568)*0.00833333333333333)</f>
        <v>0</v>
      </c>
      <c r="CS568" s="23">
        <f ca="1">MONTH(TODAY())+17</f>
        <v>21</v>
      </c>
      <c r="CT568" s="23">
        <f ca="1">SUM(CO568,CP568,CQ568)</f>
        <v>0</v>
      </c>
      <c r="CU568" s="14">
        <f>SUM(EG568*0.0052)/2</f>
        <v>78.259999999999991</v>
      </c>
      <c r="CV568" s="14">
        <f>SUM(CU568*0.1)</f>
        <v>7.8259999999999996</v>
      </c>
      <c r="CW568" s="14">
        <f ca="1">SUM(CX568*CY568)</f>
        <v>12.195516666666659</v>
      </c>
      <c r="CX568" s="17">
        <f>SUM((CU568+CV568)*0.00833333333333333)</f>
        <v>0.71738333333333293</v>
      </c>
      <c r="CY568" s="23">
        <f ca="1">MONTH(TODAY())+13</f>
        <v>17</v>
      </c>
      <c r="CZ568" s="23">
        <f ca="1">SUM(CU568,CV568,CW568)</f>
        <v>98.281516666666647</v>
      </c>
      <c r="DA568" s="14">
        <f>SUM(EJ568*0.0045)/2</f>
        <v>80.774999999999991</v>
      </c>
      <c r="DB568" s="14">
        <f>SUM(DA568*0.1)</f>
        <v>8.0774999999999988</v>
      </c>
      <c r="DC568" s="14">
        <f ca="1">SUM(DD568*DE568)</f>
        <v>8.1448124999999969</v>
      </c>
      <c r="DD568" s="17">
        <f>SUM((DA568+DB568)*0.00833333333333333)</f>
        <v>0.74043749999999964</v>
      </c>
      <c r="DE568" s="23">
        <f ca="1">MONTH(TODAY())+7</f>
        <v>11</v>
      </c>
      <c r="DF568" s="23">
        <f ca="1">SUM(DA568,DB568,DC568)</f>
        <v>96.997312499999992</v>
      </c>
      <c r="DG568" s="14">
        <f>SUM(EJ568*0.0045)/2</f>
        <v>80.774999999999991</v>
      </c>
      <c r="DH568" s="14">
        <f>SUM(DG568*0.1)</f>
        <v>8.0774999999999988</v>
      </c>
      <c r="DI568" s="14">
        <f ca="1">SUM(DJ568*DK568)</f>
        <v>3.7021874999999982</v>
      </c>
      <c r="DJ568" s="17">
        <f>SUM((DG568+DH568)*0.00833333333333333)</f>
        <v>0.74043749999999964</v>
      </c>
      <c r="DK568" s="23">
        <f ca="1">MONTH(TODAY())+1</f>
        <v>5</v>
      </c>
      <c r="DL568" s="14">
        <f ca="1">SUM(DG568,DH568,DI568)</f>
        <v>92.554687499999986</v>
      </c>
      <c r="DM568" s="14">
        <f>SUM( BQ568, BW568, CC568, CI568, CO568,CU568,DA568,DG568)</f>
        <v>239.80999999999995</v>
      </c>
      <c r="DN568" s="14">
        <f>SUM(BR568,BX568,CD568,CJ568, CP568,CV568,DB568,DH568)</f>
        <v>23.980999999999995</v>
      </c>
      <c r="DO568" s="14">
        <f ca="1">SUM(BS568,BY568,CE568,CK568, CQ568,CW568,DC568,DI568)</f>
        <v>24.042516666666653</v>
      </c>
      <c r="DP568" s="25">
        <f ca="1">SUM(DM568:DO568)</f>
        <v>287.83351666666658</v>
      </c>
      <c r="DQ568" s="47">
        <f ca="1">SUM(DP568/EH568)</f>
        <v>1.0428750603864731E-2</v>
      </c>
      <c r="DR568" s="14">
        <f>20</f>
        <v>20</v>
      </c>
      <c r="DS568" s="32">
        <f>COUNTIF(AO568, "*")+COUNTIF(AJ568, "*")+COUNTIF(AA568, "*")+COUNTIF(EU568, "*")+COUNTIF(FA568, "*")+COUNTIF(FG568, "*")+COUNTIF(FK568, "*")+COUNTIF(FR568, "*")+COUNTIF(AS568, "*")+COUNTIF(GA568, "*")+COUNTIF(GL568, "*")+COUNTIF(GW568, "*")+COUNTIF(HE568, "*")+COUNTIF(HM568, "*")+COUNTIF(HU568, "*")</f>
        <v>1</v>
      </c>
      <c r="DT568" s="14">
        <f>DS568*0.64</f>
        <v>0.64</v>
      </c>
      <c r="DU568" s="4"/>
      <c r="DV568" s="4"/>
      <c r="DW568" s="4"/>
      <c r="DX568" s="4"/>
      <c r="DZ568" s="4"/>
      <c r="EA568" s="14">
        <f>SUM(DV568:DZ568)</f>
        <v>0</v>
      </c>
      <c r="EB568" s="14">
        <f ca="1">SUM(DP568,DR568,EA568, DU568, DT568,FX568)</f>
        <v>308.47351666666657</v>
      </c>
      <c r="EC568" s="24" t="s">
        <v>4935</v>
      </c>
      <c r="ED568" s="23">
        <v>3.9</v>
      </c>
      <c r="EE568" s="14">
        <v>22100</v>
      </c>
      <c r="EF568" s="14">
        <v>8000</v>
      </c>
      <c r="EG568" s="14">
        <f>SUM(EE568+EF568)</f>
        <v>30100</v>
      </c>
      <c r="EH568" s="14">
        <v>27600</v>
      </c>
      <c r="EI568" s="14">
        <v>8300</v>
      </c>
      <c r="EJ568" s="14">
        <f>SUM(EH568+EI568)</f>
        <v>35900</v>
      </c>
      <c r="EK568" s="10"/>
      <c r="EL568" s="10"/>
      <c r="EM568" s="10"/>
      <c r="EN568" s="10"/>
      <c r="EO568" s="10"/>
      <c r="EP568" s="10"/>
      <c r="EQ568" s="10"/>
      <c r="ER568" s="10"/>
      <c r="FX568" s="4"/>
      <c r="HY568" s="9"/>
      <c r="IJ568" s="4"/>
      <c r="IK568" s="4"/>
      <c r="IL568" s="4"/>
      <c r="IM568" s="9"/>
      <c r="IN568" s="9"/>
      <c r="IO568" s="9"/>
      <c r="IP568" s="9"/>
      <c r="IQ568" s="9"/>
      <c r="IZ568" s="18"/>
    </row>
    <row r="569" spans="1:263" ht="15" customHeight="1">
      <c r="A569" s="2">
        <v>102020034</v>
      </c>
      <c r="B569" t="s">
        <v>1631</v>
      </c>
      <c r="D569" s="1" t="s">
        <v>258</v>
      </c>
      <c r="K569" t="s">
        <v>1632</v>
      </c>
      <c r="AG569" s="248"/>
      <c r="AY569" s="9"/>
      <c r="AZ569" s="9"/>
      <c r="BG569" s="5"/>
      <c r="BH569" s="16"/>
      <c r="BI569" s="16"/>
      <c r="BJ569" s="4"/>
      <c r="BK569" s="4"/>
      <c r="BL569" s="4"/>
      <c r="BM569" s="6"/>
      <c r="BN569" s="7"/>
      <c r="BO569" s="4"/>
      <c r="BP569" s="4"/>
      <c r="BQ569" s="4"/>
      <c r="BR569" s="4"/>
      <c r="BS569" s="6"/>
      <c r="BT569" s="7"/>
      <c r="BU569" s="4"/>
      <c r="BV569" s="4"/>
      <c r="BW569" s="4"/>
      <c r="BX569" s="4"/>
      <c r="BY569" s="6"/>
      <c r="BZ569" s="7"/>
      <c r="CA569" s="4"/>
      <c r="CB569" s="4"/>
      <c r="CC569" s="4"/>
      <c r="CD569" s="4"/>
      <c r="CE569" s="6"/>
      <c r="CF569" s="7"/>
      <c r="CG569" s="4"/>
      <c r="CH569" s="4"/>
      <c r="CI569" s="4"/>
      <c r="CJ569" s="4"/>
      <c r="CK569" s="6"/>
      <c r="CL569" s="7"/>
      <c r="CM569" s="4"/>
      <c r="CN569" s="4"/>
      <c r="CO569" s="4"/>
      <c r="CP569" s="4"/>
      <c r="CQ569" s="6"/>
      <c r="CR569" s="7"/>
      <c r="CS569" s="4"/>
      <c r="CT569" s="4"/>
      <c r="CU569" s="4"/>
      <c r="CV569" s="4"/>
      <c r="CW569" s="6"/>
      <c r="CX569" s="7"/>
      <c r="CY569" s="4"/>
      <c r="CZ569" s="4"/>
      <c r="DA569" s="4"/>
      <c r="DB569" s="4"/>
      <c r="DC569" s="4"/>
      <c r="DD569" s="3"/>
      <c r="DE569" s="4"/>
      <c r="DF569" s="234"/>
      <c r="DG569" s="4"/>
      <c r="DH569" s="4"/>
      <c r="DI569" s="4"/>
      <c r="DJ569" s="4"/>
      <c r="DK569" s="4"/>
      <c r="DL569" s="4"/>
      <c r="DM569" s="4"/>
      <c r="DN569" s="8"/>
      <c r="DO569" s="4"/>
      <c r="DP569" s="8"/>
      <c r="DQ569" s="8"/>
      <c r="DR569" s="8"/>
      <c r="DS569" s="35"/>
      <c r="DT569" s="43"/>
      <c r="DU569" s="43"/>
      <c r="FB569" s="9"/>
      <c r="FI569" s="9"/>
      <c r="IL569" s="4"/>
      <c r="IM569" s="4"/>
      <c r="IW569" s="18"/>
      <c r="IX569" s="18"/>
      <c r="IY569" s="18"/>
      <c r="JA569" s="18"/>
      <c r="JB569" s="18"/>
      <c r="JC569" s="18"/>
    </row>
    <row r="570" spans="1:263" ht="15" customHeight="1">
      <c r="A570" s="2">
        <v>102024184</v>
      </c>
      <c r="B570" t="s">
        <v>5496</v>
      </c>
      <c r="D570" s="1"/>
      <c r="E570" s="3"/>
      <c r="G570" s="3"/>
      <c r="J570" t="s">
        <v>554</v>
      </c>
      <c r="K570" t="s">
        <v>5497</v>
      </c>
      <c r="L570" t="s">
        <v>427</v>
      </c>
      <c r="M570" t="s">
        <v>357</v>
      </c>
      <c r="O570" s="3"/>
      <c r="P570" t="s">
        <v>5497</v>
      </c>
      <c r="Q570" t="s">
        <v>5498</v>
      </c>
      <c r="R570" t="s">
        <v>256</v>
      </c>
      <c r="AG570" s="43"/>
      <c r="AJ570" s="18" t="s">
        <v>5499</v>
      </c>
      <c r="AK570" s="1" t="s">
        <v>258</v>
      </c>
      <c r="AL570" t="s">
        <v>386</v>
      </c>
      <c r="AM570" t="s">
        <v>260</v>
      </c>
      <c r="AN570"/>
      <c r="AO570" t="s">
        <v>5500</v>
      </c>
      <c r="AP570" s="1" t="s">
        <v>258</v>
      </c>
      <c r="AQ570" s="18" t="s">
        <v>5501</v>
      </c>
      <c r="AR570" t="s">
        <v>5502</v>
      </c>
      <c r="AS570" s="10"/>
      <c r="AT570" s="10"/>
      <c r="AU570" s="10"/>
      <c r="AV570" s="10"/>
      <c r="AW570" s="10"/>
      <c r="AX570" s="1"/>
      <c r="AY570" s="1"/>
      <c r="AZ570" s="1"/>
      <c r="BA570" s="1"/>
      <c r="BB570" s="1"/>
      <c r="BC570" s="2"/>
      <c r="BD570" s="115">
        <v>45408</v>
      </c>
      <c r="BE570" s="115"/>
      <c r="BF570" s="2"/>
      <c r="BG570" s="2"/>
      <c r="BH570" s="2"/>
      <c r="BI570" s="2"/>
      <c r="BJ570" s="2"/>
      <c r="BK570" s="2"/>
      <c r="BL570" s="20">
        <f ca="1">SUM(EN570)+220</f>
        <v>1388.2841999999998</v>
      </c>
      <c r="BM570" s="22">
        <f ca="1">PMT(10%/12,12,BL570,0,0)</f>
        <v>-122.05223717040407</v>
      </c>
      <c r="BN570" s="22">
        <f ca="1">SUM(BM570*-1)</f>
        <v>122.05223717040407</v>
      </c>
      <c r="BO570" s="14">
        <f>SUM(EV570*0.0052)/12</f>
        <v>34.276666666666664</v>
      </c>
      <c r="BP570" s="22">
        <f ca="1">SUM(BN570+BO570)</f>
        <v>156.32890383707073</v>
      </c>
      <c r="BQ570" s="14"/>
      <c r="BR570" s="14">
        <f>SUM(BQ570*0.1)</f>
        <v>0</v>
      </c>
      <c r="BS570" s="14">
        <f ca="1">SUM(BT570*BU570)</f>
        <v>0</v>
      </c>
      <c r="BT570" s="17">
        <f>SUM((BQ570+BR570)*0.00833333333333333)</f>
        <v>0</v>
      </c>
      <c r="BU570" s="23">
        <f ca="1">MONTH(TODAY())+61</f>
        <v>65</v>
      </c>
      <c r="BV570" s="14">
        <f ca="1">SUM(BQ570,BR570,BS570)</f>
        <v>0</v>
      </c>
      <c r="BW570" s="14"/>
      <c r="BX570" s="14">
        <f>SUM(BW570*0.1)</f>
        <v>0</v>
      </c>
      <c r="BY570" s="14">
        <f ca="1">SUM(BZ570*CA570)</f>
        <v>0</v>
      </c>
      <c r="BZ570" s="17">
        <f>SUM((BW570+BX570)*0.00833333333333333)</f>
        <v>0</v>
      </c>
      <c r="CA570" s="23">
        <f ca="1">MONTH(TODAY())+49</f>
        <v>53</v>
      </c>
      <c r="CB570" s="14">
        <f ca="1">SUM(BW570,BX570,BY570)</f>
        <v>0</v>
      </c>
      <c r="CC570" s="14">
        <v>0</v>
      </c>
      <c r="CD570" s="14">
        <f>SUM(CC570*0.1)</f>
        <v>0</v>
      </c>
      <c r="CE570" s="14">
        <f ca="1">SUM(CF570*CG570)</f>
        <v>0</v>
      </c>
      <c r="CF570" s="17">
        <f>SUM((CC570+CD570)*0.00833333333333333)</f>
        <v>0</v>
      </c>
      <c r="CG570" s="23">
        <f ca="1">MONTH(TODAY())+37</f>
        <v>41</v>
      </c>
      <c r="CH570" s="14">
        <f ca="1">SUM(CC570,CD570,CE570)</f>
        <v>0</v>
      </c>
      <c r="CI570" s="14">
        <v>0</v>
      </c>
      <c r="CJ570" s="14">
        <f>SUM(CI570*0.1)</f>
        <v>0</v>
      </c>
      <c r="CK570" s="14">
        <f ca="1">SUM(CL570*CM570)</f>
        <v>0</v>
      </c>
      <c r="CL570" s="17">
        <f>SUM((CI570+CJ570)*0.00833333333333333)</f>
        <v>0</v>
      </c>
      <c r="CM570" s="23">
        <f ca="1">MONTH(TODAY())+25</f>
        <v>29</v>
      </c>
      <c r="CN570" s="14">
        <f ca="1">SUM(CI570,CJ570,CK570)</f>
        <v>0</v>
      </c>
      <c r="CO570" s="14">
        <f>SUM(ES570*0.0052)/2</f>
        <v>199.67999999999998</v>
      </c>
      <c r="CP570" s="14">
        <f>SUM(CO570*0.1)</f>
        <v>19.968</v>
      </c>
      <c r="CQ570" s="14">
        <f ca="1">SUM(CR570*CS570)</f>
        <v>38.43839999999998</v>
      </c>
      <c r="CR570" s="17">
        <f>SUM((CO570+CP570)*0.00833333333333333)</f>
        <v>1.8303999999999989</v>
      </c>
      <c r="CS570" s="23">
        <f ca="1">MONTH(TODAY())+17</f>
        <v>21</v>
      </c>
      <c r="CT570" s="23">
        <f ca="1">SUM(CO570,CP570,CQ570)</f>
        <v>258.08639999999997</v>
      </c>
      <c r="CU570" s="14">
        <f>SUM(ES570*0.0052)/2</f>
        <v>199.67999999999998</v>
      </c>
      <c r="CV570" s="14">
        <f>SUM(CU570*0.1)</f>
        <v>19.968</v>
      </c>
      <c r="CW570" s="14">
        <f ca="1">SUM(CX570*CY570)</f>
        <v>31.11679999999998</v>
      </c>
      <c r="CX570" s="17">
        <f>SUM((CU570+CV570)*0.00833333333333333)</f>
        <v>1.8303999999999989</v>
      </c>
      <c r="CY570" s="23">
        <f ca="1">MONTH(TODAY())+13</f>
        <v>17</v>
      </c>
      <c r="CZ570" s="23">
        <f ca="1">SUM(CU570,CV570,CW570)</f>
        <v>250.76479999999995</v>
      </c>
      <c r="DA570" s="14">
        <f>SUM(EV570*0.0045)/2</f>
        <v>177.97499999999999</v>
      </c>
      <c r="DB570" s="14">
        <f>SUM(DA570*0.1)</f>
        <v>17.797499999999999</v>
      </c>
      <c r="DC570" s="14">
        <f ca="1">SUM(DD570*DE570)</f>
        <v>17.945812499999992</v>
      </c>
      <c r="DD570" s="17">
        <f>SUM((DA570+DB570)*0.00833333333333333)</f>
        <v>1.6314374999999992</v>
      </c>
      <c r="DE570" s="23">
        <f ca="1">MONTH(TODAY())+7</f>
        <v>11</v>
      </c>
      <c r="DF570" s="23">
        <f ca="1">SUM(DA570,DB570,DC570)</f>
        <v>213.71831249999997</v>
      </c>
      <c r="DG570" s="14">
        <f>SUM(EV570*0.0045)/2</f>
        <v>177.97499999999999</v>
      </c>
      <c r="DH570" s="14">
        <f>SUM(DG570*0.1)</f>
        <v>17.797499999999999</v>
      </c>
      <c r="DI570" s="14">
        <f ca="1">SUM(DJ570*DK570)</f>
        <v>8.1571874999999956</v>
      </c>
      <c r="DJ570" s="17">
        <f>SUM((DG570+DH570)*0.00833333333333333)</f>
        <v>1.6314374999999992</v>
      </c>
      <c r="DK570" s="23">
        <f ca="1">MONTH(TODAY())+1</f>
        <v>5</v>
      </c>
      <c r="DL570" s="14">
        <f ca="1">SUM(DG570,DH570,DI570)</f>
        <v>203.92968749999997</v>
      </c>
      <c r="DM570" s="14">
        <f>SUM(EV570*0.0045)/2</f>
        <v>177.97499999999999</v>
      </c>
      <c r="DN570" s="14">
        <f>0</f>
        <v>0</v>
      </c>
      <c r="DO570" s="14">
        <f>0</f>
        <v>0</v>
      </c>
      <c r="DP570" s="17">
        <f>SUM((DM570+DN570)*0.00833333333333333)</f>
        <v>1.4831249999999994</v>
      </c>
      <c r="DQ570" s="23">
        <f ca="1">MONTH(TODAY())+7</f>
        <v>11</v>
      </c>
      <c r="DR570" s="23">
        <f>SUM(DM570,DN570,DO570)</f>
        <v>177.97499999999999</v>
      </c>
      <c r="DS570" s="14">
        <f>0</f>
        <v>0</v>
      </c>
      <c r="DT570" s="14">
        <f>0</f>
        <v>0</v>
      </c>
      <c r="DU570" s="14">
        <f ca="1">SUM(DV570*DW570)</f>
        <v>0</v>
      </c>
      <c r="DV570" s="17">
        <f>SUM((DS570+DT570)*0.00833333333333333)</f>
        <v>0</v>
      </c>
      <c r="DW570" s="23">
        <f ca="1">MONTH(TODAY())+1</f>
        <v>5</v>
      </c>
      <c r="DX570" s="14">
        <f ca="1">SUM(DS570,DT570,DU570)</f>
        <v>0</v>
      </c>
      <c r="DY570" s="14">
        <f>SUM( BQ570, BW570, CC570, CI570, CO570,CU570,DA570,DG570,DM570,DS570)</f>
        <v>933.28499999999997</v>
      </c>
      <c r="DZ570" s="14">
        <f>SUM(BR570,BX570,CD570,CJ570, CP570,CV570,DB570,DH570,DN570,DT570)</f>
        <v>75.531000000000006</v>
      </c>
      <c r="EA570" s="14">
        <f ca="1">SUM(BS570,BY570,CE570,CK570, CQ570,CW570,DC570,DI570,DO570,DU570)</f>
        <v>95.658199999999937</v>
      </c>
      <c r="EB570" s="25">
        <f ca="1">SUM(DY570:EA570)</f>
        <v>1104.4741999999999</v>
      </c>
      <c r="EC570" s="47">
        <f ca="1">SUM(EB570/ES570)</f>
        <v>1.4381174479166665E-2</v>
      </c>
      <c r="ED570" s="14">
        <f>20+10</f>
        <v>30</v>
      </c>
      <c r="EE570" s="32">
        <f>COUNTIF(AO570, "*")+COUNTIF(AJ570, "*")+COUNTIF(AA570, "*")+COUNTIF(FG570, "*")+COUNTIF(FM570, "*")+COUNTIF(FS570, "*")+COUNTIF(FW570, "*")+COUNTIF(GD570, "*")+COUNTIF(AT570, "*")+COUNTIF(GM570, "*")+COUNTIF(GX570, "*")+COUNTIF(HI570, "*")+COUNTIF(HQ570, "*")+COUNTIF(HY570, "*")+COUNTIF(IG570, "*")</f>
        <v>2</v>
      </c>
      <c r="EF570" s="14">
        <f>EE570*0.64</f>
        <v>1.28</v>
      </c>
      <c r="EG570" s="4"/>
      <c r="EH570" s="4">
        <v>32.53</v>
      </c>
      <c r="EI570" s="4"/>
      <c r="EJ570" s="4"/>
      <c r="EL570" s="4"/>
      <c r="EM570" s="14">
        <f>SUM(EH570:EL570)</f>
        <v>32.53</v>
      </c>
      <c r="EN570" s="14">
        <f ca="1">SUM(EB570,ED570,EM570, EG570, EF570,GJ570)</f>
        <v>1168.2841999999998</v>
      </c>
      <c r="EO570" s="24" t="s">
        <v>4935</v>
      </c>
      <c r="EP570" s="23">
        <v>0.63</v>
      </c>
      <c r="EQ570" s="14">
        <v>14000</v>
      </c>
      <c r="ER570" s="14">
        <v>62800</v>
      </c>
      <c r="ES570" s="14">
        <f>SUM(EQ570+ER570)</f>
        <v>76800</v>
      </c>
      <c r="ET570" s="14">
        <v>14000</v>
      </c>
      <c r="EU570" s="14">
        <v>65100</v>
      </c>
      <c r="EV570" s="14">
        <f>SUM(ET570+EU570)</f>
        <v>79100</v>
      </c>
      <c r="EW570" s="10"/>
      <c r="EX570" s="10"/>
      <c r="EY570" s="10"/>
      <c r="EZ570" s="10"/>
      <c r="FA570" s="10"/>
      <c r="FB570" s="10"/>
      <c r="FC570" s="10"/>
      <c r="FD570" s="10"/>
      <c r="GJ570" s="4"/>
      <c r="IK570" s="9"/>
      <c r="IV570" s="4"/>
      <c r="IW570" s="4"/>
      <c r="IX570" s="4"/>
      <c r="IY570" s="9"/>
      <c r="IZ570" s="9"/>
      <c r="JA570" s="9"/>
      <c r="JB570" s="9"/>
      <c r="JC570" s="9"/>
    </row>
    <row r="571" spans="1:263" ht="15" customHeight="1">
      <c r="A571" s="2">
        <v>102018095</v>
      </c>
      <c r="B571" s="4" t="s">
        <v>1284</v>
      </c>
      <c r="C571" s="4"/>
      <c r="D571" s="3"/>
      <c r="E571" s="3"/>
      <c r="F571" s="3"/>
      <c r="G571" s="3"/>
      <c r="H571" s="3"/>
      <c r="J571" t="s">
        <v>305</v>
      </c>
      <c r="K571" t="s">
        <v>1019</v>
      </c>
      <c r="L571" t="s">
        <v>1285</v>
      </c>
      <c r="O571" s="1"/>
      <c r="P571" t="s">
        <v>1019</v>
      </c>
      <c r="Q571" t="s">
        <v>1286</v>
      </c>
      <c r="T571" s="1"/>
      <c r="AF571" s="3"/>
      <c r="AJ571" s="4"/>
      <c r="AK571" s="4"/>
      <c r="AO571" s="4"/>
      <c r="AP571" s="5"/>
      <c r="AS571" s="5"/>
      <c r="AT571" s="5"/>
      <c r="AU571" s="1"/>
      <c r="AV571" s="1"/>
      <c r="AW571" s="1"/>
      <c r="AX571" s="1"/>
      <c r="AY571" s="1"/>
      <c r="AZ571" s="1"/>
      <c r="BA571" s="1"/>
      <c r="BB571" s="1"/>
      <c r="BC571" s="1"/>
      <c r="BD571" s="1"/>
      <c r="BE571" s="1"/>
      <c r="BF571" s="1"/>
      <c r="BG571" s="5"/>
      <c r="BH571" s="16"/>
      <c r="BI571" s="16"/>
      <c r="BK571" s="4"/>
      <c r="BL571" s="4"/>
      <c r="BM571" s="6"/>
      <c r="BN571" s="7"/>
      <c r="BO571" s="4"/>
      <c r="BP571" s="4"/>
      <c r="BQ571" s="4"/>
      <c r="BR571" s="4"/>
      <c r="BS571" s="6"/>
      <c r="BT571" s="7"/>
      <c r="BU571" s="4"/>
      <c r="BV571" s="4"/>
      <c r="BW571" s="4"/>
      <c r="BX571" s="4"/>
      <c r="BY571" s="6"/>
      <c r="BZ571" s="7"/>
      <c r="CA571" s="4"/>
      <c r="CB571" s="4"/>
      <c r="CC571" s="4"/>
      <c r="CD571" s="4"/>
      <c r="CE571" s="6"/>
      <c r="CF571" s="7"/>
      <c r="CG571" s="4"/>
      <c r="CH571" s="4"/>
      <c r="CI571" s="4"/>
      <c r="CJ571" s="4"/>
      <c r="CK571" s="6"/>
      <c r="CL571" s="7"/>
      <c r="CM571" s="4"/>
      <c r="CN571" s="4"/>
      <c r="CO571" s="4"/>
      <c r="CP571" s="4"/>
      <c r="CQ571" s="6"/>
      <c r="CR571" s="7"/>
      <c r="CS571" s="4"/>
      <c r="CT571" s="4"/>
      <c r="CU571" s="4"/>
      <c r="CV571" s="4"/>
      <c r="CW571" s="6"/>
      <c r="CX571" s="7"/>
      <c r="CY571" s="4"/>
      <c r="CZ571" s="4"/>
      <c r="DA571" s="4"/>
      <c r="DB571" s="4"/>
      <c r="DC571" s="6"/>
      <c r="DD571" s="7"/>
      <c r="DE571" s="4"/>
      <c r="DF571" s="4"/>
      <c r="DG571" s="14"/>
      <c r="DH571" s="14"/>
      <c r="DI571" s="4"/>
      <c r="DJ571" s="3"/>
      <c r="DK571" s="4"/>
      <c r="DL571" s="234"/>
      <c r="DM571" s="4"/>
      <c r="DN571" s="4"/>
      <c r="DO571" s="4"/>
      <c r="DP571" s="4"/>
      <c r="DQ571" s="4"/>
      <c r="DR571" s="4"/>
      <c r="DS571" s="7"/>
      <c r="DT571" s="4"/>
      <c r="DU571" s="4"/>
      <c r="DV571" s="8"/>
      <c r="DW571" s="4"/>
      <c r="DX571" s="4"/>
      <c r="EG571" s="11"/>
      <c r="EM571" s="11"/>
      <c r="EN571" s="11"/>
      <c r="EO571" s="4"/>
      <c r="EP571" s="4"/>
      <c r="EQ571" s="4"/>
      <c r="ER571" s="4"/>
      <c r="ES571" s="4"/>
      <c r="ET571" s="4"/>
      <c r="EU571" s="4"/>
      <c r="EV571" s="4"/>
      <c r="EW571" s="4"/>
      <c r="EX571" s="4"/>
      <c r="EY571" s="4"/>
      <c r="EZ571" s="4"/>
      <c r="FA571" s="4"/>
      <c r="FB571" s="4"/>
      <c r="FC571" s="4"/>
      <c r="FG571" s="9"/>
      <c r="FP571" s="9"/>
      <c r="FZ571" s="10"/>
      <c r="GJ571" s="10"/>
      <c r="GY571" s="9"/>
      <c r="IK571" s="4"/>
    </row>
    <row r="572" spans="1:263" ht="15" customHeight="1">
      <c r="A572" s="2">
        <v>102017055</v>
      </c>
      <c r="B572" t="s">
        <v>937</v>
      </c>
      <c r="E572" t="s">
        <v>938</v>
      </c>
      <c r="F572" s="2">
        <v>180002375</v>
      </c>
      <c r="G572">
        <v>180002604</v>
      </c>
      <c r="J572" t="s">
        <v>311</v>
      </c>
      <c r="K572" t="s">
        <v>939</v>
      </c>
      <c r="L572" t="s">
        <v>940</v>
      </c>
      <c r="M572" t="s">
        <v>326</v>
      </c>
      <c r="O572" s="1"/>
      <c r="T572" s="1"/>
      <c r="AD572" s="1"/>
      <c r="AJ572" s="4"/>
      <c r="AK572" s="4"/>
      <c r="AL572" s="4"/>
      <c r="AM572" s="34"/>
      <c r="AO572" s="4"/>
      <c r="AP572" s="13"/>
      <c r="AQ572" s="34"/>
      <c r="AR572" s="34"/>
      <c r="AS572" s="5"/>
      <c r="AT572" s="13"/>
      <c r="AU572" s="1"/>
      <c r="AV572" s="1"/>
      <c r="AW572" s="1"/>
      <c r="AX572" s="15"/>
      <c r="AY572" s="15"/>
      <c r="AZ572" s="15"/>
      <c r="BA572" s="15"/>
      <c r="BB572" s="1"/>
      <c r="BC572" s="15"/>
      <c r="BD572" s="15"/>
      <c r="BE572" s="15"/>
      <c r="BF572" s="15"/>
      <c r="BG572" s="5"/>
      <c r="BH572" s="16"/>
      <c r="BI572" s="16"/>
      <c r="BK572" s="4"/>
      <c r="BL572" s="4"/>
      <c r="BM572" s="6"/>
      <c r="BN572" s="7"/>
      <c r="BO572" s="4"/>
      <c r="BQ572" s="4"/>
      <c r="BR572" s="4"/>
      <c r="BS572" s="6"/>
      <c r="BT572" s="7"/>
      <c r="BU572" s="4"/>
      <c r="BV572" s="4"/>
      <c r="BW572" s="4"/>
      <c r="BX572" s="4"/>
      <c r="BY572" s="6"/>
      <c r="BZ572" s="7"/>
      <c r="CA572" s="4"/>
      <c r="CC572" s="4"/>
      <c r="CD572" s="4"/>
      <c r="CE572" s="6"/>
      <c r="CF572" s="7"/>
      <c r="CG572" s="4"/>
      <c r="CH572" s="4"/>
      <c r="CI572" s="4"/>
      <c r="CJ572" s="4"/>
      <c r="CK572" s="6"/>
      <c r="CL572" s="7"/>
      <c r="CM572" s="4"/>
      <c r="CN572" s="4"/>
      <c r="CO572" s="4"/>
      <c r="CP572" s="4"/>
      <c r="CQ572" s="6"/>
      <c r="CR572" s="7"/>
      <c r="CS572" s="4"/>
      <c r="CT572" s="4"/>
      <c r="CU572" s="4"/>
      <c r="CV572" s="4"/>
      <c r="CW572" s="6"/>
      <c r="CX572" s="7"/>
      <c r="CY572" s="4"/>
      <c r="CZ572" s="4"/>
      <c r="DA572" s="4"/>
      <c r="DB572" s="4"/>
      <c r="DC572" s="6"/>
      <c r="DD572" s="7"/>
      <c r="DE572" s="4"/>
      <c r="DF572" s="4"/>
      <c r="DG572" s="4"/>
      <c r="DH572" s="4"/>
      <c r="DI572" s="6"/>
      <c r="DJ572" s="7"/>
      <c r="DK572" s="4"/>
      <c r="DL572" s="4"/>
      <c r="DM572" s="4"/>
      <c r="DN572" s="4"/>
      <c r="DO572" s="4"/>
      <c r="DP572" s="4"/>
      <c r="DQ572" s="3"/>
      <c r="DR572" s="4"/>
      <c r="DS572" s="4"/>
      <c r="DT572" s="4"/>
      <c r="DU572" s="4"/>
      <c r="DV572" s="4"/>
      <c r="DW572" s="4"/>
      <c r="DX572" s="4"/>
      <c r="DY572" s="4"/>
      <c r="DZ572" s="4"/>
      <c r="EA572" s="4"/>
      <c r="EB572" s="4"/>
      <c r="EC572" s="4"/>
      <c r="ED572" s="4"/>
      <c r="FL572" s="9"/>
      <c r="FM572" s="10"/>
      <c r="FT572" s="10"/>
      <c r="FU572" s="9"/>
      <c r="GG572" s="9"/>
      <c r="IP572" s="4"/>
      <c r="IZ572" s="240"/>
      <c r="JA572" s="240"/>
      <c r="JB572" s="240"/>
      <c r="JC572" s="240"/>
    </row>
    <row r="573" spans="1:263" ht="15" customHeight="1">
      <c r="A573" s="19">
        <v>102022020</v>
      </c>
      <c r="B573" t="s">
        <v>2786</v>
      </c>
      <c r="D573" s="1"/>
      <c r="G573" s="3" t="s">
        <v>5237</v>
      </c>
      <c r="J573" t="s">
        <v>311</v>
      </c>
      <c r="K573" t="s">
        <v>2954</v>
      </c>
      <c r="L573" t="s">
        <v>607</v>
      </c>
      <c r="M573" t="s">
        <v>537</v>
      </c>
      <c r="AK573" s="1"/>
      <c r="AM573"/>
      <c r="AN573"/>
      <c r="AO573" s="3" t="s">
        <v>2955</v>
      </c>
      <c r="AP573" s="1" t="s">
        <v>258</v>
      </c>
      <c r="AQ573" s="3" t="s">
        <v>386</v>
      </c>
      <c r="AR573" t="s">
        <v>260</v>
      </c>
      <c r="AS573" s="10"/>
      <c r="AT573" s="10"/>
      <c r="AU573" s="10"/>
      <c r="AV573" s="10"/>
      <c r="AW573" s="10"/>
      <c r="AX573" s="1"/>
      <c r="AY573" s="21"/>
      <c r="AZ573" s="15"/>
      <c r="BA573" s="1"/>
      <c r="BB573" s="1"/>
      <c r="BC573" s="2"/>
      <c r="BD573" s="115">
        <v>45382</v>
      </c>
      <c r="BE573" s="9"/>
      <c r="BF573" s="2"/>
      <c r="BG573" s="20"/>
      <c r="BH573" s="22"/>
      <c r="BI573" s="22"/>
      <c r="BJ573" s="14"/>
      <c r="BK573" s="22"/>
      <c r="BL573" s="20">
        <f ca="1">SUM(EN573)+220</f>
        <v>2328.4077999999995</v>
      </c>
      <c r="BM573" s="22">
        <f ca="1">PMT(10%/12,12,BL573,0,0)</f>
        <v>-204.70403757027469</v>
      </c>
      <c r="BN573" s="22">
        <f ca="1">SUM(BM573*-1)</f>
        <v>204.70403757027469</v>
      </c>
      <c r="BO573" s="14">
        <f>SUM(EV573*0.0052)/12</f>
        <v>54.21</v>
      </c>
      <c r="BP573" s="22">
        <f ca="1">SUM(BN573+BO573)</f>
        <v>258.91403757027467</v>
      </c>
      <c r="BQ573" s="14"/>
      <c r="BR573" s="14">
        <f>SUM(BQ573*0.1)</f>
        <v>0</v>
      </c>
      <c r="BS573" s="14">
        <f ca="1">SUM(BT573*BU573)</f>
        <v>0</v>
      </c>
      <c r="BT573" s="17">
        <f>SUM((BQ573+BR573)*0.00833333333333333)</f>
        <v>0</v>
      </c>
      <c r="BU573" s="23">
        <f ca="1">MONTH(TODAY())+61</f>
        <v>65</v>
      </c>
      <c r="BV573" s="14">
        <f ca="1">SUM(BQ573,BR573,BS573)</f>
        <v>0</v>
      </c>
      <c r="BW573" s="14"/>
      <c r="BX573" s="14">
        <f>SUM(BW573*0.1)</f>
        <v>0</v>
      </c>
      <c r="BY573" s="14">
        <f ca="1">SUM(BZ573*CA573)</f>
        <v>0</v>
      </c>
      <c r="BZ573" s="17">
        <f>SUM((BW573+BX573)*0.00833333333333333)</f>
        <v>0</v>
      </c>
      <c r="CA573" s="23">
        <f ca="1">MONTH(TODAY())+49</f>
        <v>53</v>
      </c>
      <c r="CB573" s="14">
        <f ca="1">SUM(BW573,BX573,BY573)</f>
        <v>0</v>
      </c>
      <c r="CC573" s="14">
        <v>0</v>
      </c>
      <c r="CD573" s="14">
        <f>SUM(CC573*0.1)</f>
        <v>0</v>
      </c>
      <c r="CE573" s="14">
        <f ca="1">SUM(CF573*CG573)</f>
        <v>0</v>
      </c>
      <c r="CF573" s="17">
        <f>SUM((CC573+CD573)*0.00833333333333333)</f>
        <v>0</v>
      </c>
      <c r="CG573" s="23">
        <f ca="1">MONTH(TODAY())+37</f>
        <v>41</v>
      </c>
      <c r="CH573" s="14">
        <f ca="1">SUM(CC573,CD573,CE573)</f>
        <v>0</v>
      </c>
      <c r="CI573" s="14">
        <f>SUM(ES573*0.0052)</f>
        <v>411.32</v>
      </c>
      <c r="CJ573" s="14">
        <f>SUM(CI573*0.1)</f>
        <v>41.132000000000005</v>
      </c>
      <c r="CK573" s="14">
        <f ca="1">SUM(CL573*CM573)</f>
        <v>109.34256666666663</v>
      </c>
      <c r="CL573" s="17">
        <f>SUM((CI573+CJ573)*0.00833333333333333)</f>
        <v>3.7704333333333317</v>
      </c>
      <c r="CM573" s="23">
        <f ca="1">MONTH(TODAY())+25</f>
        <v>29</v>
      </c>
      <c r="CN573" s="14">
        <f ca="1">SUM(CI573,CJ573,CK573)</f>
        <v>561.79456666666658</v>
      </c>
      <c r="CO573" s="14">
        <f>SUM(ES573*0.0052)/2</f>
        <v>205.66</v>
      </c>
      <c r="CP573" s="14">
        <f>SUM(CO573*0.1)</f>
        <v>20.566000000000003</v>
      </c>
      <c r="CQ573" s="14">
        <f ca="1">SUM(CR573*CS573)</f>
        <v>39.589549999999981</v>
      </c>
      <c r="CR573" s="17">
        <f>SUM((CO573+CP573)*0.00833333333333333)</f>
        <v>1.8852166666666659</v>
      </c>
      <c r="CS573" s="23">
        <f ca="1">MONTH(TODAY())+17</f>
        <v>21</v>
      </c>
      <c r="CT573" s="23">
        <f ca="1">SUM(CO573,CP573,CQ573)</f>
        <v>265.81554999999997</v>
      </c>
      <c r="CU573" s="14">
        <f>SUM(ES573*0.0052)/2</f>
        <v>205.66</v>
      </c>
      <c r="CV573" s="14">
        <f>SUM(CU573*0.1)</f>
        <v>20.566000000000003</v>
      </c>
      <c r="CW573" s="14">
        <f ca="1">SUM(CX573*CY573)</f>
        <v>32.048683333333322</v>
      </c>
      <c r="CX573" s="17">
        <f>SUM((CU573+CV573)*0.00833333333333333)</f>
        <v>1.8852166666666659</v>
      </c>
      <c r="CY573" s="23">
        <f ca="1">MONTH(TODAY())+13</f>
        <v>17</v>
      </c>
      <c r="CZ573" s="23">
        <f ca="1">SUM(CU573,CV573,CW573)</f>
        <v>258.27468333333331</v>
      </c>
      <c r="DA573" s="14">
        <f>SUM(EV573*0.0045)/2</f>
        <v>281.47499999999997</v>
      </c>
      <c r="DB573" s="14">
        <f>SUM(DA573*0.1)</f>
        <v>28.147499999999997</v>
      </c>
      <c r="DC573" s="14">
        <f ca="1">SUM(DD573*DE573)</f>
        <v>28.382062499999982</v>
      </c>
      <c r="DD573" s="17">
        <f>SUM((DA573+DB573)*0.00833333333333333)</f>
        <v>2.5801874999999983</v>
      </c>
      <c r="DE573" s="23">
        <f ca="1">MONTH(TODAY())+7</f>
        <v>11</v>
      </c>
      <c r="DF573" s="23">
        <f ca="1">SUM(DA573,DB573,DC573)</f>
        <v>338.00456249999991</v>
      </c>
      <c r="DG573" s="14">
        <f>SUM(EV573*0.0045)/2</f>
        <v>281.47499999999997</v>
      </c>
      <c r="DH573" s="14">
        <f>SUM(DG573*0.1)</f>
        <v>28.147499999999997</v>
      </c>
      <c r="DI573" s="14">
        <f ca="1">SUM(DJ573*DK573)</f>
        <v>12.900937499999991</v>
      </c>
      <c r="DJ573" s="17">
        <f>SUM((DG573+DH573)*0.00833333333333333)</f>
        <v>2.5801874999999983</v>
      </c>
      <c r="DK573" s="23">
        <f ca="1">MONTH(TODAY())+1</f>
        <v>5</v>
      </c>
      <c r="DL573" s="14">
        <f ca="1">SUM(DG573,DH573,DI573)</f>
        <v>322.52343749999994</v>
      </c>
      <c r="DM573" s="14">
        <f>SUM(EV573*0.0045)/2</f>
        <v>281.47499999999997</v>
      </c>
      <c r="DN573" s="14">
        <f>0</f>
        <v>0</v>
      </c>
      <c r="DO573" s="14">
        <f>0</f>
        <v>0</v>
      </c>
      <c r="DP573" s="17">
        <f>SUM((DM573+DN573)*0.00833333333333333)</f>
        <v>2.3456249999999987</v>
      </c>
      <c r="DQ573" s="23">
        <f ca="1">MONTH(TODAY())+7</f>
        <v>11</v>
      </c>
      <c r="DR573" s="23">
        <f>SUM(DM573,DN573,DO573)</f>
        <v>281.47499999999997</v>
      </c>
      <c r="DS573" s="14">
        <f>0</f>
        <v>0</v>
      </c>
      <c r="DT573" s="14">
        <f>0</f>
        <v>0</v>
      </c>
      <c r="DU573" s="14">
        <f ca="1">SUM(DV573*DW573)</f>
        <v>0</v>
      </c>
      <c r="DV573" s="17">
        <f>SUM((DS573+DT573)*0.00833333333333333)</f>
        <v>0</v>
      </c>
      <c r="DW573" s="23">
        <f ca="1">MONTH(TODAY())+1</f>
        <v>5</v>
      </c>
      <c r="DX573" s="14">
        <f ca="1">SUM(DS573,DT573,DU573)</f>
        <v>0</v>
      </c>
      <c r="DY573" s="14">
        <f>SUM( BQ573, BW573, CC573, CI573, CO573,CU573,DA573,DG573,DM573,DS573)</f>
        <v>1667.0649999999998</v>
      </c>
      <c r="DZ573" s="14">
        <f>SUM(BR573,BX573,CD573,CJ573, CP573,CV573,DB573,DH573,DN573,DT573)</f>
        <v>138.559</v>
      </c>
      <c r="EA573" s="14">
        <f ca="1">SUM(BS573,BY573,CE573,CK573, CQ573,CW573,DC573,DI573,DO573,DU573)</f>
        <v>222.26379999999992</v>
      </c>
      <c r="EB573" s="25">
        <f ca="1">SUM(DY573:EA573)</f>
        <v>2027.8877999999997</v>
      </c>
      <c r="EC573" s="47">
        <f ca="1">SUM(EB573/ES573)</f>
        <v>2.5637013906447532E-2</v>
      </c>
      <c r="ED573" s="14">
        <f>40+10</f>
        <v>50</v>
      </c>
      <c r="EE573" s="32">
        <f>COUNTIF(AO573, "*")+COUNTIF(AJ573, "*")+COUNTIF(AA573, "*")+COUNTIF(FG573, "*")+COUNTIF(FM573, "*")+COUNTIF(FS573, "*")+COUNTIF(FW573, "*")+COUNTIF(GD573, "*")+COUNTIF(AT573, "*")+COUNTIF(GM573, "*")+COUNTIF(GX573, "*")+COUNTIF(HI573, "*")+COUNTIF(HQ573, "*")+COUNTIF(HY573, "*")+COUNTIF(IG573, "*")</f>
        <v>4</v>
      </c>
      <c r="EF573" s="14">
        <f>EE573*0.64</f>
        <v>2.56</v>
      </c>
      <c r="EG573" s="4"/>
      <c r="EH573" s="4">
        <v>27.96</v>
      </c>
      <c r="EI573" s="4"/>
      <c r="EJ573" s="4"/>
      <c r="EL573" s="4"/>
      <c r="EM573" s="14">
        <f>SUM(EH573:EL573)</f>
        <v>27.96</v>
      </c>
      <c r="EN573" s="14">
        <f ca="1">SUM(EB573,ED573,EM573, EG573, EF573,GJ573)</f>
        <v>2108.4077999999995</v>
      </c>
      <c r="EO573" s="24" t="s">
        <v>4944</v>
      </c>
      <c r="EP573" s="130">
        <v>1.26</v>
      </c>
      <c r="EQ573" s="14">
        <v>17000</v>
      </c>
      <c r="ER573" s="14">
        <v>62100</v>
      </c>
      <c r="ES573" s="14">
        <f>SUM(EQ573+ER573)</f>
        <v>79100</v>
      </c>
      <c r="ET573" s="14">
        <v>21300</v>
      </c>
      <c r="EU573" s="14">
        <v>103800</v>
      </c>
      <c r="EV573" s="14">
        <f>SUM(ET573+EU573)</f>
        <v>125100</v>
      </c>
      <c r="EW573" s="10" t="s">
        <v>5056</v>
      </c>
      <c r="EX573" s="10" t="s">
        <v>5057</v>
      </c>
      <c r="EY573" s="10"/>
      <c r="EZ573" s="10"/>
      <c r="FA573" s="10"/>
      <c r="FB573" s="10"/>
      <c r="FC573" s="10"/>
      <c r="FD573" s="10"/>
      <c r="FV573" t="s">
        <v>5049</v>
      </c>
      <c r="FW573" t="s">
        <v>859</v>
      </c>
      <c r="FX573" t="s">
        <v>5050</v>
      </c>
      <c r="FY573" t="s">
        <v>543</v>
      </c>
      <c r="FZ573" t="s">
        <v>544</v>
      </c>
      <c r="GA573" s="9">
        <v>44078</v>
      </c>
      <c r="GB573" t="s">
        <v>5051</v>
      </c>
      <c r="GK573" t="s">
        <v>5053</v>
      </c>
      <c r="GL573" t="s">
        <v>5052</v>
      </c>
      <c r="GM573" t="s">
        <v>5054</v>
      </c>
      <c r="GO573" t="s">
        <v>386</v>
      </c>
      <c r="GP573" t="s">
        <v>260</v>
      </c>
      <c r="GQ573" s="9">
        <v>39055</v>
      </c>
      <c r="GR573" t="s">
        <v>5055</v>
      </c>
      <c r="IE573" t="s">
        <v>5163</v>
      </c>
      <c r="IF573" t="s">
        <v>5162</v>
      </c>
      <c r="IG573" t="s">
        <v>2722</v>
      </c>
      <c r="IH573" t="s">
        <v>5164</v>
      </c>
      <c r="II573" t="s">
        <v>5165</v>
      </c>
      <c r="IJ573" t="s">
        <v>2705</v>
      </c>
      <c r="IM573" s="4"/>
    </row>
    <row r="574" spans="1:263" ht="15" customHeight="1">
      <c r="A574" s="19">
        <v>102022094</v>
      </c>
      <c r="B574" t="s">
        <v>2837</v>
      </c>
      <c r="D574" s="1"/>
      <c r="J574" t="s">
        <v>311</v>
      </c>
      <c r="K574" t="s">
        <v>1186</v>
      </c>
      <c r="L574" t="s">
        <v>3083</v>
      </c>
      <c r="AG574" s="248"/>
      <c r="AJ574" t="s">
        <v>3090</v>
      </c>
      <c r="AK574" t="s">
        <v>258</v>
      </c>
      <c r="AL574" t="s">
        <v>386</v>
      </c>
      <c r="AM574" s="3" t="s">
        <v>260</v>
      </c>
      <c r="AO574" t="s">
        <v>773</v>
      </c>
      <c r="AP574" s="1" t="s">
        <v>258</v>
      </c>
      <c r="AQ574" s="3" t="s">
        <v>386</v>
      </c>
      <c r="AR574" s="3" t="s">
        <v>260</v>
      </c>
      <c r="AS574" s="1"/>
      <c r="AT574" s="1"/>
      <c r="AU574" s="1"/>
      <c r="AV574" s="1"/>
      <c r="AW574" s="1"/>
      <c r="AX574" s="2"/>
      <c r="AY574" s="116"/>
      <c r="AZ574" s="115"/>
      <c r="BA574" s="2"/>
      <c r="BB574" s="2"/>
      <c r="BC574" s="2"/>
      <c r="BD574" s="2"/>
      <c r="BE574" s="2"/>
      <c r="BF574" s="2"/>
      <c r="BG574" s="20"/>
      <c r="BH574" s="22"/>
      <c r="BI574" s="22"/>
      <c r="BJ574" s="14"/>
      <c r="BK574" s="22"/>
      <c r="BL574" s="14"/>
      <c r="BM574" s="14"/>
      <c r="BN574" s="14"/>
      <c r="BO574" s="17"/>
      <c r="BP574" s="23"/>
      <c r="BQ574" s="14"/>
      <c r="BR574" s="14"/>
      <c r="BS574" s="14"/>
      <c r="BT574" s="14"/>
      <c r="BU574" s="17"/>
      <c r="BV574" s="23"/>
      <c r="BW574" s="14"/>
      <c r="BX574" s="14"/>
      <c r="BY574" s="14"/>
      <c r="BZ574" s="14"/>
      <c r="CA574" s="17"/>
      <c r="CB574" s="23"/>
      <c r="CC574" s="14"/>
      <c r="CD574" s="14"/>
      <c r="CE574" s="14"/>
      <c r="CF574" s="14"/>
      <c r="CG574" s="17"/>
      <c r="CH574" s="23"/>
      <c r="CI574" s="14"/>
      <c r="CJ574" s="14"/>
      <c r="CK574" s="14"/>
      <c r="CL574" s="14"/>
      <c r="CM574" s="17"/>
      <c r="CN574" s="23"/>
      <c r="CO574" s="14"/>
      <c r="CP574" s="14"/>
      <c r="CQ574" s="14"/>
      <c r="CR574" s="14"/>
      <c r="CS574" s="14"/>
      <c r="CT574" s="47"/>
      <c r="CU574" s="14"/>
      <c r="CV574" s="32"/>
      <c r="CW574" s="14"/>
      <c r="CX574" s="4"/>
      <c r="CY574" s="14"/>
      <c r="CZ574" s="4"/>
      <c r="DE574" s="14"/>
      <c r="DF574" s="24"/>
      <c r="DG574" s="4"/>
      <c r="DH574" s="4"/>
      <c r="DI574" s="25"/>
      <c r="DJ574" s="35">
        <v>3</v>
      </c>
      <c r="IC574" s="4"/>
    </row>
    <row r="575" spans="1:263" ht="15" customHeight="1">
      <c r="A575" s="19">
        <v>102022095</v>
      </c>
      <c r="B575" t="s">
        <v>2838</v>
      </c>
      <c r="D575" s="1"/>
      <c r="J575" t="s">
        <v>311</v>
      </c>
      <c r="K575" t="s">
        <v>1186</v>
      </c>
      <c r="L575" t="s">
        <v>3083</v>
      </c>
      <c r="AG575" s="248"/>
      <c r="AJ575" t="s">
        <v>3091</v>
      </c>
      <c r="AK575" t="s">
        <v>258</v>
      </c>
      <c r="AL575" t="s">
        <v>386</v>
      </c>
      <c r="AM575" s="3" t="s">
        <v>260</v>
      </c>
      <c r="AO575" t="s">
        <v>773</v>
      </c>
      <c r="AP575" s="1" t="s">
        <v>258</v>
      </c>
      <c r="AQ575" s="3" t="s">
        <v>386</v>
      </c>
      <c r="AR575" s="3" t="s">
        <v>260</v>
      </c>
      <c r="AS575" s="1"/>
      <c r="AT575" s="1"/>
      <c r="AU575" s="1"/>
      <c r="AV575" s="1"/>
      <c r="AW575" s="1"/>
      <c r="AX575" s="2"/>
      <c r="AY575" s="116"/>
      <c r="AZ575" s="115"/>
      <c r="BA575" s="2"/>
      <c r="BB575" s="2"/>
      <c r="BC575" s="2"/>
      <c r="BD575" s="2"/>
      <c r="BE575" s="2"/>
      <c r="BF575" s="2"/>
      <c r="BG575" s="20"/>
      <c r="BH575" s="22"/>
      <c r="BI575" s="22"/>
      <c r="BJ575" s="14"/>
      <c r="BK575" s="22"/>
      <c r="BL575" s="14"/>
      <c r="BM575" s="14"/>
      <c r="BN575" s="14"/>
      <c r="BO575" s="17"/>
      <c r="BP575" s="23"/>
      <c r="BQ575" s="14"/>
      <c r="BR575" s="14"/>
      <c r="BS575" s="14"/>
      <c r="BT575" s="14"/>
      <c r="BU575" s="17"/>
      <c r="BV575" s="23"/>
      <c r="BW575" s="14"/>
      <c r="BX575" s="14"/>
      <c r="BY575" s="14"/>
      <c r="BZ575" s="14"/>
      <c r="CA575" s="17"/>
      <c r="CB575" s="23"/>
      <c r="CC575" s="14"/>
      <c r="CD575" s="14"/>
      <c r="CE575" s="14"/>
      <c r="CF575" s="14"/>
      <c r="CG575" s="17"/>
      <c r="CH575" s="23"/>
      <c r="CI575" s="14"/>
      <c r="CJ575" s="14"/>
      <c r="CK575" s="14"/>
      <c r="CL575" s="14"/>
      <c r="CM575" s="17"/>
      <c r="CN575" s="23"/>
      <c r="CO575" s="14"/>
      <c r="CP575" s="14"/>
      <c r="CQ575" s="14"/>
      <c r="CR575" s="14"/>
      <c r="CS575" s="14"/>
      <c r="CT575" s="47"/>
      <c r="CU575" s="14"/>
      <c r="CV575" s="32"/>
      <c r="CW575" s="14"/>
      <c r="CX575" s="4"/>
      <c r="CY575" s="14"/>
      <c r="CZ575" s="4"/>
      <c r="DE575" s="14"/>
      <c r="DF575" s="24"/>
      <c r="DG575" s="4"/>
      <c r="DH575" s="4"/>
      <c r="DI575" s="25"/>
      <c r="DJ575" s="35">
        <v>3</v>
      </c>
      <c r="IC575" s="4"/>
    </row>
    <row r="576" spans="1:263" ht="15" customHeight="1">
      <c r="A576" s="2">
        <v>102017063</v>
      </c>
      <c r="B576" t="s">
        <v>963</v>
      </c>
      <c r="J576" t="s">
        <v>311</v>
      </c>
      <c r="K576" t="s">
        <v>964</v>
      </c>
      <c r="L576" t="s">
        <v>574</v>
      </c>
      <c r="M576" t="s">
        <v>392</v>
      </c>
      <c r="O576" s="1"/>
      <c r="T576" s="1"/>
      <c r="X576" s="1"/>
      <c r="AE576" s="1"/>
      <c r="AJ576" s="4"/>
      <c r="AK576" s="4"/>
      <c r="AL576" s="4"/>
      <c r="AO576" s="4"/>
      <c r="AP576" s="13"/>
      <c r="AQ576" s="34"/>
      <c r="AR576" s="34"/>
      <c r="AS576" s="5"/>
      <c r="AT576" s="13"/>
      <c r="AU576" s="1"/>
      <c r="AV576" s="1"/>
      <c r="AW576" s="1"/>
      <c r="AX576" s="1"/>
      <c r="AY576" s="1"/>
      <c r="AZ576" s="15"/>
      <c r="BA576" s="1"/>
      <c r="BB576" s="1"/>
      <c r="BC576" s="1"/>
      <c r="BD576" s="1"/>
      <c r="BE576" s="5"/>
      <c r="BF576" s="16"/>
      <c r="BG576" s="16"/>
      <c r="BI576" s="4"/>
      <c r="BJ576" s="4"/>
      <c r="BK576" s="6"/>
      <c r="BL576" s="7"/>
      <c r="BM576" s="4"/>
      <c r="BO576" s="4"/>
      <c r="BP576" s="4"/>
      <c r="BQ576" s="6"/>
      <c r="BR576" s="7"/>
      <c r="BS576" s="4"/>
      <c r="BT576" s="4"/>
      <c r="BU576" s="4"/>
      <c r="BV576" s="4"/>
      <c r="BW576" s="6"/>
      <c r="BX576" s="7"/>
      <c r="BY576" s="4"/>
      <c r="CA576" s="4"/>
      <c r="CB576" s="4"/>
      <c r="CC576" s="6"/>
      <c r="CD576" s="7"/>
      <c r="CE576" s="4"/>
      <c r="CF576" s="4"/>
      <c r="CG576" s="4"/>
      <c r="CH576" s="4"/>
      <c r="CI576" s="6"/>
      <c r="CJ576" s="7"/>
      <c r="CK576" s="4"/>
      <c r="CL576" s="4"/>
      <c r="CM576" s="4"/>
      <c r="CN576" s="4"/>
      <c r="CO576" s="6"/>
      <c r="CP576" s="7"/>
      <c r="CQ576" s="4"/>
      <c r="CR576" s="4"/>
      <c r="CS576" s="4"/>
      <c r="CT576" s="4"/>
      <c r="CU576" s="6"/>
      <c r="CV576" s="7"/>
      <c r="CW576" s="4"/>
      <c r="CX576" s="4"/>
      <c r="CY576" s="4"/>
      <c r="CZ576" s="4"/>
      <c r="DA576" s="6"/>
      <c r="DB576" s="7"/>
      <c r="DC576" s="4"/>
      <c r="DD576" s="4"/>
      <c r="DE576" s="4"/>
      <c r="DF576" s="4"/>
      <c r="DG576" s="6"/>
      <c r="DH576" s="7"/>
      <c r="DI576" s="4"/>
      <c r="DJ576" s="4"/>
      <c r="DK576" s="4"/>
      <c r="DL576" s="4"/>
      <c r="DM576" s="4"/>
      <c r="DN576" s="3"/>
      <c r="DO576" s="4"/>
      <c r="DP576" s="4"/>
      <c r="DQ576" s="4"/>
      <c r="DR576" s="4"/>
      <c r="DS576" s="4"/>
      <c r="DT576" s="4"/>
      <c r="DU576" s="4"/>
      <c r="DV576" s="4"/>
      <c r="DW576" s="4"/>
      <c r="DX576" s="4"/>
      <c r="DY576" s="4"/>
      <c r="DZ576" s="4"/>
      <c r="EA576" s="4"/>
      <c r="EB576" s="4"/>
      <c r="EC576" s="4"/>
      <c r="ED576" s="4"/>
      <c r="EE576" s="4"/>
      <c r="EF576" s="4"/>
      <c r="EG576" s="4"/>
      <c r="FN576" s="9"/>
      <c r="FO576" s="10"/>
      <c r="FV576" s="10"/>
      <c r="GH576" s="9"/>
      <c r="GS576" s="9"/>
      <c r="HD576" s="9"/>
      <c r="HL576" s="9"/>
    </row>
    <row r="577" spans="1:263" ht="15" customHeight="1">
      <c r="A577" s="2">
        <v>102018049</v>
      </c>
      <c r="B577" s="4" t="s">
        <v>963</v>
      </c>
      <c r="C577" s="3"/>
      <c r="D577" s="3"/>
      <c r="E577" s="3"/>
      <c r="F577" s="3"/>
      <c r="J577" t="s">
        <v>311</v>
      </c>
      <c r="K577" t="s">
        <v>1186</v>
      </c>
      <c r="L577" t="s">
        <v>392</v>
      </c>
      <c r="M577" t="s">
        <v>1139</v>
      </c>
      <c r="O577" s="1"/>
      <c r="T577" s="1"/>
      <c r="AH577" s="31"/>
      <c r="AJ577" s="4"/>
      <c r="AK577" s="4"/>
      <c r="AM577" s="34"/>
      <c r="AO577" s="4"/>
      <c r="AP577" s="5"/>
      <c r="AQ577" s="34"/>
      <c r="AS577" s="5"/>
      <c r="AT577" s="5"/>
      <c r="AU577" s="1"/>
      <c r="AV577" s="1"/>
      <c r="AW577" s="1"/>
      <c r="AX577" s="1"/>
      <c r="AY577" s="1"/>
      <c r="AZ577" s="1"/>
      <c r="BA577" s="1"/>
      <c r="BB577" s="1"/>
      <c r="BC577" s="1"/>
      <c r="BD577" s="1"/>
      <c r="BE577" s="1"/>
      <c r="BF577" s="1"/>
      <c r="BG577" s="5"/>
      <c r="BH577" s="16"/>
      <c r="BI577" s="16"/>
      <c r="BK577" s="4"/>
      <c r="BL577" s="4"/>
      <c r="BM577" s="6"/>
      <c r="BN577" s="7"/>
      <c r="BO577" s="4"/>
      <c r="BQ577" s="4"/>
      <c r="BR577" s="4"/>
      <c r="BS577" s="6"/>
      <c r="BT577" s="7"/>
      <c r="BU577" s="4"/>
      <c r="BW577" s="4"/>
      <c r="BX577" s="4"/>
      <c r="BY577" s="6"/>
      <c r="BZ577" s="7"/>
      <c r="CA577" s="4"/>
      <c r="CB577" s="4"/>
      <c r="CC577" s="4"/>
      <c r="CD577" s="4"/>
      <c r="CE577" s="6"/>
      <c r="CF577" s="7"/>
      <c r="CG577" s="4"/>
      <c r="CH577" s="6"/>
      <c r="CI577" s="4"/>
      <c r="CJ577" s="4"/>
      <c r="CK577" s="6"/>
      <c r="CL577" s="7"/>
      <c r="CM577" s="4"/>
      <c r="CN577" s="4"/>
      <c r="CO577" s="4"/>
      <c r="CP577" s="4"/>
      <c r="CQ577" s="6"/>
      <c r="CR577" s="7"/>
      <c r="CS577" s="4"/>
      <c r="CT577" s="4"/>
      <c r="CU577" s="4"/>
      <c r="CV577" s="4"/>
      <c r="CW577" s="6"/>
      <c r="CX577" s="7"/>
      <c r="CY577" s="4"/>
      <c r="CZ577" s="4"/>
      <c r="DA577" s="4"/>
      <c r="DB577" s="4"/>
      <c r="DC577" s="6"/>
      <c r="DD577" s="7"/>
      <c r="DE577" s="4"/>
      <c r="DF577" s="4"/>
      <c r="DG577" s="4"/>
      <c r="DH577" s="4"/>
      <c r="DI577" s="6"/>
      <c r="DJ577" s="7"/>
      <c r="DK577" s="4"/>
      <c r="DL577" s="4"/>
      <c r="DM577" s="4"/>
      <c r="DN577" s="4"/>
      <c r="DO577" s="4"/>
      <c r="DP577" s="4"/>
      <c r="DR577" s="4"/>
      <c r="DS577" s="4"/>
      <c r="DT577" s="4"/>
      <c r="DU577" s="4"/>
      <c r="DV577" s="4"/>
      <c r="DW577" s="4"/>
      <c r="DX577" s="4"/>
      <c r="DY577" s="7"/>
      <c r="DZ577" s="4"/>
      <c r="EA577" s="4"/>
      <c r="EB577" s="34"/>
      <c r="EC577" s="4"/>
      <c r="ED577" s="4"/>
      <c r="EM577" s="11"/>
      <c r="ES577" s="11"/>
      <c r="ET577" s="11"/>
      <c r="EU577" s="4"/>
      <c r="EV577" s="4"/>
      <c r="EW577" s="4"/>
      <c r="EX577" s="4"/>
      <c r="EY577" s="4"/>
      <c r="EZ577" s="4"/>
      <c r="FA577" s="4"/>
      <c r="FB577" s="4"/>
      <c r="FC577" s="4"/>
      <c r="FD577" s="4"/>
      <c r="FE577" s="4"/>
      <c r="FF577" s="4"/>
      <c r="FG577" s="4"/>
      <c r="FH577" s="4"/>
      <c r="FL577" s="9"/>
      <c r="FU577" s="9"/>
      <c r="GE577" s="10"/>
      <c r="GO577" s="10"/>
      <c r="HD577" s="9"/>
    </row>
    <row r="578" spans="1:263" s="240" customFormat="1" ht="15" customHeight="1">
      <c r="A578" s="19">
        <v>102021090</v>
      </c>
      <c r="B578" s="18" t="s">
        <v>2620</v>
      </c>
      <c r="C578"/>
      <c r="D578" s="1"/>
      <c r="E578"/>
      <c r="F578"/>
      <c r="G578"/>
      <c r="H578"/>
      <c r="I578"/>
      <c r="J578" s="18" t="s">
        <v>311</v>
      </c>
      <c r="K578" s="18" t="s">
        <v>2621</v>
      </c>
      <c r="L578" s="18" t="s">
        <v>1006</v>
      </c>
      <c r="M578" s="18" t="s">
        <v>326</v>
      </c>
      <c r="N578"/>
      <c r="O578"/>
      <c r="P578"/>
      <c r="Q578"/>
      <c r="R578"/>
      <c r="S578"/>
      <c r="T578"/>
      <c r="U578"/>
      <c r="V578"/>
      <c r="W578"/>
      <c r="X578"/>
      <c r="Y578"/>
      <c r="Z578"/>
      <c r="AA578"/>
      <c r="AB578"/>
      <c r="AC578"/>
      <c r="AD578"/>
      <c r="AE578"/>
      <c r="AF578"/>
      <c r="AG578" s="3"/>
      <c r="AH578"/>
      <c r="AI578"/>
      <c r="AJ578" s="18" t="s">
        <v>328</v>
      </c>
      <c r="AK578" s="18"/>
      <c r="AL578" s="18" t="s">
        <v>600</v>
      </c>
      <c r="AM578"/>
      <c r="AN578"/>
      <c r="AO578" s="3" t="s">
        <v>2622</v>
      </c>
      <c r="AP578" s="1" t="s">
        <v>258</v>
      </c>
      <c r="AQ578" s="3" t="s">
        <v>600</v>
      </c>
      <c r="AR578" s="18" t="s">
        <v>260</v>
      </c>
      <c r="AS578"/>
      <c r="AT578" s="1"/>
      <c r="AU578" s="1"/>
      <c r="AV578" s="1"/>
      <c r="AW578" s="1"/>
      <c r="AX578" s="2"/>
      <c r="AY578" s="70"/>
      <c r="AZ578" s="70"/>
      <c r="BA578" s="2"/>
      <c r="BB578" s="2"/>
      <c r="BC578" s="2"/>
      <c r="BD578" s="2"/>
      <c r="BE578" s="2"/>
      <c r="BF578" s="2"/>
      <c r="BG578" s="20"/>
      <c r="BH578" s="22"/>
      <c r="BI578" s="22"/>
      <c r="BJ578" s="14"/>
      <c r="BK578" s="22"/>
      <c r="BL578" s="14"/>
      <c r="BM578" s="14"/>
      <c r="BN578" s="14"/>
      <c r="BO578" s="17"/>
      <c r="BP578" s="23"/>
      <c r="BQ578" s="14"/>
      <c r="BR578" s="14"/>
      <c r="BS578" s="14"/>
      <c r="BT578" s="14"/>
      <c r="BU578" s="17"/>
      <c r="BV578" s="23"/>
      <c r="BW578" s="14"/>
      <c r="BX578" s="14"/>
      <c r="BY578" s="14"/>
      <c r="BZ578" s="14"/>
      <c r="CA578" s="17"/>
      <c r="CB578" s="23"/>
      <c r="CC578" s="14"/>
      <c r="CD578" s="14"/>
      <c r="CE578" s="14"/>
      <c r="CF578" s="14"/>
      <c r="CG578" s="17"/>
      <c r="CH578" s="23"/>
      <c r="CI578" s="14"/>
      <c r="CJ578" s="14"/>
      <c r="CK578" s="14"/>
      <c r="CL578" s="14"/>
      <c r="CM578" s="17"/>
      <c r="CN578" s="23"/>
      <c r="CO578" s="14"/>
      <c r="CP578" s="14"/>
      <c r="CQ578" s="14"/>
      <c r="CR578" s="14"/>
      <c r="CS578" s="14"/>
      <c r="CT578" s="47"/>
      <c r="CU578" s="14"/>
      <c r="CV578" s="32"/>
      <c r="CW578" s="14"/>
      <c r="CX578" s="4"/>
      <c r="CY578" s="14"/>
      <c r="CZ578" s="14"/>
      <c r="DA578"/>
      <c r="DB578"/>
      <c r="DC578"/>
      <c r="DD578"/>
      <c r="DE578" s="14"/>
      <c r="DF578" s="24"/>
      <c r="DG578" s="4"/>
      <c r="DH578" s="4"/>
      <c r="DI578" s="25"/>
      <c r="DJ578" s="35">
        <v>9.1</v>
      </c>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s="4"/>
      <c r="ID578"/>
      <c r="IE578"/>
      <c r="IF578"/>
      <c r="IG578"/>
      <c r="IH578"/>
      <c r="II578"/>
      <c r="IJ578"/>
      <c r="IK578"/>
      <c r="IL578"/>
      <c r="IM578"/>
      <c r="IN578"/>
      <c r="IO578"/>
      <c r="IP578"/>
      <c r="IQ578"/>
      <c r="IR578"/>
      <c r="IS578"/>
      <c r="IT578"/>
      <c r="IU578"/>
      <c r="IV578"/>
      <c r="IW578"/>
      <c r="IX578"/>
      <c r="IY578"/>
      <c r="IZ578"/>
      <c r="JA578"/>
      <c r="JB578"/>
      <c r="JC578"/>
    </row>
    <row r="579" spans="1:263" ht="15" customHeight="1">
      <c r="A579" s="2">
        <v>102023005</v>
      </c>
      <c r="B579" t="s">
        <v>4030</v>
      </c>
      <c r="G579" s="3"/>
      <c r="J579" t="s">
        <v>311</v>
      </c>
      <c r="K579" t="s">
        <v>1186</v>
      </c>
      <c r="L579" t="s">
        <v>392</v>
      </c>
      <c r="M579" t="s">
        <v>1139</v>
      </c>
      <c r="O579" s="3"/>
      <c r="AG579"/>
      <c r="AJ579" t="s">
        <v>4081</v>
      </c>
      <c r="AK579" t="s">
        <v>258</v>
      </c>
      <c r="AL579" t="s">
        <v>600</v>
      </c>
      <c r="AM579" t="s">
        <v>260</v>
      </c>
      <c r="AN579"/>
      <c r="AO579" t="s">
        <v>1300</v>
      </c>
      <c r="AP579" s="3" t="s">
        <v>258</v>
      </c>
      <c r="AQ579" t="s">
        <v>386</v>
      </c>
      <c r="AR579" t="s">
        <v>260</v>
      </c>
      <c r="AX579" s="1"/>
      <c r="AY579" s="1"/>
      <c r="AZ579" s="1"/>
      <c r="BA579" s="1"/>
      <c r="BB579" s="1"/>
      <c r="BC579" s="2"/>
      <c r="BD579" s="115"/>
      <c r="BE579" s="115"/>
      <c r="BF579" s="2"/>
      <c r="BG579" s="2"/>
      <c r="BH579" s="2"/>
      <c r="BI579" s="2"/>
      <c r="BJ579" s="2"/>
      <c r="BK579" s="2"/>
      <c r="BL579" s="20">
        <f ca="1">SUM(EB579)+220</f>
        <v>2917.6972041666663</v>
      </c>
      <c r="BM579" s="22">
        <f ca="1">PMT(10%/12,12,BL579,0,0)</f>
        <v>-256.51193837283091</v>
      </c>
      <c r="BN579" s="22">
        <f ca="1">SUM(BM579*-1)</f>
        <v>256.51193837283091</v>
      </c>
      <c r="BO579" s="14">
        <f>SUM(EJ579*0.0052)/12</f>
        <v>72.496666666666655</v>
      </c>
      <c r="BP579" s="22">
        <f ca="1">SUM(BN579+BO579)</f>
        <v>329.00860503949758</v>
      </c>
      <c r="BQ579" s="14"/>
      <c r="BR579" s="14">
        <f>SUM(BQ579*0.1)</f>
        <v>0</v>
      </c>
      <c r="BS579" s="14">
        <f ca="1">SUM(BT579*BU579)</f>
        <v>0</v>
      </c>
      <c r="BT579" s="17">
        <f>SUM((BQ579+BR579)*0.00833333333333333)</f>
        <v>0</v>
      </c>
      <c r="BU579" s="23">
        <f ca="1">MONTH(TODAY())+49</f>
        <v>53</v>
      </c>
      <c r="BV579" s="14">
        <f ca="1">SUM(BQ579,BR579,BS579)</f>
        <v>0</v>
      </c>
      <c r="BW579" s="14"/>
      <c r="BX579" s="14">
        <f>SUM(BW579*0.1)</f>
        <v>0</v>
      </c>
      <c r="BY579" s="14">
        <f ca="1">SUM(BZ579*CA579)</f>
        <v>0</v>
      </c>
      <c r="BZ579" s="17">
        <f>SUM((BW579+BX579)*0.00833333333333333)</f>
        <v>0</v>
      </c>
      <c r="CA579" s="23">
        <f ca="1">MONTH(TODAY())+37</f>
        <v>41</v>
      </c>
      <c r="CB579" s="14">
        <f ca="1">SUM(BW579,BX579,BY579)</f>
        <v>0</v>
      </c>
      <c r="CC579" s="14">
        <f>SUM(EG579*0.0052)</f>
        <v>578.24</v>
      </c>
      <c r="CD579" s="14">
        <f>SUM(CC579*0.1)</f>
        <v>57.824000000000005</v>
      </c>
      <c r="CE579" s="14">
        <f ca="1">SUM(CF579*CG579)</f>
        <v>153.71546666666657</v>
      </c>
      <c r="CF579" s="17">
        <f>SUM((CC579+CD579)*0.00833333333333333)</f>
        <v>5.3005333333333304</v>
      </c>
      <c r="CG579" s="23">
        <f ca="1">MONTH(TODAY())+25</f>
        <v>29</v>
      </c>
      <c r="CH579" s="14">
        <f ca="1">SUM(CC579,CD579,CE579)</f>
        <v>789.77946666666651</v>
      </c>
      <c r="CI579" s="14">
        <f>SUM(EG579*0.0052)</f>
        <v>578.24</v>
      </c>
      <c r="CJ579" s="14">
        <f>SUM(CI579*0.1)</f>
        <v>57.824000000000005</v>
      </c>
      <c r="CK579" s="14">
        <f ca="1">SUM(CL579*CM579)</f>
        <v>90.109066666666621</v>
      </c>
      <c r="CL579" s="17">
        <f>SUM((CI579+CJ579)*0.00833333333333333)</f>
        <v>5.3005333333333304</v>
      </c>
      <c r="CM579" s="23">
        <f ca="1">MONTH(TODAY())+13</f>
        <v>17</v>
      </c>
      <c r="CN579" s="14">
        <f ca="1">SUM(CI579,CJ579,CK579)</f>
        <v>726.17306666666661</v>
      </c>
      <c r="CO579" s="14">
        <f>SUM(EG579*0.0052)/2</f>
        <v>289.12</v>
      </c>
      <c r="CP579" s="14">
        <f>SUM(CO579*0.1)</f>
        <v>28.912000000000003</v>
      </c>
      <c r="CQ579" s="14">
        <f ca="1">SUM(CR579*CS579)</f>
        <v>23.852399999999989</v>
      </c>
      <c r="CR579" s="17">
        <f>SUM((CO579+CP579)*0.00833333333333333)</f>
        <v>2.6502666666666652</v>
      </c>
      <c r="CS579" s="23">
        <f ca="1">MONTH(TODAY())+5</f>
        <v>9</v>
      </c>
      <c r="CT579" s="23">
        <f ca="1">SUM(CO579,CP579,CQ579)</f>
        <v>341.88439999999997</v>
      </c>
      <c r="CU579" s="14">
        <f>SUM(EG579*0.0052)/2</f>
        <v>289.12</v>
      </c>
      <c r="CV579" s="14">
        <f>SUM(CU579*0.1)</f>
        <v>28.912000000000003</v>
      </c>
      <c r="CW579" s="14">
        <f ca="1">SUM(CX579*CY579)</f>
        <v>13.251333333333326</v>
      </c>
      <c r="CX579" s="17">
        <f>SUM((CU579+CV579)*0.00833333333333333)</f>
        <v>2.6502666666666652</v>
      </c>
      <c r="CY579" s="23">
        <f ca="1">MONTH(TODAY())+1</f>
        <v>5</v>
      </c>
      <c r="CZ579" s="23">
        <f ca="1">SUM(CU579,CV579,CW579)</f>
        <v>331.2833333333333</v>
      </c>
      <c r="DA579" s="14">
        <f>SUM(EJ579*0.0045)/2</f>
        <v>376.42499999999995</v>
      </c>
      <c r="DB579" s="14">
        <f>SUM(DA579*0.1)</f>
        <v>37.642499999999998</v>
      </c>
      <c r="DC579" s="14">
        <f ca="1">SUM(DD579*DE579)</f>
        <v>-3.450562499999998</v>
      </c>
      <c r="DD579" s="17">
        <f>SUM((DA579+DB579)*0.00833333333333333)</f>
        <v>3.450562499999998</v>
      </c>
      <c r="DE579" s="23">
        <f ca="1">MONTH(TODAY())-5</f>
        <v>-1</v>
      </c>
      <c r="DF579" s="23">
        <f ca="1">SUM(DA579,DB579,DC579)</f>
        <v>410.61693749999995</v>
      </c>
      <c r="DG579" s="14">
        <v>0</v>
      </c>
      <c r="DH579" s="14">
        <v>0</v>
      </c>
      <c r="DI579" s="14">
        <v>0</v>
      </c>
      <c r="DJ579" s="17">
        <f>SUM((DG579+DH579)*0.00833333333333333)</f>
        <v>0</v>
      </c>
      <c r="DK579" s="23">
        <f ca="1">MONTH(TODAY())+1</f>
        <v>5</v>
      </c>
      <c r="DL579" s="23">
        <f>SUM(DG579,DH579,DI579)</f>
        <v>0</v>
      </c>
      <c r="DM579" s="14">
        <f>SUM( BQ579, BW579, CC579, CI579, CO579,CU579,DA579,DG579)</f>
        <v>2111.1449999999995</v>
      </c>
      <c r="DN579" s="14">
        <f>SUM(BR579,BX579,CD579,CJ579, CP579,CV579,DB579,DH579)</f>
        <v>211.11450000000002</v>
      </c>
      <c r="DO579" s="14">
        <f ca="1">SUM(BS579,BY579,CE579,CK579, CQ579,CW579,DC579,DI579)</f>
        <v>277.47770416666651</v>
      </c>
      <c r="DP579" s="25">
        <f ca="1">SUM(DM579:DO579)</f>
        <v>2599.7372041666663</v>
      </c>
      <c r="DQ579" s="47">
        <f ca="1">SUM(DP579/EG579)</f>
        <v>2.337893169214628E-2</v>
      </c>
      <c r="DR579" s="14">
        <v>60</v>
      </c>
      <c r="DS579" s="32">
        <f>COUNTIF(DX579, "*")+COUNTIF(AO579, "*")+COUNTIF(AJ579, "*")+COUNTIF(AA579, "*")+COUNTIF(EY579, "*")+COUNTIF(FE579, "*")+COUNTIF(FK579, "*")+COUNTIF(FO579, "*")+COUNTIF(FV579, "*")+COUNTIF(AT579, "*")+COUNTIF(GE579, "*")+COUNTIF(GP579, "*")+COUNTIF(HA579, "*")+COUNTIF(HI579, "*")+COUNTIF(HQ579, "*")+COUNTIF(HY579, "*")+COUNTIF(IG579, "*")</f>
        <v>2</v>
      </c>
      <c r="DT579" s="14">
        <f>DS579*0.6</f>
        <v>1.2</v>
      </c>
      <c r="DU579" s="4"/>
      <c r="DV579" s="4">
        <v>36.76</v>
      </c>
      <c r="DW579" s="4"/>
      <c r="DX579" s="4"/>
      <c r="DZ579" s="4"/>
      <c r="EA579" s="14">
        <f>SUM(DV579:DZ579)</f>
        <v>36.76</v>
      </c>
      <c r="EB579" s="14">
        <f ca="1">SUM(DP579,DR579,EA579, DU579, DT579,GB579)</f>
        <v>2697.6972041666663</v>
      </c>
      <c r="EC579" s="24" t="s">
        <v>3974</v>
      </c>
      <c r="ED579" s="7">
        <v>236.92</v>
      </c>
      <c r="EE579" s="4">
        <v>89000</v>
      </c>
      <c r="EF579" s="4">
        <v>22200</v>
      </c>
      <c r="EG579" s="14">
        <f>SUM(EE579+EF579)</f>
        <v>111200</v>
      </c>
      <c r="EH579" s="14">
        <v>141900</v>
      </c>
      <c r="EI579" s="14">
        <v>25400</v>
      </c>
      <c r="EJ579" s="14">
        <f>SUM(EH579+EI579)</f>
        <v>167300</v>
      </c>
      <c r="IM579" s="9"/>
      <c r="IX579" s="14">
        <f ca="1">SUM(IN579-EB579-GB579-IV579)</f>
        <v>-2697.6972041666663</v>
      </c>
      <c r="IY579" s="9"/>
      <c r="IZ579" s="9"/>
      <c r="JA579" s="9"/>
      <c r="JB579" s="9"/>
      <c r="JC579" s="9"/>
    </row>
    <row r="580" spans="1:263" ht="15" customHeight="1">
      <c r="A580" s="2">
        <v>102020023</v>
      </c>
      <c r="B580" t="s">
        <v>1599</v>
      </c>
      <c r="J580" t="s">
        <v>434</v>
      </c>
      <c r="K580" t="s">
        <v>1600</v>
      </c>
      <c r="L580" t="s">
        <v>1601</v>
      </c>
      <c r="M580" t="s">
        <v>326</v>
      </c>
      <c r="N580" t="s">
        <v>341</v>
      </c>
      <c r="P580" t="s">
        <v>1600</v>
      </c>
      <c r="Q580" t="s">
        <v>1601</v>
      </c>
      <c r="R580" t="s">
        <v>326</v>
      </c>
      <c r="AG580" s="248"/>
      <c r="BG580" s="5"/>
      <c r="BH580" s="16"/>
      <c r="BI580" s="16"/>
      <c r="BJ580" s="4"/>
      <c r="BK580" s="4"/>
      <c r="BL580" s="4"/>
      <c r="BM580" s="6"/>
      <c r="BN580" s="7"/>
      <c r="BO580" s="4"/>
      <c r="BP580" s="4"/>
      <c r="BQ580" s="4"/>
      <c r="BR580" s="4"/>
      <c r="BS580" s="6"/>
      <c r="BT580" s="7"/>
      <c r="BU580" s="4"/>
      <c r="BV580" s="4"/>
      <c r="BW580" s="4"/>
      <c r="BX580" s="4"/>
      <c r="BY580" s="6"/>
      <c r="BZ580" s="7"/>
      <c r="CA580" s="4"/>
      <c r="CB580" s="4"/>
      <c r="CC580" s="4"/>
      <c r="CD580" s="4"/>
      <c r="CE580" s="6"/>
      <c r="CF580" s="7"/>
      <c r="CG580" s="4"/>
      <c r="CH580" s="4"/>
      <c r="CI580" s="4"/>
      <c r="CJ580" s="4"/>
      <c r="CK580" s="6"/>
      <c r="CL580" s="7"/>
      <c r="CM580" s="4"/>
      <c r="CN580" s="4"/>
      <c r="CO580" s="4"/>
      <c r="CP580" s="4"/>
      <c r="CQ580" s="6"/>
      <c r="CR580" s="7"/>
      <c r="CS580" s="4"/>
      <c r="CT580" s="4"/>
      <c r="CU580" s="4"/>
      <c r="CV580" s="4"/>
      <c r="CW580" s="6"/>
      <c r="CX580" s="7"/>
      <c r="CY580" s="4"/>
      <c r="CZ580" s="4"/>
      <c r="DA580" s="4"/>
      <c r="DB580" s="4"/>
      <c r="DC580" s="4"/>
      <c r="DD580" s="3"/>
      <c r="DE580" s="4"/>
      <c r="DF580" s="234"/>
      <c r="DG580" s="4"/>
      <c r="DH580" s="4"/>
      <c r="DI580" s="4"/>
      <c r="DJ580" s="4"/>
      <c r="DK580" s="4"/>
      <c r="DL580" s="4"/>
      <c r="DM580" s="7"/>
      <c r="DN580" s="8"/>
      <c r="DO580" s="4"/>
      <c r="DP580" s="8"/>
      <c r="DQ580" s="8"/>
      <c r="DR580" s="8"/>
      <c r="DS580" s="2"/>
      <c r="IL580" s="4"/>
      <c r="IM580" s="4"/>
    </row>
    <row r="581" spans="1:263" ht="15" customHeight="1">
      <c r="A581" s="19">
        <v>102022096</v>
      </c>
      <c r="B581" t="s">
        <v>3092</v>
      </c>
      <c r="D581" s="1"/>
      <c r="J581" t="s">
        <v>311</v>
      </c>
      <c r="K581" t="s">
        <v>1186</v>
      </c>
      <c r="L581" t="s">
        <v>3083</v>
      </c>
      <c r="AG581" s="248"/>
      <c r="AJ581" t="s">
        <v>3093</v>
      </c>
      <c r="AK581" t="s">
        <v>258</v>
      </c>
      <c r="AL581" t="s">
        <v>600</v>
      </c>
      <c r="AM581" s="3" t="s">
        <v>260</v>
      </c>
      <c r="AO581" t="s">
        <v>773</v>
      </c>
      <c r="AP581" s="1" t="s">
        <v>258</v>
      </c>
      <c r="AQ581" s="3" t="s">
        <v>386</v>
      </c>
      <c r="AR581" s="3" t="s">
        <v>260</v>
      </c>
      <c r="AS581" s="1"/>
      <c r="AT581" s="1"/>
      <c r="AU581" s="1"/>
      <c r="AV581" s="1"/>
      <c r="AW581" s="1"/>
      <c r="AX581" s="2"/>
      <c r="AY581" s="116"/>
      <c r="AZ581" s="115"/>
      <c r="BA581" s="2"/>
      <c r="BB581" s="2"/>
      <c r="BC581" s="2"/>
      <c r="BD581" s="2"/>
      <c r="BE581" s="2"/>
      <c r="BF581" s="2"/>
      <c r="BG581" s="20"/>
      <c r="BH581" s="22"/>
      <c r="BI581" s="22"/>
      <c r="BJ581" s="14"/>
      <c r="BK581" s="22"/>
      <c r="BL581" s="14"/>
      <c r="BM581" s="14"/>
      <c r="BN581" s="14"/>
      <c r="BO581" s="17"/>
      <c r="BP581" s="23"/>
      <c r="BQ581" s="14"/>
      <c r="BR581" s="14"/>
      <c r="BS581" s="14"/>
      <c r="BT581" s="14"/>
      <c r="BU581" s="17"/>
      <c r="BV581" s="23"/>
      <c r="BW581" s="14"/>
      <c r="BX581" s="14"/>
      <c r="BY581" s="14"/>
      <c r="BZ581" s="14"/>
      <c r="CA581" s="17"/>
      <c r="CB581" s="23"/>
      <c r="CC581" s="14"/>
      <c r="CD581" s="14"/>
      <c r="CE581" s="14"/>
      <c r="CF581" s="14"/>
      <c r="CG581" s="17"/>
      <c r="CH581" s="23"/>
      <c r="CI581" s="14"/>
      <c r="CJ581" s="14"/>
      <c r="CK581" s="14"/>
      <c r="CL581" s="14"/>
      <c r="CM581" s="17"/>
      <c r="CN581" s="23"/>
      <c r="CO581" s="14"/>
      <c r="CP581" s="14"/>
      <c r="CQ581" s="14"/>
      <c r="CR581" s="14"/>
      <c r="CS581" s="14"/>
      <c r="CT581" s="47"/>
      <c r="CU581" s="14"/>
      <c r="CV581" s="32"/>
      <c r="CW581" s="14"/>
      <c r="CX581" s="4"/>
      <c r="CY581" s="14"/>
      <c r="CZ581" s="4"/>
      <c r="DE581" s="14"/>
      <c r="DF581" s="24"/>
      <c r="DG581" s="4"/>
      <c r="DH581" s="4"/>
      <c r="DI581" s="25"/>
      <c r="DJ581" s="35">
        <v>2</v>
      </c>
      <c r="IC581" s="4"/>
      <c r="JA581" s="18"/>
    </row>
    <row r="582" spans="1:263" ht="15" customHeight="1">
      <c r="A582" s="2">
        <v>102024023</v>
      </c>
      <c r="B582" t="s">
        <v>5072</v>
      </c>
      <c r="D582" s="1"/>
      <c r="E582" t="s">
        <v>5593</v>
      </c>
      <c r="G582" s="3"/>
      <c r="J582" t="s">
        <v>253</v>
      </c>
      <c r="K582" t="s">
        <v>4504</v>
      </c>
      <c r="L582" t="s">
        <v>5137</v>
      </c>
      <c r="M582" t="s">
        <v>5138</v>
      </c>
      <c r="O582" s="3"/>
      <c r="AG582" s="43"/>
      <c r="AJ582" t="s">
        <v>328</v>
      </c>
      <c r="AK582" s="1"/>
      <c r="AL582" t="s">
        <v>259</v>
      </c>
      <c r="AM582"/>
      <c r="AN582"/>
      <c r="AO582" t="s">
        <v>5139</v>
      </c>
      <c r="AP582" s="1" t="s">
        <v>258</v>
      </c>
      <c r="AQ582" t="s">
        <v>600</v>
      </c>
      <c r="AR582" t="s">
        <v>260</v>
      </c>
      <c r="AS582" s="10"/>
      <c r="AT582" s="10"/>
      <c r="AU582" s="10"/>
      <c r="AV582" s="10"/>
      <c r="AW582" s="10"/>
      <c r="AX582" s="1"/>
      <c r="AY582" s="1" t="s">
        <v>258</v>
      </c>
      <c r="AZ582" s="1"/>
      <c r="BA582" s="1"/>
      <c r="BB582" s="1"/>
      <c r="BC582" s="2"/>
      <c r="BD582" s="115">
        <v>45382</v>
      </c>
      <c r="BE582" s="115">
        <v>45385</v>
      </c>
      <c r="BF582" s="2"/>
      <c r="BG582" s="2"/>
      <c r="BH582" s="2"/>
      <c r="BI582" s="2"/>
      <c r="BJ582" s="2"/>
      <c r="BK582" s="2"/>
      <c r="BL582" s="20">
        <f ca="1">SUM(EB582)+220</f>
        <v>5682.9935999999989</v>
      </c>
      <c r="BM582" s="22">
        <f ca="1">PMT(10%/12,12,BL582,0,0)</f>
        <v>-499.62542446646614</v>
      </c>
      <c r="BN582" s="22">
        <f ca="1">SUM(BM582*-1)</f>
        <v>499.62542446646614</v>
      </c>
      <c r="BO582" s="14">
        <f>SUM(EJ582*0.0052)/12</f>
        <v>132.68666666666667</v>
      </c>
      <c r="BP582" s="22">
        <f ca="1">SUM(BN582+BO582)</f>
        <v>632.31209113313275</v>
      </c>
      <c r="BQ582" s="14"/>
      <c r="BR582" s="14">
        <f>SUM(BQ582*0.1)</f>
        <v>0</v>
      </c>
      <c r="BS582" s="14">
        <f ca="1">SUM(BT582*BU582)</f>
        <v>0</v>
      </c>
      <c r="BT582" s="17">
        <f>SUM((BQ582+BR582)*0.00833333333333333)</f>
        <v>0</v>
      </c>
      <c r="BU582" s="23">
        <f ca="1">MONTH(TODAY())+61</f>
        <v>65</v>
      </c>
      <c r="BV582" s="14">
        <f ca="1">SUM(BQ582,BR582,BS582)</f>
        <v>0</v>
      </c>
      <c r="BW582" s="14"/>
      <c r="BX582" s="14">
        <f>SUM(BW582*0.1)</f>
        <v>0</v>
      </c>
      <c r="BY582" s="14">
        <f ca="1">SUM(BZ582*CA582)</f>
        <v>0</v>
      </c>
      <c r="BZ582" s="17">
        <f>SUM((BW582+BX582)*0.00833333333333333)</f>
        <v>0</v>
      </c>
      <c r="CA582" s="23">
        <f ca="1">MONTH(TODAY())+49</f>
        <v>53</v>
      </c>
      <c r="CB582" s="14">
        <f ca="1">SUM(BW582,BX582,BY582)</f>
        <v>0</v>
      </c>
      <c r="CC582" s="14">
        <v>0</v>
      </c>
      <c r="CD582" s="14">
        <f>SUM(CC582*0.1)</f>
        <v>0</v>
      </c>
      <c r="CE582" s="14">
        <f ca="1">SUM(CF582*CG582)</f>
        <v>0</v>
      </c>
      <c r="CF582" s="17">
        <f>SUM((CC582+CD582)*0.00833333333333333)</f>
        <v>0</v>
      </c>
      <c r="CG582" s="23">
        <f ca="1">MONTH(TODAY())+37</f>
        <v>41</v>
      </c>
      <c r="CH582" s="14">
        <f ca="1">SUM(CC582,CD582,CE582)</f>
        <v>0</v>
      </c>
      <c r="CI582" s="14">
        <f>SUM(EG582*0.0052)</f>
        <v>1243.8399999999999</v>
      </c>
      <c r="CJ582" s="14">
        <f>SUM(CI582*0.1)</f>
        <v>124.384</v>
      </c>
      <c r="CK582" s="14">
        <f ca="1">SUM(CL582*CM582)</f>
        <v>330.65413333333316</v>
      </c>
      <c r="CL582" s="17">
        <f>SUM((CI582+CJ582)*0.00833333333333333)</f>
        <v>11.401866666666661</v>
      </c>
      <c r="CM582" s="23">
        <f ca="1">MONTH(TODAY())+25</f>
        <v>29</v>
      </c>
      <c r="CN582" s="14">
        <f ca="1">SUM(CI582,CJ582,CK582)</f>
        <v>1698.8781333333332</v>
      </c>
      <c r="CO582" s="14">
        <f>SUM(EG582*0.0052)/2</f>
        <v>621.91999999999996</v>
      </c>
      <c r="CP582" s="14">
        <f>SUM(CO582*0.1)</f>
        <v>62.192</v>
      </c>
      <c r="CQ582" s="14">
        <f ca="1">SUM(CR582*CS582)</f>
        <v>119.71959999999994</v>
      </c>
      <c r="CR582" s="17">
        <f>SUM((CO582+CP582)*0.00833333333333333)</f>
        <v>5.7009333333333307</v>
      </c>
      <c r="CS582" s="23">
        <f ca="1">MONTH(TODAY())+17</f>
        <v>21</v>
      </c>
      <c r="CT582" s="23">
        <f ca="1">SUM(CO582,CP582,CQ582)</f>
        <v>803.83159999999987</v>
      </c>
      <c r="CU582" s="14">
        <f>SUM(EG582*0.0052)/2</f>
        <v>621.91999999999996</v>
      </c>
      <c r="CV582" s="14">
        <f>SUM(CU582*0.1)</f>
        <v>62.192</v>
      </c>
      <c r="CW582" s="14">
        <f ca="1">SUM(CX582*CY582)</f>
        <v>96.915866666666616</v>
      </c>
      <c r="CX582" s="17">
        <f>SUM((CU582+CV582)*0.00833333333333333)</f>
        <v>5.7009333333333307</v>
      </c>
      <c r="CY582" s="23">
        <f ca="1">MONTH(TODAY())+13</f>
        <v>17</v>
      </c>
      <c r="CZ582" s="23">
        <f ca="1">SUM(CU582,CV582,CW582)</f>
        <v>781.02786666666657</v>
      </c>
      <c r="DA582" s="14">
        <f>SUM(EJ582*0.0045)/2</f>
        <v>688.94999999999993</v>
      </c>
      <c r="DB582" s="14">
        <f>SUM(DA582*0.1)</f>
        <v>68.894999999999996</v>
      </c>
      <c r="DC582" s="14">
        <f ca="1">SUM(DD582*DE582)</f>
        <v>69.469124999999963</v>
      </c>
      <c r="DD582" s="17">
        <f>SUM((DA582+DB582)*0.00833333333333333)</f>
        <v>6.3153749999999969</v>
      </c>
      <c r="DE582" s="23">
        <f ca="1">MONTH(TODAY())+7</f>
        <v>11</v>
      </c>
      <c r="DF582" s="23">
        <f ca="1">SUM(DA582,DB582,DC582)</f>
        <v>827.31412499999988</v>
      </c>
      <c r="DG582" s="14">
        <f>SUM(EJ582*0.0045)/2</f>
        <v>688.94999999999993</v>
      </c>
      <c r="DH582" s="14">
        <f>SUM(DG582*0.1)</f>
        <v>68.894999999999996</v>
      </c>
      <c r="DI582" s="14">
        <f ca="1">SUM(DJ582*DK582)</f>
        <v>31.576874999999983</v>
      </c>
      <c r="DJ582" s="17">
        <f>SUM((DG582+DH582)*0.00833333333333333)</f>
        <v>6.3153749999999969</v>
      </c>
      <c r="DK582" s="23">
        <f ca="1">MONTH(TODAY())+1</f>
        <v>5</v>
      </c>
      <c r="DL582" s="14">
        <f ca="1">SUM(DG582,DH582,DI582)</f>
        <v>789.42187499999989</v>
      </c>
      <c r="DM582" s="14">
        <f>SUM( BQ582, BW582, CC582, CI582, CO582,CU582,DA582,DG582)</f>
        <v>3865.5799999999995</v>
      </c>
      <c r="DN582" s="14">
        <f>SUM(BR582,BX582,CD582,CJ582, CP582,CV582,DB582,DH582)</f>
        <v>386.55799999999999</v>
      </c>
      <c r="DO582" s="14">
        <f ca="1">SUM(BS582,BY582,CE582,CK582, CQ582,CW582,DC582,DI582)</f>
        <v>648.33559999999966</v>
      </c>
      <c r="DP582" s="25">
        <f ca="1">SUM(DM582:DO582)</f>
        <v>4900.4735999999984</v>
      </c>
      <c r="DQ582" s="47">
        <f ca="1">SUM(DP582/EG582)</f>
        <v>2.0486929765886282E-2</v>
      </c>
      <c r="DR582" s="14">
        <f>40+10+200</f>
        <v>250</v>
      </c>
      <c r="DS582" s="32">
        <f>COUNTIF(AO582, "*")+COUNTIF(AJ582, "*")+COUNTIF(AA582, "*")+COUNTIF(EU582, "*")+COUNTIF(FA582, "*")+COUNTIF(FG582, "*")+COUNTIF(FK582, "*")+COUNTIF(FR582, "*")+COUNTIF(AT582, "*")+COUNTIF(GA582, "*")+COUNTIF(GL582, "*")+COUNTIF(GW582, "*")+COUNTIF(HE582, "*")+COUNTIF(HM582, "*")+COUNTIF(HU582, "*")</f>
        <v>4</v>
      </c>
      <c r="DT582" s="14">
        <f>DS582*0.64+DS582*8</f>
        <v>34.56</v>
      </c>
      <c r="DU582" s="4">
        <v>250</v>
      </c>
      <c r="DV582" s="4">
        <v>27.96</v>
      </c>
      <c r="DW582" s="4"/>
      <c r="DX582" s="4"/>
      <c r="DZ582" s="4"/>
      <c r="EA582" s="14">
        <f>SUM(DV582:DZ582)</f>
        <v>27.96</v>
      </c>
      <c r="EB582" s="14">
        <f ca="1">SUM(DP582,DR582,EA582, DU582, DT582,FX582)</f>
        <v>5462.9935999999989</v>
      </c>
      <c r="EC582" s="24" t="s">
        <v>4944</v>
      </c>
      <c r="ED582" s="130">
        <v>126.7</v>
      </c>
      <c r="EE582" s="14">
        <v>239100</v>
      </c>
      <c r="EF582" s="14">
        <v>100</v>
      </c>
      <c r="EG582" s="14">
        <f>SUM(EE582+EF582)</f>
        <v>239200</v>
      </c>
      <c r="EH582" s="14">
        <v>306100</v>
      </c>
      <c r="EI582" s="14">
        <v>100</v>
      </c>
      <c r="EJ582" s="14">
        <f>SUM(EH582+EI582)</f>
        <v>306200</v>
      </c>
      <c r="EK582" s="10" t="s">
        <v>5250</v>
      </c>
      <c r="EL582" s="10" t="s">
        <v>5251</v>
      </c>
      <c r="EM582" s="10" t="s">
        <v>5252</v>
      </c>
      <c r="EN582" s="10" t="s">
        <v>5253</v>
      </c>
      <c r="EO582" s="10" t="s">
        <v>5254</v>
      </c>
      <c r="EP582" s="10"/>
      <c r="EQ582" s="10"/>
      <c r="ER582" s="10"/>
      <c r="ES582" t="s">
        <v>5243</v>
      </c>
      <c r="EU582" t="s">
        <v>5244</v>
      </c>
      <c r="EW582" t="s">
        <v>386</v>
      </c>
      <c r="EX582" t="s">
        <v>260</v>
      </c>
      <c r="FX582" s="4"/>
      <c r="FY582" t="s">
        <v>5245</v>
      </c>
      <c r="FZ582" t="s">
        <v>5246</v>
      </c>
      <c r="GA582" t="s">
        <v>4968</v>
      </c>
      <c r="GC582" t="s">
        <v>267</v>
      </c>
      <c r="GD582" t="s">
        <v>268</v>
      </c>
      <c r="GE582" s="9">
        <v>45140</v>
      </c>
      <c r="GF582" t="s">
        <v>5247</v>
      </c>
      <c r="HY582" s="9"/>
      <c r="IJ582" s="4"/>
      <c r="IK582" s="4"/>
      <c r="IL582" s="4"/>
      <c r="IM582" s="9"/>
      <c r="IN582" s="9"/>
      <c r="IO582" s="9"/>
      <c r="IP582" s="9"/>
      <c r="IQ582" s="9"/>
      <c r="IR582" s="18"/>
      <c r="IS582" s="18"/>
    </row>
    <row r="583" spans="1:263" ht="15" customHeight="1">
      <c r="A583" s="19">
        <v>102022091</v>
      </c>
      <c r="B583" t="s">
        <v>2834</v>
      </c>
      <c r="D583" s="1"/>
      <c r="J583" t="s">
        <v>311</v>
      </c>
      <c r="K583" t="s">
        <v>1186</v>
      </c>
      <c r="L583" t="s">
        <v>3083</v>
      </c>
      <c r="AG583" s="248"/>
      <c r="AJ583" s="18" t="s">
        <v>328</v>
      </c>
      <c r="AL583" t="s">
        <v>600</v>
      </c>
      <c r="AO583" t="s">
        <v>773</v>
      </c>
      <c r="AP583" s="1" t="s">
        <v>258</v>
      </c>
      <c r="AQ583" s="3" t="s">
        <v>386</v>
      </c>
      <c r="AR583" s="3" t="s">
        <v>260</v>
      </c>
      <c r="AS583" s="1"/>
      <c r="AT583" s="1"/>
      <c r="AU583" s="1"/>
      <c r="AV583" s="1"/>
      <c r="AW583" s="1"/>
      <c r="AX583" s="2"/>
      <c r="AY583" s="116"/>
      <c r="AZ583" s="115"/>
      <c r="BA583" s="2"/>
      <c r="BB583" s="2"/>
      <c r="BC583" s="2"/>
      <c r="BD583" s="2"/>
      <c r="BE583" s="2"/>
      <c r="BF583" s="2"/>
      <c r="BG583" s="20"/>
      <c r="BH583" s="22"/>
      <c r="BI583" s="22"/>
      <c r="BJ583" s="14"/>
      <c r="BK583" s="22"/>
      <c r="BL583" s="14"/>
      <c r="BM583" s="14"/>
      <c r="BN583" s="14"/>
      <c r="BO583" s="17"/>
      <c r="BP583" s="23"/>
      <c r="BQ583" s="14"/>
      <c r="BR583" s="14"/>
      <c r="BS583" s="14"/>
      <c r="BT583" s="14"/>
      <c r="BU583" s="17"/>
      <c r="BV583" s="23"/>
      <c r="BW583" s="14"/>
      <c r="BX583" s="14"/>
      <c r="BY583" s="14"/>
      <c r="BZ583" s="14"/>
      <c r="CA583" s="17"/>
      <c r="CB583" s="23"/>
      <c r="CC583" s="14"/>
      <c r="CD583" s="14"/>
      <c r="CE583" s="14"/>
      <c r="CF583" s="14"/>
      <c r="CG583" s="17"/>
      <c r="CH583" s="23"/>
      <c r="CI583" s="14"/>
      <c r="CJ583" s="14"/>
      <c r="CK583" s="14"/>
      <c r="CL583" s="14"/>
      <c r="CM583" s="17"/>
      <c r="CN583" s="23"/>
      <c r="CO583" s="14"/>
      <c r="CP583" s="14"/>
      <c r="CQ583" s="14"/>
      <c r="CR583" s="14"/>
      <c r="CS583" s="14"/>
      <c r="CT583" s="47"/>
      <c r="CU583" s="14"/>
      <c r="CV583" s="32"/>
      <c r="CW583" s="14"/>
      <c r="CX583" s="4"/>
      <c r="CY583" s="14"/>
      <c r="CZ583" s="4"/>
      <c r="DE583" s="14"/>
      <c r="DF583" s="24"/>
      <c r="DG583" s="4"/>
      <c r="DH583" s="4"/>
      <c r="DI583" s="25"/>
      <c r="DJ583" s="35">
        <v>1.54</v>
      </c>
      <c r="IC583" s="4"/>
      <c r="JA583" s="18"/>
      <c r="JB583" s="18"/>
      <c r="JC583" s="18"/>
    </row>
    <row r="584" spans="1:263" ht="15" customHeight="1">
      <c r="A584" s="19">
        <v>102022092</v>
      </c>
      <c r="B584" t="s">
        <v>2835</v>
      </c>
      <c r="D584" s="1"/>
      <c r="J584" t="s">
        <v>311</v>
      </c>
      <c r="K584" t="s">
        <v>1186</v>
      </c>
      <c r="L584" t="s">
        <v>3083</v>
      </c>
      <c r="AG584" s="248"/>
      <c r="AJ584" s="18" t="s">
        <v>328</v>
      </c>
      <c r="AL584" t="s">
        <v>600</v>
      </c>
      <c r="AO584" t="s">
        <v>773</v>
      </c>
      <c r="AP584" s="1" t="s">
        <v>258</v>
      </c>
      <c r="AQ584" s="3" t="s">
        <v>386</v>
      </c>
      <c r="AR584" s="3" t="s">
        <v>260</v>
      </c>
      <c r="AS584" s="1"/>
      <c r="AT584" s="1"/>
      <c r="AU584" s="1"/>
      <c r="AV584" s="1"/>
      <c r="AW584" s="1"/>
      <c r="AX584" s="2"/>
      <c r="AY584" s="116"/>
      <c r="AZ584" s="115"/>
      <c r="BA584" s="2"/>
      <c r="BB584" s="2"/>
      <c r="BC584" s="2"/>
      <c r="BD584" s="2"/>
      <c r="BE584" s="2"/>
      <c r="BF584" s="2"/>
      <c r="BG584" s="20"/>
      <c r="BH584" s="22"/>
      <c r="BI584" s="22"/>
      <c r="BJ584" s="14"/>
      <c r="BK584" s="22"/>
      <c r="BL584" s="14"/>
      <c r="BM584" s="14"/>
      <c r="BN584" s="14"/>
      <c r="BO584" s="17"/>
      <c r="BP584" s="23"/>
      <c r="BQ584" s="14"/>
      <c r="BR584" s="14"/>
      <c r="BS584" s="14"/>
      <c r="BT584" s="14"/>
      <c r="BU584" s="17"/>
      <c r="BV584" s="23"/>
      <c r="BW584" s="14"/>
      <c r="BX584" s="14"/>
      <c r="BY584" s="14"/>
      <c r="BZ584" s="14"/>
      <c r="CA584" s="17"/>
      <c r="CB584" s="23"/>
      <c r="CC584" s="14"/>
      <c r="CD584" s="14"/>
      <c r="CE584" s="14"/>
      <c r="CF584" s="14"/>
      <c r="CG584" s="17"/>
      <c r="CH584" s="23"/>
      <c r="CI584" s="14"/>
      <c r="CJ584" s="14"/>
      <c r="CK584" s="14"/>
      <c r="CL584" s="14"/>
      <c r="CM584" s="17"/>
      <c r="CN584" s="23"/>
      <c r="CO584" s="14"/>
      <c r="CP584" s="14"/>
      <c r="CQ584" s="14"/>
      <c r="CR584" s="14"/>
      <c r="CS584" s="14"/>
      <c r="CT584" s="47"/>
      <c r="CU584" s="14"/>
      <c r="CV584" s="32"/>
      <c r="CW584" s="14"/>
      <c r="CX584" s="4"/>
      <c r="CY584" s="14"/>
      <c r="CZ584" s="4"/>
      <c r="DE584" s="14"/>
      <c r="DF584" s="24"/>
      <c r="DG584" s="4"/>
      <c r="DH584" s="4"/>
      <c r="DI584" s="25"/>
      <c r="DJ584" s="35">
        <v>73.23</v>
      </c>
      <c r="IC584" s="4"/>
    </row>
    <row r="585" spans="1:263" ht="15" customHeight="1">
      <c r="A585" s="19">
        <v>102022093</v>
      </c>
      <c r="B585" t="s">
        <v>2836</v>
      </c>
      <c r="D585" s="1"/>
      <c r="J585" t="s">
        <v>311</v>
      </c>
      <c r="K585" t="s">
        <v>1186</v>
      </c>
      <c r="L585" t="s">
        <v>3083</v>
      </c>
      <c r="AG585" s="248"/>
      <c r="AJ585" s="18" t="s">
        <v>328</v>
      </c>
      <c r="AL585" t="s">
        <v>600</v>
      </c>
      <c r="AO585" t="s">
        <v>773</v>
      </c>
      <c r="AP585" s="1" t="s">
        <v>258</v>
      </c>
      <c r="AQ585" s="3" t="s">
        <v>386</v>
      </c>
      <c r="AR585" s="3" t="s">
        <v>260</v>
      </c>
      <c r="AS585" s="1"/>
      <c r="AT585" s="1"/>
      <c r="AU585" s="1"/>
      <c r="AV585" s="1"/>
      <c r="AW585" s="1"/>
      <c r="AX585" s="2"/>
      <c r="AY585" s="116"/>
      <c r="AZ585" s="115"/>
      <c r="BA585" s="2"/>
      <c r="BB585" s="2"/>
      <c r="BC585" s="2"/>
      <c r="BD585" s="2"/>
      <c r="BE585" s="2"/>
      <c r="BF585" s="2"/>
      <c r="BG585" s="20"/>
      <c r="BH585" s="22"/>
      <c r="BI585" s="22"/>
      <c r="BJ585" s="14"/>
      <c r="BK585" s="22"/>
      <c r="BL585" s="14"/>
      <c r="BM585" s="14"/>
      <c r="BN585" s="14"/>
      <c r="BO585" s="17"/>
      <c r="BP585" s="23"/>
      <c r="BQ585" s="14"/>
      <c r="BR585" s="14"/>
      <c r="BS585" s="14"/>
      <c r="BT585" s="14"/>
      <c r="BU585" s="17"/>
      <c r="BV585" s="23"/>
      <c r="BW585" s="14"/>
      <c r="BX585" s="14"/>
      <c r="BY585" s="14"/>
      <c r="BZ585" s="14"/>
      <c r="CA585" s="17"/>
      <c r="CB585" s="23"/>
      <c r="CC585" s="14"/>
      <c r="CD585" s="14"/>
      <c r="CE585" s="14"/>
      <c r="CF585" s="14"/>
      <c r="CG585" s="17"/>
      <c r="CH585" s="23"/>
      <c r="CI585" s="14"/>
      <c r="CJ585" s="14"/>
      <c r="CK585" s="14"/>
      <c r="CL585" s="14"/>
      <c r="CM585" s="17"/>
      <c r="CN585" s="23"/>
      <c r="CO585" s="14"/>
      <c r="CP585" s="14"/>
      <c r="CQ585" s="14"/>
      <c r="CR585" s="14"/>
      <c r="CS585" s="14"/>
      <c r="CT585" s="47"/>
      <c r="CU585" s="14"/>
      <c r="CV585" s="32"/>
      <c r="CW585" s="14"/>
      <c r="CX585" s="4"/>
      <c r="CY585" s="14"/>
      <c r="CZ585" s="4"/>
      <c r="DE585" s="14"/>
      <c r="DF585" s="24"/>
      <c r="DG585" s="4"/>
      <c r="DH585" s="4"/>
      <c r="DI585" s="25"/>
      <c r="DJ585" s="35">
        <v>66.7</v>
      </c>
      <c r="IC585" s="4"/>
    </row>
    <row r="586" spans="1:263" ht="15" customHeight="1">
      <c r="A586" s="19">
        <v>102023055</v>
      </c>
      <c r="B586" s="18" t="s">
        <v>4220</v>
      </c>
      <c r="D586" s="1"/>
      <c r="E586" s="3"/>
      <c r="F586" s="3"/>
      <c r="J586" s="18" t="s">
        <v>554</v>
      </c>
      <c r="K586" s="18" t="s">
        <v>4218</v>
      </c>
      <c r="L586" s="130" t="s">
        <v>4219</v>
      </c>
      <c r="M586" s="130" t="s">
        <v>357</v>
      </c>
      <c r="N586" s="18"/>
      <c r="O586" s="252"/>
      <c r="P586" s="130" t="s">
        <v>4218</v>
      </c>
      <c r="Q586" s="130" t="s">
        <v>4217</v>
      </c>
      <c r="R586" s="130" t="s">
        <v>426</v>
      </c>
      <c r="S586" s="130"/>
      <c r="AG586" s="43"/>
      <c r="AJ586" s="18" t="s">
        <v>328</v>
      </c>
      <c r="AK586" s="18"/>
      <c r="AL586" s="18" t="s">
        <v>600</v>
      </c>
      <c r="AM586" s="18"/>
      <c r="AN586" s="18"/>
      <c r="AO586" s="18" t="s">
        <v>4216</v>
      </c>
      <c r="AP586" s="18" t="s">
        <v>258</v>
      </c>
      <c r="AQ586" s="18" t="s">
        <v>600</v>
      </c>
      <c r="AR586" s="18" t="s">
        <v>260</v>
      </c>
      <c r="AX586" s="1"/>
      <c r="AY586" s="1"/>
      <c r="AZ586" s="1"/>
      <c r="BA586" s="1"/>
      <c r="BB586" s="1"/>
      <c r="BC586" s="2"/>
      <c r="BD586" s="116"/>
      <c r="BE586" s="115"/>
      <c r="BF586" s="2"/>
      <c r="BG586" s="2"/>
      <c r="BH586" s="2"/>
      <c r="BI586" s="2"/>
      <c r="BJ586" s="2"/>
      <c r="BK586" s="2"/>
      <c r="BL586" s="20">
        <f ca="1">SUM(DP586)+220</f>
        <v>533.14879999999994</v>
      </c>
      <c r="BM586" s="22">
        <f ca="1">PMT(10%/12,12,BL586,0,0)</f>
        <v>-46.872249777614932</v>
      </c>
      <c r="BN586" s="22">
        <f ca="1">SUM(BM586*-1)</f>
        <v>46.872249777614932</v>
      </c>
      <c r="BO586" s="14">
        <f>SUM(DX586*0.0052)/12</f>
        <v>12.566666666666665</v>
      </c>
      <c r="BP586" s="22">
        <f ca="1">SUM(BN586+BO586)</f>
        <v>59.438916444281595</v>
      </c>
      <c r="BQ586" s="14"/>
      <c r="BR586" s="14">
        <f>SUM(BQ586*0.1)</f>
        <v>0</v>
      </c>
      <c r="BS586" s="14">
        <f ca="1">SUM(BT586*BU586)</f>
        <v>0</v>
      </c>
      <c r="BT586" s="17">
        <f>SUM((BQ586+BR586)*0.00833333333333333)</f>
        <v>0</v>
      </c>
      <c r="BU586" s="23">
        <f ca="1">MONTH(TODAY())+49</f>
        <v>53</v>
      </c>
      <c r="BV586" s="14">
        <f ca="1">SUM(BQ586,BR586,BS586)</f>
        <v>0</v>
      </c>
      <c r="BW586" s="14"/>
      <c r="BX586" s="14">
        <f>SUM(BW586*0.1)</f>
        <v>0</v>
      </c>
      <c r="BY586" s="14">
        <f ca="1">SUM(BZ586*CA586)</f>
        <v>0</v>
      </c>
      <c r="BZ586" s="17">
        <f>SUM((BW586+BX586)*0.00833333333333333)</f>
        <v>0</v>
      </c>
      <c r="CA586" s="23">
        <f ca="1">MONTH(TODAY())+37</f>
        <v>41</v>
      </c>
      <c r="CB586" s="14">
        <f ca="1">SUM(BW586,BX586,BY586)</f>
        <v>0</v>
      </c>
      <c r="CC586" s="14">
        <v>0</v>
      </c>
      <c r="CD586" s="14">
        <f>SUM(CC586*0.1)</f>
        <v>0</v>
      </c>
      <c r="CE586" s="14">
        <f ca="1">SUM(CF586*CG586)</f>
        <v>0</v>
      </c>
      <c r="CF586" s="17">
        <f>SUM((CC586+CD586)*0.00833333333333333)</f>
        <v>0</v>
      </c>
      <c r="CG586" s="23">
        <f ca="1">MONTH(TODAY())+25</f>
        <v>29</v>
      </c>
      <c r="CH586" s="14">
        <f ca="1">SUM(CC586,CD586,CE586)</f>
        <v>0</v>
      </c>
      <c r="CI586" s="14">
        <f>SUM(DU586*0.0052)</f>
        <v>120.64</v>
      </c>
      <c r="CJ586" s="14">
        <f>SUM(CI586*0.1)</f>
        <v>12.064</v>
      </c>
      <c r="CK586" s="14">
        <f ca="1">SUM(CL586*CM586)</f>
        <v>18.799733333333329</v>
      </c>
      <c r="CL586" s="17">
        <f>SUM((CI586+CJ586)*0.00833333333333333)</f>
        <v>1.1058666666666663</v>
      </c>
      <c r="CM586" s="23">
        <f ca="1">MONTH(TODAY())+13</f>
        <v>17</v>
      </c>
      <c r="CN586" s="14">
        <f ca="1">SUM(CI586,CJ586,CK586)</f>
        <v>151.50373333333334</v>
      </c>
      <c r="CO586" s="14">
        <f>SUM(DU586*0.0052)/2</f>
        <v>60.32</v>
      </c>
      <c r="CP586" s="14">
        <f>SUM(CO586*0.1)</f>
        <v>6.032</v>
      </c>
      <c r="CQ586" s="14">
        <f ca="1">SUM(CR586*CS586)</f>
        <v>4.9763999999999982</v>
      </c>
      <c r="CR586" s="17">
        <f>SUM((CO586+CP586)*0.00833333333333333)</f>
        <v>0.55293333333333317</v>
      </c>
      <c r="CS586" s="23">
        <f ca="1">MONTH(TODAY())+5</f>
        <v>9</v>
      </c>
      <c r="CT586" s="23">
        <f ca="1">SUM(CO586,CP586,CQ586)</f>
        <v>71.328400000000002</v>
      </c>
      <c r="CU586" s="14">
        <f>SUM(DU586*0.0052)/2</f>
        <v>60.32</v>
      </c>
      <c r="CV586" s="14">
        <f>SUM(CU586*0.1)</f>
        <v>6.032</v>
      </c>
      <c r="CW586" s="14">
        <f ca="1">SUM(CX586*CY586)</f>
        <v>2.7646666666666659</v>
      </c>
      <c r="CX586" s="17">
        <f>SUM((CU586+CV586)*0.00833333333333333)</f>
        <v>0.55293333333333317</v>
      </c>
      <c r="CY586" s="23">
        <f ca="1">MONTH(TODAY())+1</f>
        <v>5</v>
      </c>
      <c r="CZ586" s="23">
        <f ca="1">SUM(CU586,CV586,CW586)</f>
        <v>69.116666666666674</v>
      </c>
      <c r="DA586" s="14">
        <f>SUM( BQ586, BW586, CC586, CI586, CO586,CU586)</f>
        <v>241.28</v>
      </c>
      <c r="DB586" s="14">
        <f>SUM(BR586,BX586,CD586,CJ586, CP586,CV586)</f>
        <v>24.128</v>
      </c>
      <c r="DC586" s="14">
        <f ca="1">SUM(BS586,BY586,CE586,CK586, CQ586,CW586)</f>
        <v>26.540799999999994</v>
      </c>
      <c r="DD586" s="25">
        <f ca="1">SUM(DA586:DC586)</f>
        <v>291.94880000000001</v>
      </c>
      <c r="DE586" s="47">
        <f ca="1">SUM(DD586/DU586)</f>
        <v>1.2584E-2</v>
      </c>
      <c r="DF586" s="14">
        <v>20</v>
      </c>
      <c r="DG586" s="32">
        <f>COUNTIF(DL586, "*")+COUNTIF(AO586, "*")+COUNTIF(AJ586, "*")+COUNTIF(AA586, "*")+COUNTIF(EM586, "*")+COUNTIF(ES586, "*")+COUNTIF(EY586, "*")+COUNTIF(FC586, "*")+COUNTIF(FJ586, "*")+COUNTIF(AT586, "*")+COUNTIF(FS586, "*")+COUNTIF(GD586, "*")+COUNTIF(GO586, "*")+COUNTIF(GW586, "*")+COUNTIF(HE586, "*")+COUNTIF(HM586, "*")+COUNTIF(HU586, "*")</f>
        <v>2</v>
      </c>
      <c r="DH586" s="14">
        <f>DG586*0.6</f>
        <v>1.2</v>
      </c>
      <c r="DI586" s="4"/>
      <c r="DJ586" s="4"/>
      <c r="DK586" s="4"/>
      <c r="DL586" s="4"/>
      <c r="DN586" s="4"/>
      <c r="DO586" s="14">
        <f>SUM(DJ586:DN586)</f>
        <v>0</v>
      </c>
      <c r="DP586" s="14">
        <f ca="1">SUM(DD586,DF586,DO586, DI586, DH586,FP586)</f>
        <v>313.14879999999999</v>
      </c>
      <c r="DQ586" s="24" t="s">
        <v>3879</v>
      </c>
      <c r="DR586" s="130">
        <v>6</v>
      </c>
      <c r="DS586" s="14">
        <v>23200</v>
      </c>
      <c r="DT586" s="14">
        <v>0</v>
      </c>
      <c r="DU586" s="14">
        <v>23200</v>
      </c>
      <c r="DV586" s="14">
        <v>29000</v>
      </c>
      <c r="DW586" s="14">
        <v>0</v>
      </c>
      <c r="DX586" s="14">
        <f>SUM(DV586+DW586)</f>
        <v>29000</v>
      </c>
      <c r="IA586" s="9"/>
      <c r="IL586" s="14">
        <f ca="1">SUM(IB586-DP586-FP586-IJ586)</f>
        <v>-313.14879999999999</v>
      </c>
      <c r="IM586" s="9"/>
      <c r="IN586" s="9"/>
      <c r="IO586" s="9"/>
      <c r="IP586" s="9"/>
      <c r="IQ586" s="9"/>
    </row>
    <row r="587" spans="1:263" ht="15" customHeight="1">
      <c r="A587" s="19">
        <v>102022182</v>
      </c>
      <c r="B587" t="s">
        <v>2907</v>
      </c>
      <c r="D587" s="1"/>
      <c r="E587" s="3" t="s">
        <v>3872</v>
      </c>
      <c r="F587" s="3">
        <v>220003542</v>
      </c>
      <c r="J587" t="s">
        <v>253</v>
      </c>
      <c r="K587" t="s">
        <v>3234</v>
      </c>
      <c r="L587" t="s">
        <v>657</v>
      </c>
      <c r="M587" t="s">
        <v>426</v>
      </c>
      <c r="AD587" t="s">
        <v>3860</v>
      </c>
      <c r="AE587" t="s">
        <v>253</v>
      </c>
      <c r="AF587" t="s">
        <v>3861</v>
      </c>
      <c r="AG587" s="43" t="s">
        <v>3859</v>
      </c>
      <c r="AH587" s="31" t="s">
        <v>3858</v>
      </c>
      <c r="AJ587" s="18" t="s">
        <v>328</v>
      </c>
      <c r="AL587" s="3" t="s">
        <v>600</v>
      </c>
      <c r="AM587"/>
      <c r="AN587"/>
      <c r="AO587" s="3" t="s">
        <v>3235</v>
      </c>
      <c r="AP587" s="3" t="s">
        <v>258</v>
      </c>
      <c r="AQ587" t="s">
        <v>3236</v>
      </c>
      <c r="AR587" t="s">
        <v>726</v>
      </c>
      <c r="AS587" s="1"/>
      <c r="AT587" s="1"/>
      <c r="AU587" s="1" t="s">
        <v>258</v>
      </c>
      <c r="AV587" s="1" t="s">
        <v>258</v>
      </c>
      <c r="AW587" s="1" t="s">
        <v>258</v>
      </c>
      <c r="AX587" s="70">
        <v>44693</v>
      </c>
      <c r="AY587" s="115">
        <v>44661</v>
      </c>
      <c r="AZ587" s="115">
        <v>44649</v>
      </c>
      <c r="BA587" s="70">
        <v>44743</v>
      </c>
      <c r="BB587" s="2" t="s">
        <v>318</v>
      </c>
      <c r="BC587" s="70">
        <v>44729</v>
      </c>
      <c r="BD587" s="70">
        <v>44736</v>
      </c>
      <c r="BE587" s="70">
        <v>44813</v>
      </c>
      <c r="BF587" s="19" t="s">
        <v>319</v>
      </c>
      <c r="BG587" s="20">
        <f ca="1">SUM(CZ587)+214.5</f>
        <v>2287.0625333333332</v>
      </c>
      <c r="BH587" s="22">
        <f ca="1">PMT(10%/12,12,BG587,0,0)</f>
        <v>-201.06913176851339</v>
      </c>
      <c r="BI587" s="22">
        <f ca="1">SUM(BH587*-1)</f>
        <v>201.06913176851339</v>
      </c>
      <c r="BJ587" s="14">
        <f>SUM(DJ587*0.0052)/12</f>
        <v>10.226666666666667</v>
      </c>
      <c r="BK587" s="22">
        <f ca="1">SUM(BI587+BJ587)</f>
        <v>211.29579843518005</v>
      </c>
      <c r="BL587" s="14"/>
      <c r="BM587" s="14">
        <f>SUM(BL587*0.1)</f>
        <v>0</v>
      </c>
      <c r="BN587" s="14">
        <f ca="1">SUM(BO587*BP587)</f>
        <v>0</v>
      </c>
      <c r="BO587" s="17">
        <f>SUM((BL587+BM587)*0.00833333333333333)</f>
        <v>0</v>
      </c>
      <c r="BP587" s="23">
        <f ca="1">MONTH(TODAY())+49</f>
        <v>53</v>
      </c>
      <c r="BQ587" s="14">
        <f ca="1">SUM(BL587,BM587,BN587)</f>
        <v>0</v>
      </c>
      <c r="BR587" s="14"/>
      <c r="BS587" s="14">
        <f>SUM(BR587*0.1)</f>
        <v>0</v>
      </c>
      <c r="BT587" s="14">
        <f ca="1">SUM(BU587*BV587)</f>
        <v>0</v>
      </c>
      <c r="BU587" s="17">
        <f>SUM((BR587+BS587)*0.00833333333333333)</f>
        <v>0</v>
      </c>
      <c r="BV587" s="23">
        <f ca="1">MONTH(TODAY())+37</f>
        <v>41</v>
      </c>
      <c r="BW587" s="14">
        <f ca="1">SUM(BR587,BS587,BT587)</f>
        <v>0</v>
      </c>
      <c r="BX587" s="14"/>
      <c r="BY587" s="14">
        <f>SUM(BX587*0.1)</f>
        <v>0</v>
      </c>
      <c r="BZ587" s="14">
        <f ca="1">SUM(CA587*CB587)</f>
        <v>0</v>
      </c>
      <c r="CA587" s="17">
        <f>SUM((BX587+BY587)*0.00833333333333333)</f>
        <v>0</v>
      </c>
      <c r="CB587" s="23">
        <f ca="1">MONTH(TODAY())+25</f>
        <v>29</v>
      </c>
      <c r="CC587" s="14">
        <f ca="1">SUM(BX587,BY587,BZ587)</f>
        <v>0</v>
      </c>
      <c r="CD587" s="14">
        <f>SUM(DJ587*0.0052)</f>
        <v>122.72</v>
      </c>
      <c r="CE587" s="14">
        <f>SUM(CD587*0.1)</f>
        <v>12.272</v>
      </c>
      <c r="CF587" s="14">
        <f ca="1">SUM(CG587*CH587)</f>
        <v>19.123866666666654</v>
      </c>
      <c r="CG587" s="17">
        <f>SUM((CD587+CE587)*0.00833333333333333)</f>
        <v>1.1249333333333327</v>
      </c>
      <c r="CH587" s="23">
        <f ca="1">MONTH(TODAY())+13</f>
        <v>17</v>
      </c>
      <c r="CI587" s="14">
        <f ca="1">SUM(CD587,CE587,CF587)</f>
        <v>154.11586666666665</v>
      </c>
      <c r="CJ587" s="14">
        <f>SUM(DJ587*0.0052)</f>
        <v>122.72</v>
      </c>
      <c r="CK587" s="14">
        <f>SUM(CJ587*0.1)</f>
        <v>12.272</v>
      </c>
      <c r="CL587" s="14">
        <f ca="1">SUM(CM587*CN587)</f>
        <v>5.6246666666666636</v>
      </c>
      <c r="CM587" s="17">
        <f>SUM((CJ587+CK587)*0.00833333333333333)</f>
        <v>1.1249333333333327</v>
      </c>
      <c r="CN587" s="23">
        <f ca="1">MONTH(TODAY())+1</f>
        <v>5</v>
      </c>
      <c r="CO587" s="14">
        <f ca="1">SUM(CJ587,CK587,CL587)</f>
        <v>140.61666666666665</v>
      </c>
      <c r="CP587" s="14">
        <f>SUM(DJ587*0.0052)/2</f>
        <v>61.36</v>
      </c>
      <c r="CQ587" s="14">
        <f>SUM(BL587, BR587, BX587, CD587, CJ587, CP587)</f>
        <v>306.8</v>
      </c>
      <c r="CR587" s="14">
        <f>SUM(BM587, BS587,BY587,CE587,CK587)</f>
        <v>24.544</v>
      </c>
      <c r="CS587" s="14">
        <f ca="1">SUM(BN587, BT587,BZ587,CF587,CL587)</f>
        <v>24.748533333333317</v>
      </c>
      <c r="CT587" s="14">
        <f ca="1">SUM(CQ587:CS587)</f>
        <v>356.09253333333334</v>
      </c>
      <c r="CU587" s="47">
        <f ca="1">SUM(CT587/DJ587)</f>
        <v>1.5088666666666667E-2</v>
      </c>
      <c r="CV587" s="14">
        <f>19.5+19.5+195+195+58.5+39+58.5</f>
        <v>585</v>
      </c>
      <c r="CW587" s="32">
        <f>COUNTIF(DC587, "*")+COUNTIF(AO587, "*")+COUNTIF(AJ587, "*")+COUNTIF(AA587, "*")+COUNTIF(DZ587, "*")+COUNTIF(EF587, "*")+COUNTIF(EL587, "*")+COUNTIF(EP587, "*")+COUNTIF(EW587, "*")+COUNTIF(FD587, "*")+COUNTIF(FK587, "*")+COUNTIF(FV587, "*")+COUNTIF(GG587, "*")+COUNTIF(GO587, "*")+COUNTIF(GW587, "*")+COUNTIF(HE587, "*")+COUNTIF(HM587, "*")</f>
        <v>4</v>
      </c>
      <c r="CX587" s="14">
        <f>CW587*0.5+CW587*6.66</f>
        <v>28.64</v>
      </c>
      <c r="CY587" s="4">
        <v>150</v>
      </c>
      <c r="CZ587" s="14">
        <f ca="1">SUM(CT587,CV587,DF587, CY587, CX587,FH587)</f>
        <v>2072.5625333333332</v>
      </c>
      <c r="DA587" s="14">
        <f>30.08+829</f>
        <v>859.08</v>
      </c>
      <c r="DB587">
        <v>93.75</v>
      </c>
      <c r="DF587" s="14">
        <f>SUM(DA587:DE587)</f>
        <v>952.83</v>
      </c>
      <c r="DG587" s="24" t="s">
        <v>2773</v>
      </c>
      <c r="DH587" s="4">
        <v>23600</v>
      </c>
      <c r="DI587" s="4">
        <v>0</v>
      </c>
      <c r="DJ587" s="25">
        <f>SUM(DH587+DI587)</f>
        <v>23600</v>
      </c>
      <c r="DK587" s="35">
        <v>3</v>
      </c>
      <c r="DL587" t="s">
        <v>3698</v>
      </c>
      <c r="DM587" t="s">
        <v>3699</v>
      </c>
      <c r="DX587" t="s">
        <v>3843</v>
      </c>
      <c r="DZ587" t="s">
        <v>3840</v>
      </c>
      <c r="EB587" t="s">
        <v>3841</v>
      </c>
      <c r="EC587" t="s">
        <v>3842</v>
      </c>
      <c r="ED587" t="s">
        <v>3843</v>
      </c>
      <c r="EF587" t="s">
        <v>3844</v>
      </c>
      <c r="EH587" t="s">
        <v>3845</v>
      </c>
      <c r="EI587" t="s">
        <v>301</v>
      </c>
      <c r="ID587" s="4"/>
    </row>
    <row r="588" spans="1:263" ht="15" customHeight="1">
      <c r="A588" s="2">
        <v>102017031</v>
      </c>
      <c r="B588" t="s">
        <v>863</v>
      </c>
      <c r="G588">
        <v>170006327</v>
      </c>
      <c r="J588" t="s">
        <v>311</v>
      </c>
      <c r="K588" t="s">
        <v>864</v>
      </c>
      <c r="L588" t="s">
        <v>865</v>
      </c>
      <c r="M588" t="s">
        <v>396</v>
      </c>
      <c r="O588" s="1"/>
      <c r="T588" s="1"/>
      <c r="AE588" s="1"/>
      <c r="AJ588" s="4"/>
      <c r="AK588" s="4"/>
      <c r="AL588" s="4"/>
      <c r="AO588" s="4"/>
      <c r="AP588" s="13"/>
      <c r="AQ588" s="34"/>
      <c r="AR588" s="34"/>
      <c r="AS588" s="5"/>
      <c r="AT588" s="13"/>
      <c r="AU588" s="1"/>
      <c r="AV588" s="1"/>
      <c r="AW588" s="1"/>
      <c r="AX588" s="1"/>
      <c r="AY588" s="1"/>
      <c r="AZ588" s="1"/>
      <c r="BA588" s="1"/>
      <c r="BB588" s="1"/>
      <c r="BC588" s="1"/>
      <c r="BD588" s="1"/>
      <c r="BE588" s="1"/>
      <c r="BF588" s="1"/>
      <c r="BG588" s="5"/>
      <c r="BH588" s="16"/>
      <c r="BI588" s="16"/>
      <c r="BJ588" s="4"/>
      <c r="BK588" s="4"/>
      <c r="BL588" s="4"/>
      <c r="BM588" s="6"/>
      <c r="BN588" s="7"/>
      <c r="BO588" s="4"/>
      <c r="BQ588" s="4"/>
      <c r="BR588" s="4"/>
      <c r="BS588" s="6"/>
      <c r="BT588" s="7"/>
      <c r="BU588" s="4"/>
      <c r="BV588" s="4"/>
      <c r="BW588" s="4"/>
      <c r="BX588" s="4"/>
      <c r="BY588" s="6"/>
      <c r="BZ588" s="7"/>
      <c r="CA588" s="4"/>
      <c r="CB588" s="4"/>
      <c r="CC588" s="4"/>
      <c r="CD588" s="4"/>
      <c r="CE588" s="6"/>
      <c r="CF588" s="7"/>
      <c r="CG588" s="4"/>
      <c r="CH588" s="4"/>
      <c r="CI588" s="4"/>
      <c r="CJ588" s="4"/>
      <c r="CK588" s="6"/>
      <c r="CL588" s="7"/>
      <c r="CM588" s="4"/>
      <c r="CN588" s="4"/>
      <c r="CO588" s="4"/>
      <c r="CP588" s="4"/>
      <c r="CQ588" s="6"/>
      <c r="CR588" s="7"/>
      <c r="CS588" s="4"/>
      <c r="CT588" s="4"/>
      <c r="CU588" s="4"/>
      <c r="CV588" s="4"/>
      <c r="CW588" s="6"/>
      <c r="CX588" s="7"/>
      <c r="CY588" s="4"/>
      <c r="CZ588" s="4"/>
      <c r="DA588" s="4"/>
      <c r="DB588" s="4"/>
      <c r="DC588" s="6"/>
      <c r="DD588" s="7"/>
      <c r="DE588" s="4"/>
      <c r="DF588" s="4"/>
      <c r="DG588" s="4"/>
      <c r="DH588" s="14"/>
      <c r="DI588" s="14"/>
      <c r="DJ588" s="4"/>
      <c r="DK588" s="3"/>
      <c r="DL588" s="4"/>
      <c r="DM588" s="234"/>
      <c r="DN588" s="4"/>
      <c r="DO588" s="4"/>
      <c r="DP588" s="4"/>
      <c r="DQ588" s="4"/>
      <c r="DR588" s="4"/>
      <c r="DS588" s="4"/>
      <c r="DT588" s="4"/>
      <c r="DU588" s="8"/>
      <c r="DV588" s="4"/>
      <c r="DW588" s="8"/>
      <c r="DX588" s="4"/>
      <c r="DY588" s="4"/>
      <c r="DZ588" s="7"/>
      <c r="EA588" s="239"/>
      <c r="EB588" s="239"/>
      <c r="FI588" s="9"/>
      <c r="FJ588" s="10"/>
      <c r="FQ588" s="10"/>
      <c r="FR588" s="9"/>
      <c r="FX588" s="4"/>
      <c r="GE588" s="9"/>
      <c r="IJ588" s="4"/>
      <c r="IK588" s="4"/>
      <c r="IL588" s="18"/>
      <c r="IM588" s="18"/>
      <c r="IN588" s="14"/>
      <c r="IO588" s="14"/>
      <c r="IP588" s="27">
        <v>43549</v>
      </c>
      <c r="IQ588" s="27">
        <v>43565</v>
      </c>
      <c r="IR588" s="18"/>
      <c r="IS588" s="18"/>
      <c r="IT588" s="18"/>
      <c r="IZ588" s="240"/>
      <c r="JA588" s="240"/>
      <c r="JB588" s="240"/>
      <c r="JC588" s="240"/>
    </row>
    <row r="589" spans="1:263" ht="15" customHeight="1">
      <c r="A589" s="19">
        <v>102021031</v>
      </c>
      <c r="B589" s="18" t="s">
        <v>2066</v>
      </c>
      <c r="C589" s="18"/>
      <c r="D589" s="18"/>
      <c r="E589" s="18" t="s">
        <v>2520</v>
      </c>
      <c r="F589" s="18">
        <v>210004660</v>
      </c>
      <c r="G589" s="18"/>
      <c r="H589" s="18"/>
      <c r="I589" s="18"/>
      <c r="J589" s="18" t="s">
        <v>311</v>
      </c>
      <c r="K589" s="18" t="s">
        <v>2067</v>
      </c>
      <c r="L589" s="18" t="s">
        <v>1020</v>
      </c>
      <c r="M589" s="18"/>
      <c r="N589" s="18"/>
      <c r="O589" s="18"/>
      <c r="P589" s="18"/>
      <c r="Q589" s="18"/>
      <c r="R589" s="18"/>
      <c r="S589" s="18"/>
      <c r="T589" s="18"/>
      <c r="U589" s="18"/>
      <c r="V589" s="18"/>
      <c r="W589" s="18"/>
      <c r="X589" s="18"/>
      <c r="Y589" s="18"/>
      <c r="Z589" s="18"/>
      <c r="AA589" s="18"/>
      <c r="AB589" s="18"/>
      <c r="AC589" s="18"/>
      <c r="AD589" s="18"/>
      <c r="AE589" s="18"/>
      <c r="AF589" s="18"/>
      <c r="AG589" s="231"/>
      <c r="AH589" s="18"/>
      <c r="AI589" s="18"/>
      <c r="AJ589" s="18" t="s">
        <v>328</v>
      </c>
      <c r="AK589" s="18"/>
      <c r="AL589" s="18" t="s">
        <v>600</v>
      </c>
      <c r="AM589" s="24"/>
      <c r="AN589" s="24"/>
      <c r="AO589" s="18" t="s">
        <v>2154</v>
      </c>
      <c r="AP589" s="13" t="s">
        <v>258</v>
      </c>
      <c r="AQ589" s="24" t="s">
        <v>386</v>
      </c>
      <c r="AR589" s="24" t="s">
        <v>260</v>
      </c>
      <c r="AS589" s="13"/>
      <c r="AT589" s="13"/>
      <c r="AU589" s="13"/>
      <c r="AV589" s="13"/>
      <c r="AW589" s="13"/>
      <c r="AX589" s="48"/>
      <c r="AY589" s="48"/>
      <c r="AZ589" s="48"/>
      <c r="BA589" s="48"/>
      <c r="BB589" s="2"/>
      <c r="BC589" s="48"/>
      <c r="BD589" s="48"/>
      <c r="BE589" s="48"/>
      <c r="BF589" s="19"/>
      <c r="BG589" s="20"/>
      <c r="BH589" s="22"/>
      <c r="BI589" s="22"/>
      <c r="BJ589" s="14"/>
      <c r="BK589" s="22"/>
      <c r="BL589" s="14"/>
      <c r="BM589" s="14"/>
      <c r="BN589" s="14"/>
      <c r="BO589" s="17"/>
      <c r="BP589" s="23"/>
      <c r="BQ589" s="14"/>
      <c r="BR589" s="14"/>
      <c r="BS589" s="14"/>
      <c r="BT589" s="14"/>
      <c r="BU589" s="17"/>
      <c r="BV589" s="23"/>
      <c r="BW589" s="14"/>
      <c r="BX589" s="14"/>
      <c r="BY589" s="14"/>
      <c r="BZ589" s="14"/>
      <c r="CA589" s="17"/>
      <c r="CB589" s="23"/>
      <c r="CC589" s="14"/>
      <c r="CD589" s="14"/>
      <c r="CE589" s="14"/>
      <c r="CF589" s="14"/>
      <c r="CG589" s="17"/>
      <c r="CH589" s="23"/>
      <c r="CI589" s="14"/>
      <c r="CJ589" s="14"/>
      <c r="CK589" s="14"/>
      <c r="CL589" s="14"/>
      <c r="CM589" s="17"/>
      <c r="CN589" s="23"/>
      <c r="CO589" s="14"/>
      <c r="CP589" s="14"/>
      <c r="CQ589" s="14"/>
      <c r="CR589" s="14"/>
      <c r="CS589" s="17"/>
      <c r="CT589" s="23"/>
      <c r="CU589" s="14"/>
      <c r="CV589" s="14"/>
      <c r="CW589" s="14"/>
      <c r="CX589" s="14"/>
      <c r="CY589" s="14"/>
      <c r="CZ589" s="47"/>
      <c r="DA589" s="14"/>
      <c r="DB589" s="32"/>
      <c r="DC589" s="14"/>
      <c r="DD589" s="14"/>
      <c r="DE589" s="14"/>
      <c r="DF589" s="14"/>
      <c r="DG589" s="14"/>
      <c r="DH589" s="14"/>
      <c r="DI589" s="23"/>
      <c r="DJ589" s="25"/>
      <c r="DK589" s="14">
        <f>SUM(DF589:DJ589)</f>
        <v>0</v>
      </c>
      <c r="DL589" s="24" t="s">
        <v>1997</v>
      </c>
      <c r="DM589" s="25">
        <v>16000</v>
      </c>
      <c r="DN589" s="25">
        <v>200</v>
      </c>
      <c r="DO589" s="25">
        <f>SUM(DM589+DN589)</f>
        <v>16200</v>
      </c>
      <c r="DP589" s="36">
        <v>1</v>
      </c>
      <c r="DQ589" s="18" t="s">
        <v>2446</v>
      </c>
      <c r="DR589" s="18" t="s">
        <v>2447</v>
      </c>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t="s">
        <v>782</v>
      </c>
      <c r="FP589" s="18" t="s">
        <v>783</v>
      </c>
      <c r="FQ589" s="18" t="s">
        <v>2444</v>
      </c>
      <c r="FR589" s="18"/>
      <c r="FS589" s="18" t="s">
        <v>259</v>
      </c>
      <c r="FT589" s="18" t="s">
        <v>260</v>
      </c>
      <c r="FU589" s="27">
        <v>43745</v>
      </c>
      <c r="FV589" s="18" t="s">
        <v>2445</v>
      </c>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4"/>
      <c r="IP589" s="18"/>
      <c r="IQ589" s="18"/>
      <c r="IR589" s="18"/>
      <c r="IS589" s="18"/>
      <c r="IT589" s="18"/>
    </row>
    <row r="590" spans="1:263" ht="15" customHeight="1">
      <c r="A590" s="19">
        <v>102021031</v>
      </c>
      <c r="B590" s="18" t="s">
        <v>2066</v>
      </c>
      <c r="D590" s="1"/>
      <c r="E590" s="3"/>
      <c r="F590" s="3"/>
      <c r="G590" s="3"/>
      <c r="J590" s="18" t="s">
        <v>311</v>
      </c>
      <c r="K590" s="18" t="s">
        <v>2067</v>
      </c>
      <c r="L590" s="18" t="s">
        <v>1020</v>
      </c>
      <c r="M590" s="18"/>
      <c r="N590" s="18"/>
      <c r="O590" s="24"/>
      <c r="P590" s="18"/>
      <c r="Q590" s="18"/>
      <c r="R590" s="18"/>
      <c r="S590" s="18"/>
      <c r="AG590" s="43"/>
      <c r="AJ590" s="18" t="s">
        <v>328</v>
      </c>
      <c r="AK590" s="18"/>
      <c r="AL590" s="18" t="s">
        <v>600</v>
      </c>
      <c r="AM590" s="18"/>
      <c r="AN590" s="18"/>
      <c r="AO590" s="18" t="s">
        <v>2154</v>
      </c>
      <c r="AP590" s="18" t="s">
        <v>258</v>
      </c>
      <c r="AQ590" s="18" t="s">
        <v>386</v>
      </c>
      <c r="AR590" s="18" t="s">
        <v>260</v>
      </c>
      <c r="AX590" s="1"/>
      <c r="AY590" s="1"/>
      <c r="AZ590" s="1"/>
      <c r="BA590" s="1"/>
      <c r="BB590" s="1"/>
      <c r="BC590" s="2"/>
      <c r="BD590" s="115">
        <v>45060</v>
      </c>
      <c r="BE590" s="115">
        <v>45061</v>
      </c>
      <c r="BF590" s="2"/>
      <c r="BG590" s="2"/>
      <c r="BH590" s="2"/>
      <c r="BI590" s="2"/>
      <c r="BJ590" s="2"/>
      <c r="BK590" s="2"/>
      <c r="BL590" s="20">
        <f ca="1">SUM(EB590)+220</f>
        <v>895.40429999999992</v>
      </c>
      <c r="BM590" s="22">
        <f ca="1">PMT(10%/12,12,BL590,0,0)</f>
        <v>-78.720263464065681</v>
      </c>
      <c r="BN590" s="22">
        <f ca="1">SUM(BM590*-1)</f>
        <v>78.720263464065681</v>
      </c>
      <c r="BO590" s="25">
        <f>SUM(EJ590*0.0052)/12</f>
        <v>7.28</v>
      </c>
      <c r="BP590" s="22">
        <f ca="1">SUM(BN590+BO590)</f>
        <v>86.000263464065682</v>
      </c>
      <c r="BQ590" s="14"/>
      <c r="BR590" s="14">
        <f>SUM(BQ590*0.1)</f>
        <v>0</v>
      </c>
      <c r="BS590" s="14">
        <f ca="1">SUM(BT590*BU590)</f>
        <v>0</v>
      </c>
      <c r="BT590" s="17">
        <f>SUM((BQ590+BR590)*0.00833333333333333)</f>
        <v>0</v>
      </c>
      <c r="BU590" s="23">
        <f ca="1">MONTH(TODAY())+49</f>
        <v>53</v>
      </c>
      <c r="BV590" s="14">
        <f ca="1">SUM(BQ590,BR590,BS590)</f>
        <v>0</v>
      </c>
      <c r="BW590" s="14"/>
      <c r="BX590" s="14">
        <f>SUM(BW590*0.1)</f>
        <v>0</v>
      </c>
      <c r="BY590" s="14">
        <f ca="1">SUM(BZ590*CA590)</f>
        <v>0</v>
      </c>
      <c r="BZ590" s="17">
        <f>SUM((BW590+BX590)*0.00833333333333333)</f>
        <v>0</v>
      </c>
      <c r="CA590" s="23">
        <f ca="1">MONTH(TODAY())+37</f>
        <v>41</v>
      </c>
      <c r="CB590" s="14">
        <f ca="1">SUM(BW590,BX590,BY590)</f>
        <v>0</v>
      </c>
      <c r="CC590" s="14">
        <v>0</v>
      </c>
      <c r="CD590" s="14">
        <f>SUM(CC590*0.1)</f>
        <v>0</v>
      </c>
      <c r="CE590" s="14">
        <f ca="1">SUM(CF590*CG590)</f>
        <v>0</v>
      </c>
      <c r="CF590" s="17">
        <f>SUM((CC590+CD590)*0.00833333333333333)</f>
        <v>0</v>
      </c>
      <c r="CG590" s="23">
        <f ca="1">MONTH(TODAY())+25</f>
        <v>29</v>
      </c>
      <c r="CH590" s="14">
        <f ca="1">SUM(CC590,CD590,CE590)</f>
        <v>0</v>
      </c>
      <c r="CI590" s="14">
        <f>SUM(EG590*0.0052)</f>
        <v>84.24</v>
      </c>
      <c r="CJ590" s="14">
        <f>SUM(CI590*0.1)</f>
        <v>8.4239999999999995</v>
      </c>
      <c r="CK590" s="14">
        <f ca="1">SUM(CL590*CM590)</f>
        <v>13.127399999999993</v>
      </c>
      <c r="CL590" s="17">
        <f>SUM((CI590+CJ590)*0.00833333333333333)</f>
        <v>0.77219999999999955</v>
      </c>
      <c r="CM590" s="23">
        <f ca="1">MONTH(TODAY())+13</f>
        <v>17</v>
      </c>
      <c r="CN590" s="14">
        <f ca="1">SUM(CI590,CJ590,CK590)</f>
        <v>105.79139999999998</v>
      </c>
      <c r="CO590" s="14">
        <f>SUM(EG590*0.0052)/2</f>
        <v>42.12</v>
      </c>
      <c r="CP590" s="14">
        <f>SUM(CO590*0.1)</f>
        <v>4.2119999999999997</v>
      </c>
      <c r="CQ590" s="14">
        <f ca="1">SUM(CR590*CS590)</f>
        <v>3.4748999999999981</v>
      </c>
      <c r="CR590" s="17">
        <f>SUM((CO590+CP590)*0.00833333333333333)</f>
        <v>0.38609999999999978</v>
      </c>
      <c r="CS590" s="23">
        <f ca="1">MONTH(TODAY())+5</f>
        <v>9</v>
      </c>
      <c r="CT590" s="23">
        <f ca="1">SUM(CO590,CP590,CQ590)</f>
        <v>49.806899999999992</v>
      </c>
      <c r="CU590" s="14">
        <f>SUM(EG590*0.0052)/2</f>
        <v>42.12</v>
      </c>
      <c r="CV590" s="14">
        <f>SUM(CU590*0.1)</f>
        <v>4.2119999999999997</v>
      </c>
      <c r="CW590" s="14">
        <f ca="1">SUM(CX590*CY590)</f>
        <v>1.930499999999999</v>
      </c>
      <c r="CX590" s="17">
        <f>SUM((CU590+CV590)*0.00833333333333333)</f>
        <v>0.38609999999999978</v>
      </c>
      <c r="CY590" s="23">
        <f ca="1">MONTH(TODAY())+1</f>
        <v>5</v>
      </c>
      <c r="CZ590" s="23">
        <f ca="1">SUM(CU590,CV590,CW590)</f>
        <v>48.262499999999996</v>
      </c>
      <c r="DA590" s="14">
        <f>SUM(EJ590*0.0045)/2</f>
        <v>37.799999999999997</v>
      </c>
      <c r="DB590" s="14">
        <f>SUM(DA590*0.1)</f>
        <v>3.78</v>
      </c>
      <c r="DC590" s="14">
        <f ca="1">SUM(DD590*DE590)</f>
        <v>-0.34649999999999986</v>
      </c>
      <c r="DD590" s="17">
        <f>SUM((DA590+DB590)*0.00833333333333333)</f>
        <v>0.34649999999999986</v>
      </c>
      <c r="DE590" s="23">
        <f ca="1">MONTH(TODAY())-5</f>
        <v>-1</v>
      </c>
      <c r="DF590" s="23">
        <f ca="1">SUM(DA590,DB590,DC590)</f>
        <v>41.233499999999999</v>
      </c>
      <c r="DG590" s="14">
        <v>0</v>
      </c>
      <c r="DH590" s="14">
        <v>0</v>
      </c>
      <c r="DI590" s="14">
        <v>0</v>
      </c>
      <c r="DJ590" s="17">
        <f>SUM((DG590+DH590)*0.00833333333333333)</f>
        <v>0</v>
      </c>
      <c r="DK590" s="23">
        <f ca="1">MONTH(TODAY())+1</f>
        <v>5</v>
      </c>
      <c r="DL590" s="23">
        <f>SUM(DG590,DH590,DI590)</f>
        <v>0</v>
      </c>
      <c r="DM590" s="14">
        <f>SUM( BQ590, BW590, CC590, CI590, CO590,CU590,DA590,DG590)</f>
        <v>206.27999999999997</v>
      </c>
      <c r="DN590" s="14">
        <f>SUM(BR590,BX590,CD590,CJ590, CP590,CV590,DB590,DH590)</f>
        <v>20.628</v>
      </c>
      <c r="DO590" s="14">
        <f ca="1">SUM(BS590,BY590,CE590,CK590, CQ590,CW590,DC590,DI590)</f>
        <v>18.186299999999992</v>
      </c>
      <c r="DP590" s="25">
        <f ca="1">SUM(DM590:DO590)</f>
        <v>245.09429999999995</v>
      </c>
      <c r="DQ590" s="47">
        <f ca="1">SUM(DP590/EG590)</f>
        <v>1.5129277777777774E-2</v>
      </c>
      <c r="DR590" s="14">
        <f>20+200</f>
        <v>220</v>
      </c>
      <c r="DS590" s="32">
        <f>COUNTIF(DX590, "*")+COUNTIF(AO590, "*")+COUNTIF(AJ590, "*")+COUNTIF(AA590, "*")+COUNTIF(EY590, "*")+COUNTIF(FE590, "*")+COUNTIF(FK590, "*")+COUNTIF(FO590, "*")+COUNTIF(FV590, "*")+COUNTIF(AT590, "*")+COUNTIF(GE590, "*")+COUNTIF(GP590, "*")+COUNTIF(HA590, "*")+COUNTIF(HI590, "*")+COUNTIF(HQ590, "*")+COUNTIF(HY590, "*")+COUNTIF(IG590, "*")</f>
        <v>3</v>
      </c>
      <c r="DT590" s="14">
        <f>1.2+DS590*7.45</f>
        <v>23.55</v>
      </c>
      <c r="DU590" s="4">
        <v>150</v>
      </c>
      <c r="DV590" s="4">
        <v>36.76</v>
      </c>
      <c r="DW590" s="4"/>
      <c r="DX590" s="4"/>
      <c r="DZ590" s="4"/>
      <c r="EA590" s="14">
        <f>SUM(DV590:DZ590)</f>
        <v>36.76</v>
      </c>
      <c r="EB590" s="14">
        <f ca="1">SUM(DP590,DR590,EA590, DU590, DT590,GB590)</f>
        <v>675.40429999999992</v>
      </c>
      <c r="EC590" s="24" t="s">
        <v>3879</v>
      </c>
      <c r="ED590" s="23">
        <v>1</v>
      </c>
      <c r="EE590" s="14">
        <v>16000</v>
      </c>
      <c r="EF590" s="14">
        <v>200</v>
      </c>
      <c r="EG590" s="14">
        <v>16200</v>
      </c>
      <c r="EH590" s="14">
        <v>16000</v>
      </c>
      <c r="EI590" s="14">
        <v>800</v>
      </c>
      <c r="EJ590" s="14">
        <f>SUM(EH590+EI590)</f>
        <v>16800</v>
      </c>
      <c r="EK590" t="s">
        <v>2446</v>
      </c>
      <c r="EL590" t="s">
        <v>2447</v>
      </c>
      <c r="GC590" t="s">
        <v>2223</v>
      </c>
      <c r="GD590" t="s">
        <v>783</v>
      </c>
      <c r="GE590" t="s">
        <v>1030</v>
      </c>
      <c r="GG590" t="s">
        <v>259</v>
      </c>
      <c r="GH590" t="s">
        <v>260</v>
      </c>
      <c r="GI590" s="9">
        <v>43719</v>
      </c>
      <c r="GJ590" t="s">
        <v>2445</v>
      </c>
      <c r="IM590" s="9"/>
      <c r="IX590" s="4"/>
      <c r="IY590" s="9"/>
      <c r="IZ590" s="9"/>
      <c r="JA590" s="9"/>
      <c r="JB590" s="9"/>
      <c r="JC590" s="9"/>
    </row>
    <row r="591" spans="1:263" ht="15" customHeight="1">
      <c r="A591" s="2">
        <v>102018021</v>
      </c>
      <c r="B591" s="4" t="s">
        <v>1114</v>
      </c>
      <c r="J591" t="s">
        <v>253</v>
      </c>
      <c r="K591" t="s">
        <v>1115</v>
      </c>
      <c r="L591" t="s">
        <v>1116</v>
      </c>
      <c r="M591" t="s">
        <v>426</v>
      </c>
      <c r="O591" s="1"/>
      <c r="T591" s="1"/>
      <c r="AJ591" s="4"/>
      <c r="AK591" s="4"/>
      <c r="AO591" s="4"/>
      <c r="AP591" s="5"/>
      <c r="AQ591" s="34"/>
      <c r="AS591" s="1"/>
      <c r="AT591" s="1"/>
      <c r="AU591" s="29"/>
      <c r="AV591" s="1"/>
      <c r="AW591" s="1"/>
      <c r="AX591" s="1"/>
      <c r="AY591" s="1"/>
      <c r="AZ591" s="1"/>
      <c r="BA591" s="1"/>
      <c r="BB591" s="1"/>
      <c r="BC591" s="1"/>
      <c r="BD591" s="1"/>
      <c r="BE591" s="5"/>
      <c r="BF591" s="16"/>
      <c r="BG591" s="16"/>
      <c r="BI591" s="4"/>
      <c r="BJ591" s="4"/>
      <c r="BK591" s="6"/>
      <c r="BL591" s="7"/>
      <c r="BM591" s="4"/>
      <c r="BO591" s="4"/>
      <c r="BP591" s="4"/>
      <c r="BQ591" s="6"/>
      <c r="BR591" s="7"/>
      <c r="BS591" s="4"/>
      <c r="BU591" s="4"/>
      <c r="BV591" s="4"/>
      <c r="BW591" s="6"/>
      <c r="BX591" s="7"/>
      <c r="BY591" s="4"/>
      <c r="BZ591" s="6"/>
      <c r="CA591" s="4"/>
      <c r="CB591" s="4"/>
      <c r="CC591" s="6"/>
      <c r="CD591" s="7"/>
      <c r="CE591" s="4"/>
      <c r="CF591" s="6"/>
      <c r="CG591" s="4"/>
      <c r="CH591" s="4"/>
      <c r="CI591" s="6"/>
      <c r="CJ591" s="7"/>
      <c r="CK591" s="4"/>
      <c r="CL591" s="4"/>
      <c r="CM591" s="4"/>
      <c r="CN591" s="4"/>
      <c r="CO591" s="6"/>
      <c r="CP591" s="7"/>
      <c r="CQ591" s="4"/>
      <c r="CR591" s="4"/>
      <c r="CS591" s="4"/>
      <c r="CT591" s="4"/>
      <c r="CU591" s="6"/>
      <c r="CV591" s="7"/>
      <c r="CW591" s="4"/>
      <c r="CX591" s="4"/>
      <c r="CY591" s="4"/>
      <c r="CZ591" s="4"/>
      <c r="DA591" s="6"/>
      <c r="DB591" s="7"/>
      <c r="DC591" s="4"/>
      <c r="DD591" s="4"/>
      <c r="DE591" s="4"/>
      <c r="DF591" s="4"/>
      <c r="DG591" s="6"/>
      <c r="DH591" s="7"/>
      <c r="DI591" s="4"/>
      <c r="DJ591" s="4"/>
      <c r="DK591" s="4"/>
      <c r="DL591" s="4"/>
      <c r="DM591" s="4"/>
      <c r="DO591" s="4"/>
      <c r="DP591" s="4"/>
      <c r="DQ591" s="4"/>
      <c r="DR591" s="7"/>
      <c r="DS591" s="4"/>
      <c r="DT591" s="4"/>
      <c r="DU591" s="4"/>
      <c r="DV591" s="4"/>
      <c r="DW591" s="4"/>
      <c r="DX591" s="4"/>
      <c r="DY591" s="7"/>
      <c r="DZ591" s="7"/>
      <c r="EA591" s="4"/>
      <c r="EB591" s="4"/>
      <c r="EC591" s="4"/>
      <c r="ED591" s="4"/>
      <c r="EE591" s="11"/>
      <c r="EN591" s="11"/>
      <c r="ET591" s="11"/>
      <c r="EU591" s="4"/>
      <c r="EV591" s="4"/>
      <c r="EW591" s="4"/>
      <c r="EX591" s="4"/>
      <c r="EY591" s="4"/>
      <c r="EZ591" s="4"/>
      <c r="FA591" s="4"/>
      <c r="FB591" s="4"/>
      <c r="FC591" s="4"/>
      <c r="FD591" s="4"/>
      <c r="FE591" s="4"/>
      <c r="FF591" s="4"/>
      <c r="FG591" s="4"/>
      <c r="FH591" s="4"/>
      <c r="FN591" s="9"/>
      <c r="GD591" s="10"/>
      <c r="GN591" s="10"/>
      <c r="HC591" s="9"/>
      <c r="IL591" s="9"/>
      <c r="IS591" s="4"/>
      <c r="IT591" s="4"/>
    </row>
    <row r="592" spans="1:263" ht="15" customHeight="1">
      <c r="A592" s="19">
        <v>102022052</v>
      </c>
      <c r="B592" t="s">
        <v>2802</v>
      </c>
      <c r="D592" s="1"/>
      <c r="E592" s="3"/>
      <c r="F592" s="3"/>
      <c r="G592" s="3">
        <v>220003102</v>
      </c>
      <c r="J592" t="s">
        <v>554</v>
      </c>
      <c r="K592" t="s">
        <v>399</v>
      </c>
      <c r="L592" t="s">
        <v>3026</v>
      </c>
      <c r="N592" t="s">
        <v>341</v>
      </c>
      <c r="O592" s="3"/>
      <c r="P592" t="s">
        <v>399</v>
      </c>
      <c r="Q592" t="s">
        <v>3027</v>
      </c>
      <c r="AD592" t="s">
        <v>3810</v>
      </c>
      <c r="AE592" t="s">
        <v>311</v>
      </c>
      <c r="AF592" t="s">
        <v>399</v>
      </c>
      <c r="AG592" s="43"/>
      <c r="AH592" t="s">
        <v>3029</v>
      </c>
      <c r="AI592" t="s">
        <v>438</v>
      </c>
      <c r="AJ592" t="s">
        <v>3028</v>
      </c>
      <c r="AK592" t="s">
        <v>258</v>
      </c>
      <c r="AL592" t="s">
        <v>600</v>
      </c>
      <c r="AM592" t="s">
        <v>260</v>
      </c>
      <c r="AN592"/>
      <c r="AO592" t="s">
        <v>3029</v>
      </c>
      <c r="AP592" s="3"/>
      <c r="AQ592" t="s">
        <v>438</v>
      </c>
      <c r="AR592"/>
      <c r="AX592" s="1"/>
      <c r="AY592" s="1"/>
      <c r="AZ592" s="1"/>
      <c r="BA592" s="1"/>
      <c r="BB592" s="1"/>
      <c r="BC592" s="2"/>
      <c r="BD592" s="116"/>
      <c r="BE592" s="115">
        <v>44655</v>
      </c>
      <c r="BF592" s="2"/>
      <c r="BG592" s="2"/>
      <c r="BH592" s="2"/>
      <c r="BI592" s="2"/>
      <c r="BJ592" s="2"/>
      <c r="BK592" s="2"/>
      <c r="BL592" s="20">
        <f ca="1">SUM(EB592)+220</f>
        <v>705.13499999999999</v>
      </c>
      <c r="BM592" s="22">
        <f ca="1">PMT(10%/12,12,BL592,0,0)</f>
        <v>-61.992569141932812</v>
      </c>
      <c r="BN592" s="22">
        <f ca="1">SUM(BM592*-1)</f>
        <v>61.992569141932812</v>
      </c>
      <c r="BO592" s="14">
        <f>SUM(EJ592*0.0052)/12</f>
        <v>12.783333333333333</v>
      </c>
      <c r="BP592" s="22">
        <f ca="1">SUM(BN592+BO592)</f>
        <v>74.77590247526615</v>
      </c>
      <c r="BQ592" s="14"/>
      <c r="BR592" s="14">
        <f>SUM(BQ592*0.1)</f>
        <v>0</v>
      </c>
      <c r="BS592" s="14">
        <f ca="1">SUM(BT592*BU592)</f>
        <v>0</v>
      </c>
      <c r="BT592" s="17">
        <f>SUM((BQ592+BR592)*0.00833333333333333)</f>
        <v>0</v>
      </c>
      <c r="BU592" s="23">
        <f ca="1">MONTH(TODAY())+49</f>
        <v>53</v>
      </c>
      <c r="BV592" s="14">
        <f ca="1">SUM(BQ592,BR592,BS592)</f>
        <v>0</v>
      </c>
      <c r="BW592" s="14"/>
      <c r="BX592" s="14">
        <f>SUM(BW592*0.1)</f>
        <v>0</v>
      </c>
      <c r="BY592" s="14">
        <f ca="1">SUM(BZ592*CA592)</f>
        <v>0</v>
      </c>
      <c r="BZ592" s="17">
        <f>SUM((BW592+BX592)*0.00833333333333333)</f>
        <v>0</v>
      </c>
      <c r="CA592" s="23">
        <f ca="1">MONTH(TODAY())+37</f>
        <v>41</v>
      </c>
      <c r="CB592" s="14">
        <f ca="1">SUM(BW592,BX592,BY592)</f>
        <v>0</v>
      </c>
      <c r="CC592" s="14">
        <v>0</v>
      </c>
      <c r="CD592" s="14">
        <f>SUM(CC592*0.1)</f>
        <v>0</v>
      </c>
      <c r="CE592" s="14">
        <f ca="1">SUM(CF592*CG592)</f>
        <v>0</v>
      </c>
      <c r="CF592" s="17">
        <f>SUM((CC592+CD592)*0.00833333333333333)</f>
        <v>0</v>
      </c>
      <c r="CG592" s="23">
        <f ca="1">MONTH(TODAY())+25</f>
        <v>29</v>
      </c>
      <c r="CH592" s="14">
        <f ca="1">SUM(CC592,CD592,CE592)</f>
        <v>0</v>
      </c>
      <c r="CI592" s="14">
        <v>0</v>
      </c>
      <c r="CJ592" s="14">
        <f>SUM(CI592*0.1)</f>
        <v>0</v>
      </c>
      <c r="CK592" s="14">
        <f ca="1">SUM(CL592*CM592)</f>
        <v>0</v>
      </c>
      <c r="CL592" s="17">
        <f>SUM((CI592+CJ592)*0.00833333333333333)</f>
        <v>0</v>
      </c>
      <c r="CM592" s="23">
        <f ca="1">MONTH(TODAY())+13</f>
        <v>17</v>
      </c>
      <c r="CN592" s="14">
        <f ca="1">SUM(CI592,CJ592,CK592)</f>
        <v>0</v>
      </c>
      <c r="CO592" s="14">
        <v>0</v>
      </c>
      <c r="CP592" s="14">
        <f>SUM(CO592*0.1)</f>
        <v>0</v>
      </c>
      <c r="CQ592" s="14">
        <f ca="1">SUM(CR592*CS592)</f>
        <v>0</v>
      </c>
      <c r="CR592" s="17">
        <f>SUM((CO592+CP592)*0.00833333333333333)</f>
        <v>0</v>
      </c>
      <c r="CS592" s="23">
        <f ca="1">MONTH(TODAY())+5</f>
        <v>9</v>
      </c>
      <c r="CT592" s="23">
        <f ca="1">SUM(CO592,CP592,CQ592)</f>
        <v>0</v>
      </c>
      <c r="CU592" s="14">
        <v>0</v>
      </c>
      <c r="CV592" s="14">
        <f>SUM(CU592*0.1)</f>
        <v>0</v>
      </c>
      <c r="CW592" s="14">
        <f ca="1">SUM(CX592*CY592)</f>
        <v>0</v>
      </c>
      <c r="CX592" s="17">
        <f>SUM((CU592+CV592)*0.00833333333333333)</f>
        <v>0</v>
      </c>
      <c r="CY592" s="23">
        <f ca="1">MONTH(TODAY())+1</f>
        <v>5</v>
      </c>
      <c r="CZ592" s="23">
        <f ca="1">SUM(CU592,CV592,CW592)</f>
        <v>0</v>
      </c>
      <c r="DA592" s="14">
        <f>SUM(EJ592*0.0045)/2</f>
        <v>66.375</v>
      </c>
      <c r="DB592" s="14">
        <v>0</v>
      </c>
      <c r="DC592" s="14">
        <v>0</v>
      </c>
      <c r="DD592" s="17">
        <f>SUM((DA592+DB592)*0.00833333333333333)</f>
        <v>0.55312499999999976</v>
      </c>
      <c r="DE592" s="23">
        <f ca="1">MONTH(TODAY())-5</f>
        <v>-1</v>
      </c>
      <c r="DF592" s="23">
        <f>SUM(DA592,DB592,DC592)</f>
        <v>66.375</v>
      </c>
      <c r="DG592" s="14">
        <v>0</v>
      </c>
      <c r="DH592" s="14">
        <v>0</v>
      </c>
      <c r="DI592" s="14">
        <v>0</v>
      </c>
      <c r="DJ592" s="17">
        <f>SUM((DG592+DH592)*0.00833333333333333)</f>
        <v>0</v>
      </c>
      <c r="DK592" s="23">
        <f ca="1">MONTH(TODAY())+1</f>
        <v>5</v>
      </c>
      <c r="DL592" s="23">
        <f>SUM(DG592,DH592,DI592)</f>
        <v>0</v>
      </c>
      <c r="DM592" s="14">
        <f>SUM( BQ592, BW592, CC592, CI592, CO592,CU592,DA592,DG592)</f>
        <v>66.375</v>
      </c>
      <c r="DN592" s="14">
        <f>SUM(BR592,BX592,CD592,CJ592, CP592,CV592,DB592,DH592)</f>
        <v>0</v>
      </c>
      <c r="DO592" s="14">
        <f ca="1">SUM(BS592,BY592,CE592,CK592, CQ592,CW592,DC592,DI592)</f>
        <v>0</v>
      </c>
      <c r="DP592" s="25">
        <f ca="1">SUM(DM592:DO592)</f>
        <v>66.375</v>
      </c>
      <c r="DQ592" s="47">
        <f ca="1">SUM(DP592/EG592)</f>
        <v>2.4313186813186812E-3</v>
      </c>
      <c r="DR592" s="14">
        <f>19.5+19.5+195-113.02+60</f>
        <v>180.98000000000002</v>
      </c>
      <c r="DS592" s="32">
        <f>COUNTIF(DX592, "*")+COUNTIF(AO592, "*")+COUNTIF(AJ592, "*")+COUNTIF(AA592, "*")+COUNTIF(EY592, "*")+COUNTIF(FE592, "*")+COUNTIF(FK592, "*")+COUNTIF(FO592, "*")+COUNTIF(FV592, "*")+COUNTIF(AT592, "*")+COUNTIF(GE592, "*")+COUNTIF(GP592, "*")+COUNTIF(HA592, "*")+COUNTIF(HI592, "*")+COUNTIF(HQ592, "*")+COUNTIF(HY592, "*")+COUNTIF(IG592, "*")</f>
        <v>5</v>
      </c>
      <c r="DT592" s="14">
        <f>DS592*0.5+DS592*6.66+7.45</f>
        <v>43.25</v>
      </c>
      <c r="DU592" s="4">
        <v>150</v>
      </c>
      <c r="DV592" s="4">
        <v>44.53</v>
      </c>
      <c r="DW592" s="4"/>
      <c r="DX592" s="4"/>
      <c r="DZ592" s="4"/>
      <c r="EA592" s="14">
        <f>SUM(DV592:DZ592)</f>
        <v>44.53</v>
      </c>
      <c r="EB592" s="14">
        <f ca="1">SUM(DP592,DR592,EA592, DU592, DT592,GB592)</f>
        <v>485.13499999999999</v>
      </c>
      <c r="EC592" s="24" t="s">
        <v>2773</v>
      </c>
      <c r="ED592" s="7">
        <v>2</v>
      </c>
      <c r="EE592" s="4">
        <v>19800</v>
      </c>
      <c r="EF592" s="4">
        <v>7500</v>
      </c>
      <c r="EG592" s="14">
        <f>SUM(EE592+EF592)</f>
        <v>27300</v>
      </c>
      <c r="EH592" s="14">
        <v>21000</v>
      </c>
      <c r="EI592" s="14">
        <v>8500</v>
      </c>
      <c r="EJ592" s="14">
        <f>SUM(EH592+EI592)</f>
        <v>29500</v>
      </c>
      <c r="EK592" t="s">
        <v>3740</v>
      </c>
      <c r="EL592" t="s">
        <v>3741</v>
      </c>
      <c r="EM592" t="s">
        <v>3742</v>
      </c>
      <c r="EN592" t="s">
        <v>3743</v>
      </c>
      <c r="GC592" t="s">
        <v>3756</v>
      </c>
      <c r="GD592" t="s">
        <v>3754</v>
      </c>
      <c r="GE592" t="s">
        <v>3755</v>
      </c>
      <c r="GF592" t="s">
        <v>3757</v>
      </c>
      <c r="GG592" t="s">
        <v>1071</v>
      </c>
      <c r="GH592" t="s">
        <v>3758</v>
      </c>
      <c r="GI592" s="9">
        <v>38415</v>
      </c>
      <c r="GJ592" t="s">
        <v>3759</v>
      </c>
      <c r="GN592" s="18" t="s">
        <v>782</v>
      </c>
      <c r="GO592" s="18" t="s">
        <v>783</v>
      </c>
      <c r="GP592" s="18" t="s">
        <v>2444</v>
      </c>
      <c r="GQ592" s="18"/>
      <c r="GR592" s="18" t="s">
        <v>259</v>
      </c>
      <c r="GS592" s="18" t="s">
        <v>260</v>
      </c>
      <c r="GT592" s="9">
        <v>43277</v>
      </c>
      <c r="GU592" t="s">
        <v>3753</v>
      </c>
      <c r="GY592" t="s">
        <v>3748</v>
      </c>
      <c r="GZ592" t="s">
        <v>3751</v>
      </c>
      <c r="HA592" t="s">
        <v>3749</v>
      </c>
      <c r="HC592" t="s">
        <v>3750</v>
      </c>
      <c r="HD592" t="s">
        <v>268</v>
      </c>
      <c r="HE592" s="9">
        <v>43409</v>
      </c>
      <c r="HF592" t="s">
        <v>3752</v>
      </c>
      <c r="IM592" s="9"/>
      <c r="IX592" s="14">
        <f ca="1">SUM(IN592-EB592-GB592-IV592)</f>
        <v>-485.13499999999999</v>
      </c>
      <c r="IY592" s="9"/>
      <c r="IZ592" s="9"/>
      <c r="JA592" s="9"/>
      <c r="JB592" s="9"/>
      <c r="JC592" s="9"/>
    </row>
    <row r="593" spans="1:263" ht="15" customHeight="1">
      <c r="A593" s="19">
        <v>102022138</v>
      </c>
      <c r="B593" t="s">
        <v>2867</v>
      </c>
      <c r="D593" s="1"/>
      <c r="J593" t="s">
        <v>554</v>
      </c>
      <c r="K593" t="s">
        <v>3141</v>
      </c>
      <c r="L593" t="s">
        <v>1006</v>
      </c>
      <c r="M593" t="s">
        <v>357</v>
      </c>
      <c r="P593" t="s">
        <v>3141</v>
      </c>
      <c r="Q593" t="s">
        <v>3142</v>
      </c>
      <c r="R593" t="s">
        <v>650</v>
      </c>
      <c r="AM593"/>
      <c r="AN593"/>
      <c r="AO593" s="3" t="s">
        <v>3155</v>
      </c>
      <c r="AP593" s="3" t="s">
        <v>258</v>
      </c>
      <c r="AQ593" s="3" t="s">
        <v>386</v>
      </c>
      <c r="AR593" t="s">
        <v>260</v>
      </c>
      <c r="AS593" s="1"/>
      <c r="AT593" s="1"/>
      <c r="AU593" s="1"/>
      <c r="AV593" s="1"/>
      <c r="AW593" s="1"/>
      <c r="AX593" s="2"/>
      <c r="AY593" s="2"/>
      <c r="AZ593" s="70"/>
      <c r="BA593" s="2"/>
      <c r="BB593" s="2"/>
      <c r="BC593" s="2"/>
      <c r="BD593" s="2"/>
      <c r="BE593" s="2"/>
      <c r="BF593" s="2"/>
      <c r="BG593" s="20"/>
      <c r="BH593" s="22"/>
      <c r="BI593" s="22"/>
      <c r="BJ593" s="14"/>
      <c r="BK593" s="22"/>
      <c r="BL593" s="14"/>
      <c r="BM593" s="14"/>
      <c r="BN593" s="14"/>
      <c r="BO593" s="17"/>
      <c r="BP593" s="23"/>
      <c r="BQ593" s="14"/>
      <c r="BR593" s="14"/>
      <c r="BS593" s="14"/>
      <c r="BT593" s="14"/>
      <c r="BU593" s="17"/>
      <c r="BV593" s="23"/>
      <c r="BW593" s="14"/>
      <c r="BX593" s="14"/>
      <c r="BY593" s="14"/>
      <c r="BZ593" s="14"/>
      <c r="CA593" s="17"/>
      <c r="CB593" s="23"/>
      <c r="CC593" s="14"/>
      <c r="CD593" s="14"/>
      <c r="CE593" s="14"/>
      <c r="CF593" s="14"/>
      <c r="CG593" s="17"/>
      <c r="CH593" s="23"/>
      <c r="CI593" s="14"/>
      <c r="CJ593" s="14"/>
      <c r="CK593" s="14"/>
      <c r="CL593" s="14"/>
      <c r="CM593" s="17"/>
      <c r="CN593" s="23"/>
      <c r="CO593" s="14"/>
      <c r="CP593" s="14"/>
      <c r="CQ593" s="14"/>
      <c r="CR593" s="14"/>
      <c r="CS593" s="14"/>
      <c r="CT593" s="47"/>
      <c r="CU593" s="14"/>
      <c r="CV593" s="32"/>
      <c r="CW593" s="14"/>
      <c r="CY593" s="14"/>
      <c r="DE593" s="14"/>
      <c r="DF593" s="24"/>
      <c r="DG593" s="4"/>
      <c r="DH593" s="4"/>
      <c r="DI593" s="25"/>
      <c r="DJ593" s="35">
        <v>4.2160000000000002</v>
      </c>
      <c r="IC593" s="4"/>
    </row>
    <row r="594" spans="1:263" ht="15" customHeight="1">
      <c r="A594" s="2">
        <v>102018064</v>
      </c>
      <c r="B594" s="4" t="s">
        <v>1211</v>
      </c>
      <c r="C594" s="3"/>
      <c r="D594" s="3"/>
      <c r="E594" s="3"/>
      <c r="J594" t="s">
        <v>253</v>
      </c>
      <c r="K594" t="s">
        <v>1212</v>
      </c>
      <c r="L594" t="s">
        <v>1213</v>
      </c>
      <c r="M594" t="s">
        <v>598</v>
      </c>
      <c r="O594" s="1"/>
      <c r="T594" s="1"/>
      <c r="AJ594" s="4"/>
      <c r="AK594" s="4"/>
      <c r="AO594" s="4"/>
      <c r="AP594" s="5"/>
      <c r="AQ594" s="34"/>
      <c r="AS594" s="5"/>
      <c r="AT594" s="5"/>
      <c r="AU594" s="1"/>
      <c r="AV594" s="1"/>
      <c r="AW594" s="1"/>
      <c r="AX594" s="1"/>
      <c r="AY594" s="1"/>
      <c r="AZ594" s="1"/>
      <c r="BA594" s="1"/>
      <c r="BB594" s="1"/>
      <c r="BC594" s="1"/>
      <c r="BD594" s="1"/>
      <c r="BE594" s="1"/>
      <c r="BF594" s="1"/>
      <c r="BG594" s="5"/>
      <c r="BH594" s="16"/>
      <c r="BI594" s="16"/>
      <c r="BK594" s="4"/>
      <c r="BL594" s="4"/>
      <c r="BM594" s="6"/>
      <c r="BN594" s="7"/>
      <c r="BO594" s="4"/>
      <c r="BQ594" s="4"/>
      <c r="BR594" s="4"/>
      <c r="BS594" s="6"/>
      <c r="BT594" s="7"/>
      <c r="BU594" s="4"/>
      <c r="BW594" s="4"/>
      <c r="BX594" s="4"/>
      <c r="BY594" s="6"/>
      <c r="BZ594" s="7"/>
      <c r="CA594" s="4"/>
      <c r="CB594" s="4"/>
      <c r="CC594" s="4"/>
      <c r="CD594" s="4"/>
      <c r="CE594" s="6"/>
      <c r="CF594" s="7"/>
      <c r="CG594" s="4"/>
      <c r="CH594" s="6"/>
      <c r="CI594" s="4"/>
      <c r="CJ594" s="4"/>
      <c r="CK594" s="6"/>
      <c r="CL594" s="7"/>
      <c r="CM594" s="4"/>
      <c r="CN594" s="4"/>
      <c r="CO594" s="4"/>
      <c r="CP594" s="4"/>
      <c r="CQ594" s="6"/>
      <c r="CR594" s="7"/>
      <c r="CS594" s="4"/>
      <c r="CT594" s="4"/>
      <c r="CU594" s="4"/>
      <c r="CV594" s="4"/>
      <c r="CW594" s="6"/>
      <c r="CX594" s="7"/>
      <c r="CY594" s="4"/>
      <c r="CZ594" s="4"/>
      <c r="DA594" s="4"/>
      <c r="DB594" s="4"/>
      <c r="DC594" s="6"/>
      <c r="DD594" s="7"/>
      <c r="DE594" s="4"/>
      <c r="DF594" s="4"/>
      <c r="DG594" s="4"/>
      <c r="DH594" s="4"/>
      <c r="DI594" s="6"/>
      <c r="DJ594" s="7"/>
      <c r="DK594" s="4"/>
      <c r="DL594" s="4"/>
      <c r="DM594" s="4"/>
      <c r="DN594" s="4"/>
      <c r="DO594" s="4"/>
      <c r="DQ594" s="4"/>
      <c r="DS594" s="4"/>
      <c r="DT594" s="4"/>
      <c r="DU594" s="4"/>
      <c r="DV594" s="4"/>
      <c r="DW594" s="4"/>
      <c r="DX594" s="4"/>
      <c r="DY594" s="4"/>
      <c r="DZ594" s="4"/>
      <c r="EA594" s="4"/>
      <c r="EB594" s="4"/>
      <c r="EC594" s="4"/>
      <c r="ED594" s="7"/>
      <c r="EE594" s="4"/>
      <c r="EF594" s="4"/>
      <c r="EG594" s="3"/>
      <c r="EH594" s="11"/>
      <c r="EI594" s="11"/>
      <c r="ER594" s="11"/>
      <c r="EX594" s="11"/>
      <c r="EY594" s="11"/>
      <c r="EZ594" s="4"/>
      <c r="FA594" s="4"/>
      <c r="FB594" s="4"/>
      <c r="FC594" s="4"/>
      <c r="FD594" s="4"/>
      <c r="FE594" s="4"/>
      <c r="FF594" s="4"/>
      <c r="FG594" s="4"/>
      <c r="FH594" s="4"/>
      <c r="FI594" s="4"/>
      <c r="FJ594" s="4"/>
      <c r="FK594" s="4"/>
      <c r="FL594" s="4"/>
      <c r="FM594" s="4"/>
      <c r="FQ594" s="9"/>
      <c r="GI594" s="10"/>
      <c r="GS594" s="10"/>
      <c r="HH594" s="9"/>
      <c r="IP594" s="4"/>
      <c r="IV594" s="9">
        <v>42696</v>
      </c>
    </row>
    <row r="595" spans="1:263" ht="15" customHeight="1">
      <c r="A595" s="19">
        <v>102019070</v>
      </c>
      <c r="B595" s="14" t="s">
        <v>691</v>
      </c>
      <c r="C595" s="13"/>
      <c r="D595" s="13"/>
      <c r="E595" s="24" t="s">
        <v>2384</v>
      </c>
      <c r="F595" s="19">
        <v>210001577</v>
      </c>
      <c r="G595" s="18"/>
      <c r="H595" s="18"/>
      <c r="I595" s="18"/>
      <c r="J595" s="18" t="s">
        <v>253</v>
      </c>
      <c r="K595" s="18" t="s">
        <v>692</v>
      </c>
      <c r="L595" s="18" t="s">
        <v>693</v>
      </c>
      <c r="M595" s="18"/>
      <c r="N595" s="18"/>
      <c r="O595" s="13"/>
      <c r="P595" s="18"/>
      <c r="Q595" s="18"/>
      <c r="R595" s="18"/>
      <c r="S595" s="18"/>
      <c r="T595" s="13"/>
      <c r="U595" s="18"/>
      <c r="V595" s="18"/>
      <c r="W595" s="18"/>
      <c r="X595" s="18"/>
      <c r="Y595" s="18"/>
      <c r="Z595" s="18"/>
      <c r="AA595" s="18"/>
      <c r="AB595" s="18"/>
      <c r="AC595" s="18"/>
      <c r="AD595" s="18"/>
      <c r="AE595" s="18"/>
      <c r="AF595" s="18"/>
      <c r="AG595" s="231"/>
      <c r="AH595" s="18"/>
      <c r="AI595" s="18"/>
      <c r="AJ595" s="14" t="s">
        <v>328</v>
      </c>
      <c r="AK595" s="14"/>
      <c r="AL595" s="18" t="s">
        <v>600</v>
      </c>
      <c r="AM595" s="24"/>
      <c r="AN595" s="24" t="s">
        <v>603</v>
      </c>
      <c r="AO595" s="14" t="s">
        <v>604</v>
      </c>
      <c r="AP595" s="20" t="s">
        <v>258</v>
      </c>
      <c r="AQ595" s="24" t="s">
        <v>259</v>
      </c>
      <c r="AR595" s="24" t="s">
        <v>260</v>
      </c>
      <c r="AS595" s="20"/>
      <c r="AT595" s="20"/>
      <c r="AU595" s="13"/>
      <c r="AV595" s="13"/>
      <c r="AW595" s="13"/>
      <c r="AX595" s="48"/>
      <c r="AY595" s="48"/>
      <c r="AZ595" s="48"/>
      <c r="BA595" s="48"/>
      <c r="BB595" s="19"/>
      <c r="BC595" s="48"/>
      <c r="BD595" s="48"/>
      <c r="BE595" s="48"/>
      <c r="BF595" s="19"/>
      <c r="BG595" s="20"/>
      <c r="BH595" s="22"/>
      <c r="BI595" s="22"/>
      <c r="BJ595" s="14"/>
      <c r="BK595" s="22"/>
      <c r="BL595" s="14"/>
      <c r="BM595" s="14"/>
      <c r="BN595" s="14"/>
      <c r="BO595" s="17"/>
      <c r="BP595" s="23"/>
      <c r="BQ595" s="14"/>
      <c r="BR595" s="14"/>
      <c r="BS595" s="14"/>
      <c r="BT595" s="14"/>
      <c r="BU595" s="17"/>
      <c r="BV595" s="23"/>
      <c r="BW595" s="14"/>
      <c r="BX595" s="14"/>
      <c r="BY595" s="14"/>
      <c r="BZ595" s="14"/>
      <c r="CA595" s="17"/>
      <c r="CB595" s="23"/>
      <c r="CC595" s="14"/>
      <c r="CD595" s="14"/>
      <c r="CE595" s="14"/>
      <c r="CF595" s="14"/>
      <c r="CG595" s="17"/>
      <c r="CH595" s="23"/>
      <c r="CI595" s="14"/>
      <c r="CJ595" s="14"/>
      <c r="CK595" s="14"/>
      <c r="CL595" s="14"/>
      <c r="CM595" s="17"/>
      <c r="CN595" s="23"/>
      <c r="CO595" s="14"/>
      <c r="CP595" s="14"/>
      <c r="CQ595" s="14"/>
      <c r="CR595" s="14"/>
      <c r="CS595" s="17"/>
      <c r="CT595" s="23"/>
      <c r="CU595" s="14"/>
      <c r="CV595" s="14"/>
      <c r="CW595" s="14"/>
      <c r="CX595" s="14"/>
      <c r="CY595" s="14"/>
      <c r="CZ595" s="14"/>
      <c r="DA595" s="14"/>
      <c r="DB595" s="14"/>
      <c r="DC595" s="14"/>
      <c r="DD595" s="14"/>
      <c r="DE595" s="14"/>
      <c r="DF595" s="47"/>
      <c r="DG595" s="14"/>
      <c r="DH595" s="32"/>
      <c r="DI595" s="14"/>
      <c r="DJ595" s="14">
        <f>150+150</f>
        <v>300</v>
      </c>
      <c r="DK595" s="14">
        <f>SUM(DE595,DG595,DQ595, DJ595, DI595,FS595)</f>
        <v>1844.08</v>
      </c>
      <c r="DL595" s="14">
        <f>32.58+642</f>
        <v>674.58</v>
      </c>
      <c r="DM595" s="14">
        <f>93.75+97.5</f>
        <v>191.25</v>
      </c>
      <c r="DN595" s="14">
        <v>68.25</v>
      </c>
      <c r="DO595" s="23"/>
      <c r="DP595" s="25">
        <v>610</v>
      </c>
      <c r="DQ595" s="14">
        <f>SUM(DL595:DP595)</f>
        <v>1544.08</v>
      </c>
      <c r="DR595" s="24" t="s">
        <v>2217</v>
      </c>
      <c r="DS595" s="25">
        <v>15500</v>
      </c>
      <c r="DT595" s="25">
        <v>300</v>
      </c>
      <c r="DU595" s="25">
        <f>SUM(DS595+DT595)</f>
        <v>15800</v>
      </c>
      <c r="DV595" s="36">
        <v>0.97</v>
      </c>
      <c r="DW595" s="18" t="s">
        <v>2233</v>
      </c>
      <c r="DX595" s="18" t="s">
        <v>2234</v>
      </c>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27"/>
      <c r="FF595" s="18"/>
      <c r="FG595" s="18"/>
      <c r="FH595" s="18"/>
      <c r="FI595" s="18"/>
      <c r="FJ595" s="18"/>
      <c r="FK595" s="18"/>
      <c r="FL595" s="18"/>
      <c r="FM595" s="18"/>
      <c r="FN595" s="18"/>
      <c r="FO595" s="18"/>
      <c r="FP595" s="18"/>
      <c r="FQ595" s="18"/>
      <c r="FR595" s="18"/>
      <c r="FS595" s="14"/>
      <c r="FT595" s="18"/>
      <c r="FU595" s="18"/>
      <c r="FV595" s="18"/>
      <c r="FW595" s="18"/>
      <c r="FX595" s="28"/>
      <c r="FY595" s="18"/>
      <c r="FZ595" s="18"/>
      <c r="GA595" s="18"/>
      <c r="GB595" s="18"/>
      <c r="GC595" s="18"/>
      <c r="GD595" s="18"/>
      <c r="GE595" s="18"/>
      <c r="GF595" s="18"/>
      <c r="GG595" s="18"/>
      <c r="GH595" s="28"/>
      <c r="GI595" s="18"/>
      <c r="GJ595" s="18"/>
      <c r="GK595" s="18"/>
      <c r="GL595" s="18"/>
      <c r="GM595" s="18"/>
      <c r="GN595" s="18"/>
      <c r="GO595" s="18"/>
      <c r="GP595" s="18"/>
      <c r="GQ595" s="18"/>
      <c r="GR595" s="18"/>
      <c r="GS595" s="18"/>
      <c r="GT595" s="18"/>
      <c r="GU595" s="18"/>
      <c r="GV595" s="18"/>
      <c r="GW595" s="27"/>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4"/>
      <c r="IF595" s="14"/>
      <c r="IG595" s="27"/>
      <c r="IH595" s="18"/>
      <c r="II595" s="18"/>
      <c r="IJ595" s="18"/>
      <c r="IK595" s="18"/>
      <c r="IL595" s="18"/>
      <c r="IM595" s="18"/>
      <c r="IN595" s="18"/>
      <c r="IO595" s="18"/>
    </row>
    <row r="596" spans="1:263" ht="15" customHeight="1">
      <c r="A596" s="19">
        <v>102019070</v>
      </c>
      <c r="B596" s="14" t="s">
        <v>691</v>
      </c>
      <c r="C596" s="13"/>
      <c r="D596" s="13"/>
      <c r="E596" s="24" t="s">
        <v>2384</v>
      </c>
      <c r="F596" s="19">
        <v>210001577</v>
      </c>
      <c r="G596" s="18"/>
      <c r="H596" s="18"/>
      <c r="I596" s="18"/>
      <c r="J596" s="18" t="s">
        <v>253</v>
      </c>
      <c r="K596" s="18" t="s">
        <v>692</v>
      </c>
      <c r="L596" s="18" t="s">
        <v>693</v>
      </c>
      <c r="M596" s="18"/>
      <c r="N596" s="18"/>
      <c r="O596" s="13"/>
      <c r="P596" s="18"/>
      <c r="Q596" s="18"/>
      <c r="R596" s="18"/>
      <c r="S596" s="18"/>
      <c r="T596" s="13"/>
      <c r="U596" s="18"/>
      <c r="V596" s="18"/>
      <c r="W596" s="18"/>
      <c r="X596" s="18"/>
      <c r="Y596" s="18"/>
      <c r="Z596" s="18"/>
      <c r="AA596" s="18"/>
      <c r="AB596" s="18"/>
      <c r="AC596" s="18"/>
      <c r="AD596" s="18"/>
      <c r="AE596" s="18"/>
      <c r="AF596" s="18"/>
      <c r="AG596" s="37"/>
      <c r="AH596" s="18"/>
      <c r="AI596" s="18"/>
      <c r="AJ596" s="14" t="s">
        <v>328</v>
      </c>
      <c r="AK596" s="14"/>
      <c r="AL596" s="18" t="s">
        <v>600</v>
      </c>
      <c r="AM596" s="18"/>
      <c r="AN596" s="18" t="s">
        <v>603</v>
      </c>
      <c r="AO596" s="63" t="s">
        <v>604</v>
      </c>
      <c r="AP596" s="63" t="s">
        <v>258</v>
      </c>
      <c r="AQ596" s="24" t="s">
        <v>259</v>
      </c>
      <c r="AR596" s="24" t="s">
        <v>260</v>
      </c>
      <c r="AS596" s="20"/>
      <c r="AT596" s="20"/>
      <c r="AU596" s="13" t="s">
        <v>258</v>
      </c>
      <c r="AV596" s="13" t="s">
        <v>258</v>
      </c>
      <c r="AW596" s="13" t="s">
        <v>258</v>
      </c>
      <c r="AX596" s="48">
        <v>44256</v>
      </c>
      <c r="AY596" s="48">
        <v>43842</v>
      </c>
      <c r="AZ596" s="48">
        <v>44222</v>
      </c>
      <c r="BA596" s="48">
        <v>44302</v>
      </c>
      <c r="BB596" s="19" t="s">
        <v>318</v>
      </c>
      <c r="BC596" s="48">
        <v>44288</v>
      </c>
      <c r="BD596" s="48">
        <v>44295</v>
      </c>
      <c r="BE596" s="48">
        <v>44316</v>
      </c>
      <c r="BF596" s="19" t="s">
        <v>319</v>
      </c>
      <c r="BG596" s="20">
        <v>3530.0248666666666</v>
      </c>
      <c r="BH596" s="22">
        <v>-310.34526809699628</v>
      </c>
      <c r="BI596" s="22">
        <v>310.34526809699628</v>
      </c>
      <c r="BJ596" s="14">
        <v>6.8466666666666667</v>
      </c>
      <c r="BK596" s="22">
        <v>317.19193476366297</v>
      </c>
      <c r="BL596" s="14"/>
      <c r="BM596" s="14">
        <v>0</v>
      </c>
      <c r="BN596" s="14">
        <v>0</v>
      </c>
      <c r="BO596" s="17">
        <v>0</v>
      </c>
      <c r="BP596" s="23">
        <v>70</v>
      </c>
      <c r="BQ596" s="14">
        <v>0</v>
      </c>
      <c r="BR596" s="14">
        <v>66.040000000000006</v>
      </c>
      <c r="BS596" s="14">
        <f>SUM(BR596*0.1)</f>
        <v>6.604000000000001</v>
      </c>
      <c r="BT596" s="14">
        <f>SUM(BU596*BV596)</f>
        <v>36.927366666666657</v>
      </c>
      <c r="BU596" s="17">
        <f>SUM((BR596+BS596)*0.00833333333333333)</f>
        <v>0.6053666666666665</v>
      </c>
      <c r="BV596" s="23">
        <v>61</v>
      </c>
      <c r="BW596" s="14">
        <f>SUM(BR596,BS596,BT596)</f>
        <v>109.57136666666666</v>
      </c>
      <c r="BX596" s="14">
        <v>66.040000000000006</v>
      </c>
      <c r="BY596" s="14">
        <f>SUM(BX596*0.1)</f>
        <v>6.604000000000001</v>
      </c>
      <c r="BZ596" s="14">
        <f>SUM(CA596*CB596)</f>
        <v>29.662966666666659</v>
      </c>
      <c r="CA596" s="17">
        <f>SUM((BX596+BY596)*0.00833333333333333)</f>
        <v>0.6053666666666665</v>
      </c>
      <c r="CB596" s="23">
        <v>49</v>
      </c>
      <c r="CC596" s="14">
        <f>SUM(BX596,BY596,BZ596)</f>
        <v>102.30696666666667</v>
      </c>
      <c r="CD596" s="14">
        <v>66.040000000000006</v>
      </c>
      <c r="CE596" s="14">
        <f>SUM(CD596*0.1)</f>
        <v>6.604000000000001</v>
      </c>
      <c r="CF596" s="14">
        <f>SUM(CG596*CH596)</f>
        <v>22.39856666666666</v>
      </c>
      <c r="CG596" s="17">
        <f>SUM((CD596+CE596)*0.00833333333333333)</f>
        <v>0.6053666666666665</v>
      </c>
      <c r="CH596" s="23">
        <v>37</v>
      </c>
      <c r="CI596" s="14">
        <f>SUM(CD596,CE596,CF596)</f>
        <v>95.042566666666659</v>
      </c>
      <c r="CJ596" s="14">
        <v>82.16</v>
      </c>
      <c r="CK596" s="14">
        <v>8.2159999999999993</v>
      </c>
      <c r="CL596" s="14">
        <f>SUM(CM596*CN596)</f>
        <v>18.828333333333322</v>
      </c>
      <c r="CM596" s="17">
        <f>SUM((CJ596+CK596)*0.00833333333333333)</f>
        <v>0.75313333333333288</v>
      </c>
      <c r="CN596" s="23">
        <v>25</v>
      </c>
      <c r="CO596" s="14">
        <f>SUM(CJ596,CK596,CL596)</f>
        <v>109.20433333333331</v>
      </c>
      <c r="CP596" s="14">
        <v>82.16</v>
      </c>
      <c r="CQ596" s="14">
        <v>8.2159999999999993</v>
      </c>
      <c r="CR596" s="14">
        <f>SUM(CS596*CT596)</f>
        <v>9.7907333333333266</v>
      </c>
      <c r="CS596" s="17">
        <f>SUM((CP596+CQ596)*0.00833333333333333)</f>
        <v>0.75313333333333288</v>
      </c>
      <c r="CT596" s="23">
        <v>13</v>
      </c>
      <c r="CU596" s="14">
        <f>SUM(CP596,CQ596,CR596)</f>
        <v>100.16673333333331</v>
      </c>
      <c r="CV596" s="14">
        <f>SUM(DP596*0.0052)</f>
        <v>82.16</v>
      </c>
      <c r="CW596" s="14">
        <f>SUM(BL596, BR596, BX596, CD596,CJ596,CP596, CV596)</f>
        <v>444.59999999999991</v>
      </c>
      <c r="CX596" s="14">
        <f>SUM(BM596, BS596, BY596, CE596,CK596,CQ596)</f>
        <v>36.244000000000007</v>
      </c>
      <c r="CY596" s="14">
        <f>SUM(BN596, BT596, BZ596, CF596,CL596,CR596)</f>
        <v>117.60796666666661</v>
      </c>
      <c r="CZ596" s="14">
        <f>SUM(CW596:CY596)</f>
        <v>598.45196666666652</v>
      </c>
      <c r="DA596" s="47">
        <v>3.20458776371308E-2</v>
      </c>
      <c r="DB596" s="14">
        <v>1749</v>
      </c>
      <c r="DC596" s="32">
        <v>2</v>
      </c>
      <c r="DD596" s="14">
        <f>15.62+25.03</f>
        <v>40.65</v>
      </c>
      <c r="DE596" s="14">
        <v>300</v>
      </c>
      <c r="DF596" s="18"/>
      <c r="DG596" s="14">
        <f>674.58+182.42</f>
        <v>857</v>
      </c>
      <c r="DH596" s="14">
        <v>191.25</v>
      </c>
      <c r="DI596" s="14">
        <v>68.25</v>
      </c>
      <c r="DJ596" s="14">
        <v>100</v>
      </c>
      <c r="DK596" s="25">
        <v>610</v>
      </c>
      <c r="DL596" s="14">
        <f>SUM(DG596:DK596)</f>
        <v>1826.5</v>
      </c>
      <c r="DM596" s="24" t="s">
        <v>2217</v>
      </c>
      <c r="DN596" s="25">
        <v>15500</v>
      </c>
      <c r="DO596" s="25">
        <v>300</v>
      </c>
      <c r="DP596" s="25">
        <v>15800</v>
      </c>
      <c r="DQ596" s="36">
        <v>0.97</v>
      </c>
      <c r="DR596" s="18" t="s">
        <v>2233</v>
      </c>
      <c r="DS596" s="18" t="s">
        <v>2234</v>
      </c>
      <c r="DT596" s="18"/>
      <c r="DU596" s="18"/>
      <c r="DV596" s="18"/>
      <c r="DW596" s="18"/>
      <c r="DX596" s="18"/>
      <c r="DY596" s="18"/>
      <c r="DZ596" s="18"/>
      <c r="EA596" s="18"/>
      <c r="EB596" s="14">
        <f>SUM(CZ596,DB596,DL596, DE596, DD596,FK596)</f>
        <v>4514.6019666666662</v>
      </c>
      <c r="EC596" s="18"/>
      <c r="ED596" s="18"/>
      <c r="EE596" s="18"/>
      <c r="EF596" s="18"/>
      <c r="EG596" s="18"/>
      <c r="EH596" s="18"/>
      <c r="EI596" s="18"/>
      <c r="EJ596" s="18"/>
      <c r="EK596" s="18"/>
      <c r="EL596" s="18"/>
      <c r="EM596" s="18"/>
      <c r="EN596" s="18"/>
      <c r="EO596" s="18"/>
      <c r="EP596" s="18"/>
      <c r="EQ596" s="18"/>
      <c r="ER596" s="18"/>
      <c r="ES596" s="18"/>
      <c r="ET596" s="18"/>
      <c r="EU596" s="18"/>
      <c r="EV596" s="27"/>
      <c r="EW596" s="18"/>
      <c r="EX596" s="18"/>
      <c r="EY596" s="18"/>
      <c r="EZ596" s="18"/>
      <c r="FA596" s="18"/>
      <c r="FB596" s="18"/>
      <c r="FC596" s="18"/>
      <c r="FD596" s="18"/>
      <c r="FE596" s="27"/>
      <c r="FF596" s="18"/>
      <c r="FG596" s="18"/>
      <c r="FH596" s="18"/>
      <c r="FI596" s="18"/>
      <c r="FJ596" s="18"/>
      <c r="FK596" s="14"/>
      <c r="FL596" s="18"/>
      <c r="FM596" s="18"/>
      <c r="FN596" s="18"/>
      <c r="FO596" s="18"/>
      <c r="FP596" s="28"/>
      <c r="FQ596" s="18"/>
      <c r="FR596" s="18"/>
      <c r="FS596" s="18"/>
      <c r="FT596" s="18"/>
      <c r="FU596" s="18"/>
      <c r="FV596" s="18"/>
      <c r="FW596" s="18"/>
      <c r="FX596" s="18"/>
      <c r="FY596" s="18"/>
      <c r="FZ596" s="28"/>
      <c r="GA596" s="18"/>
      <c r="GB596" s="18"/>
      <c r="GC596" s="18"/>
      <c r="GD596" s="18"/>
      <c r="GE596" s="18"/>
      <c r="GF596" s="18"/>
      <c r="GG596" s="18"/>
      <c r="GH596" s="18"/>
      <c r="GI596" s="18"/>
      <c r="GJ596" s="18"/>
      <c r="GK596" s="18"/>
      <c r="GL596" s="18"/>
      <c r="GM596" s="18"/>
      <c r="GN596" s="18"/>
      <c r="GO596" s="27"/>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27">
        <v>44499</v>
      </c>
      <c r="IB596" s="14">
        <v>5500</v>
      </c>
      <c r="IC596" s="14">
        <v>600</v>
      </c>
      <c r="ID596" s="27"/>
      <c r="IE596" s="18"/>
      <c r="IF596" s="18" t="s">
        <v>2757</v>
      </c>
      <c r="IG596" s="18" t="s">
        <v>2732</v>
      </c>
      <c r="IH596" s="18" t="s">
        <v>300</v>
      </c>
      <c r="II596" s="18"/>
      <c r="IJ596" s="18"/>
      <c r="IK596" s="14">
        <v>115.67</v>
      </c>
      <c r="IL596" s="14">
        <f>SUM(IB596-EB596-IJ596)</f>
        <v>985.39803333333384</v>
      </c>
      <c r="IM596" s="14"/>
      <c r="IN596" s="14"/>
      <c r="IO596" s="27">
        <v>44333</v>
      </c>
      <c r="IP596" s="27">
        <v>44349</v>
      </c>
      <c r="IQ596" s="27">
        <v>44501</v>
      </c>
      <c r="IR596" s="27">
        <v>44505</v>
      </c>
      <c r="IS596" s="18"/>
      <c r="IT596" s="18"/>
      <c r="IU596" s="18"/>
      <c r="IV596" s="18"/>
      <c r="IW596" s="18"/>
      <c r="IX596" s="18"/>
      <c r="IY596" s="18"/>
      <c r="IZ596" s="18"/>
      <c r="JA596" s="18"/>
      <c r="JB596" s="18"/>
      <c r="JC596" s="18"/>
    </row>
    <row r="597" spans="1:263" ht="15" customHeight="1">
      <c r="A597" s="2">
        <v>102020020</v>
      </c>
      <c r="B597" t="s">
        <v>1591</v>
      </c>
      <c r="D597" s="1"/>
      <c r="J597" t="s">
        <v>434</v>
      </c>
      <c r="K597" t="s">
        <v>1151</v>
      </c>
      <c r="L597" t="s">
        <v>468</v>
      </c>
      <c r="P597" t="s">
        <v>1020</v>
      </c>
      <c r="Q597" t="s">
        <v>1561</v>
      </c>
      <c r="T597" s="1"/>
      <c r="AG597" s="248"/>
      <c r="AJ597" s="14"/>
      <c r="AK597" s="4"/>
      <c r="AO597" s="4"/>
      <c r="AP597" s="5"/>
      <c r="AS597" s="5"/>
      <c r="AT597" s="5"/>
      <c r="AU597" s="1"/>
      <c r="AV597" s="1"/>
      <c r="AW597" s="1"/>
      <c r="AX597" s="1"/>
      <c r="AY597" s="15"/>
      <c r="AZ597" s="1"/>
      <c r="BA597" s="15"/>
      <c r="BB597" s="1"/>
      <c r="BC597" s="21"/>
      <c r="BD597" s="15"/>
      <c r="BE597" s="1"/>
      <c r="BF597" s="1"/>
      <c r="BG597" s="5"/>
      <c r="BH597" s="16"/>
      <c r="BI597" s="16"/>
      <c r="BJ597" s="4"/>
      <c r="BK597" s="4"/>
      <c r="BL597" s="4"/>
      <c r="BM597" s="6"/>
      <c r="BN597" s="7"/>
      <c r="BO597" s="4"/>
      <c r="BP597" s="4"/>
      <c r="BQ597" s="4"/>
      <c r="BR597" s="4"/>
      <c r="BS597" s="6"/>
      <c r="BT597" s="7"/>
      <c r="BU597" s="4"/>
      <c r="BV597" s="4"/>
      <c r="BW597" s="4"/>
      <c r="BX597" s="4"/>
      <c r="BY597" s="6"/>
      <c r="BZ597" s="7"/>
      <c r="CA597" s="4"/>
      <c r="CB597" s="4"/>
      <c r="CC597" s="4"/>
      <c r="CD597" s="4"/>
      <c r="CE597" s="6"/>
      <c r="CF597" s="7"/>
      <c r="CG597" s="4"/>
      <c r="CH597" s="4"/>
      <c r="CI597" s="4"/>
      <c r="CJ597" s="4"/>
      <c r="CK597" s="6"/>
      <c r="CL597" s="7"/>
      <c r="CM597" s="4"/>
      <c r="CN597" s="4"/>
      <c r="CO597" s="4"/>
      <c r="CP597" s="4"/>
      <c r="CQ597" s="6"/>
      <c r="CR597" s="7"/>
      <c r="CS597" s="4"/>
      <c r="CT597" s="4"/>
      <c r="CU597" s="4"/>
      <c r="CV597" s="4"/>
      <c r="CW597" s="6"/>
      <c r="CX597" s="7"/>
      <c r="CY597" s="4"/>
      <c r="CZ597" s="4"/>
      <c r="DA597" s="4"/>
      <c r="DB597" s="4"/>
      <c r="DC597" s="4"/>
      <c r="DD597" s="3"/>
      <c r="DE597" s="4"/>
      <c r="DF597" s="234"/>
      <c r="DG597" s="4"/>
      <c r="DH597" s="4"/>
      <c r="DI597" s="4"/>
      <c r="DJ597" s="4"/>
      <c r="DK597" s="4"/>
      <c r="DL597" s="4"/>
      <c r="DM597" s="7"/>
      <c r="DN597" s="8"/>
      <c r="DO597" s="4"/>
      <c r="DP597" s="8"/>
      <c r="DQ597" s="8"/>
      <c r="DR597" s="8"/>
      <c r="DS597" s="35"/>
      <c r="EB597" s="11"/>
      <c r="EH597" s="11"/>
      <c r="EI597" s="11"/>
      <c r="EJ597" s="4"/>
      <c r="EK597" s="4"/>
      <c r="EL597" s="4"/>
      <c r="EM597" s="4"/>
      <c r="EN597" s="4"/>
      <c r="EO597" s="4"/>
      <c r="EP597" s="4"/>
      <c r="EQ597" s="4"/>
      <c r="ER597" s="4"/>
      <c r="ES597" s="4"/>
      <c r="ET597" s="4"/>
      <c r="EU597" s="4"/>
      <c r="EV597" s="4"/>
      <c r="EW597" s="4"/>
      <c r="EX597" s="4"/>
      <c r="FB597" s="9"/>
      <c r="FK597" s="9"/>
      <c r="FQ597" s="4"/>
      <c r="FV597" s="10"/>
      <c r="GF597" s="10"/>
      <c r="GU597" s="9"/>
      <c r="IC597" s="4"/>
      <c r="ID597" s="4"/>
      <c r="IE597" s="9"/>
    </row>
    <row r="598" spans="1:263" ht="15" customHeight="1">
      <c r="A598" s="19">
        <v>102023120</v>
      </c>
      <c r="B598" s="18" t="s">
        <v>4374</v>
      </c>
      <c r="D598" s="1"/>
      <c r="E598" s="3"/>
      <c r="F598" s="3"/>
      <c r="J598" s="18" t="s">
        <v>434</v>
      </c>
      <c r="K598" s="18" t="s">
        <v>875</v>
      </c>
      <c r="L598" s="130" t="s">
        <v>1294</v>
      </c>
      <c r="M598" s="130" t="s">
        <v>448</v>
      </c>
      <c r="N598" s="130"/>
      <c r="O598" s="288"/>
      <c r="P598" s="130" t="s">
        <v>875</v>
      </c>
      <c r="Q598" s="130" t="s">
        <v>4450</v>
      </c>
      <c r="R598" s="130" t="s">
        <v>537</v>
      </c>
      <c r="S598" s="130"/>
      <c r="AG598" s="43"/>
      <c r="AH598" s="3"/>
      <c r="AI598" s="3"/>
      <c r="AJ598" s="18"/>
      <c r="AM598"/>
      <c r="AN598"/>
      <c r="AO598" s="18" t="s">
        <v>4451</v>
      </c>
      <c r="AP598" s="3" t="s">
        <v>258</v>
      </c>
      <c r="AQ598" s="18" t="s">
        <v>600</v>
      </c>
      <c r="AR598" t="s">
        <v>260</v>
      </c>
      <c r="AY598" s="1"/>
      <c r="AZ598" s="1"/>
      <c r="BA598" s="1"/>
      <c r="BB598" s="1"/>
      <c r="BC598" s="2"/>
      <c r="BD598" s="116"/>
      <c r="BE598" s="115"/>
      <c r="BF598" s="2"/>
      <c r="BG598" s="2"/>
      <c r="BH598" s="2"/>
      <c r="BI598" s="2"/>
      <c r="BJ598" s="2"/>
      <c r="BK598" s="2"/>
      <c r="BL598" s="20">
        <f ca="1">SUM(DP598)+220</f>
        <v>743.96</v>
      </c>
      <c r="BM598" s="22">
        <f ca="1">PMT(10%/12,12,BL598,0,0)</f>
        <v>-65.405903463637941</v>
      </c>
      <c r="BN598" s="22">
        <f ca="1">SUM(BM598*-1)</f>
        <v>65.405903463637941</v>
      </c>
      <c r="BO598" s="14">
        <f>SUM(DX598*0.0052)/12</f>
        <v>20.106666666666666</v>
      </c>
      <c r="BP598" s="22">
        <f ca="1">SUM(BN598+BO598)</f>
        <v>85.51257013030461</v>
      </c>
      <c r="BQ598" s="14"/>
      <c r="BR598" s="14">
        <f>SUM(BQ598*0.1)</f>
        <v>0</v>
      </c>
      <c r="BS598" s="14">
        <f ca="1">SUM(BT598*BU598)</f>
        <v>0</v>
      </c>
      <c r="BT598" s="17">
        <f>SUM((BQ598+BR598)*0.00833333333333333)</f>
        <v>0</v>
      </c>
      <c r="BU598" s="23">
        <f ca="1">MONTH(TODAY())+49</f>
        <v>53</v>
      </c>
      <c r="BV598" s="14">
        <f ca="1">SUM(BQ598,BR598,BS598)</f>
        <v>0</v>
      </c>
      <c r="BW598" s="14"/>
      <c r="BX598" s="14">
        <f>SUM(BW598*0.1)</f>
        <v>0</v>
      </c>
      <c r="BY598" s="14">
        <f ca="1">SUM(BZ598*CA598)</f>
        <v>0</v>
      </c>
      <c r="BZ598" s="17">
        <f>SUM((BW598+BX598)*0.00833333333333333)</f>
        <v>0</v>
      </c>
      <c r="CA598" s="23">
        <f ca="1">MONTH(TODAY())+37</f>
        <v>41</v>
      </c>
      <c r="CB598" s="14">
        <f ca="1">SUM(BW598,BX598,BY598)</f>
        <v>0</v>
      </c>
      <c r="CC598" s="14">
        <v>0</v>
      </c>
      <c r="CD598" s="14">
        <f>SUM(CC598*0.1)</f>
        <v>0</v>
      </c>
      <c r="CE598" s="14">
        <f ca="1">SUM(CF598*CG598)</f>
        <v>0</v>
      </c>
      <c r="CF598" s="17">
        <f>SUM((CC598+CD598)*0.00833333333333333)</f>
        <v>0</v>
      </c>
      <c r="CG598" s="23">
        <f ca="1">MONTH(TODAY())+25</f>
        <v>29</v>
      </c>
      <c r="CH598" s="14">
        <f ca="1">SUM(CC598,CD598,CE598)</f>
        <v>0</v>
      </c>
      <c r="CI598" s="14">
        <f>SUM(DU598*0.0052)</f>
        <v>208</v>
      </c>
      <c r="CJ598" s="14">
        <f>SUM(CI598*0.1)</f>
        <v>20.8</v>
      </c>
      <c r="CK598" s="14">
        <f ca="1">SUM(CL598*CM598)</f>
        <v>32.41333333333332</v>
      </c>
      <c r="CL598" s="17">
        <f>SUM((CI598+CJ598)*0.00833333333333333)</f>
        <v>1.9066666666666658</v>
      </c>
      <c r="CM598" s="23">
        <f ca="1">MONTH(TODAY())+13</f>
        <v>17</v>
      </c>
      <c r="CN598" s="14">
        <f ca="1">SUM(CI598,CJ598,CK598)</f>
        <v>261.21333333333331</v>
      </c>
      <c r="CO598" s="14">
        <f>SUM(DU598*0.0052)/2</f>
        <v>104</v>
      </c>
      <c r="CP598" s="14">
        <f>SUM(CO598*0.1)</f>
        <v>10.4</v>
      </c>
      <c r="CQ598" s="14">
        <f ca="1">SUM(CR598*CS598)</f>
        <v>8.5799999999999965</v>
      </c>
      <c r="CR598" s="17">
        <f>SUM((CO598+CP598)*0.00833333333333333)</f>
        <v>0.95333333333333292</v>
      </c>
      <c r="CS598" s="23">
        <f ca="1">MONTH(TODAY())+5</f>
        <v>9</v>
      </c>
      <c r="CT598" s="23">
        <f ca="1">SUM(CO598,CP598,CQ598)</f>
        <v>122.98</v>
      </c>
      <c r="CU598" s="14">
        <f>SUM(DU598*0.0052)/2</f>
        <v>104</v>
      </c>
      <c r="CV598" s="14">
        <f>SUM(CU598*0.1)</f>
        <v>10.4</v>
      </c>
      <c r="CW598" s="14">
        <f ca="1">SUM(CX598*CY598)</f>
        <v>4.7666666666666648</v>
      </c>
      <c r="CX598" s="17">
        <f>SUM((CU598+CV598)*0.00833333333333333)</f>
        <v>0.95333333333333292</v>
      </c>
      <c r="CY598" s="23">
        <f ca="1">MONTH(TODAY())+1</f>
        <v>5</v>
      </c>
      <c r="CZ598" s="23">
        <f ca="1">SUM(CU598,CV598,CW598)</f>
        <v>119.16666666666667</v>
      </c>
      <c r="DA598" s="14">
        <f>SUM( BQ598, BW598, CC598, CI598, CO598,CU598)</f>
        <v>416</v>
      </c>
      <c r="DB598" s="14">
        <f>SUM(BR598,BX598,CD598,CJ598, CP598,CV598)</f>
        <v>41.6</v>
      </c>
      <c r="DC598" s="14">
        <f ca="1">SUM(BS598,BY598,CE598,CK598, CQ598,CW598)</f>
        <v>45.759999999999984</v>
      </c>
      <c r="DD598" s="25">
        <f ca="1">SUM(DA598:DC598)</f>
        <v>503.36</v>
      </c>
      <c r="DE598" s="47">
        <f ca="1">SUM(DD598/DU598)</f>
        <v>1.2584E-2</v>
      </c>
      <c r="DF598" s="14">
        <v>20</v>
      </c>
      <c r="DG598" s="32">
        <f>COUNTIF(DL598, "*")+COUNTIF(AO598, "*")+COUNTIF(AJ598, "*")+COUNTIF(AA598, "*")+COUNTIF(EM598, "*")+COUNTIF(ES598, "*")+COUNTIF(EY598, "*")+COUNTIF(FC598, "*")+COUNTIF(FJ598, "*")+COUNTIF(AT598, "*")+COUNTIF(FS598, "*")+COUNTIF(GD598, "*")+COUNTIF(GO598, "*")+COUNTIF(GW598, "*")+COUNTIF(HE598, "*")+COUNTIF(HM598, "*")+COUNTIF(HU598, "*")</f>
        <v>1</v>
      </c>
      <c r="DH598" s="14">
        <f>DG598*0.6</f>
        <v>0.6</v>
      </c>
      <c r="DI598" s="4"/>
      <c r="DJ598" s="4"/>
      <c r="DK598" s="4"/>
      <c r="DL598" s="4"/>
      <c r="DN598" s="4"/>
      <c r="DO598" s="14">
        <f>SUM(DJ598:DN598)</f>
        <v>0</v>
      </c>
      <c r="DP598" s="14">
        <f ca="1">SUM(DD598,DF598,DO598, DI598, DH598,FP598)</f>
        <v>523.96</v>
      </c>
      <c r="DQ598" s="24" t="s">
        <v>3879</v>
      </c>
      <c r="DR598" s="130">
        <v>5.0199999999999996</v>
      </c>
      <c r="DS598" s="14">
        <v>31300</v>
      </c>
      <c r="DT598" s="14">
        <v>8700</v>
      </c>
      <c r="DU598" s="14">
        <v>40000</v>
      </c>
      <c r="DV598" s="14">
        <v>36100</v>
      </c>
      <c r="DW598" s="14">
        <v>10300</v>
      </c>
      <c r="DX598" s="14">
        <f>SUM(DV598+DW598)</f>
        <v>46400</v>
      </c>
      <c r="IA598" s="9"/>
      <c r="IL598" s="14">
        <f ca="1">SUM(IB598-DP598-FP598-IJ598)</f>
        <v>-523.96</v>
      </c>
      <c r="IM598" s="9"/>
      <c r="IN598" s="9"/>
      <c r="IO598" s="9"/>
      <c r="IP598" s="9"/>
      <c r="IQ598" s="9"/>
    </row>
    <row r="599" spans="1:263" ht="15" customHeight="1">
      <c r="A599" s="19">
        <v>102022065</v>
      </c>
      <c r="B599" t="s">
        <v>4525</v>
      </c>
      <c r="D599" s="1"/>
      <c r="E599" s="3" t="s">
        <v>3881</v>
      </c>
      <c r="F599" s="3">
        <v>220003479</v>
      </c>
      <c r="G599">
        <v>220004745</v>
      </c>
      <c r="J599" t="s">
        <v>253</v>
      </c>
      <c r="K599" t="s">
        <v>3044</v>
      </c>
      <c r="L599" t="s">
        <v>3045</v>
      </c>
      <c r="M599" t="s">
        <v>256</v>
      </c>
      <c r="O599" s="3"/>
      <c r="AG599" s="43"/>
      <c r="AM599"/>
      <c r="AN599"/>
      <c r="AO599" t="s">
        <v>3046</v>
      </c>
      <c r="AP599" s="3" t="s">
        <v>258</v>
      </c>
      <c r="AQ599" t="s">
        <v>600</v>
      </c>
      <c r="AR599" t="s">
        <v>260</v>
      </c>
      <c r="AX599" s="1"/>
      <c r="AY599" s="1" t="s">
        <v>258</v>
      </c>
      <c r="AZ599" s="1"/>
      <c r="BA599" s="1"/>
      <c r="BB599" s="1"/>
      <c r="BC599" s="70">
        <v>44686</v>
      </c>
      <c r="BD599" s="115">
        <v>44654</v>
      </c>
      <c r="BE599" s="115">
        <v>44642</v>
      </c>
      <c r="BF599" s="2"/>
      <c r="BG599" s="2"/>
      <c r="BH599" s="2"/>
      <c r="BI599" s="2"/>
      <c r="BJ599" s="70">
        <v>44813</v>
      </c>
      <c r="BK599" s="19" t="s">
        <v>319</v>
      </c>
      <c r="BL599" s="20">
        <f ca="1">SUM(DP599)+220</f>
        <v>1144.692380952381</v>
      </c>
      <c r="BM599" s="22">
        <f ca="1">PMT(10%/12,12,BL599,0,0)</f>
        <v>-100.63664627686072</v>
      </c>
      <c r="BN599" s="22">
        <f ca="1">SUM(BM599*-1)</f>
        <v>100.63664627686072</v>
      </c>
      <c r="BO599" s="14">
        <f>SUM(DX599*0.0052)/12</f>
        <v>20.756666666666664</v>
      </c>
      <c r="BP599" s="22">
        <f ca="1">SUM(BN599+BO599)</f>
        <v>121.39331294352738</v>
      </c>
      <c r="BQ599" s="14"/>
      <c r="BR599" s="14">
        <f>SUM(BQ599*0.1)</f>
        <v>0</v>
      </c>
      <c r="BS599" s="14">
        <f ca="1">SUM(BT599*BU599)</f>
        <v>0</v>
      </c>
      <c r="BT599" s="17">
        <f>SUM((BQ599+BR599)*0.00833333333333333)</f>
        <v>0</v>
      </c>
      <c r="BU599" s="23">
        <f ca="1">MONTH(TODAY())+49</f>
        <v>53</v>
      </c>
      <c r="BV599" s="14">
        <f ca="1">SUM(BQ599,BR599,BS599)</f>
        <v>0</v>
      </c>
      <c r="BW599" s="14"/>
      <c r="BX599" s="14">
        <f>SUM(BW599*0.1)</f>
        <v>0</v>
      </c>
      <c r="BY599" s="14">
        <f ca="1">SUM(BZ599*CA599)</f>
        <v>0</v>
      </c>
      <c r="BZ599" s="17">
        <f>SUM((BW599+BX599)*0.00833333333333333)</f>
        <v>0</v>
      </c>
      <c r="CA599" s="23">
        <f ca="1">MONTH(TODAY())+37</f>
        <v>41</v>
      </c>
      <c r="CB599" s="14">
        <f ca="1">SUM(BW599,BX599,BY599)</f>
        <v>0</v>
      </c>
      <c r="CC599" s="14">
        <v>0</v>
      </c>
      <c r="CD599" s="14">
        <f>SUM(CC599*0.1)</f>
        <v>0</v>
      </c>
      <c r="CE599" s="14">
        <f ca="1">SUM(CF599*CG599)</f>
        <v>0</v>
      </c>
      <c r="CF599" s="17">
        <f>SUM((CC599+CD599)*0.00833333333333333)</f>
        <v>0</v>
      </c>
      <c r="CG599" s="23">
        <f ca="1">MONTH(TODAY())+25</f>
        <v>29</v>
      </c>
      <c r="CH599" s="14">
        <f ca="1">SUM(CC599,CD599,CE599)</f>
        <v>0</v>
      </c>
      <c r="CI599" s="14">
        <v>0</v>
      </c>
      <c r="CJ599" s="14">
        <f>SUM(CI599*0.1)</f>
        <v>0</v>
      </c>
      <c r="CK599" s="14">
        <f ca="1">SUM(CL599*CM599)</f>
        <v>0</v>
      </c>
      <c r="CL599" s="17">
        <f>SUM((CI599+CJ599)*0.00833333333333333)</f>
        <v>0</v>
      </c>
      <c r="CM599" s="23">
        <f ca="1">MONTH(TODAY())+13</f>
        <v>17</v>
      </c>
      <c r="CN599" s="14">
        <f ca="1">SUM(CI599,CJ599,CK599)</f>
        <v>0</v>
      </c>
      <c r="CO599" s="14">
        <v>0</v>
      </c>
      <c r="CP599" s="14">
        <f>SUM(CO599*0.1)</f>
        <v>0</v>
      </c>
      <c r="CQ599" s="14">
        <f ca="1">SUM(CR599*CS599)</f>
        <v>0</v>
      </c>
      <c r="CR599" s="17">
        <f>SUM((CO599+CP599)*0.00833333333333333)</f>
        <v>0</v>
      </c>
      <c r="CS599" s="23">
        <f ca="1">MONTH(TODAY())+5</f>
        <v>9</v>
      </c>
      <c r="CT599" s="23">
        <f ca="1">SUM(CO599,CP599,CQ599)</f>
        <v>0</v>
      </c>
      <c r="CU599" s="14">
        <v>0</v>
      </c>
      <c r="CV599" s="14">
        <f>SUM(CU599*0.1)</f>
        <v>0</v>
      </c>
      <c r="CW599" s="14">
        <f ca="1">SUM(CX599*CY599)</f>
        <v>0</v>
      </c>
      <c r="CX599" s="17">
        <f>SUM((CU599+CV599)*0.00833333333333333)</f>
        <v>0</v>
      </c>
      <c r="CY599" s="23">
        <f ca="1">MONTH(TODAY())+1</f>
        <v>5</v>
      </c>
      <c r="CZ599" s="23">
        <f ca="1">SUM(CU599,CV599,CW599)</f>
        <v>0</v>
      </c>
      <c r="DA599" s="14">
        <f>SUM( BQ599, BW599, CC599, CI599, CO599,CU599)</f>
        <v>0</v>
      </c>
      <c r="DB599" s="14">
        <f>SUM(BR599,BX599,CD599,CJ599, CP599,CV599)</f>
        <v>0</v>
      </c>
      <c r="DC599" s="14">
        <f ca="1">SUM(BS599,BY599,CE599,CK599, CQ599,CW599)</f>
        <v>0</v>
      </c>
      <c r="DD599" s="25">
        <f ca="1">SUM(DA599:DC599)</f>
        <v>0</v>
      </c>
      <c r="DE599" s="47">
        <f ca="1">SUM(DD599/DU599)</f>
        <v>0</v>
      </c>
      <c r="DF599" s="14">
        <f>19.5+195+19.5+195+39+39+58.5+39+39-37.94+60+60</f>
        <v>725.56</v>
      </c>
      <c r="DG599" s="32">
        <f>COUNTIF(DL599, "*")+COUNTIF(AO599, "*")+COUNTIF(AJ599, "*")+COUNTIF(AA599, "*")+COUNTIF(EM599, "*")+COUNTIF(ES599, "*")+COUNTIF(EY599, "*")+COUNTIF(FC599, "*")+COUNTIF(FJ599, "*")+COUNTIF(AT599, "*")+COUNTIF(FS599, "*")+COUNTIF(GD599, "*")+COUNTIF(GO599, "*")+COUNTIF(GW599, "*")+COUNTIF(HE599, "*")+COUNTIF(HM599, "*")+COUNTIF(HU599, "*")</f>
        <v>2</v>
      </c>
      <c r="DH599" s="14">
        <f>DG599*0.5+DG599*6.66+7.45</f>
        <v>21.77</v>
      </c>
      <c r="DI599" s="4">
        <v>150</v>
      </c>
      <c r="DJ599" s="14">
        <v>27.362380952380899</v>
      </c>
      <c r="DK599" s="4"/>
      <c r="DL599" s="4"/>
      <c r="DN599" s="4"/>
      <c r="DO599" s="14">
        <f>SUM(DJ599:DN599)</f>
        <v>27.362380952380899</v>
      </c>
      <c r="DP599" s="14">
        <f ca="1">SUM(DD599,DF599,DO599, DI599, DH599,FP599)</f>
        <v>924.69238095238086</v>
      </c>
      <c r="DQ599" s="24" t="s">
        <v>2773</v>
      </c>
      <c r="DR599" s="7">
        <v>3.61</v>
      </c>
      <c r="DS599" s="4">
        <v>25400</v>
      </c>
      <c r="DT599" s="4">
        <v>15700</v>
      </c>
      <c r="DU599" s="14">
        <f>SUM(DS599+DT599)</f>
        <v>41100</v>
      </c>
      <c r="DV599" s="14">
        <v>28400</v>
      </c>
      <c r="DW599" s="14">
        <v>19500</v>
      </c>
      <c r="DX599" s="14">
        <f>SUM(DV599+DW599)</f>
        <v>47900</v>
      </c>
      <c r="DY599" t="s">
        <v>3560</v>
      </c>
      <c r="DZ599" t="s">
        <v>3561</v>
      </c>
      <c r="FB599" t="s">
        <v>3563</v>
      </c>
      <c r="FC599" s="18" t="s">
        <v>858</v>
      </c>
      <c r="FD599" s="18"/>
      <c r="FE599" s="18" t="s">
        <v>386</v>
      </c>
      <c r="FF599" s="18" t="s">
        <v>260</v>
      </c>
      <c r="FG599" s="9">
        <v>35860</v>
      </c>
      <c r="FH599" t="s">
        <v>3564</v>
      </c>
      <c r="FW599" s="9"/>
      <c r="IA599" s="9"/>
      <c r="IL599" s="14">
        <f ca="1">SUM(IB599-DP599-FP599-IJ599)</f>
        <v>-924.69238095238086</v>
      </c>
      <c r="IM599" s="9"/>
      <c r="IN599" s="9"/>
      <c r="IO599" s="9"/>
      <c r="IP599" s="9"/>
      <c r="IQ599" s="9"/>
    </row>
    <row r="600" spans="1:263" ht="15" customHeight="1">
      <c r="A600" s="2">
        <v>102018069</v>
      </c>
      <c r="B600" s="4" t="s">
        <v>1225</v>
      </c>
      <c r="C600" s="3"/>
      <c r="D600" s="3"/>
      <c r="E600" s="3"/>
      <c r="J600" t="s">
        <v>253</v>
      </c>
      <c r="K600" t="s">
        <v>1226</v>
      </c>
      <c r="L600" t="s">
        <v>1227</v>
      </c>
      <c r="M600" t="s">
        <v>396</v>
      </c>
      <c r="O600" s="1"/>
      <c r="T600" s="1"/>
      <c r="AJ600" s="4"/>
      <c r="AK600" s="4"/>
      <c r="AO600" s="4"/>
      <c r="AP600" s="5"/>
      <c r="AS600" s="5"/>
      <c r="AT600" s="5"/>
      <c r="AU600" s="1"/>
      <c r="AV600" s="1"/>
      <c r="AW600" s="1"/>
      <c r="AX600" s="1"/>
      <c r="AY600" s="1"/>
      <c r="AZ600" s="1"/>
      <c r="BA600" s="1"/>
      <c r="BB600" s="1"/>
      <c r="BC600" s="1"/>
      <c r="BD600" s="1"/>
      <c r="BE600" s="1"/>
      <c r="BF600" s="1"/>
      <c r="BG600" s="5"/>
      <c r="BH600" s="16"/>
      <c r="BI600" s="16"/>
      <c r="BK600" s="4"/>
      <c r="BL600" s="4"/>
      <c r="BM600" s="6"/>
      <c r="BN600" s="7"/>
      <c r="BO600" s="4"/>
      <c r="BQ600" s="4"/>
      <c r="BR600" s="4"/>
      <c r="BS600" s="6"/>
      <c r="BT600" s="7"/>
      <c r="BU600" s="4"/>
      <c r="BW600" s="4"/>
      <c r="BX600" s="4"/>
      <c r="BY600" s="6"/>
      <c r="BZ600" s="7"/>
      <c r="CA600" s="4"/>
      <c r="CB600" s="4"/>
      <c r="CC600" s="4"/>
      <c r="CD600" s="4"/>
      <c r="CE600" s="6"/>
      <c r="CF600" s="7"/>
      <c r="CG600" s="4"/>
      <c r="CH600" s="6"/>
      <c r="CI600" s="4"/>
      <c r="CJ600" s="4"/>
      <c r="CK600" s="6"/>
      <c r="CL600" s="7"/>
      <c r="CM600" s="4"/>
      <c r="CN600" s="4"/>
      <c r="CO600" s="4"/>
      <c r="CP600" s="4"/>
      <c r="CQ600" s="6"/>
      <c r="CR600" s="7"/>
      <c r="CT600" s="4"/>
      <c r="CU600" s="4"/>
      <c r="CV600" s="4"/>
      <c r="CW600" s="6"/>
      <c r="CX600" s="7"/>
      <c r="CY600" s="4"/>
      <c r="CZ600" s="4"/>
      <c r="DA600" s="4"/>
      <c r="DB600" s="4"/>
      <c r="DC600" s="6"/>
      <c r="DD600" s="7"/>
      <c r="DE600" s="4"/>
      <c r="DF600" s="4"/>
      <c r="DG600" s="4"/>
      <c r="DH600" s="4"/>
      <c r="DI600" s="6"/>
      <c r="DJ600" s="4"/>
      <c r="DK600" s="4"/>
      <c r="DL600" s="4"/>
      <c r="DM600" s="4"/>
      <c r="DN600" s="4"/>
      <c r="DO600" s="4"/>
      <c r="DP600" s="4"/>
      <c r="DR600" s="4"/>
      <c r="DS600" s="4"/>
      <c r="DT600" s="4"/>
      <c r="DU600" s="4"/>
      <c r="DV600" s="4"/>
      <c r="DW600" s="4"/>
      <c r="DX600" s="4"/>
      <c r="DY600" s="7"/>
      <c r="DZ600" s="4"/>
      <c r="EA600" s="4"/>
      <c r="EB600" s="34"/>
      <c r="EC600" s="4"/>
      <c r="ED600" s="4"/>
      <c r="EM600" s="11"/>
      <c r="ES600" s="11"/>
      <c r="ET600" s="11"/>
      <c r="EU600" s="4"/>
      <c r="EV600" s="4"/>
      <c r="EW600" s="4"/>
      <c r="EX600" s="4"/>
      <c r="EY600" s="4"/>
      <c r="EZ600" s="4"/>
      <c r="FA600" s="4"/>
      <c r="FB600" s="4"/>
      <c r="FC600" s="4"/>
      <c r="FD600" s="4"/>
      <c r="FE600" s="4"/>
      <c r="FF600" s="4"/>
      <c r="FG600" s="4"/>
      <c r="FH600" s="4"/>
      <c r="FL600" s="9"/>
      <c r="FU600" s="9"/>
      <c r="GE600" s="10"/>
      <c r="GO600" s="10"/>
      <c r="HD600" s="9"/>
      <c r="IP600" s="4">
        <v>42044.71</v>
      </c>
      <c r="IZ600" s="18"/>
      <c r="JA600" s="18"/>
      <c r="JB600" s="18"/>
    </row>
    <row r="601" spans="1:263" ht="15" customHeight="1">
      <c r="A601" s="19">
        <v>102023075</v>
      </c>
      <c r="B601" s="18" t="s">
        <v>4156</v>
      </c>
      <c r="D601" s="1"/>
      <c r="E601" s="3"/>
      <c r="F601" s="3"/>
      <c r="J601" s="18" t="s">
        <v>554</v>
      </c>
      <c r="K601" s="18" t="s">
        <v>4153</v>
      </c>
      <c r="L601" s="130" t="s">
        <v>741</v>
      </c>
      <c r="M601" s="130" t="s">
        <v>650</v>
      </c>
      <c r="N601" s="18"/>
      <c r="O601" s="252"/>
      <c r="P601" s="130" t="s">
        <v>4153</v>
      </c>
      <c r="Q601" s="130" t="s">
        <v>4152</v>
      </c>
      <c r="R601" s="130" t="s">
        <v>354</v>
      </c>
      <c r="S601" s="130"/>
      <c r="AG601" s="43"/>
      <c r="AJ601" s="18" t="s">
        <v>328</v>
      </c>
      <c r="AK601" s="18"/>
      <c r="AL601" s="18" t="s">
        <v>344</v>
      </c>
      <c r="AM601" s="18"/>
      <c r="AN601" s="18"/>
      <c r="AO601" s="18" t="s">
        <v>4150</v>
      </c>
      <c r="AP601" s="18" t="s">
        <v>258</v>
      </c>
      <c r="AQ601" s="18" t="s">
        <v>4155</v>
      </c>
      <c r="AR601" s="18" t="s">
        <v>260</v>
      </c>
      <c r="AX601" s="1"/>
      <c r="AY601" s="1"/>
      <c r="AZ601" s="1"/>
      <c r="BA601" s="1"/>
      <c r="BB601" s="1"/>
      <c r="BC601" s="2"/>
      <c r="BD601" s="116"/>
      <c r="BE601" s="115"/>
      <c r="BF601" s="2"/>
      <c r="BG601" s="2"/>
      <c r="BH601" s="2"/>
      <c r="BI601" s="2"/>
      <c r="BJ601" s="2"/>
      <c r="BK601" s="2"/>
      <c r="BL601" s="20">
        <f ca="1">SUM(DP601)+220</f>
        <v>864.10799999999995</v>
      </c>
      <c r="BM601" s="22">
        <f t="shared" ref="BM601:BM607" ca="1" si="233">PMT(10%/12,12,BL601,0,0)</f>
        <v>-75.968821482549131</v>
      </c>
      <c r="BN601" s="22">
        <f t="shared" ref="BN601:BN607" ca="1" si="234">SUM(BM601*-1)</f>
        <v>75.968821482549131</v>
      </c>
      <c r="BO601" s="14">
        <f>SUM(DX601*0.0052)/12</f>
        <v>25.00333333333333</v>
      </c>
      <c r="BP601" s="22">
        <f t="shared" ref="BP601:BP607" ca="1" si="235">SUM(BN601+BO601)</f>
        <v>100.97215481588246</v>
      </c>
      <c r="BQ601" s="14"/>
      <c r="BR601" s="14">
        <f t="shared" ref="BR601:BR607" si="236">SUM(BQ601*0.1)</f>
        <v>0</v>
      </c>
      <c r="BS601" s="14">
        <f t="shared" ref="BS601:BS607" ca="1" si="237">SUM(BT601*BU601)</f>
        <v>0</v>
      </c>
      <c r="BT601" s="17">
        <f t="shared" ref="BT601:BT607" si="238">SUM((BQ601+BR601)*0.00833333333333333)</f>
        <v>0</v>
      </c>
      <c r="BU601" s="23">
        <f ca="1">MONTH(TODAY())+49</f>
        <v>53</v>
      </c>
      <c r="BV601" s="14">
        <f t="shared" ref="BV601:BV607" ca="1" si="239">SUM(BQ601,BR601,BS601)</f>
        <v>0</v>
      </c>
      <c r="BW601" s="14"/>
      <c r="BX601" s="14">
        <f t="shared" ref="BX601:BX607" si="240">SUM(BW601*0.1)</f>
        <v>0</v>
      </c>
      <c r="BY601" s="14">
        <f t="shared" ref="BY601:BY607" ca="1" si="241">SUM(BZ601*CA601)</f>
        <v>0</v>
      </c>
      <c r="BZ601" s="17">
        <f t="shared" ref="BZ601:BZ607" si="242">SUM((BW601+BX601)*0.00833333333333333)</f>
        <v>0</v>
      </c>
      <c r="CA601" s="23">
        <f ca="1">MONTH(TODAY())+37</f>
        <v>41</v>
      </c>
      <c r="CB601" s="14">
        <f t="shared" ref="CB601:CB607" ca="1" si="243">SUM(BW601,BX601,BY601)</f>
        <v>0</v>
      </c>
      <c r="CC601" s="14">
        <v>0</v>
      </c>
      <c r="CD601" s="14">
        <f t="shared" ref="CD601:CD607" si="244">SUM(CC601*0.1)</f>
        <v>0</v>
      </c>
      <c r="CE601" s="14">
        <f t="shared" ref="CE601:CE607" ca="1" si="245">SUM(CF601*CG601)</f>
        <v>0</v>
      </c>
      <c r="CF601" s="17">
        <f t="shared" ref="CF601:CF607" si="246">SUM((CC601+CD601)*0.00833333333333333)</f>
        <v>0</v>
      </c>
      <c r="CG601" s="23">
        <f ca="1">MONTH(TODAY())+25</f>
        <v>29</v>
      </c>
      <c r="CH601" s="14">
        <f t="shared" ref="CH601:CH607" ca="1" si="247">SUM(CC601,CD601,CE601)</f>
        <v>0</v>
      </c>
      <c r="CI601" s="14">
        <f>SUM(DU601*0.0052)</f>
        <v>257.39999999999998</v>
      </c>
      <c r="CJ601" s="14">
        <f t="shared" ref="CJ601:CJ607" si="248">SUM(CI601*0.1)</f>
        <v>25.74</v>
      </c>
      <c r="CK601" s="14">
        <f t="shared" ref="CK601:CK607" ca="1" si="249">SUM(CL601*CM601)</f>
        <v>40.111499999999978</v>
      </c>
      <c r="CL601" s="17">
        <f t="shared" ref="CL601:CL607" si="250">SUM((CI601+CJ601)*0.00833333333333333)</f>
        <v>2.3594999999999988</v>
      </c>
      <c r="CM601" s="23">
        <f ca="1">MONTH(TODAY())+13</f>
        <v>17</v>
      </c>
      <c r="CN601" s="14">
        <f t="shared" ref="CN601:CN607" ca="1" si="251">SUM(CI601,CJ601,CK601)</f>
        <v>323.25149999999996</v>
      </c>
      <c r="CO601" s="14">
        <f>SUM(DU601*0.0052)/2</f>
        <v>128.69999999999999</v>
      </c>
      <c r="CP601" s="14">
        <f t="shared" ref="CP601:CP607" si="252">SUM(CO601*0.1)</f>
        <v>12.87</v>
      </c>
      <c r="CQ601" s="14">
        <f t="shared" ref="CQ601:CQ607" ca="1" si="253">SUM(CR601*CS601)</f>
        <v>10.617749999999994</v>
      </c>
      <c r="CR601" s="17">
        <f t="shared" ref="CR601:CR607" si="254">SUM((CO601+CP601)*0.00833333333333333)</f>
        <v>1.1797499999999994</v>
      </c>
      <c r="CS601" s="23">
        <f ca="1">MONTH(TODAY())+5</f>
        <v>9</v>
      </c>
      <c r="CT601" s="23">
        <f t="shared" ref="CT601:CT607" ca="1" si="255">SUM(CO601,CP601,CQ601)</f>
        <v>152.18774999999999</v>
      </c>
      <c r="CU601" s="14">
        <f>SUM(DU601*0.0052)/2</f>
        <v>128.69999999999999</v>
      </c>
      <c r="CV601" s="14">
        <f t="shared" ref="CV601:CV607" si="256">SUM(CU601*0.1)</f>
        <v>12.87</v>
      </c>
      <c r="CW601" s="14">
        <f t="shared" ref="CW601:CW607" ca="1" si="257">SUM(CX601*CY601)</f>
        <v>5.8987499999999971</v>
      </c>
      <c r="CX601" s="17">
        <f t="shared" ref="CX601:CX607" si="258">SUM((CU601+CV601)*0.00833333333333333)</f>
        <v>1.1797499999999994</v>
      </c>
      <c r="CY601" s="23">
        <f ca="1">MONTH(TODAY())+1</f>
        <v>5</v>
      </c>
      <c r="CZ601" s="23">
        <f t="shared" ref="CZ601:CZ607" ca="1" si="259">SUM(CU601,CV601,CW601)</f>
        <v>147.46875</v>
      </c>
      <c r="DA601" s="14">
        <f>SUM( BQ601, BW601, CC601, CI601, CO601,CU601)</f>
        <v>514.79999999999995</v>
      </c>
      <c r="DB601" s="14">
        <f>SUM(BR601,BX601,CD601,CJ601, CP601,CV601)</f>
        <v>51.48</v>
      </c>
      <c r="DC601" s="14">
        <f ca="1">SUM(BS601,BY601,CE601,CK601, CQ601,CW601)</f>
        <v>56.627999999999972</v>
      </c>
      <c r="DD601" s="25">
        <f ca="1">SUM(DA601:DC601)</f>
        <v>622.9079999999999</v>
      </c>
      <c r="DE601" s="47">
        <f ca="1">SUM(DD601/DU601)</f>
        <v>1.2583999999999998E-2</v>
      </c>
      <c r="DF601" s="14">
        <v>20</v>
      </c>
      <c r="DG601" s="32">
        <f>COUNTIF(DL601, "*")+COUNTIF(AO601, "*")+COUNTIF(AJ601, "*")+COUNTIF(AA601, "*")+COUNTIF(EM601, "*")+COUNTIF(ES601, "*")+COUNTIF(EY601, "*")+COUNTIF(FC601, "*")+COUNTIF(FJ601, "*")+COUNTIF(AT601, "*")+COUNTIF(FS601, "*")+COUNTIF(GD601, "*")+COUNTIF(GO601, "*")+COUNTIF(GW601, "*")+COUNTIF(HE601, "*")+COUNTIF(HM601, "*")+COUNTIF(HU601, "*")</f>
        <v>2</v>
      </c>
      <c r="DH601" s="14">
        <f>DG601*0.6</f>
        <v>1.2</v>
      </c>
      <c r="DI601" s="4"/>
      <c r="DJ601" s="4"/>
      <c r="DK601" s="4"/>
      <c r="DL601" s="4"/>
      <c r="DN601" s="4"/>
      <c r="DO601" s="14">
        <f>SUM(DJ601:DN601)</f>
        <v>0</v>
      </c>
      <c r="DP601" s="14">
        <f ca="1">SUM(DD601,DF601,DO601, DI601, DH601,FP601)</f>
        <v>644.10799999999995</v>
      </c>
      <c r="DQ601" s="24" t="s">
        <v>3879</v>
      </c>
      <c r="DR601" s="130">
        <v>16.89</v>
      </c>
      <c r="DS601" s="14">
        <v>49500</v>
      </c>
      <c r="DT601" s="14">
        <v>0</v>
      </c>
      <c r="DU601" s="14">
        <v>49500</v>
      </c>
      <c r="DV601" s="14">
        <v>57700</v>
      </c>
      <c r="DW601" s="14">
        <v>0</v>
      </c>
      <c r="DX601" s="14">
        <f>SUM(DV601+DW601)</f>
        <v>57700</v>
      </c>
      <c r="IA601" s="9"/>
      <c r="IL601" s="14">
        <f ca="1">SUM(IB601-DP601-FP601-IJ601)</f>
        <v>-644.10799999999995</v>
      </c>
      <c r="IM601" s="9"/>
      <c r="IN601" s="9"/>
      <c r="IO601" s="9"/>
      <c r="IP601" s="9"/>
      <c r="IQ601" s="9"/>
    </row>
    <row r="602" spans="1:263" ht="15" customHeight="1">
      <c r="A602" s="19">
        <v>102023081</v>
      </c>
      <c r="B602" s="18" t="s">
        <v>4138</v>
      </c>
      <c r="D602" s="1"/>
      <c r="E602" s="3"/>
      <c r="G602" s="3">
        <v>230002058</v>
      </c>
      <c r="J602" s="18" t="s">
        <v>554</v>
      </c>
      <c r="K602" s="18" t="s">
        <v>1327</v>
      </c>
      <c r="L602" s="18" t="s">
        <v>1006</v>
      </c>
      <c r="M602" s="18" t="s">
        <v>256</v>
      </c>
      <c r="N602" s="18"/>
      <c r="O602" s="24"/>
      <c r="P602" s="18" t="s">
        <v>1327</v>
      </c>
      <c r="Q602" s="18" t="s">
        <v>817</v>
      </c>
      <c r="R602" s="18" t="s">
        <v>354</v>
      </c>
      <c r="S602" s="18"/>
      <c r="AD602" t="s">
        <v>4527</v>
      </c>
      <c r="AE602" t="s">
        <v>253</v>
      </c>
      <c r="AF602" t="s">
        <v>1327</v>
      </c>
      <c r="AG602" s="43" t="s">
        <v>4528</v>
      </c>
      <c r="AH602" s="18" t="s">
        <v>4137</v>
      </c>
      <c r="AI602" s="18" t="s">
        <v>349</v>
      </c>
      <c r="AJ602" s="18"/>
      <c r="AK602" s="13"/>
      <c r="AL602" s="18"/>
      <c r="AM602" s="18"/>
      <c r="AN602" s="18"/>
      <c r="AO602" s="18" t="s">
        <v>4137</v>
      </c>
      <c r="AP602" s="13" t="s">
        <v>258</v>
      </c>
      <c r="AQ602" s="18" t="s">
        <v>349</v>
      </c>
      <c r="AR602" s="18" t="s">
        <v>260</v>
      </c>
      <c r="AS602" s="10"/>
      <c r="AT602" s="10"/>
      <c r="AU602" s="10"/>
      <c r="AV602" s="10"/>
      <c r="AW602" s="10"/>
      <c r="AX602" s="1"/>
      <c r="AY602" s="1"/>
      <c r="AZ602" s="1"/>
      <c r="BA602" s="1"/>
      <c r="BB602" s="1"/>
      <c r="BC602" s="2"/>
      <c r="BD602" s="115">
        <v>45450</v>
      </c>
      <c r="BE602" s="144"/>
      <c r="BF602" s="2"/>
      <c r="BG602" s="2"/>
      <c r="BH602" s="2"/>
      <c r="BI602" s="2"/>
      <c r="BJ602" s="2"/>
      <c r="BK602" s="2"/>
      <c r="BL602" s="20">
        <f ca="1">SUM(EH602)+220</f>
        <v>600.44375000000002</v>
      </c>
      <c r="BM602" s="22">
        <f t="shared" ca="1" si="233"/>
        <v>-52.788545012964072</v>
      </c>
      <c r="BN602" s="22">
        <f t="shared" ca="1" si="234"/>
        <v>52.788545012964072</v>
      </c>
      <c r="BO602" s="14">
        <f>SUM(EP602*0.0052)/12</f>
        <v>18.459999999999997</v>
      </c>
      <c r="BP602" s="22">
        <f t="shared" ca="1" si="235"/>
        <v>71.248545012964072</v>
      </c>
      <c r="BQ602" s="14"/>
      <c r="BR602" s="14">
        <f t="shared" si="236"/>
        <v>0</v>
      </c>
      <c r="BS602" s="14">
        <f t="shared" ca="1" si="237"/>
        <v>0</v>
      </c>
      <c r="BT602" s="17">
        <f t="shared" si="238"/>
        <v>0</v>
      </c>
      <c r="BU602" s="23">
        <f ca="1">MONTH(TODAY())+49</f>
        <v>53</v>
      </c>
      <c r="BV602" s="14">
        <f t="shared" ca="1" si="239"/>
        <v>0</v>
      </c>
      <c r="BW602" s="14">
        <v>0</v>
      </c>
      <c r="BX602" s="14">
        <f t="shared" si="240"/>
        <v>0</v>
      </c>
      <c r="BY602" s="14">
        <f t="shared" ca="1" si="241"/>
        <v>0</v>
      </c>
      <c r="BZ602" s="17">
        <f t="shared" si="242"/>
        <v>0</v>
      </c>
      <c r="CA602" s="23">
        <f ca="1">MONTH(TODAY())+37</f>
        <v>41</v>
      </c>
      <c r="CB602" s="14">
        <f t="shared" ca="1" si="243"/>
        <v>0</v>
      </c>
      <c r="CC602" s="14">
        <v>0</v>
      </c>
      <c r="CD602" s="14">
        <f t="shared" si="244"/>
        <v>0</v>
      </c>
      <c r="CE602" s="14">
        <f t="shared" ca="1" si="245"/>
        <v>0</v>
      </c>
      <c r="CF602" s="17">
        <f t="shared" si="246"/>
        <v>0</v>
      </c>
      <c r="CG602" s="23">
        <f ca="1">MONTH(TODAY())+25</f>
        <v>29</v>
      </c>
      <c r="CH602" s="14">
        <f t="shared" ca="1" si="247"/>
        <v>0</v>
      </c>
      <c r="CI602" s="14">
        <v>0</v>
      </c>
      <c r="CJ602" s="14">
        <f t="shared" si="248"/>
        <v>0</v>
      </c>
      <c r="CK602" s="14">
        <f t="shared" ca="1" si="249"/>
        <v>0</v>
      </c>
      <c r="CL602" s="17">
        <f t="shared" si="250"/>
        <v>0</v>
      </c>
      <c r="CM602" s="23">
        <f ca="1">MONTH(TODAY())+17</f>
        <v>21</v>
      </c>
      <c r="CN602" s="23">
        <f t="shared" ca="1" si="251"/>
        <v>0</v>
      </c>
      <c r="CO602" s="14"/>
      <c r="CP602" s="14">
        <f t="shared" si="252"/>
        <v>0</v>
      </c>
      <c r="CQ602" s="14">
        <f t="shared" ca="1" si="253"/>
        <v>0</v>
      </c>
      <c r="CR602" s="17">
        <f t="shared" si="254"/>
        <v>0</v>
      </c>
      <c r="CS602" s="23">
        <f ca="1">MONTH(TODAY())+13</f>
        <v>17</v>
      </c>
      <c r="CT602" s="14">
        <f t="shared" ca="1" si="255"/>
        <v>0</v>
      </c>
      <c r="CU602" s="14"/>
      <c r="CV602" s="14">
        <f t="shared" si="256"/>
        <v>0</v>
      </c>
      <c r="CW602" s="14">
        <f t="shared" ca="1" si="257"/>
        <v>0</v>
      </c>
      <c r="CX602" s="17">
        <f t="shared" si="258"/>
        <v>0</v>
      </c>
      <c r="CY602" s="23">
        <f ca="1">MONTH(TODAY())+7</f>
        <v>11</v>
      </c>
      <c r="CZ602" s="14">
        <f t="shared" ca="1" si="259"/>
        <v>0</v>
      </c>
      <c r="DA602" s="14"/>
      <c r="DB602" s="14">
        <f>SUM(DA602*0.1)</f>
        <v>0</v>
      </c>
      <c r="DC602" s="14">
        <f ca="1">SUM(DD602*DE602)</f>
        <v>0</v>
      </c>
      <c r="DD602" s="17">
        <f t="shared" ref="DD602:DD607" si="260">SUM((DA602+DB602)*0.00833333333333333)</f>
        <v>0</v>
      </c>
      <c r="DE602" s="23">
        <f ca="1">MONTH(TODAY())+1</f>
        <v>5</v>
      </c>
      <c r="DF602" s="14">
        <f t="shared" ref="DF602:DF607" ca="1" si="261">SUM(DA602,DB602,DC602)</f>
        <v>0</v>
      </c>
      <c r="DG602" s="14"/>
      <c r="DH602" s="14">
        <f>SUM(DG602*0.1)</f>
        <v>0</v>
      </c>
      <c r="DI602" s="14">
        <f ca="1">SUM(DJ602*DK602)</f>
        <v>0</v>
      </c>
      <c r="DJ602" s="17">
        <f t="shared" ref="DJ602:DJ607" si="262">SUM((DG602+DH602)*0.00833333333333333)</f>
        <v>0</v>
      </c>
      <c r="DK602" s="23">
        <f ca="1">MONTH(TODAY())-7</f>
        <v>-3</v>
      </c>
      <c r="DL602" s="14">
        <f t="shared" ref="DL602:DL607" ca="1" si="263">SUM(DG602,DH602,DI602)</f>
        <v>0</v>
      </c>
      <c r="DM602" s="14">
        <f>SUM(EP602*0.0045)/2</f>
        <v>95.85</v>
      </c>
      <c r="DN602" s="14">
        <f>0</f>
        <v>0</v>
      </c>
      <c r="DO602" s="14">
        <f ca="1">SUM(DP602*DQ602)</f>
        <v>3.9937499999999981</v>
      </c>
      <c r="DP602" s="17">
        <f>SUM((DM602+DN602)*0.00833333333333333)</f>
        <v>0.79874999999999963</v>
      </c>
      <c r="DQ602" s="23">
        <f ca="1">MONTH(TODAY())+1</f>
        <v>5</v>
      </c>
      <c r="DR602" s="14">
        <f ca="1">SUM(DM602,DN602,DO602)</f>
        <v>99.843749999999986</v>
      </c>
      <c r="DS602" s="14">
        <f>SUM(BQ602, BW602, CC602, CI602,CO602,CU602,DA602,DG602,DM602)</f>
        <v>95.85</v>
      </c>
      <c r="DT602" s="14">
        <f>SUM(BR602,BX602,CD602, CJ602,CP602,CV602,DB602,DH602,DN602)</f>
        <v>0</v>
      </c>
      <c r="DU602" s="14">
        <f ca="1">SUM(BS602,BY602,CE602, CK602,CQ602,CW602,DC602,DI602,DO602)</f>
        <v>3.9937499999999981</v>
      </c>
      <c r="DV602" s="25">
        <f ca="1">SUM(DS602:DU602)</f>
        <v>99.843749999999986</v>
      </c>
      <c r="DW602" s="47">
        <f ca="1">SUM(DV602/EM602)</f>
        <v>2.8445512820512815E-3</v>
      </c>
      <c r="DX602" s="14">
        <f>240+40</f>
        <v>280</v>
      </c>
      <c r="DY602" s="32">
        <f>COUNTIF(AO602, "*")+COUNTIF(AJ602, "*")+COUNTIF(AA602, "*")+COUNTIF(FA602, "*")+COUNTIF(FG602, "*")+COUNTIF(FM602, "*")+COUNTIF(FQ602, "*")+COUNTIF(FX602, "*")+COUNTIF(AS602, "*")+COUNTIF(GG602, "*")+COUNTIF(GR602, "*")+COUNTIF(HC602, "*")+COUNTIF(HK602, "*")+COUNTIF(HS602, "*")+COUNTIF(IA602, "*")</f>
        <v>1</v>
      </c>
      <c r="DZ602" s="14">
        <f>0.6</f>
        <v>0.6</v>
      </c>
      <c r="EA602" s="4"/>
      <c r="EB602" s="4"/>
      <c r="EC602" s="4"/>
      <c r="ED602" s="4"/>
      <c r="EE602" s="4"/>
      <c r="EF602" s="4"/>
      <c r="EG602" s="14">
        <f>SUM(EA602:EF602)</f>
        <v>0</v>
      </c>
      <c r="EH602" s="14">
        <f ca="1">SUM(DV602,DX602,EG602, EA602, DZ602,GD602)</f>
        <v>380.44375000000002</v>
      </c>
      <c r="EI602" s="24" t="s">
        <v>3879</v>
      </c>
      <c r="EJ602" s="130">
        <v>2.0099999999999998</v>
      </c>
      <c r="EK602" s="14">
        <v>16500</v>
      </c>
      <c r="EL602" s="14">
        <v>18600</v>
      </c>
      <c r="EM602" s="14">
        <f>SUM(EK602+EL602)</f>
        <v>35100</v>
      </c>
      <c r="EN602" s="14">
        <v>22000</v>
      </c>
      <c r="EO602" s="14">
        <v>20600</v>
      </c>
      <c r="EP602" s="14">
        <f>SUM(EN602+EO602)</f>
        <v>42600</v>
      </c>
      <c r="EQ602" s="10"/>
      <c r="ER602" s="10"/>
      <c r="ES602" s="10"/>
      <c r="ET602" s="10"/>
      <c r="EU602" s="10"/>
      <c r="EV602" s="10"/>
      <c r="EW602" s="10"/>
      <c r="EX602" s="10"/>
      <c r="GD602" s="4"/>
      <c r="IE602" s="9"/>
      <c r="IN602" s="14">
        <f ca="1">SUM(IF602-EH602-GD602-IL602)</f>
        <v>-380.44375000000002</v>
      </c>
      <c r="IO602" s="14"/>
      <c r="IP602" s="14"/>
      <c r="IQ602" s="9"/>
      <c r="IR602" s="9"/>
      <c r="IS602" s="9"/>
      <c r="IT602" s="9"/>
      <c r="IU602" s="9"/>
    </row>
    <row r="603" spans="1:263" ht="15" customHeight="1">
      <c r="A603" s="2">
        <v>102024171</v>
      </c>
      <c r="B603" t="s">
        <v>5567</v>
      </c>
      <c r="C603" s="10"/>
      <c r="D603" s="161"/>
      <c r="E603" s="147" t="s">
        <v>5909</v>
      </c>
      <c r="F603" s="160">
        <v>240003254</v>
      </c>
      <c r="G603" s="147"/>
      <c r="H603" s="10"/>
      <c r="I603" s="10"/>
      <c r="J603" s="10" t="s">
        <v>253</v>
      </c>
      <c r="K603" s="10" t="s">
        <v>5568</v>
      </c>
      <c r="L603" s="10" t="s">
        <v>5569</v>
      </c>
      <c r="M603" s="10" t="s">
        <v>326</v>
      </c>
      <c r="N603" s="10"/>
      <c r="O603" s="147"/>
      <c r="P603" s="10"/>
      <c r="Q603" s="10"/>
      <c r="R603" s="10"/>
      <c r="S603" s="10"/>
      <c r="T603" s="10"/>
      <c r="U603" s="10"/>
      <c r="V603" s="10"/>
      <c r="W603" s="10"/>
      <c r="X603" s="10"/>
      <c r="Y603" s="10"/>
      <c r="Z603" s="10"/>
      <c r="AA603" s="10"/>
      <c r="AB603" s="10"/>
      <c r="AC603" s="10"/>
      <c r="AD603" s="10"/>
      <c r="AE603" s="10"/>
      <c r="AF603" s="10"/>
      <c r="AG603" s="141"/>
      <c r="AH603" s="10"/>
      <c r="AI603" s="10"/>
      <c r="AJ603" s="18" t="s">
        <v>328</v>
      </c>
      <c r="AK603" s="1"/>
      <c r="AL603" s="18" t="s">
        <v>349</v>
      </c>
      <c r="AM603"/>
      <c r="AN603"/>
      <c r="AO603" t="s">
        <v>5570</v>
      </c>
      <c r="AP603" s="1" t="s">
        <v>258</v>
      </c>
      <c r="AQ603" s="18" t="s">
        <v>5571</v>
      </c>
      <c r="AR603"/>
      <c r="AX603" s="1"/>
      <c r="AY603" s="1" t="s">
        <v>258</v>
      </c>
      <c r="AZ603" s="1"/>
      <c r="BA603" s="1"/>
      <c r="BB603" s="1"/>
      <c r="BC603" s="70">
        <v>45482</v>
      </c>
      <c r="BD603" s="115">
        <v>45415</v>
      </c>
      <c r="BE603" s="144">
        <v>45442</v>
      </c>
      <c r="BF603" s="70"/>
      <c r="BG603" s="2"/>
      <c r="BH603" s="70"/>
      <c r="BI603" s="70"/>
      <c r="BJ603" s="70">
        <v>45545</v>
      </c>
      <c r="BK603" s="70" t="s">
        <v>5895</v>
      </c>
      <c r="BL603" s="20">
        <f ca="1">SUM(EB603)+220</f>
        <v>2030.1901333333333</v>
      </c>
      <c r="BM603" s="22">
        <f t="shared" ca="1" si="233"/>
        <v>-178.48596681761146</v>
      </c>
      <c r="BN603" s="22">
        <f t="shared" ca="1" si="234"/>
        <v>178.48596681761146</v>
      </c>
      <c r="BO603" s="14">
        <f>SUM(EJ603*0.0052)/12</f>
        <v>7.41</v>
      </c>
      <c r="BP603" s="22">
        <f t="shared" ca="1" si="235"/>
        <v>185.89596681761145</v>
      </c>
      <c r="BQ603" s="14">
        <v>0</v>
      </c>
      <c r="BR603" s="14">
        <f t="shared" si="236"/>
        <v>0</v>
      </c>
      <c r="BS603" s="14">
        <f t="shared" ca="1" si="237"/>
        <v>0</v>
      </c>
      <c r="BT603" s="17">
        <f t="shared" si="238"/>
        <v>0</v>
      </c>
      <c r="BU603" s="23">
        <f ca="1">MONTH(TODAY())+37</f>
        <v>41</v>
      </c>
      <c r="BV603" s="14">
        <f t="shared" ca="1" si="239"/>
        <v>0</v>
      </c>
      <c r="BW603" s="14">
        <v>0</v>
      </c>
      <c r="BX603" s="14">
        <f t="shared" si="240"/>
        <v>0</v>
      </c>
      <c r="BY603" s="14">
        <f t="shared" ca="1" si="241"/>
        <v>0</v>
      </c>
      <c r="BZ603" s="17">
        <f t="shared" si="242"/>
        <v>0</v>
      </c>
      <c r="CA603" s="23">
        <f ca="1">MONTH(TODAY())+37</f>
        <v>41</v>
      </c>
      <c r="CB603" s="14">
        <f t="shared" ca="1" si="243"/>
        <v>0</v>
      </c>
      <c r="CC603" s="14">
        <v>0</v>
      </c>
      <c r="CD603" s="14">
        <f t="shared" si="244"/>
        <v>0</v>
      </c>
      <c r="CE603" s="14">
        <f t="shared" ca="1" si="245"/>
        <v>0</v>
      </c>
      <c r="CF603" s="17">
        <f t="shared" si="246"/>
        <v>0</v>
      </c>
      <c r="CG603" s="23">
        <f ca="1">MONTH(TODAY())+29</f>
        <v>33</v>
      </c>
      <c r="CH603" s="23">
        <f t="shared" ca="1" si="247"/>
        <v>0</v>
      </c>
      <c r="CI603" s="14">
        <f>SUM(EG603*0.0052)</f>
        <v>66.039999999999992</v>
      </c>
      <c r="CJ603" s="14">
        <f t="shared" si="248"/>
        <v>6.6039999999999992</v>
      </c>
      <c r="CK603" s="14">
        <f t="shared" ca="1" si="249"/>
        <v>17.555633333333326</v>
      </c>
      <c r="CL603" s="17">
        <f t="shared" si="250"/>
        <v>0.60536666666666639</v>
      </c>
      <c r="CM603" s="23">
        <f ca="1">MONTH(TODAY())+25</f>
        <v>29</v>
      </c>
      <c r="CN603" s="14">
        <f t="shared" ca="1" si="251"/>
        <v>90.19963333333331</v>
      </c>
      <c r="CO603" s="14">
        <f>SUM(EJ603*0.0045)/2</f>
        <v>38.474999999999994</v>
      </c>
      <c r="CP603" s="14">
        <f t="shared" si="252"/>
        <v>3.8474999999999997</v>
      </c>
      <c r="CQ603" s="14">
        <f t="shared" ca="1" si="253"/>
        <v>8.1118124999999939</v>
      </c>
      <c r="CR603" s="17">
        <f t="shared" si="254"/>
        <v>0.35268749999999977</v>
      </c>
      <c r="CS603" s="23">
        <f ca="1">MONTH(TODAY())+19</f>
        <v>23</v>
      </c>
      <c r="CT603" s="14">
        <f t="shared" ca="1" si="255"/>
        <v>50.434312499999983</v>
      </c>
      <c r="CU603" s="14">
        <f>SUM(EJ603*0.0045)/2</f>
        <v>38.474999999999994</v>
      </c>
      <c r="CV603" s="14">
        <f t="shared" si="256"/>
        <v>3.8474999999999997</v>
      </c>
      <c r="CW603" s="14">
        <f t="shared" ca="1" si="257"/>
        <v>5.9956874999999963</v>
      </c>
      <c r="CX603" s="17">
        <f t="shared" si="258"/>
        <v>0.35268749999999977</v>
      </c>
      <c r="CY603" s="23">
        <f ca="1">MONTH(TODAY())+13</f>
        <v>17</v>
      </c>
      <c r="CZ603" s="14">
        <f t="shared" ca="1" si="259"/>
        <v>48.318187499999986</v>
      </c>
      <c r="DA603" s="14">
        <f>SUM(EJ603*0.0045)/2</f>
        <v>38.474999999999994</v>
      </c>
      <c r="DB603" s="14">
        <f>SUM(DA603*0.1)</f>
        <v>3.8474999999999997</v>
      </c>
      <c r="DC603" s="14">
        <f ca="1">SUM(DD603*DE603)</f>
        <v>3.8795624999999974</v>
      </c>
      <c r="DD603" s="17">
        <f t="shared" si="260"/>
        <v>0.35268749999999977</v>
      </c>
      <c r="DE603" s="23">
        <f ca="1">MONTH(TODAY())+7</f>
        <v>11</v>
      </c>
      <c r="DF603" s="14">
        <f t="shared" ca="1" si="261"/>
        <v>46.20206249999999</v>
      </c>
      <c r="DG603" s="14">
        <f>SUM(EJ603*0.0045)/2</f>
        <v>38.474999999999994</v>
      </c>
      <c r="DH603" s="14">
        <f>SUM(DG603*0.1)</f>
        <v>3.8474999999999997</v>
      </c>
      <c r="DI603" s="14">
        <f ca="1">SUM(DJ603*DK603)</f>
        <v>1.7634374999999989</v>
      </c>
      <c r="DJ603" s="17">
        <f t="shared" si="262"/>
        <v>0.35268749999999977</v>
      </c>
      <c r="DK603" s="23">
        <f ca="1">MONTH(TODAY())+1</f>
        <v>5</v>
      </c>
      <c r="DL603" s="14">
        <f t="shared" ca="1" si="263"/>
        <v>44.085937499999993</v>
      </c>
      <c r="DM603" s="14">
        <f>SUM(BQ603, BW603, CC603,CI603,CO603,CU603,DA603,DG603)</f>
        <v>219.93999999999997</v>
      </c>
      <c r="DN603" s="14">
        <f>SUM(BR603,BX603, CD603,CJ603,CP603,CV603,DB603,DH603)</f>
        <v>21.994</v>
      </c>
      <c r="DO603" s="14">
        <f ca="1">SUM(BS603,BY603, CE603,CK603,CQ603,CW603,DC603,DI603)</f>
        <v>37.306133333333314</v>
      </c>
      <c r="DP603" s="25">
        <f ca="1">SUM(DM603:DO603)</f>
        <v>279.24013333333329</v>
      </c>
      <c r="DQ603" s="47">
        <f ca="1">SUM(DP603/EG603)</f>
        <v>2.1987412073490809E-2</v>
      </c>
      <c r="DR603" s="25">
        <f>20+10+200+200+40+40+100</f>
        <v>610</v>
      </c>
      <c r="DS603" s="32">
        <f>COUNTIF(AO603, "*")+COUNTIF(AJ603, "*")+COUNTIF(AA603, "*")+COUNTIF(EU603, "*")+COUNTIF(FA603, "*")+COUNTIF(FG603, "*")+COUNTIF(FK603, "*")+COUNTIF(FR603, "*")+COUNTIF(AS603, "*")+COUNTIF(GA603, "*")+COUNTIF(GL603, "*")+COUNTIF(GW603, "*")+COUNTIF(HE603, "*")+COUNTIF(HM603, "*")+COUNTIF(HU603, "*")</f>
        <v>2</v>
      </c>
      <c r="DT603" s="14">
        <f>1.28+DS603*8</f>
        <v>17.28</v>
      </c>
      <c r="DU603" s="4">
        <v>26.67</v>
      </c>
      <c r="DV603" s="25">
        <v>317</v>
      </c>
      <c r="DW603" s="4"/>
      <c r="DX603" s="4"/>
      <c r="DY603" s="14">
        <f>IF(SUM(EE603*0.004)&lt;100, 100, SUM(EE603*0.004))</f>
        <v>100</v>
      </c>
      <c r="DZ603" s="4">
        <v>460</v>
      </c>
      <c r="EA603" s="14">
        <f>SUM(DU603:DZ603)</f>
        <v>903.67000000000007</v>
      </c>
      <c r="EB603" s="14">
        <f ca="1">SUM(DP603,DR603,EA603,DT603,FX603)</f>
        <v>1810.1901333333333</v>
      </c>
      <c r="EC603" s="24" t="s">
        <v>5914</v>
      </c>
      <c r="ED603" s="23">
        <v>1.84</v>
      </c>
      <c r="EE603" s="14">
        <v>12700</v>
      </c>
      <c r="EF603" s="14">
        <v>0</v>
      </c>
      <c r="EG603" s="14">
        <f>SUM(EE603+EF603)</f>
        <v>12700</v>
      </c>
      <c r="EH603" s="14">
        <v>17100</v>
      </c>
      <c r="EI603" s="14">
        <v>0</v>
      </c>
      <c r="EJ603" s="14">
        <f>SUM(EH603+EI603)</f>
        <v>17100</v>
      </c>
      <c r="EK603" s="10" t="s">
        <v>5797</v>
      </c>
      <c r="EL603" s="10" t="s">
        <v>5798</v>
      </c>
      <c r="EM603" s="10" t="s">
        <v>5799</v>
      </c>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9"/>
      <c r="FP603" s="10"/>
      <c r="FQ603" s="10"/>
      <c r="FR603" s="10"/>
      <c r="FS603" s="10"/>
      <c r="FT603" s="10"/>
      <c r="FU603" s="10"/>
      <c r="FV603" s="9"/>
      <c r="FW603" s="10"/>
      <c r="FX603" s="10"/>
      <c r="FY603" s="10"/>
      <c r="FZ603" s="10"/>
      <c r="GA603" s="10"/>
      <c r="GB603" s="10"/>
      <c r="GC603" s="10"/>
      <c r="GD603" s="10"/>
      <c r="GE603" s="9"/>
      <c r="GF603" s="10"/>
      <c r="GG603" s="10"/>
      <c r="GH603" s="10"/>
      <c r="GI603" s="10"/>
      <c r="GJ603" s="10"/>
      <c r="GK603" s="10"/>
      <c r="GL603" s="10"/>
      <c r="GM603" s="10"/>
      <c r="GN603" s="10"/>
      <c r="GO603" s="10"/>
      <c r="GP603" s="9"/>
      <c r="GQ603" s="10"/>
      <c r="GR603" s="10"/>
      <c r="GS603" s="10"/>
      <c r="GT603" s="10"/>
      <c r="GU603" s="10"/>
      <c r="GV603" s="10"/>
      <c r="GW603" s="10"/>
      <c r="GX603" s="10"/>
      <c r="GY603" s="10"/>
      <c r="GZ603" s="10"/>
      <c r="HA603" s="9"/>
      <c r="HB603" s="10"/>
      <c r="HC603" s="10"/>
      <c r="HD603" s="10"/>
      <c r="HE603" s="10"/>
      <c r="HF603" s="10"/>
      <c r="HG603" s="10"/>
      <c r="HH603" s="10"/>
      <c r="HI603" s="9"/>
      <c r="HJ603" s="10"/>
      <c r="HK603" s="10"/>
      <c r="HL603" s="10"/>
      <c r="HM603" s="10"/>
      <c r="HN603" s="10"/>
      <c r="HO603" s="10"/>
      <c r="HP603" s="10"/>
      <c r="HQ603" s="9"/>
      <c r="HR603" s="10"/>
      <c r="HS603" s="10"/>
      <c r="HT603" s="10"/>
      <c r="HU603" s="10"/>
      <c r="HV603" s="10"/>
      <c r="HW603" s="10"/>
      <c r="HX603" s="10"/>
      <c r="HY603" s="9"/>
      <c r="HZ603" s="4"/>
      <c r="IA603" s="4"/>
      <c r="IB603" s="10"/>
      <c r="IC603" s="10"/>
      <c r="ID603" s="10"/>
      <c r="IE603" s="10"/>
      <c r="IF603" s="4"/>
      <c r="IG603" s="4"/>
      <c r="IH603" s="4"/>
      <c r="II603" s="4"/>
      <c r="IJ603" s="4"/>
      <c r="IK603" s="9"/>
      <c r="IL603" s="9"/>
      <c r="IM603" s="9"/>
      <c r="IN603" s="9"/>
      <c r="IO603" s="9"/>
      <c r="IP603" s="27" t="s">
        <v>5913</v>
      </c>
    </row>
    <row r="604" spans="1:263" ht="15" customHeight="1">
      <c r="A604" s="2">
        <v>102024133</v>
      </c>
      <c r="B604" t="s">
        <v>5465</v>
      </c>
      <c r="D604" s="1"/>
      <c r="E604" s="3"/>
      <c r="G604" s="3"/>
      <c r="J604" t="s">
        <v>311</v>
      </c>
      <c r="K604" t="s">
        <v>1327</v>
      </c>
      <c r="L604" t="s">
        <v>1054</v>
      </c>
      <c r="M604" t="s">
        <v>309</v>
      </c>
      <c r="O604" s="3"/>
      <c r="AG604" s="43"/>
      <c r="AJ604" s="18" t="s">
        <v>328</v>
      </c>
      <c r="AK604" s="1"/>
      <c r="AL604" s="18" t="s">
        <v>344</v>
      </c>
      <c r="AM604"/>
      <c r="AN604"/>
      <c r="AO604" t="s">
        <v>5466</v>
      </c>
      <c r="AP604" s="1" t="s">
        <v>258</v>
      </c>
      <c r="AQ604" s="18" t="s">
        <v>344</v>
      </c>
      <c r="AR604" t="s">
        <v>260</v>
      </c>
      <c r="AS604" s="10"/>
      <c r="AT604" s="10"/>
      <c r="AU604" s="10"/>
      <c r="AV604" s="10"/>
      <c r="AW604" s="1"/>
      <c r="AY604" s="1"/>
      <c r="AZ604" s="1"/>
      <c r="BA604" s="1"/>
      <c r="BB604" s="1"/>
      <c r="BC604" s="2"/>
      <c r="BD604" s="115">
        <v>45415</v>
      </c>
      <c r="BE604" s="144"/>
      <c r="BF604" s="2"/>
      <c r="BG604" s="2"/>
      <c r="BH604" s="2"/>
      <c r="BI604" s="2"/>
      <c r="BJ604" s="2"/>
      <c r="BK604" s="2"/>
      <c r="BL604" s="20">
        <f ca="1">SUM(EN604)+220</f>
        <v>499.62366666666662</v>
      </c>
      <c r="BM604" s="22">
        <f t="shared" ca="1" si="233"/>
        <v>-43.92485793611057</v>
      </c>
      <c r="BN604" s="22">
        <f t="shared" ca="1" si="234"/>
        <v>43.92485793611057</v>
      </c>
      <c r="BO604" s="14">
        <f>SUM(EV604*0.0052)/12</f>
        <v>7.8</v>
      </c>
      <c r="BP604" s="22">
        <f t="shared" ca="1" si="235"/>
        <v>51.724857936110567</v>
      </c>
      <c r="BQ604" s="14"/>
      <c r="BR604" s="14">
        <f t="shared" si="236"/>
        <v>0</v>
      </c>
      <c r="BS604" s="14">
        <f t="shared" ca="1" si="237"/>
        <v>0</v>
      </c>
      <c r="BT604" s="17">
        <f t="shared" si="238"/>
        <v>0</v>
      </c>
      <c r="BU604" s="23">
        <f ca="1">MONTH(TODAY())+61</f>
        <v>65</v>
      </c>
      <c r="BV604" s="14">
        <f t="shared" ca="1" si="239"/>
        <v>0</v>
      </c>
      <c r="BW604" s="14"/>
      <c r="BX604" s="14">
        <f t="shared" si="240"/>
        <v>0</v>
      </c>
      <c r="BY604" s="14">
        <f t="shared" ca="1" si="241"/>
        <v>0</v>
      </c>
      <c r="BZ604" s="17">
        <f t="shared" si="242"/>
        <v>0</v>
      </c>
      <c r="CA604" s="23">
        <f ca="1">MONTH(TODAY())+49</f>
        <v>53</v>
      </c>
      <c r="CB604" s="14">
        <f t="shared" ca="1" si="243"/>
        <v>0</v>
      </c>
      <c r="CC604" s="14">
        <v>0</v>
      </c>
      <c r="CD604" s="14">
        <f t="shared" si="244"/>
        <v>0</v>
      </c>
      <c r="CE604" s="14">
        <f t="shared" ca="1" si="245"/>
        <v>0</v>
      </c>
      <c r="CF604" s="17">
        <f t="shared" si="246"/>
        <v>0</v>
      </c>
      <c r="CG604" s="23">
        <f ca="1">MONTH(TODAY())+37</f>
        <v>41</v>
      </c>
      <c r="CH604" s="14">
        <f t="shared" ca="1" si="247"/>
        <v>0</v>
      </c>
      <c r="CI604" s="14">
        <v>0</v>
      </c>
      <c r="CJ604" s="14">
        <f t="shared" si="248"/>
        <v>0</v>
      </c>
      <c r="CK604" s="14">
        <f t="shared" ca="1" si="249"/>
        <v>0</v>
      </c>
      <c r="CL604" s="17">
        <f t="shared" si="250"/>
        <v>0</v>
      </c>
      <c r="CM604" s="23">
        <f ca="1">MONTH(TODAY())+25</f>
        <v>29</v>
      </c>
      <c r="CN604" s="14">
        <f t="shared" ca="1" si="251"/>
        <v>0</v>
      </c>
      <c r="CO604" s="14">
        <f>SUM(ES604*0.0052)/2</f>
        <v>33.799999999999997</v>
      </c>
      <c r="CP604" s="14">
        <f t="shared" si="252"/>
        <v>3.38</v>
      </c>
      <c r="CQ604" s="14">
        <f t="shared" ca="1" si="253"/>
        <v>6.5064999999999973</v>
      </c>
      <c r="CR604" s="17">
        <f t="shared" si="254"/>
        <v>0.30983333333333318</v>
      </c>
      <c r="CS604" s="23">
        <f ca="1">MONTH(TODAY())+17</f>
        <v>21</v>
      </c>
      <c r="CT604" s="23">
        <f t="shared" ca="1" si="255"/>
        <v>43.686499999999995</v>
      </c>
      <c r="CU604" s="14">
        <f>SUM(ES604*0.0052)/2</f>
        <v>33.799999999999997</v>
      </c>
      <c r="CV604" s="14">
        <f t="shared" si="256"/>
        <v>3.38</v>
      </c>
      <c r="CW604" s="14">
        <f t="shared" ca="1" si="257"/>
        <v>5.2671666666666646</v>
      </c>
      <c r="CX604" s="17">
        <f t="shared" si="258"/>
        <v>0.30983333333333318</v>
      </c>
      <c r="CY604" s="23">
        <f ca="1">MONTH(TODAY())+13</f>
        <v>17</v>
      </c>
      <c r="CZ604" s="23">
        <f t="shared" ca="1" si="259"/>
        <v>42.447166666666661</v>
      </c>
      <c r="DA604" s="14">
        <f>SUM(EV604*0.0045)/2</f>
        <v>40.5</v>
      </c>
      <c r="DB604" s="14">
        <f>SUM(DA604*0.1)</f>
        <v>4.05</v>
      </c>
      <c r="DC604" s="14">
        <f ca="1">SUM(DD604*DE604)</f>
        <v>4.0837499999999975</v>
      </c>
      <c r="DD604" s="17">
        <f t="shared" si="260"/>
        <v>0.3712499999999998</v>
      </c>
      <c r="DE604" s="23">
        <f ca="1">MONTH(TODAY())+7</f>
        <v>11</v>
      </c>
      <c r="DF604" s="23">
        <f t="shared" ca="1" si="261"/>
        <v>48.633749999999992</v>
      </c>
      <c r="DG604" s="14">
        <f>SUM(EV604*0.0045)/2</f>
        <v>40.5</v>
      </c>
      <c r="DH604" s="14">
        <f>SUM(DG604*0.1)</f>
        <v>4.05</v>
      </c>
      <c r="DI604" s="14">
        <f ca="1">SUM(DJ604*DK604)</f>
        <v>1.8562499999999991</v>
      </c>
      <c r="DJ604" s="17">
        <f t="shared" si="262"/>
        <v>0.3712499999999998</v>
      </c>
      <c r="DK604" s="23">
        <f ca="1">MONTH(TODAY())+1</f>
        <v>5</v>
      </c>
      <c r="DL604" s="14">
        <f t="shared" ca="1" si="263"/>
        <v>46.406249999999993</v>
      </c>
      <c r="DM604" s="14">
        <f>SUM(EV604*0.0045)/2</f>
        <v>40.5</v>
      </c>
      <c r="DN604" s="14">
        <f>0</f>
        <v>0</v>
      </c>
      <c r="DO604" s="14">
        <f>0</f>
        <v>0</v>
      </c>
      <c r="DP604" s="17">
        <f>SUM((DM604+DN604)*0.00833333333333333)</f>
        <v>0.33749999999999986</v>
      </c>
      <c r="DQ604" s="23">
        <f ca="1">MONTH(TODAY())+7</f>
        <v>11</v>
      </c>
      <c r="DR604" s="23">
        <f>SUM(DM604,DN604,DO604)</f>
        <v>40.5</v>
      </c>
      <c r="DS604" s="14">
        <f>0</f>
        <v>0</v>
      </c>
      <c r="DT604" s="14">
        <f>0</f>
        <v>0</v>
      </c>
      <c r="DU604" s="14">
        <f ca="1">SUM(DV604*DW604)</f>
        <v>0</v>
      </c>
      <c r="DV604" s="17">
        <f>SUM((DS604+DT604)*0.00833333333333333)</f>
        <v>0</v>
      </c>
      <c r="DW604" s="23">
        <f ca="1">MONTH(TODAY())+1</f>
        <v>5</v>
      </c>
      <c r="DX604" s="14">
        <f ca="1">SUM(DS604,DT604,DU604)</f>
        <v>0</v>
      </c>
      <c r="DY604" s="14">
        <f>SUM( BQ604, BW604, CC604, CI604, CO604,CU604,DA604,DG604,DM604,DS604)</f>
        <v>189.1</v>
      </c>
      <c r="DZ604" s="14">
        <f>SUM(BR604,BX604,CD604,CJ604, CP604,CV604,DB604,DH604,DN604,DT604)</f>
        <v>14.86</v>
      </c>
      <c r="EA604" s="14">
        <f ca="1">SUM(BS604,BY604,CE604,CK604, CQ604,CW604,DC604,DI604,DO604,DU604)</f>
        <v>17.713666666666658</v>
      </c>
      <c r="EB604" s="25">
        <f ca="1">SUM(DY604:EA604)</f>
        <v>221.67366666666663</v>
      </c>
      <c r="EC604" s="47">
        <f ca="1">SUM(EB604/ET604)</f>
        <v>1.2315203703703701E-2</v>
      </c>
      <c r="ED604" s="14">
        <f>20+10</f>
        <v>30</v>
      </c>
      <c r="EE604" s="32">
        <f>COUNTIF(AO604, "*")+COUNTIF(AJ604, "*")+COUNTIF(AA604, "*")+COUNTIF(FG604, "*")+COUNTIF(FM604, "*")+COUNTIF(FS604, "*")+COUNTIF(FW604, "*")+COUNTIF(GD604, "*")+COUNTIF(AS604, "*")+COUNTIF(GM604, "*")+COUNTIF(GX604, "*")+COUNTIF(HI604, "*")+COUNTIF(HQ604, "*")+COUNTIF(HY604, "*")+COUNTIF(IG604, "*")</f>
        <v>2</v>
      </c>
      <c r="EF604" s="14">
        <f>EE604*0.64</f>
        <v>1.28</v>
      </c>
      <c r="EG604" s="4"/>
      <c r="EH604" s="4">
        <v>26.67</v>
      </c>
      <c r="EI604" s="4"/>
      <c r="EJ604" s="4"/>
      <c r="EL604" s="4"/>
      <c r="EM604" s="14">
        <f>SUM(EH604:EL604)</f>
        <v>26.67</v>
      </c>
      <c r="EN604" s="14">
        <f ca="1">SUM(EB604,ED604,EM604, EG604, EF604,GJ604)</f>
        <v>279.62366666666662</v>
      </c>
      <c r="EO604" s="24" t="s">
        <v>4935</v>
      </c>
      <c r="EP604" s="23">
        <v>1</v>
      </c>
      <c r="EQ604" s="14">
        <v>13000</v>
      </c>
      <c r="ER604" s="14">
        <v>0</v>
      </c>
      <c r="ES604" s="4">
        <f>SUM(EQ604+ER604)</f>
        <v>13000</v>
      </c>
      <c r="ET604" s="14">
        <v>18000</v>
      </c>
      <c r="EU604" s="14">
        <v>0</v>
      </c>
      <c r="EV604" s="4">
        <f>SUM(ET604+EU604)</f>
        <v>18000</v>
      </c>
      <c r="EW604" s="10"/>
      <c r="EX604" s="10"/>
      <c r="EY604" s="10"/>
      <c r="EZ604" s="10"/>
      <c r="FA604" s="10"/>
      <c r="FB604" s="10"/>
      <c r="FC604" s="10"/>
      <c r="FD604" s="10"/>
      <c r="GJ604" s="4"/>
      <c r="IK604" s="9"/>
      <c r="IV604" s="4"/>
      <c r="IW604" s="4"/>
      <c r="IX604" s="4"/>
      <c r="IY604" s="9"/>
      <c r="IZ604" s="9"/>
      <c r="JA604" s="9"/>
      <c r="JB604" s="9"/>
      <c r="JC604" s="9"/>
    </row>
    <row r="605" spans="1:263" ht="15" customHeight="1">
      <c r="A605" s="19">
        <v>102023084</v>
      </c>
      <c r="B605" s="18" t="s">
        <v>4287</v>
      </c>
      <c r="D605" s="1"/>
      <c r="E605" s="3"/>
      <c r="F605" s="3"/>
      <c r="G605" s="3"/>
      <c r="J605" s="18" t="s">
        <v>434</v>
      </c>
      <c r="K605" s="18" t="s">
        <v>4288</v>
      </c>
      <c r="L605" s="18" t="s">
        <v>4051</v>
      </c>
      <c r="M605" s="18" t="s">
        <v>850</v>
      </c>
      <c r="N605" s="18"/>
      <c r="O605" s="24"/>
      <c r="P605" s="18" t="s">
        <v>4288</v>
      </c>
      <c r="Q605" s="18" t="s">
        <v>395</v>
      </c>
      <c r="R605" s="18" t="s">
        <v>537</v>
      </c>
      <c r="S605" s="18"/>
      <c r="AG605" s="43"/>
      <c r="AJ605" s="18" t="s">
        <v>328</v>
      </c>
      <c r="AK605" s="18"/>
      <c r="AL605" s="18" t="s">
        <v>349</v>
      </c>
      <c r="AM605" s="18"/>
      <c r="AN605" s="18"/>
      <c r="AO605" s="18" t="s">
        <v>4884</v>
      </c>
      <c r="AP605" s="18" t="s">
        <v>258</v>
      </c>
      <c r="AQ605" s="18" t="s">
        <v>4289</v>
      </c>
      <c r="AR605" s="18"/>
      <c r="AX605" s="1"/>
      <c r="AY605" s="1"/>
      <c r="AZ605" s="1"/>
      <c r="BA605" s="1"/>
      <c r="BB605" s="1"/>
      <c r="BC605" s="2"/>
      <c r="BD605" s="115">
        <v>45060</v>
      </c>
      <c r="BE605" s="115">
        <v>45064</v>
      </c>
      <c r="BF605" s="2"/>
      <c r="BG605" s="2"/>
      <c r="BH605" s="2"/>
      <c r="BI605" s="2"/>
      <c r="BJ605" s="2"/>
      <c r="BK605" s="2"/>
      <c r="BL605" s="20">
        <f ca="1">SUM(EB605)+220</f>
        <v>811.66359166666666</v>
      </c>
      <c r="BM605" s="22">
        <f t="shared" ca="1" si="233"/>
        <v>-71.358124793671209</v>
      </c>
      <c r="BN605" s="22">
        <f t="shared" ca="1" si="234"/>
        <v>71.358124793671209</v>
      </c>
      <c r="BO605" s="14">
        <f>SUM(EJ605*0.0052)/12</f>
        <v>9.5333333333333332</v>
      </c>
      <c r="BP605" s="22">
        <f t="shared" ca="1" si="235"/>
        <v>80.89145812700454</v>
      </c>
      <c r="BQ605" s="14"/>
      <c r="BR605" s="14">
        <f t="shared" si="236"/>
        <v>0</v>
      </c>
      <c r="BS605" s="14">
        <f t="shared" ca="1" si="237"/>
        <v>0</v>
      </c>
      <c r="BT605" s="17">
        <f t="shared" si="238"/>
        <v>0</v>
      </c>
      <c r="BU605" s="23">
        <f ca="1">MONTH(TODAY())+49</f>
        <v>53</v>
      </c>
      <c r="BV605" s="14">
        <f t="shared" ca="1" si="239"/>
        <v>0</v>
      </c>
      <c r="BW605" s="14"/>
      <c r="BX605" s="14">
        <f t="shared" si="240"/>
        <v>0</v>
      </c>
      <c r="BY605" s="14">
        <f t="shared" ca="1" si="241"/>
        <v>0</v>
      </c>
      <c r="BZ605" s="17">
        <f t="shared" si="242"/>
        <v>0</v>
      </c>
      <c r="CA605" s="23">
        <f ca="1">MONTH(TODAY())+37</f>
        <v>41</v>
      </c>
      <c r="CB605" s="14">
        <f t="shared" ca="1" si="243"/>
        <v>0</v>
      </c>
      <c r="CC605" s="14">
        <v>0</v>
      </c>
      <c r="CD605" s="14">
        <f t="shared" si="244"/>
        <v>0</v>
      </c>
      <c r="CE605" s="14">
        <f t="shared" ca="1" si="245"/>
        <v>0</v>
      </c>
      <c r="CF605" s="17">
        <f t="shared" si="246"/>
        <v>0</v>
      </c>
      <c r="CG605" s="23">
        <f ca="1">MONTH(TODAY())+25</f>
        <v>29</v>
      </c>
      <c r="CH605" s="14">
        <f t="shared" ca="1" si="247"/>
        <v>0</v>
      </c>
      <c r="CI605" s="14">
        <f>SUM(EG605*0.0052)-76.27</f>
        <v>9.5300000000000011</v>
      </c>
      <c r="CJ605" s="14">
        <f t="shared" si="248"/>
        <v>0.95300000000000018</v>
      </c>
      <c r="CK605" s="14">
        <f t="shared" ca="1" si="249"/>
        <v>1.485091666666666</v>
      </c>
      <c r="CL605" s="17">
        <f t="shared" si="250"/>
        <v>8.7358333333333302E-2</v>
      </c>
      <c r="CM605" s="23">
        <f ca="1">MONTH(TODAY())+13</f>
        <v>17</v>
      </c>
      <c r="CN605" s="14">
        <f t="shared" ca="1" si="251"/>
        <v>11.968091666666666</v>
      </c>
      <c r="CO605" s="14">
        <f>SUM(EG605*0.0052)/2</f>
        <v>42.9</v>
      </c>
      <c r="CP605" s="14">
        <f t="shared" si="252"/>
        <v>4.29</v>
      </c>
      <c r="CQ605" s="14">
        <f t="shared" ca="1" si="253"/>
        <v>3.5392499999999982</v>
      </c>
      <c r="CR605" s="17">
        <f t="shared" si="254"/>
        <v>0.39324999999999982</v>
      </c>
      <c r="CS605" s="23">
        <f ca="1">MONTH(TODAY())+5</f>
        <v>9</v>
      </c>
      <c r="CT605" s="23">
        <f t="shared" ca="1" si="255"/>
        <v>50.729249999999993</v>
      </c>
      <c r="CU605" s="14">
        <f>SUM(EG605*0.0052)/2</f>
        <v>42.9</v>
      </c>
      <c r="CV605" s="14">
        <f t="shared" si="256"/>
        <v>4.29</v>
      </c>
      <c r="CW605" s="14">
        <f t="shared" ca="1" si="257"/>
        <v>1.9662499999999992</v>
      </c>
      <c r="CX605" s="17">
        <f t="shared" si="258"/>
        <v>0.39324999999999982</v>
      </c>
      <c r="CY605" s="23">
        <f ca="1">MONTH(TODAY())+1</f>
        <v>5</v>
      </c>
      <c r="CZ605" s="23">
        <f t="shared" ca="1" si="259"/>
        <v>49.15625</v>
      </c>
      <c r="DA605" s="14">
        <f>SUM(EJ605*0.0045)/2</f>
        <v>49.499999999999993</v>
      </c>
      <c r="DB605" s="14">
        <v>0</v>
      </c>
      <c r="DC605" s="14">
        <v>0</v>
      </c>
      <c r="DD605" s="17">
        <f t="shared" si="260"/>
        <v>0.41249999999999976</v>
      </c>
      <c r="DE605" s="23">
        <f ca="1">MONTH(TODAY())-5</f>
        <v>-1</v>
      </c>
      <c r="DF605" s="23">
        <f t="shared" si="261"/>
        <v>49.499999999999993</v>
      </c>
      <c r="DG605" s="14">
        <v>0</v>
      </c>
      <c r="DH605" s="14">
        <v>0</v>
      </c>
      <c r="DI605" s="14">
        <v>0</v>
      </c>
      <c r="DJ605" s="17">
        <f t="shared" si="262"/>
        <v>0</v>
      </c>
      <c r="DK605" s="23">
        <f ca="1">MONTH(TODAY())+1</f>
        <v>5</v>
      </c>
      <c r="DL605" s="23">
        <f t="shared" si="263"/>
        <v>0</v>
      </c>
      <c r="DM605" s="14">
        <f>SUM( BQ605, BW605, CC605, CI605, CO605,CU605,DA605,DG605)</f>
        <v>144.82999999999998</v>
      </c>
      <c r="DN605" s="14">
        <f>SUM(BR605,BX605,CD605,CJ605, CP605,CV605,DB605,DH605)</f>
        <v>9.5330000000000013</v>
      </c>
      <c r="DO605" s="14">
        <f ca="1">SUM(BS605,BY605,CE605,CK605, CQ605,CW605,DC605,DI605)</f>
        <v>6.9905916666666634</v>
      </c>
      <c r="DP605" s="25">
        <f ca="1">SUM(DM605:DO605)</f>
        <v>161.35359166666666</v>
      </c>
      <c r="DQ605" s="47">
        <f ca="1">SUM(DP605/EG605)</f>
        <v>9.779005555555555E-3</v>
      </c>
      <c r="DR605" s="14">
        <f>20+200</f>
        <v>220</v>
      </c>
      <c r="DS605" s="32">
        <f>COUNTIF(DX605, "*")+COUNTIF(AO605, "*")+COUNTIF(AJ605, "*")+COUNTIF(AA605, "*")+COUNTIF(EY605, "*")+COUNTIF(FE605, "*")+COUNTIF(FK605, "*")+COUNTIF(FO605, "*")+COUNTIF(FV605, "*")+COUNTIF(AT605, "*")+COUNTIF(GE605, "*")+COUNTIF(GP605, "*")+COUNTIF(HA605, "*")+COUNTIF(HI605, "*")+COUNTIF(HQ605, "*")+COUNTIF(HY605, "*")+COUNTIF(IG605, "*")</f>
        <v>3</v>
      </c>
      <c r="DT605" s="14">
        <f>1.2+DS605*7.45</f>
        <v>23.55</v>
      </c>
      <c r="DU605" s="4">
        <v>150</v>
      </c>
      <c r="DV605" s="4">
        <v>36.76</v>
      </c>
      <c r="DW605" s="4"/>
      <c r="DX605" s="4"/>
      <c r="DZ605" s="4"/>
      <c r="EA605" s="14">
        <f>SUM(DV605:DZ605)</f>
        <v>36.76</v>
      </c>
      <c r="EB605" s="14">
        <f ca="1">SUM(DP605,DR605,EA605, DU605, DT605,GB605)</f>
        <v>591.66359166666666</v>
      </c>
      <c r="EC605" s="24" t="s">
        <v>3879</v>
      </c>
      <c r="ED605" s="130">
        <v>2</v>
      </c>
      <c r="EE605" s="14">
        <v>16500</v>
      </c>
      <c r="EF605" s="14">
        <v>0</v>
      </c>
      <c r="EG605" s="14">
        <v>16500</v>
      </c>
      <c r="EH605" s="14">
        <v>22000</v>
      </c>
      <c r="EI605" s="14">
        <v>0</v>
      </c>
      <c r="EJ605" s="14">
        <f>SUM(EH605+EI605)</f>
        <v>22000</v>
      </c>
      <c r="EK605" t="s">
        <v>4881</v>
      </c>
      <c r="EL605" t="s">
        <v>4882</v>
      </c>
      <c r="EM605" t="s">
        <v>4883</v>
      </c>
      <c r="EW605" t="s">
        <v>4879</v>
      </c>
      <c r="EY605" s="18" t="s">
        <v>4880</v>
      </c>
      <c r="EZ605" s="18"/>
      <c r="FA605" s="18" t="s">
        <v>756</v>
      </c>
      <c r="FB605" s="18" t="s">
        <v>757</v>
      </c>
      <c r="IM605" s="9"/>
      <c r="IX605" s="14">
        <f ca="1">SUM(IN605-EB605-GB605-IV605)</f>
        <v>-591.66359166666666</v>
      </c>
      <c r="IY605" s="9"/>
      <c r="IZ605" s="9"/>
      <c r="JA605" s="9"/>
      <c r="JB605" s="9"/>
      <c r="JC605" s="9"/>
    </row>
    <row r="606" spans="1:263" ht="15" customHeight="1">
      <c r="A606" s="19">
        <v>102023131</v>
      </c>
      <c r="B606" s="18" t="s">
        <v>4360</v>
      </c>
      <c r="D606" s="1"/>
      <c r="E606" s="3"/>
      <c r="G606" s="3"/>
      <c r="J606" s="18" t="s">
        <v>554</v>
      </c>
      <c r="K606" s="18" t="s">
        <v>1050</v>
      </c>
      <c r="L606" s="18" t="s">
        <v>577</v>
      </c>
      <c r="M606" s="18" t="s">
        <v>354</v>
      </c>
      <c r="N606" s="18"/>
      <c r="O606" s="19"/>
      <c r="P606" s="18" t="s">
        <v>1050</v>
      </c>
      <c r="Q606" s="18" t="s">
        <v>4470</v>
      </c>
      <c r="R606" s="18"/>
      <c r="S606" s="18"/>
      <c r="AG606" s="43"/>
      <c r="AJ606" s="18" t="s">
        <v>4471</v>
      </c>
      <c r="AK606" t="s">
        <v>258</v>
      </c>
      <c r="AL606" s="18" t="s">
        <v>344</v>
      </c>
      <c r="AM606" t="s">
        <v>260</v>
      </c>
      <c r="AN606"/>
      <c r="AO606" s="18" t="s">
        <v>4472</v>
      </c>
      <c r="AP606" s="3" t="s">
        <v>258</v>
      </c>
      <c r="AQ606" s="18" t="s">
        <v>344</v>
      </c>
      <c r="AR606" t="s">
        <v>260</v>
      </c>
      <c r="AX606" s="1"/>
      <c r="AY606" s="1"/>
      <c r="AZ606" s="1"/>
      <c r="BA606" s="1"/>
      <c r="BB606" s="1"/>
      <c r="BC606" s="2"/>
      <c r="BD606" s="48">
        <v>45361</v>
      </c>
      <c r="BE606" s="115">
        <v>45315</v>
      </c>
      <c r="BF606" s="2"/>
      <c r="BG606" s="2"/>
      <c r="BH606" s="2"/>
      <c r="BI606" s="2"/>
      <c r="BJ606" s="2"/>
      <c r="BK606" s="2"/>
      <c r="BL606" s="20">
        <f ca="1">SUM(EB606)+220</f>
        <v>1415.1424</v>
      </c>
      <c r="BM606" s="22">
        <f t="shared" ca="1" si="233"/>
        <v>-124.41349965280513</v>
      </c>
      <c r="BN606" s="22">
        <f t="shared" ca="1" si="234"/>
        <v>124.41349965280513</v>
      </c>
      <c r="BO606" s="14">
        <f>SUM(EJ606*0.0052)/12</f>
        <v>18.329999999999998</v>
      </c>
      <c r="BP606" s="22">
        <f t="shared" ca="1" si="235"/>
        <v>142.74349965280513</v>
      </c>
      <c r="BQ606" s="14"/>
      <c r="BR606" s="14">
        <f t="shared" si="236"/>
        <v>0</v>
      </c>
      <c r="BS606" s="14">
        <f t="shared" ca="1" si="237"/>
        <v>0</v>
      </c>
      <c r="BT606" s="17">
        <f t="shared" si="238"/>
        <v>0</v>
      </c>
      <c r="BU606" s="23">
        <f ca="1">MONTH(TODAY())+61</f>
        <v>65</v>
      </c>
      <c r="BV606" s="14">
        <f t="shared" ca="1" si="239"/>
        <v>0</v>
      </c>
      <c r="BW606" s="14"/>
      <c r="BX606" s="14">
        <f t="shared" si="240"/>
        <v>0</v>
      </c>
      <c r="BY606" s="14">
        <f t="shared" ca="1" si="241"/>
        <v>0</v>
      </c>
      <c r="BZ606" s="17">
        <f t="shared" si="242"/>
        <v>0</v>
      </c>
      <c r="CA606" s="23">
        <f ca="1">MONTH(TODAY())+49</f>
        <v>53</v>
      </c>
      <c r="CB606" s="14">
        <f t="shared" ca="1" si="243"/>
        <v>0</v>
      </c>
      <c r="CC606" s="14">
        <v>0</v>
      </c>
      <c r="CD606" s="14">
        <f t="shared" si="244"/>
        <v>0</v>
      </c>
      <c r="CE606" s="14">
        <f t="shared" ca="1" si="245"/>
        <v>0</v>
      </c>
      <c r="CF606" s="17">
        <f t="shared" si="246"/>
        <v>0</v>
      </c>
      <c r="CG606" s="23">
        <f ca="1">MONTH(TODAY())+37</f>
        <v>41</v>
      </c>
      <c r="CH606" s="14">
        <f t="shared" ca="1" si="247"/>
        <v>0</v>
      </c>
      <c r="CI606" s="14">
        <f>SUM(EG606*0.0052)</f>
        <v>183.56</v>
      </c>
      <c r="CJ606" s="14">
        <f t="shared" si="248"/>
        <v>18.356000000000002</v>
      </c>
      <c r="CK606" s="14">
        <f t="shared" ca="1" si="249"/>
        <v>48.796366666666643</v>
      </c>
      <c r="CL606" s="17">
        <f t="shared" si="250"/>
        <v>1.6826333333333325</v>
      </c>
      <c r="CM606" s="23">
        <f ca="1">MONTH(TODAY())+25</f>
        <v>29</v>
      </c>
      <c r="CN606" s="14">
        <f t="shared" ca="1" si="251"/>
        <v>250.71236666666664</v>
      </c>
      <c r="CO606" s="14">
        <f>SUM(EG606*0.0052)/2</f>
        <v>91.78</v>
      </c>
      <c r="CP606" s="14">
        <f t="shared" si="252"/>
        <v>9.1780000000000008</v>
      </c>
      <c r="CQ606" s="14">
        <f t="shared" ca="1" si="253"/>
        <v>17.667649999999991</v>
      </c>
      <c r="CR606" s="17">
        <f t="shared" si="254"/>
        <v>0.84131666666666627</v>
      </c>
      <c r="CS606" s="23">
        <f ca="1">MONTH(TODAY())+17</f>
        <v>21</v>
      </c>
      <c r="CT606" s="23">
        <f t="shared" ca="1" si="255"/>
        <v>118.62564999999999</v>
      </c>
      <c r="CU606" s="14">
        <f>SUM(EG606*0.0052)/2</f>
        <v>91.78</v>
      </c>
      <c r="CV606" s="14">
        <f t="shared" si="256"/>
        <v>9.1780000000000008</v>
      </c>
      <c r="CW606" s="14">
        <f t="shared" ca="1" si="257"/>
        <v>14.302383333333326</v>
      </c>
      <c r="CX606" s="17">
        <f t="shared" si="258"/>
        <v>0.84131666666666627</v>
      </c>
      <c r="CY606" s="23">
        <f ca="1">MONTH(TODAY())+13</f>
        <v>17</v>
      </c>
      <c r="CZ606" s="23">
        <f t="shared" ca="1" si="259"/>
        <v>115.26038333333332</v>
      </c>
      <c r="DA606" s="14">
        <f>SUM(EJ606*0.0045)/2</f>
        <v>95.174999999999997</v>
      </c>
      <c r="DB606" s="14">
        <f>SUM(DA606*0.1)</f>
        <v>9.5175000000000001</v>
      </c>
      <c r="DC606" s="14">
        <f ca="1">SUM(DD606*DE606)</f>
        <v>9.5968124999999951</v>
      </c>
      <c r="DD606" s="17">
        <f t="shared" si="260"/>
        <v>0.87243749999999953</v>
      </c>
      <c r="DE606" s="23">
        <f ca="1">MONTH(TODAY())+7</f>
        <v>11</v>
      </c>
      <c r="DF606" s="23">
        <f t="shared" ca="1" si="261"/>
        <v>114.28931249999999</v>
      </c>
      <c r="DG606" s="14">
        <f>SUM(EJ606*0.0045)/2</f>
        <v>95.174999999999997</v>
      </c>
      <c r="DH606" s="14">
        <f>SUM(DG606*0.1)</f>
        <v>9.5175000000000001</v>
      </c>
      <c r="DI606" s="14">
        <f ca="1">SUM(DJ606*DK606)</f>
        <v>4.3621874999999974</v>
      </c>
      <c r="DJ606" s="17">
        <f t="shared" si="262"/>
        <v>0.87243749999999953</v>
      </c>
      <c r="DK606" s="23">
        <f ca="1">MONTH(TODAY())+1</f>
        <v>5</v>
      </c>
      <c r="DL606" s="14">
        <f t="shared" ca="1" si="263"/>
        <v>109.0546875</v>
      </c>
      <c r="DM606" s="14">
        <f>SUM( BQ606, BW606, CC606, CI606, CO606,CU606,DA606,DG606)</f>
        <v>557.47</v>
      </c>
      <c r="DN606" s="14">
        <f>SUM(BR606,BX606,CD606,CJ606, CP606,CV606,DB606,DH606)</f>
        <v>55.747</v>
      </c>
      <c r="DO606" s="14">
        <f ca="1">SUM(BS606,BY606,CE606,CK606, CQ606,CW606,DC606,DI606)</f>
        <v>94.725399999999951</v>
      </c>
      <c r="DP606" s="25">
        <f ca="1">SUM(DM606:DO606)</f>
        <v>707.94239999999991</v>
      </c>
      <c r="DQ606" s="47">
        <f ca="1">SUM(DP606/EG606)</f>
        <v>2.0055025495750705E-2</v>
      </c>
      <c r="DR606" s="14">
        <f>20+200</f>
        <v>220</v>
      </c>
      <c r="DS606" s="32">
        <f>COUNTIF(DX606, "*")+COUNTIF(AO606, "*")+COUNTIF(AJ606, "*")+COUNTIF(AA606, "*")+COUNTIF(EU606, "*")+COUNTIF(FA606, "*")+COUNTIF(FG606, "*")+COUNTIF(FK606, "*")+COUNTIF(FR606, "*")+COUNTIF(AT606, "*")+COUNTIF(GA606, "*")+COUNTIF(GL606, "*")+COUNTIF(GW606, "*")+COUNTIF(HE606, "*")+COUNTIF(HM606, "*")+COUNTIF(HU606, "*")</f>
        <v>2</v>
      </c>
      <c r="DT606" s="14">
        <f>DS606*0.6+DS606*8</f>
        <v>17.2</v>
      </c>
      <c r="DU606" s="4">
        <v>250</v>
      </c>
      <c r="DV606" s="4"/>
      <c r="DW606" s="4"/>
      <c r="DX606" s="4"/>
      <c r="DZ606" s="4"/>
      <c r="EA606" s="14">
        <f>SUM(DV606:DZ606)</f>
        <v>0</v>
      </c>
      <c r="EB606" s="14">
        <f ca="1">SUM(DP606,DR606,EA606, DU606, DT606,FX606)</f>
        <v>1195.1424</v>
      </c>
      <c r="EC606" s="24" t="s">
        <v>4944</v>
      </c>
      <c r="ED606" s="130">
        <v>5.08</v>
      </c>
      <c r="EE606" s="14">
        <v>27300</v>
      </c>
      <c r="EF606" s="14">
        <v>8000</v>
      </c>
      <c r="EG606" s="14">
        <f>SUM(EE606+EF606)</f>
        <v>35300</v>
      </c>
      <c r="EH606" s="14">
        <v>34300</v>
      </c>
      <c r="EI606" s="14">
        <v>8000</v>
      </c>
      <c r="EJ606" s="14">
        <f>SUM(EH606+EI606)</f>
        <v>42300</v>
      </c>
      <c r="EK606" t="s">
        <v>5040</v>
      </c>
      <c r="EL606" t="s">
        <v>5041</v>
      </c>
      <c r="EM606" t="s">
        <v>5042</v>
      </c>
      <c r="FX606" s="4"/>
      <c r="IA606" s="9"/>
      <c r="IL606" s="14">
        <f ca="1">SUM(IB606-EB606-FX606-IJ606)</f>
        <v>-1195.1424</v>
      </c>
      <c r="IM606" s="14"/>
      <c r="IN606" s="14"/>
      <c r="IO606" s="9"/>
      <c r="IP606" s="9"/>
      <c r="IQ606" s="9"/>
      <c r="IR606" s="9"/>
      <c r="IS606" s="9"/>
    </row>
    <row r="607" spans="1:263" ht="15" customHeight="1">
      <c r="A607" s="18">
        <v>102020002</v>
      </c>
      <c r="B607" s="18" t="s">
        <v>1539</v>
      </c>
      <c r="C607" s="28" t="s">
        <v>3959</v>
      </c>
      <c r="D607" s="159"/>
      <c r="E607" s="150"/>
      <c r="F607" s="160"/>
      <c r="G607" s="150">
        <v>220002070</v>
      </c>
      <c r="H607" s="28"/>
      <c r="I607" s="28"/>
      <c r="J607" s="28" t="s">
        <v>311</v>
      </c>
      <c r="K607" s="28" t="s">
        <v>1050</v>
      </c>
      <c r="L607" s="28" t="s">
        <v>1540</v>
      </c>
      <c r="M607" s="28" t="s">
        <v>354</v>
      </c>
      <c r="N607" s="28"/>
      <c r="O607" s="150"/>
      <c r="P607" s="28"/>
      <c r="Q607" s="28"/>
      <c r="R607" s="28"/>
      <c r="S607" s="28"/>
      <c r="T607" s="28"/>
      <c r="U607" s="28"/>
      <c r="V607" s="28"/>
      <c r="W607" s="28"/>
      <c r="X607" s="28"/>
      <c r="Y607" s="28"/>
      <c r="Z607" s="28"/>
      <c r="AA607" s="28"/>
      <c r="AB607" s="28"/>
      <c r="AC607" s="28"/>
      <c r="AD607" s="28" t="s">
        <v>3620</v>
      </c>
      <c r="AE607" s="28" t="s">
        <v>311</v>
      </c>
      <c r="AF607" s="28" t="s">
        <v>1050</v>
      </c>
      <c r="AG607" s="148" t="s">
        <v>3541</v>
      </c>
      <c r="AH607" s="28" t="s">
        <v>1541</v>
      </c>
      <c r="AI607" s="28" t="s">
        <v>344</v>
      </c>
      <c r="AJ607" s="18" t="s">
        <v>1541</v>
      </c>
      <c r="AK607" s="13" t="s">
        <v>258</v>
      </c>
      <c r="AL607" s="18" t="s">
        <v>344</v>
      </c>
      <c r="AM607" s="18" t="s">
        <v>260</v>
      </c>
      <c r="AN607" s="18"/>
      <c r="AO607" s="18" t="s">
        <v>1778</v>
      </c>
      <c r="AP607" s="13" t="s">
        <v>258</v>
      </c>
      <c r="AQ607" s="18" t="s">
        <v>344</v>
      </c>
      <c r="AR607" s="18" t="s">
        <v>260</v>
      </c>
      <c r="AS607" s="18"/>
      <c r="AT607" s="18"/>
      <c r="AU607" s="18"/>
      <c r="AV607" s="18"/>
      <c r="AW607" s="18"/>
      <c r="AX607" s="13"/>
      <c r="AY607" s="13" t="s">
        <v>258</v>
      </c>
      <c r="AZ607" s="13"/>
      <c r="BA607" s="13"/>
      <c r="BB607" s="13"/>
      <c r="BC607" s="48">
        <v>44630</v>
      </c>
      <c r="BD607" s="115">
        <v>44598</v>
      </c>
      <c r="BE607" s="143">
        <v>44596</v>
      </c>
      <c r="BF607" s="48"/>
      <c r="BG607" s="19"/>
      <c r="BH607" s="48"/>
      <c r="BI607" s="48"/>
      <c r="BJ607" s="48"/>
      <c r="BK607" s="48"/>
      <c r="BL607" s="20">
        <f ca="1">SUM(EH607)+220</f>
        <v>4547.4863125000002</v>
      </c>
      <c r="BM607" s="22">
        <f t="shared" ca="1" si="233"/>
        <v>-399.79629382976219</v>
      </c>
      <c r="BN607" s="22">
        <f t="shared" ca="1" si="234"/>
        <v>399.79629382976219</v>
      </c>
      <c r="BO607" s="14">
        <f>SUM(EP607*0.0052)/12</f>
        <v>79.343333333333334</v>
      </c>
      <c r="BP607" s="22">
        <f t="shared" ca="1" si="235"/>
        <v>479.1396271630955</v>
      </c>
      <c r="BQ607" s="14">
        <v>0</v>
      </c>
      <c r="BR607" s="14">
        <f t="shared" si="236"/>
        <v>0</v>
      </c>
      <c r="BS607" s="14">
        <f t="shared" ca="1" si="237"/>
        <v>0</v>
      </c>
      <c r="BT607" s="17">
        <f t="shared" si="238"/>
        <v>0</v>
      </c>
      <c r="BU607" s="23">
        <f ca="1">MONTH(TODAY())+49</f>
        <v>53</v>
      </c>
      <c r="BV607" s="14">
        <f t="shared" ca="1" si="239"/>
        <v>0</v>
      </c>
      <c r="BW607" s="14">
        <v>0</v>
      </c>
      <c r="BX607" s="14">
        <f t="shared" si="240"/>
        <v>0</v>
      </c>
      <c r="BY607" s="14">
        <f t="shared" ca="1" si="241"/>
        <v>0</v>
      </c>
      <c r="BZ607" s="17">
        <f t="shared" si="242"/>
        <v>0</v>
      </c>
      <c r="CA607" s="23">
        <f ca="1">MONTH(TODAY())+37</f>
        <v>41</v>
      </c>
      <c r="CB607" s="14">
        <f t="shared" ca="1" si="243"/>
        <v>0</v>
      </c>
      <c r="CC607" s="14">
        <v>301.5</v>
      </c>
      <c r="CD607" s="14">
        <f t="shared" si="244"/>
        <v>30.150000000000002</v>
      </c>
      <c r="CE607" s="14">
        <f t="shared" ca="1" si="245"/>
        <v>80.148749999999964</v>
      </c>
      <c r="CF607" s="17">
        <f t="shared" si="246"/>
        <v>2.7637499999999986</v>
      </c>
      <c r="CG607" s="23">
        <f ca="1">MONTH(TODAY())+25</f>
        <v>29</v>
      </c>
      <c r="CH607" s="14">
        <f t="shared" ca="1" si="247"/>
        <v>411.79874999999993</v>
      </c>
      <c r="CI607" s="14">
        <v>42.31</v>
      </c>
      <c r="CJ607" s="14">
        <f t="shared" si="248"/>
        <v>4.2310000000000008</v>
      </c>
      <c r="CK607" s="14">
        <f t="shared" ca="1" si="249"/>
        <v>8.1446749999999977</v>
      </c>
      <c r="CL607" s="17">
        <f t="shared" si="250"/>
        <v>0.38784166666666653</v>
      </c>
      <c r="CM607" s="23">
        <f ca="1">MONTH(TODAY())+17</f>
        <v>21</v>
      </c>
      <c r="CN607" s="23">
        <f t="shared" ca="1" si="251"/>
        <v>54.685675000000003</v>
      </c>
      <c r="CO607" s="14">
        <v>222.12</v>
      </c>
      <c r="CP607" s="14">
        <f t="shared" si="252"/>
        <v>22.212000000000003</v>
      </c>
      <c r="CQ607" s="14">
        <f t="shared" ca="1" si="253"/>
        <v>34.61369999999998</v>
      </c>
      <c r="CR607" s="17">
        <f t="shared" si="254"/>
        <v>2.0360999999999989</v>
      </c>
      <c r="CS607" s="23">
        <f ca="1">MONTH(TODAY())+13</f>
        <v>17</v>
      </c>
      <c r="CT607" s="14">
        <f t="shared" ca="1" si="255"/>
        <v>278.94569999999999</v>
      </c>
      <c r="CU607" s="14">
        <f>SUM(EP607*0.0045)/2</f>
        <v>411.97499999999997</v>
      </c>
      <c r="CV607" s="14">
        <f t="shared" si="256"/>
        <v>41.197499999999998</v>
      </c>
      <c r="CW607" s="14">
        <f t="shared" ca="1" si="257"/>
        <v>41.54081249999998</v>
      </c>
      <c r="CX607" s="17">
        <f t="shared" si="258"/>
        <v>3.7764374999999979</v>
      </c>
      <c r="CY607" s="23">
        <f ca="1">MONTH(TODAY())+7</f>
        <v>11</v>
      </c>
      <c r="CZ607" s="14">
        <f t="shared" ca="1" si="259"/>
        <v>494.71331249999992</v>
      </c>
      <c r="DA607" s="14">
        <f>SUM(EP607*0.0045)/2</f>
        <v>411.97499999999997</v>
      </c>
      <c r="DB607" s="14">
        <f>SUM(DA607*0.1)</f>
        <v>41.197499999999998</v>
      </c>
      <c r="DC607" s="14">
        <f ca="1">SUM(DD607*DE607)</f>
        <v>18.88218749999999</v>
      </c>
      <c r="DD607" s="17">
        <f t="shared" si="260"/>
        <v>3.7764374999999979</v>
      </c>
      <c r="DE607" s="23">
        <f ca="1">MONTH(TODAY())+1</f>
        <v>5</v>
      </c>
      <c r="DF607" s="14">
        <f t="shared" ca="1" si="261"/>
        <v>472.05468749999994</v>
      </c>
      <c r="DG607" s="14">
        <f>SUM(EP607*0.0045)/2</f>
        <v>411.97499999999997</v>
      </c>
      <c r="DH607" s="14">
        <f>SUM(DG607*0.1)</f>
        <v>41.197499999999998</v>
      </c>
      <c r="DI607" s="14">
        <f ca="1">SUM(DJ607*DK607)</f>
        <v>-11.329312499999993</v>
      </c>
      <c r="DJ607" s="17">
        <f t="shared" si="262"/>
        <v>3.7764374999999979</v>
      </c>
      <c r="DK607" s="23">
        <f ca="1">MONTH(TODAY())-7</f>
        <v>-3</v>
      </c>
      <c r="DL607" s="14">
        <f t="shared" ca="1" si="263"/>
        <v>441.84318749999994</v>
      </c>
      <c r="DM607" s="14">
        <f>SUM(EP607*0.0045)/2</f>
        <v>411.97499999999997</v>
      </c>
      <c r="DN607" s="14">
        <f>0</f>
        <v>0</v>
      </c>
      <c r="DO607" s="14">
        <f>SUM(DP607*DQ607)</f>
        <v>0</v>
      </c>
      <c r="DP607" s="17">
        <f>SUM((DM607+DN607)*0.00833333333333333)</f>
        <v>3.4331249999999982</v>
      </c>
      <c r="DQ607" s="23">
        <v>0</v>
      </c>
      <c r="DR607" s="14">
        <f>SUM(DM607,DN607,DO607)</f>
        <v>411.97499999999997</v>
      </c>
      <c r="DS607" s="14">
        <f>SUM(BQ607, BW607, CC607, CI607,CO607,CU607,DA607,DG607,DM607)</f>
        <v>2213.83</v>
      </c>
      <c r="DT607" s="14">
        <f>SUM(BR607,BX607,CD607, CJ607,CP607,CV607,DB607,DH607,DN607)</f>
        <v>180.18549999999999</v>
      </c>
      <c r="DU607" s="14">
        <f ca="1">SUM(BS607,BY607,CE607, CK607,CQ607,CW607,DC607,DI607,DO607)</f>
        <v>172.00081249999991</v>
      </c>
      <c r="DV607" s="25">
        <f ca="1">SUM(DS607:DU607)</f>
        <v>2566.0163124999999</v>
      </c>
      <c r="DW607" s="47">
        <f ca="1">SUM(DV607/EM607)</f>
        <v>1.7944170017482518E-2</v>
      </c>
      <c r="DX607" s="14">
        <f>929+58.5+195+58.5+39+19.5+195+19.5</f>
        <v>1514</v>
      </c>
      <c r="DY607" s="32">
        <f>COUNTIF(AO607, "*")+COUNTIF(AJ607, "*")+COUNTIF(AA607, "*")+COUNTIF(FA607, "*")+COUNTIF(FG607, "*")+COUNTIF(FM607, "*")+COUNTIF(FQ607, "*")+COUNTIF(FX607, "*")+COUNTIF(AT607, "*")+COUNTIF(GG607, "*")+COUNTIF(GR607, "*")+COUNTIF(HC607, "*")+COUNTIF(HK607, "*")+COUNTIF(HS607, "*")+COUNTIF(IA607, "*")</f>
        <v>3</v>
      </c>
      <c r="DZ607" s="14">
        <f>31.89+6.36+(6.66*4)</f>
        <v>64.89</v>
      </c>
      <c r="EA607" s="14">
        <v>32.58</v>
      </c>
      <c r="EB607" s="14">
        <v>150</v>
      </c>
      <c r="EC607" s="14"/>
      <c r="ED607" s="14"/>
      <c r="EE607" s="14"/>
      <c r="EF607" s="14"/>
      <c r="EG607" s="14">
        <f>SUM(EA607:EF607)</f>
        <v>182.57999999999998</v>
      </c>
      <c r="EH607" s="14">
        <f ca="1">SUM(DV607,DX607,EG607,DZ607,GD607)</f>
        <v>4327.4863125000002</v>
      </c>
      <c r="EI607" s="24" t="s">
        <v>2770</v>
      </c>
      <c r="EJ607" s="23">
        <v>5.29</v>
      </c>
      <c r="EK607" s="14">
        <v>28000</v>
      </c>
      <c r="EL607" s="14">
        <v>115000</v>
      </c>
      <c r="EM607" s="14">
        <f>SUM(EK607+EL607)</f>
        <v>143000</v>
      </c>
      <c r="EN607" s="14">
        <v>24100</v>
      </c>
      <c r="EO607" s="14">
        <v>159000</v>
      </c>
      <c r="EP607" s="14">
        <f>SUM(EN607+EO607)</f>
        <v>183100</v>
      </c>
      <c r="EQ607" s="148" t="s">
        <v>1876</v>
      </c>
      <c r="ER607" s="10" t="s">
        <v>2767</v>
      </c>
      <c r="ES607" s="28" t="s">
        <v>2768</v>
      </c>
      <c r="ET607" s="28" t="s">
        <v>1875</v>
      </c>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7"/>
      <c r="FV607" s="28"/>
      <c r="FW607" s="28"/>
      <c r="FX607" s="28"/>
      <c r="FY607" s="28"/>
      <c r="FZ607" s="28"/>
      <c r="GA607" s="28"/>
      <c r="GB607" s="27"/>
      <c r="GC607" s="28"/>
      <c r="GD607" s="28"/>
      <c r="GE607" s="28" t="s">
        <v>1824</v>
      </c>
      <c r="GF607" s="28" t="s">
        <v>1825</v>
      </c>
      <c r="GG607" s="28" t="s">
        <v>1764</v>
      </c>
      <c r="GH607" s="28"/>
      <c r="GI607" s="28" t="s">
        <v>1826</v>
      </c>
      <c r="GJ607" s="28" t="s">
        <v>544</v>
      </c>
      <c r="GK607" s="27">
        <v>43815</v>
      </c>
      <c r="GL607" s="28" t="s">
        <v>1827</v>
      </c>
      <c r="GM607" s="28"/>
      <c r="GN607" s="28"/>
      <c r="GO607" s="28"/>
      <c r="GP607" s="28"/>
      <c r="GQ607" s="28"/>
      <c r="GR607" s="28"/>
      <c r="GS607" s="28"/>
      <c r="GT607" s="28"/>
      <c r="GU607" s="28"/>
      <c r="GV607" s="27"/>
      <c r="GW607" s="28"/>
      <c r="GX607" s="28"/>
      <c r="GY607" s="28"/>
      <c r="GZ607" s="28"/>
      <c r="HA607" s="28"/>
      <c r="HB607" s="28"/>
      <c r="HC607" s="28"/>
      <c r="HD607" s="28"/>
      <c r="HE607" s="28"/>
      <c r="HF607" s="28"/>
      <c r="HG607" s="27"/>
      <c r="HH607" s="28"/>
      <c r="HI607" s="28"/>
      <c r="HJ607" s="28"/>
      <c r="HK607" s="28"/>
      <c r="HL607" s="28"/>
      <c r="HM607" s="28"/>
      <c r="HN607" s="28"/>
      <c r="HO607" s="27"/>
      <c r="HP607" s="28"/>
      <c r="HQ607" s="28"/>
      <c r="HR607" s="28"/>
      <c r="HS607" s="28"/>
      <c r="HT607" s="28"/>
      <c r="HU607" s="28"/>
      <c r="HV607" s="28"/>
      <c r="HW607" s="27"/>
      <c r="HX607" s="28"/>
      <c r="HY607" s="28"/>
      <c r="HZ607" s="28"/>
      <c r="IA607" s="28"/>
      <c r="IB607" s="28"/>
      <c r="IC607" s="28"/>
      <c r="ID607" s="28"/>
      <c r="IE607" s="27"/>
      <c r="IF607" s="14"/>
      <c r="IG607" s="14"/>
      <c r="IH607" s="10"/>
      <c r="II607" s="10"/>
      <c r="IJ607" s="10"/>
      <c r="IK607" s="10"/>
      <c r="IL607" s="4"/>
      <c r="IM607" s="4"/>
      <c r="IN607" s="14">
        <f ca="1">SUM(IF607-EH607-GD607-IL607)</f>
        <v>-4327.4863125000002</v>
      </c>
      <c r="IO607" s="14"/>
      <c r="IP607" s="14"/>
      <c r="IQ607" s="9"/>
      <c r="IR607" s="9"/>
      <c r="IS607" s="9"/>
      <c r="IT607" s="9"/>
      <c r="IU607" s="9"/>
      <c r="IV607" t="s">
        <v>5913</v>
      </c>
    </row>
    <row r="608" spans="1:263" ht="15" customHeight="1">
      <c r="A608" s="19">
        <v>102021019</v>
      </c>
      <c r="B608" s="18" t="s">
        <v>2028</v>
      </c>
      <c r="C608" s="18"/>
      <c r="D608" s="13"/>
      <c r="E608" s="18"/>
      <c r="F608" s="18"/>
      <c r="G608" s="18">
        <v>210001612</v>
      </c>
      <c r="H608" s="18"/>
      <c r="I608" s="18"/>
      <c r="J608" s="18" t="s">
        <v>311</v>
      </c>
      <c r="K608" s="18" t="s">
        <v>2029</v>
      </c>
      <c r="L608" s="18" t="s">
        <v>2030</v>
      </c>
      <c r="M608" s="18"/>
      <c r="N608" s="18"/>
      <c r="O608" s="18"/>
      <c r="P608" s="18"/>
      <c r="Q608" s="18"/>
      <c r="R608" s="18"/>
      <c r="S608" s="18"/>
      <c r="T608" s="18"/>
      <c r="U608" s="18"/>
      <c r="V608" s="18"/>
      <c r="W608" s="18"/>
      <c r="X608" s="18"/>
      <c r="Y608" s="18"/>
      <c r="AE608" s="18"/>
      <c r="AF608" s="18"/>
      <c r="AG608" s="24"/>
      <c r="AH608" s="18"/>
      <c r="AI608" s="18"/>
      <c r="AJ608" s="18"/>
      <c r="AK608" s="18"/>
      <c r="AL608" s="18"/>
      <c r="AM608" s="24"/>
      <c r="AN608" s="24"/>
      <c r="AO608" s="14" t="s">
        <v>2147</v>
      </c>
      <c r="AP608" s="13" t="s">
        <v>258</v>
      </c>
      <c r="AQ608" s="24" t="s">
        <v>349</v>
      </c>
      <c r="AR608" s="18" t="s">
        <v>260</v>
      </c>
      <c r="AS608" s="18"/>
      <c r="AT608" s="13"/>
      <c r="AU608" s="13"/>
      <c r="AV608" s="13"/>
      <c r="AW608" s="13"/>
      <c r="AX608" s="19"/>
      <c r="AY608" s="48"/>
      <c r="AZ608" s="48"/>
      <c r="BA608" s="19"/>
      <c r="BB608" s="19"/>
      <c r="BC608" s="19"/>
      <c r="BD608" s="19"/>
      <c r="BE608" s="19"/>
      <c r="BF608" s="19"/>
      <c r="BG608" s="20"/>
      <c r="BH608" s="22"/>
      <c r="BI608" s="22"/>
      <c r="BJ608" s="14"/>
      <c r="BK608" s="22"/>
      <c r="BL608" s="14"/>
      <c r="BM608" s="14"/>
      <c r="BN608" s="14"/>
      <c r="BO608" s="17"/>
      <c r="BP608" s="23"/>
      <c r="BQ608" s="14"/>
      <c r="BR608" s="14"/>
      <c r="BS608" s="14"/>
      <c r="BT608" s="14"/>
      <c r="BU608" s="17"/>
      <c r="BV608" s="23"/>
      <c r="BW608" s="14"/>
      <c r="BX608" s="14"/>
      <c r="BY608" s="14"/>
      <c r="BZ608" s="14"/>
      <c r="CA608" s="17"/>
      <c r="CB608" s="23"/>
      <c r="CC608" s="14"/>
      <c r="CD608" s="14"/>
      <c r="CE608" s="14"/>
      <c r="CF608" s="14"/>
      <c r="CG608" s="17"/>
      <c r="CH608" s="23"/>
      <c r="CI608" s="14"/>
      <c r="CJ608" s="14"/>
      <c r="CK608" s="14"/>
      <c r="CL608" s="14"/>
      <c r="CM608" s="17"/>
      <c r="CN608" s="23"/>
      <c r="CO608" s="14"/>
      <c r="CP608" s="14"/>
      <c r="CQ608" s="14"/>
      <c r="CR608" s="14"/>
      <c r="CS608" s="14"/>
      <c r="CT608" s="47"/>
      <c r="CU608" s="14"/>
      <c r="CV608" s="32"/>
      <c r="CW608" s="14"/>
      <c r="CX608" s="14"/>
      <c r="CY608" s="14"/>
      <c r="CZ608" s="14"/>
      <c r="DA608" s="14"/>
      <c r="DB608" s="14"/>
      <c r="DC608" s="23"/>
      <c r="DD608" s="25"/>
      <c r="DE608" s="14"/>
      <c r="DF608" s="24"/>
      <c r="DG608" s="25"/>
      <c r="DH608" s="25"/>
      <c r="DI608" s="25"/>
      <c r="DJ608" s="36">
        <v>10.31</v>
      </c>
      <c r="DK608" s="18" t="s">
        <v>2347</v>
      </c>
      <c r="DL608" s="18" t="s">
        <v>2348</v>
      </c>
      <c r="DM608" s="18" t="s">
        <v>2349</v>
      </c>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4"/>
      <c r="ID608" s="18"/>
      <c r="IE608" s="18"/>
      <c r="IF608" s="18"/>
      <c r="IG608" s="18"/>
      <c r="IH608" s="18"/>
      <c r="IL608" s="18"/>
      <c r="IM608" s="18"/>
      <c r="IN608" s="18"/>
      <c r="IO608" s="18"/>
      <c r="IP608" s="243"/>
      <c r="IQ608" s="243"/>
      <c r="IR608" s="243"/>
      <c r="IS608" s="243"/>
      <c r="IT608" s="243"/>
      <c r="IU608" s="243"/>
      <c r="IV608" s="243"/>
      <c r="IW608" s="243"/>
      <c r="IX608" s="243"/>
      <c r="IY608" s="243"/>
    </row>
    <row r="609" spans="1:263" ht="15" customHeight="1">
      <c r="A609">
        <v>102024079</v>
      </c>
      <c r="B609" t="s">
        <v>5372</v>
      </c>
      <c r="C609" s="10"/>
      <c r="D609" s="161"/>
      <c r="E609" s="147" t="s">
        <v>5898</v>
      </c>
      <c r="F609" s="160">
        <v>240003255</v>
      </c>
      <c r="G609" s="147"/>
      <c r="H609" s="10"/>
      <c r="I609" s="10"/>
      <c r="J609" s="10" t="s">
        <v>253</v>
      </c>
      <c r="K609" s="28" t="s">
        <v>399</v>
      </c>
      <c r="L609" s="28" t="s">
        <v>5373</v>
      </c>
      <c r="M609" s="10" t="s">
        <v>5374</v>
      </c>
      <c r="N609" s="10"/>
      <c r="O609" s="147"/>
      <c r="P609" s="10"/>
      <c r="Q609" s="10"/>
      <c r="R609" s="10"/>
      <c r="S609" s="10"/>
      <c r="T609" s="10"/>
      <c r="U609" s="10"/>
      <c r="V609" s="10"/>
      <c r="W609" s="10"/>
      <c r="X609" s="10"/>
      <c r="Y609" s="10"/>
      <c r="Z609" s="10"/>
      <c r="AA609" s="10"/>
      <c r="AB609" s="10"/>
      <c r="AC609" s="10"/>
      <c r="AD609" s="10" t="s">
        <v>5929</v>
      </c>
      <c r="AE609" s="10" t="s">
        <v>796</v>
      </c>
      <c r="AF609" s="10" t="s">
        <v>5928</v>
      </c>
      <c r="AG609" s="141" t="s">
        <v>5930</v>
      </c>
      <c r="AH609" s="10" t="s">
        <v>5927</v>
      </c>
      <c r="AI609" s="10"/>
      <c r="AJ609" s="18" t="s">
        <v>328</v>
      </c>
      <c r="AK609" s="1"/>
      <c r="AL609" s="18" t="s">
        <v>349</v>
      </c>
      <c r="AM609"/>
      <c r="AN609"/>
      <c r="AO609" t="s">
        <v>5375</v>
      </c>
      <c r="AP609" s="1" t="s">
        <v>258</v>
      </c>
      <c r="AQ609" t="s">
        <v>3845</v>
      </c>
      <c r="AR609" t="s">
        <v>301</v>
      </c>
      <c r="AW609" s="1"/>
      <c r="AY609" s="1"/>
      <c r="AZ609" s="1" t="s">
        <v>258</v>
      </c>
      <c r="BA609" s="1" t="s">
        <v>258</v>
      </c>
      <c r="BB609" s="1" t="s">
        <v>258</v>
      </c>
      <c r="BC609" s="70">
        <v>45481</v>
      </c>
      <c r="BD609" s="115">
        <v>45415</v>
      </c>
      <c r="BE609" s="9">
        <v>45447</v>
      </c>
      <c r="BF609" s="70">
        <v>45576</v>
      </c>
      <c r="BG609" s="2" t="s">
        <v>5916</v>
      </c>
      <c r="BH609" s="70">
        <v>45562</v>
      </c>
      <c r="BI609" s="70">
        <v>45569</v>
      </c>
      <c r="BJ609" s="70">
        <v>45545</v>
      </c>
      <c r="BK609" s="70" t="s">
        <v>5895</v>
      </c>
      <c r="BL609" s="20">
        <f ca="1">SUM(EH609)+220</f>
        <v>3616.7345333333337</v>
      </c>
      <c r="BM609" s="22">
        <f ca="1">PMT(10%/12,12,BL609,0,0)</f>
        <v>-317.96842537341473</v>
      </c>
      <c r="BN609" s="22">
        <f ca="1">SUM(BM609*-1)</f>
        <v>317.96842537341473</v>
      </c>
      <c r="BO609" s="14">
        <f>SUM(EP609*0.0052)/12</f>
        <v>5.2</v>
      </c>
      <c r="BP609" s="22">
        <f ca="1">SUM(BN609+BO609)</f>
        <v>323.16842537341472</v>
      </c>
      <c r="BQ609" s="14"/>
      <c r="BR609" s="14">
        <f>SUM(BQ609*0.1)</f>
        <v>0</v>
      </c>
      <c r="BS609" s="14">
        <f ca="1">SUM(BT609*BU609)</f>
        <v>0</v>
      </c>
      <c r="BT609" s="17">
        <f>SUM((BQ609+BR609)*0.00833333333333333)</f>
        <v>0</v>
      </c>
      <c r="BU609" s="23">
        <f ca="1">MONTH(TODAY())+49</f>
        <v>53</v>
      </c>
      <c r="BV609" s="14">
        <f ca="1">SUM(BQ609,BR609,BS609)</f>
        <v>0</v>
      </c>
      <c r="BW609" s="14">
        <v>0</v>
      </c>
      <c r="BX609" s="14">
        <f>SUM(BW609*0.1)</f>
        <v>0</v>
      </c>
      <c r="BY609" s="14">
        <f ca="1">SUM(BZ609*CA609)</f>
        <v>0</v>
      </c>
      <c r="BZ609" s="17">
        <f>SUM((BW609+BX609)*0.00833333333333333)</f>
        <v>0</v>
      </c>
      <c r="CA609" s="23">
        <f ca="1">MONTH(TODAY())+37</f>
        <v>41</v>
      </c>
      <c r="CB609" s="14">
        <f ca="1">SUM(BW609,BX609,BY609)</f>
        <v>0</v>
      </c>
      <c r="CC609" s="14">
        <v>0</v>
      </c>
      <c r="CD609" s="14">
        <f>SUM(CC609*0.1)</f>
        <v>0</v>
      </c>
      <c r="CE609" s="14">
        <f ca="1">SUM(CF609*CG609)</f>
        <v>0</v>
      </c>
      <c r="CF609" s="17">
        <f>SUM((CC609+CD609)*0.00833333333333333)</f>
        <v>0</v>
      </c>
      <c r="CG609" s="262">
        <f ca="1">MONTH(TODAY())+25</f>
        <v>29</v>
      </c>
      <c r="CH609" s="14">
        <f ca="1">SUM(CC609,CD609,CE609)</f>
        <v>0</v>
      </c>
      <c r="CI609" s="14">
        <v>0</v>
      </c>
      <c r="CJ609" s="14">
        <f>SUM(CI609*0.1)</f>
        <v>0</v>
      </c>
      <c r="CK609" s="14">
        <f>SUM(CL609*CM609)</f>
        <v>0</v>
      </c>
      <c r="CL609" s="17">
        <f>SUM((CI609+CJ609)*0.00833333333333333)</f>
        <v>0</v>
      </c>
      <c r="CM609" s="262">
        <v>26</v>
      </c>
      <c r="CN609" s="23">
        <f>SUM(CI609,CJ609,CK609)</f>
        <v>0</v>
      </c>
      <c r="CO609" s="14">
        <f>SUM(EM609*0.0052)/2</f>
        <v>29.119999999999997</v>
      </c>
      <c r="CP609" s="14">
        <f>SUM(CO609*0.1)</f>
        <v>2.9119999999999999</v>
      </c>
      <c r="CQ609" s="14">
        <f>SUM(CR609*CS609)</f>
        <v>5.8725333333333305</v>
      </c>
      <c r="CR609" s="17">
        <f>SUM((CO609+CP609)*0.00833333333333333)</f>
        <v>0.26693333333333319</v>
      </c>
      <c r="CS609" s="262">
        <v>22</v>
      </c>
      <c r="CT609" s="14">
        <f>SUM(CO609,CP609,CQ609)</f>
        <v>37.904533333333326</v>
      </c>
      <c r="CU609" s="14">
        <f>SUM(EP609*0.0045)/2</f>
        <v>26.999999999999996</v>
      </c>
      <c r="CV609" s="14">
        <f>SUM(CU609*0.1)</f>
        <v>2.6999999999999997</v>
      </c>
      <c r="CW609" s="14">
        <f>SUM(CX609*CY609)</f>
        <v>3.9599999999999977</v>
      </c>
      <c r="CX609" s="17">
        <f>SUM((CU609+CV609)*0.00833333333333333)</f>
        <v>0.24749999999999986</v>
      </c>
      <c r="CY609" s="262">
        <v>16</v>
      </c>
      <c r="CZ609" s="14">
        <f>SUM(CU609,CV609,CW609)</f>
        <v>33.659999999999997</v>
      </c>
      <c r="DA609" s="14">
        <f>SUM(EP609*0.0045)/2</f>
        <v>26.999999999999996</v>
      </c>
      <c r="DB609" s="14">
        <f>SUM(DA609*0.1)</f>
        <v>2.6999999999999997</v>
      </c>
      <c r="DC609" s="14">
        <f>SUM(DD609*DE609)</f>
        <v>2.4749999999999988</v>
      </c>
      <c r="DD609" s="17">
        <f>SUM((DA609+DB609)*0.00833333333333333)</f>
        <v>0.24749999999999986</v>
      </c>
      <c r="DE609" s="262">
        <v>10</v>
      </c>
      <c r="DF609" s="14">
        <f>SUM(DA609,DB609,DC609)</f>
        <v>32.174999999999997</v>
      </c>
      <c r="DG609" s="14">
        <f>SUM(EP609*0.0045)/2</f>
        <v>26.999999999999996</v>
      </c>
      <c r="DH609" s="14">
        <f>SUM(DG609*0.1)</f>
        <v>2.6999999999999997</v>
      </c>
      <c r="DI609" s="14">
        <f>SUM(DJ609*DK609)</f>
        <v>0.49499999999999972</v>
      </c>
      <c r="DJ609" s="17">
        <f>SUM((DG609+DH609)*0.00833333333333333)</f>
        <v>0.24749999999999986</v>
      </c>
      <c r="DK609" s="262">
        <v>2</v>
      </c>
      <c r="DL609" s="14">
        <f>SUM(DG609,DH609,DI609)</f>
        <v>30.194999999999997</v>
      </c>
      <c r="DM609" s="14">
        <f>SUM(EP609*0.0045)/2</f>
        <v>26.999999999999996</v>
      </c>
      <c r="DN609" s="14">
        <f>0</f>
        <v>0</v>
      </c>
      <c r="DO609" s="14">
        <v>0</v>
      </c>
      <c r="DP609" s="17">
        <f>SUM((DM609+DN609)*0.00833333333333333)</f>
        <v>0.22499999999999987</v>
      </c>
      <c r="DQ609" s="23">
        <f ca="1">MONTH(TODAY())+1</f>
        <v>5</v>
      </c>
      <c r="DR609" s="14">
        <f>SUM(DM609,DN609,DO609)</f>
        <v>26.999999999999996</v>
      </c>
      <c r="DS609" s="14">
        <f>SUM(BQ609, BW609, CC609, CI609,CO609,CU609,DA609,DG609,DM609)</f>
        <v>137.11999999999998</v>
      </c>
      <c r="DT609" s="14">
        <f>SUM(BR609,BX609,CD609, CJ609,CP609,CV609,DB609,DH609,DN609)</f>
        <v>11.011999999999999</v>
      </c>
      <c r="DU609" s="14">
        <f ca="1">SUM(BS609,BY609,CE609, CK609,CQ609,CW609,DC609,DI609,DO609)</f>
        <v>12.802533333333328</v>
      </c>
      <c r="DV609" s="25">
        <f ca="1">SUM(DS609:DU609)</f>
        <v>160.93453333333329</v>
      </c>
      <c r="DW609" s="47">
        <f ca="1">SUM(DV609/EN609)</f>
        <v>1.3411211111111107E-2</v>
      </c>
      <c r="DX609" s="14">
        <f>20+10+200+200+40+40+100+100+40+40+40</f>
        <v>830</v>
      </c>
      <c r="DY609" s="32">
        <f>COUNTIF(AO609, "*")+COUNTIF(AJ609, "*")+COUNTIF(AA609, "*")+COUNTIF(FA609, "*")+COUNTIF(FG609, "*")+COUNTIF(FM609, "*")+COUNTIF(FQ609, "*")+COUNTIF(FX609, "*")+COUNTIF(AS609, "*")+COUNTIF(GG609, "*")+COUNTIF(GR609, "*")+COUNTIF(HC609, "*")+COUNTIF(HK609, "*")+COUNTIF(HS609, "*")+COUNTIF(IA609, "*")</f>
        <v>2</v>
      </c>
      <c r="DZ609" s="14">
        <f>1.28+DY609*8</f>
        <v>17.28</v>
      </c>
      <c r="EA609" s="4">
        <f>26.67+926.6</f>
        <v>953.27</v>
      </c>
      <c r="EB609" s="25">
        <v>262</v>
      </c>
      <c r="EC609" s="4">
        <f>93.75+177.5</f>
        <v>271.25</v>
      </c>
      <c r="ED609" s="4">
        <v>210</v>
      </c>
      <c r="EE609" s="4"/>
      <c r="EF609" s="4">
        <v>430</v>
      </c>
      <c r="EG609" s="14">
        <f>SUM(EA609:EF609)</f>
        <v>2126.52</v>
      </c>
      <c r="EH609" s="14">
        <f ca="1">SUM(DV609,DX609,EG609, EB609, DZ609,GD609)</f>
        <v>3396.7345333333337</v>
      </c>
      <c r="EI609" s="24" t="s">
        <v>5914</v>
      </c>
      <c r="EJ609" s="23">
        <v>5</v>
      </c>
      <c r="EK609" s="14">
        <v>11200</v>
      </c>
      <c r="EL609" s="14">
        <v>0</v>
      </c>
      <c r="EM609" s="14">
        <f>SUM(EK609+EL609)</f>
        <v>11200</v>
      </c>
      <c r="EN609" s="14">
        <v>12000</v>
      </c>
      <c r="EO609" s="14">
        <v>0</v>
      </c>
      <c r="EP609" s="14">
        <f>SUM(EN609+EO609)</f>
        <v>12000</v>
      </c>
      <c r="EQ609" s="10" t="s">
        <v>5845</v>
      </c>
      <c r="ER609" s="10" t="s">
        <v>5846</v>
      </c>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9"/>
      <c r="FV609" s="10"/>
      <c r="FW609" s="10"/>
      <c r="FX609" s="10"/>
      <c r="FY609" s="10"/>
      <c r="FZ609" s="10"/>
      <c r="GA609" s="10"/>
      <c r="GB609" s="9"/>
      <c r="GC609" s="10"/>
      <c r="GD609" s="10"/>
      <c r="GE609" s="10"/>
      <c r="GF609" s="10"/>
      <c r="GG609" s="10"/>
      <c r="GH609" s="10"/>
      <c r="GI609" s="10"/>
      <c r="GJ609" s="10"/>
      <c r="GK609" s="9"/>
      <c r="GL609" s="10"/>
      <c r="GM609" s="10"/>
      <c r="GN609" s="10"/>
      <c r="GO609" s="10"/>
      <c r="GP609" s="10"/>
      <c r="GQ609" s="10"/>
      <c r="GR609" s="10"/>
      <c r="GS609" s="10"/>
      <c r="GT609" s="10"/>
      <c r="GU609" s="10"/>
      <c r="GV609" s="9"/>
      <c r="GW609" s="10"/>
      <c r="GX609" s="10"/>
      <c r="GY609" s="10"/>
      <c r="GZ609" s="10"/>
      <c r="HA609" s="10"/>
      <c r="HB609" s="10"/>
      <c r="HC609" s="10"/>
      <c r="HD609" s="10"/>
      <c r="HE609" s="10"/>
      <c r="HF609" s="10"/>
      <c r="HG609" s="9"/>
      <c r="HH609" s="10"/>
      <c r="HI609" s="10"/>
      <c r="HJ609" s="10"/>
      <c r="HK609" s="10"/>
      <c r="HL609" s="10"/>
      <c r="HM609" s="10"/>
      <c r="HN609" s="10"/>
      <c r="HO609" s="9"/>
      <c r="HP609" s="10"/>
      <c r="HQ609" s="10"/>
      <c r="HR609" s="10"/>
      <c r="HS609" s="10"/>
      <c r="HT609" s="10"/>
      <c r="HU609" s="10"/>
      <c r="HV609" s="10"/>
      <c r="HW609" s="9"/>
      <c r="HX609" s="10"/>
      <c r="HY609" s="10"/>
      <c r="HZ609" s="10"/>
      <c r="IA609" s="10"/>
      <c r="IB609" s="10"/>
      <c r="IC609" s="10"/>
      <c r="ID609" s="10"/>
      <c r="IE609" s="9"/>
      <c r="IF609" s="4"/>
      <c r="IG609" s="4"/>
      <c r="IH609" s="10"/>
      <c r="II609" s="10"/>
      <c r="IJ609" s="10"/>
      <c r="IK609" s="10"/>
      <c r="IL609" s="4"/>
      <c r="IM609" s="4"/>
      <c r="IN609" s="4"/>
      <c r="IO609" s="4"/>
      <c r="IP609" s="4"/>
      <c r="IQ609" s="9"/>
      <c r="IR609" s="9"/>
      <c r="IS609" s="9"/>
      <c r="IT609" s="9"/>
      <c r="IU609" s="9"/>
      <c r="IV609" s="27" t="s">
        <v>5913</v>
      </c>
    </row>
    <row r="610" spans="1:263" ht="15" customHeight="1">
      <c r="A610" s="19">
        <v>102023111</v>
      </c>
      <c r="B610" s="18" t="s">
        <v>4366</v>
      </c>
      <c r="D610" s="1"/>
      <c r="E610" t="s">
        <v>4942</v>
      </c>
      <c r="F610">
        <v>230003229</v>
      </c>
      <c r="G610" s="3">
        <v>230003518</v>
      </c>
      <c r="J610" s="18" t="s">
        <v>554</v>
      </c>
      <c r="K610" s="18" t="s">
        <v>4431</v>
      </c>
      <c r="L610" s="18" t="s">
        <v>468</v>
      </c>
      <c r="M610" s="18" t="s">
        <v>354</v>
      </c>
      <c r="N610" s="18"/>
      <c r="O610" s="19"/>
      <c r="P610" s="18" t="s">
        <v>4431</v>
      </c>
      <c r="Q610" s="18" t="s">
        <v>4432</v>
      </c>
      <c r="R610" s="18" t="s">
        <v>469</v>
      </c>
      <c r="S610" s="18"/>
      <c r="AD610" t="s">
        <v>4946</v>
      </c>
      <c r="AE610" t="s">
        <v>253</v>
      </c>
      <c r="AF610" t="s">
        <v>4431</v>
      </c>
      <c r="AG610" s="43" t="s">
        <v>4947</v>
      </c>
      <c r="AH610" s="18" t="s">
        <v>4433</v>
      </c>
      <c r="AI610" s="18" t="s">
        <v>4434</v>
      </c>
      <c r="AJ610" s="18" t="s">
        <v>328</v>
      </c>
      <c r="AL610" s="18" t="s">
        <v>344</v>
      </c>
      <c r="AM610"/>
      <c r="AN610"/>
      <c r="AO610" s="18" t="s">
        <v>4433</v>
      </c>
      <c r="AP610" s="3" t="s">
        <v>258</v>
      </c>
      <c r="AQ610" s="18" t="s">
        <v>4434</v>
      </c>
      <c r="AR610" s="18" t="s">
        <v>301</v>
      </c>
      <c r="AX610" s="1"/>
      <c r="AY610" s="1" t="s">
        <v>258</v>
      </c>
      <c r="AZ610" s="1"/>
      <c r="BA610" s="1"/>
      <c r="BB610" s="1"/>
      <c r="BC610" s="70">
        <v>45097</v>
      </c>
      <c r="BD610" s="115">
        <v>45060</v>
      </c>
      <c r="BE610" s="115">
        <v>45056</v>
      </c>
      <c r="BF610" s="2"/>
      <c r="BG610" s="2"/>
      <c r="BH610" s="2"/>
      <c r="BI610" s="2"/>
      <c r="BJ610" s="2"/>
      <c r="BK610" s="2"/>
      <c r="BL610" s="20">
        <f ca="1">SUM(EB610)+220</f>
        <v>1756.9872166666669</v>
      </c>
      <c r="BM610" s="22">
        <f ca="1">PMT(10%/12,12,BL610,0,0)</f>
        <v>-154.46709000503512</v>
      </c>
      <c r="BN610" s="22">
        <f ca="1">SUM(BM610*-1)</f>
        <v>154.46709000503512</v>
      </c>
      <c r="BO610" s="14">
        <f>SUM(EJ610*0.0052)/12</f>
        <v>15.816666666666665</v>
      </c>
      <c r="BP610" s="22">
        <f ca="1">SUM(BN610+BO610)</f>
        <v>170.28375667170178</v>
      </c>
      <c r="BQ610" s="14"/>
      <c r="BR610" s="14">
        <f>SUM(BQ610*0.1)</f>
        <v>0</v>
      </c>
      <c r="BS610" s="14">
        <f ca="1">SUM(BT610*BU610)</f>
        <v>0</v>
      </c>
      <c r="BT610" s="17">
        <f>SUM((BQ610+BR610)*0.00833333333333333)</f>
        <v>0</v>
      </c>
      <c r="BU610" s="23">
        <f ca="1">MONTH(TODAY())+61</f>
        <v>65</v>
      </c>
      <c r="BV610" s="14">
        <f ca="1">SUM(BQ610,BR610,BS610)</f>
        <v>0</v>
      </c>
      <c r="BW610" s="14"/>
      <c r="BX610" s="14">
        <f>SUM(BW610*0.1)</f>
        <v>0</v>
      </c>
      <c r="BY610" s="14">
        <f ca="1">SUM(BZ610*CA610)</f>
        <v>0</v>
      </c>
      <c r="BZ610" s="17">
        <f>SUM((BW610+BX610)*0.00833333333333333)</f>
        <v>0</v>
      </c>
      <c r="CA610" s="23">
        <f ca="1">MONTH(TODAY())+49</f>
        <v>53</v>
      </c>
      <c r="CB610" s="14">
        <f ca="1">SUM(BW610,BX610,BY610)</f>
        <v>0</v>
      </c>
      <c r="CC610" s="14">
        <v>0</v>
      </c>
      <c r="CD610" s="14">
        <f>SUM(CC610*0.1)</f>
        <v>0</v>
      </c>
      <c r="CE610" s="14">
        <f ca="1">SUM(CF610*CG610)</f>
        <v>0</v>
      </c>
      <c r="CF610" s="17">
        <f>SUM((CC610+CD610)*0.00833333333333333)</f>
        <v>0</v>
      </c>
      <c r="CG610" s="23">
        <f ca="1">MONTH(TODAY())+37</f>
        <v>41</v>
      </c>
      <c r="CH610" s="14">
        <f ca="1">SUM(CC610,CD610,CE610)</f>
        <v>0</v>
      </c>
      <c r="CI610" s="14">
        <v>59.28</v>
      </c>
      <c r="CJ610" s="14">
        <f>SUM(CI610*0.1)</f>
        <v>5.9280000000000008</v>
      </c>
      <c r="CK610" s="14">
        <f ca="1">SUM(CL610*CM610)</f>
        <v>15.758599999999994</v>
      </c>
      <c r="CL610" s="17">
        <f>SUM((CI610+CJ610)*0.00833333333333333)</f>
        <v>0.54339999999999977</v>
      </c>
      <c r="CM610" s="23">
        <f ca="1">MONTH(TODAY())+25</f>
        <v>29</v>
      </c>
      <c r="CN610" s="14">
        <f ca="1">SUM(CI610,CJ610,CK610)</f>
        <v>80.9666</v>
      </c>
      <c r="CO610" s="14">
        <f>SUM(EG610*0.0052)/2</f>
        <v>78.78</v>
      </c>
      <c r="CP610" s="14">
        <f>SUM(CO610*0.1)</f>
        <v>7.8780000000000001</v>
      </c>
      <c r="CQ610" s="14">
        <f ca="1">SUM(CR610*CS610)</f>
        <v>15.165149999999995</v>
      </c>
      <c r="CR610" s="17">
        <f>SUM((CO610+CP610)*0.00833333333333333)</f>
        <v>0.72214999999999974</v>
      </c>
      <c r="CS610" s="23">
        <f ca="1">MONTH(TODAY())+17</f>
        <v>21</v>
      </c>
      <c r="CT610" s="23">
        <f ca="1">SUM(CO610,CP610,CQ610)</f>
        <v>101.82315</v>
      </c>
      <c r="CU610" s="14">
        <f>SUM(EG610*0.0052)/2</f>
        <v>78.78</v>
      </c>
      <c r="CV610" s="14">
        <f>SUM(CU610*0.1)</f>
        <v>7.8780000000000001</v>
      </c>
      <c r="CW610" s="14">
        <f ca="1">SUM(CX610*CY610)</f>
        <v>12.276549999999995</v>
      </c>
      <c r="CX610" s="17">
        <f>SUM((CU610+CV610)*0.00833333333333333)</f>
        <v>0.72214999999999974</v>
      </c>
      <c r="CY610" s="23">
        <f ca="1">MONTH(TODAY())+13</f>
        <v>17</v>
      </c>
      <c r="CZ610" s="23">
        <f ca="1">SUM(CU610,CV610,CW610)</f>
        <v>98.934550000000002</v>
      </c>
      <c r="DA610" s="14">
        <f>SUM(EJ610*0.0045)/2</f>
        <v>82.125</v>
      </c>
      <c r="DB610" s="14">
        <f>SUM(DA610*0.1)</f>
        <v>8.2125000000000004</v>
      </c>
      <c r="DC610" s="14">
        <f ca="1">SUM(DD610*DE610)</f>
        <v>8.2809374999999967</v>
      </c>
      <c r="DD610" s="17">
        <f>SUM((DA610+DB610)*0.00833333333333333)</f>
        <v>0.75281249999999977</v>
      </c>
      <c r="DE610" s="23">
        <f ca="1">MONTH(TODAY())+7</f>
        <v>11</v>
      </c>
      <c r="DF610" s="23">
        <f ca="1">SUM(DA610,DB610,DC610)</f>
        <v>98.618437499999999</v>
      </c>
      <c r="DG610" s="14">
        <f>SUM(EJ610*0.0045)/2-15.82</f>
        <v>66.305000000000007</v>
      </c>
      <c r="DH610" s="14">
        <f>SUM(DG610*0.1)</f>
        <v>6.6305000000000014</v>
      </c>
      <c r="DI610" s="14">
        <f ca="1">SUM(DJ610*DK610)</f>
        <v>3.0389791666666657</v>
      </c>
      <c r="DJ610" s="17">
        <f>SUM((DG610+DH610)*0.00833333333333333)</f>
        <v>0.60779583333333309</v>
      </c>
      <c r="DK610" s="23">
        <f ca="1">MONTH(TODAY())+1</f>
        <v>5</v>
      </c>
      <c r="DL610" s="14">
        <f ca="1">SUM(DG610,DH610,DI610)</f>
        <v>75.974479166666669</v>
      </c>
      <c r="DM610" s="14">
        <f>SUM( BQ610, BW610, CC610, CI610, CO610,CU610,DA610,DG610)</f>
        <v>365.27000000000004</v>
      </c>
      <c r="DN610" s="14">
        <f>SUM(BR610,BX610,CD610,CJ610, CP610,CV610,DB610,DH610)</f>
        <v>36.527000000000001</v>
      </c>
      <c r="DO610" s="14">
        <f ca="1">SUM(BS610,BY610,CE610,CK610, CQ610,CW610,DC610,DI610)</f>
        <v>54.520216666666641</v>
      </c>
      <c r="DP610" s="25">
        <f ca="1">SUM(DM610:DO610)</f>
        <v>456.3172166666667</v>
      </c>
      <c r="DQ610" s="47">
        <f ca="1">SUM(DP610/EG610)</f>
        <v>1.5059974147414742E-2</v>
      </c>
      <c r="DR610" s="14">
        <f>20+200+200+20+40+60+160+60+60</f>
        <v>820</v>
      </c>
      <c r="DS610" s="32">
        <f>COUNTIF(DX610, "*")+COUNTIF(AO610, "*")+COUNTIF(AJ610, "*")+COUNTIF(AA610, "*")+COUNTIF(EU610, "*")+COUNTIF(FA610, "*")+COUNTIF(FG610, "*")+COUNTIF(FK610, "*")+COUNTIF(FR610, "*")+COUNTIF(AT610, "*")+COUNTIF(GA610, "*")+COUNTIF(GL610, "*")+COUNTIF(GW610, "*")+COUNTIF(HE610, "*")+COUNTIF(HM610, "*")+COUNTIF(HU610, "*")</f>
        <v>2</v>
      </c>
      <c r="DT610" s="14">
        <f>1.2+DS610*7.45+7.81</f>
        <v>23.91</v>
      </c>
      <c r="DU610" s="4">
        <v>200</v>
      </c>
      <c r="DV610" s="4">
        <v>36.76</v>
      </c>
      <c r="DW610" s="4"/>
      <c r="DX610" s="4"/>
      <c r="DZ610" s="4"/>
      <c r="EA610" s="14">
        <f>SUM(DV610:DZ610)</f>
        <v>36.76</v>
      </c>
      <c r="EB610" s="14">
        <f ca="1">SUM(DP610,DR610,EA610, DU610, DT610,FX610)</f>
        <v>1536.9872166666669</v>
      </c>
      <c r="EC610" s="24" t="s">
        <v>3879</v>
      </c>
      <c r="ED610" s="130">
        <v>7.17</v>
      </c>
      <c r="EE610" s="14">
        <v>30300</v>
      </c>
      <c r="EF610" s="14">
        <v>0</v>
      </c>
      <c r="EG610" s="14">
        <v>30300</v>
      </c>
      <c r="EH610" s="14">
        <v>36500</v>
      </c>
      <c r="EI610" s="14">
        <v>0</v>
      </c>
      <c r="EJ610" s="14">
        <f>SUM(EH610+EI610)</f>
        <v>36500</v>
      </c>
      <c r="EK610" t="s">
        <v>4836</v>
      </c>
      <c r="EL610" t="s">
        <v>4837</v>
      </c>
      <c r="EM610" t="s">
        <v>4838</v>
      </c>
      <c r="FX610" s="4"/>
      <c r="IA610" s="9"/>
      <c r="IL610" s="14">
        <f ca="1">SUM(IB610-EB610-FX610-IJ610)</f>
        <v>-1536.9872166666669</v>
      </c>
      <c r="IM610" s="14"/>
      <c r="IN610" s="14"/>
      <c r="IO610" s="9"/>
      <c r="IP610" s="9"/>
      <c r="IQ610" s="9"/>
      <c r="IR610" s="9"/>
      <c r="IS610" s="9"/>
    </row>
    <row r="611" spans="1:263" ht="15" customHeight="1">
      <c r="A611" s="2">
        <v>102020057</v>
      </c>
      <c r="B611" t="s">
        <v>1690</v>
      </c>
      <c r="J611" t="s">
        <v>311</v>
      </c>
      <c r="K611" t="s">
        <v>993</v>
      </c>
      <c r="L611" t="s">
        <v>396</v>
      </c>
      <c r="M611" t="s">
        <v>1691</v>
      </c>
      <c r="T611" s="1"/>
      <c r="AG611" s="248"/>
      <c r="AJ611" s="4"/>
      <c r="AK611" s="4"/>
      <c r="AP611" s="5"/>
      <c r="AS611" s="5"/>
      <c r="AT611" s="5"/>
      <c r="AU611" s="1"/>
      <c r="AV611" s="1"/>
      <c r="AW611" s="1"/>
      <c r="AX611" s="1"/>
      <c r="AY611" s="1"/>
      <c r="AZ611" s="1"/>
      <c r="BA611" s="1"/>
      <c r="BB611" s="1"/>
      <c r="BC611" s="1"/>
      <c r="BD611" s="1"/>
      <c r="BE611" s="1"/>
      <c r="BF611" s="1"/>
      <c r="BG611" s="5"/>
      <c r="BH611" s="16"/>
      <c r="BI611" s="16"/>
      <c r="BJ611" s="4"/>
      <c r="BK611" s="4"/>
      <c r="BL611" s="4"/>
      <c r="BM611" s="6"/>
      <c r="BN611" s="7"/>
      <c r="BO611" s="4"/>
      <c r="BP611" s="4"/>
      <c r="BQ611" s="4"/>
      <c r="BR611" s="4"/>
      <c r="BS611" s="6"/>
      <c r="BT611" s="7"/>
      <c r="BU611" s="4"/>
      <c r="BV611" s="4"/>
      <c r="BW611" s="4"/>
      <c r="BX611" s="4"/>
      <c r="BY611" s="6"/>
      <c r="BZ611" s="7"/>
      <c r="CA611" s="4"/>
      <c r="CB611" s="4"/>
      <c r="CC611" s="4"/>
      <c r="CD611" s="4"/>
      <c r="CE611" s="6"/>
      <c r="CF611" s="7"/>
      <c r="CG611" s="4"/>
      <c r="CH611" s="4"/>
      <c r="CI611" s="4"/>
      <c r="CJ611" s="4"/>
      <c r="CK611" s="6"/>
      <c r="CL611" s="7"/>
      <c r="CM611" s="4"/>
      <c r="CN611" s="4"/>
      <c r="CO611" s="4"/>
      <c r="CP611" s="4"/>
      <c r="CQ611" s="6"/>
      <c r="CR611" s="7"/>
      <c r="CS611" s="4"/>
      <c r="CT611" s="4"/>
      <c r="CU611" s="4"/>
      <c r="CV611" s="4"/>
      <c r="CW611" s="6"/>
      <c r="CX611" s="7"/>
      <c r="CY611" s="4"/>
      <c r="CZ611" s="4"/>
      <c r="DA611" s="4"/>
      <c r="DB611" s="4"/>
      <c r="DC611" s="4"/>
      <c r="DD611" s="3"/>
      <c r="DE611" s="4"/>
      <c r="DF611" s="234"/>
      <c r="DG611" s="4"/>
      <c r="DH611" s="4"/>
      <c r="DI611" s="4"/>
      <c r="DJ611" s="4"/>
      <c r="DK611" s="4"/>
      <c r="DL611" s="4"/>
      <c r="DM611" s="7"/>
      <c r="DN611" s="8"/>
      <c r="DO611" s="4"/>
      <c r="DP611" s="8"/>
      <c r="DQ611" s="8"/>
      <c r="DR611" s="8"/>
      <c r="DS611" s="35"/>
      <c r="EB611" s="11"/>
      <c r="EH611" s="11"/>
      <c r="EI611" s="11"/>
      <c r="EJ611" s="4"/>
      <c r="EK611" s="4"/>
      <c r="EL611" s="4"/>
      <c r="EM611" s="4"/>
      <c r="EN611" s="4"/>
      <c r="EO611" s="4"/>
      <c r="EP611" s="4"/>
      <c r="EQ611" s="4"/>
      <c r="ER611" s="4"/>
      <c r="ES611" s="4"/>
      <c r="ET611" s="4"/>
      <c r="EU611" s="4"/>
      <c r="EV611" s="4"/>
      <c r="EW611" s="4"/>
      <c r="EX611" s="4"/>
      <c r="FB611" s="9"/>
      <c r="FK611" s="9"/>
      <c r="FQ611" s="4"/>
      <c r="FV611" s="10"/>
      <c r="GF611" s="10"/>
      <c r="GU611" s="9"/>
      <c r="IC611" s="4"/>
      <c r="ID611" s="4"/>
      <c r="IE611" s="9"/>
      <c r="IL611" s="18"/>
      <c r="IM611" s="18"/>
      <c r="IN611" s="18"/>
      <c r="IO611" s="18"/>
      <c r="IX611" s="18"/>
      <c r="IY611" s="18"/>
    </row>
    <row r="612" spans="1:263" ht="15" customHeight="1">
      <c r="A612" s="19">
        <v>102021013</v>
      </c>
      <c r="B612" s="18" t="s">
        <v>2013</v>
      </c>
      <c r="C612" s="18"/>
      <c r="D612" s="18"/>
      <c r="E612" s="18" t="s">
        <v>2522</v>
      </c>
      <c r="F612" s="18">
        <v>210004664</v>
      </c>
      <c r="G612" s="18"/>
      <c r="H612" s="18"/>
      <c r="I612" s="18"/>
      <c r="J612" s="18" t="s">
        <v>311</v>
      </c>
      <c r="K612" s="18" t="s">
        <v>1142</v>
      </c>
      <c r="L612" s="18" t="s">
        <v>574</v>
      </c>
      <c r="M612" s="18"/>
      <c r="N612" s="18"/>
      <c r="O612" s="18"/>
      <c r="P612" s="18"/>
      <c r="Q612" s="18"/>
      <c r="R612" s="18"/>
      <c r="S612" s="18"/>
      <c r="T612" s="18"/>
      <c r="U612" s="18"/>
      <c r="V612" s="18"/>
      <c r="W612" s="18"/>
      <c r="X612" s="18"/>
      <c r="Y612" s="18"/>
      <c r="Z612" s="18"/>
      <c r="AA612" s="18"/>
      <c r="AB612" s="18"/>
      <c r="AC612" s="18"/>
      <c r="AD612" s="18"/>
      <c r="AE612" s="18"/>
      <c r="AF612" s="18"/>
      <c r="AG612" s="231"/>
      <c r="AH612" s="18"/>
      <c r="AI612" s="18"/>
      <c r="AJ612" s="18"/>
      <c r="AK612" s="18"/>
      <c r="AL612" s="18"/>
      <c r="AM612" s="24"/>
      <c r="AN612" s="24" t="s">
        <v>2143</v>
      </c>
      <c r="AO612" s="18" t="s">
        <v>2142</v>
      </c>
      <c r="AP612" s="13" t="s">
        <v>258</v>
      </c>
      <c r="AQ612" s="24" t="s">
        <v>344</v>
      </c>
      <c r="AR612" s="24" t="s">
        <v>260</v>
      </c>
      <c r="AS612" s="13"/>
      <c r="AT612" s="13"/>
      <c r="AU612" s="13"/>
      <c r="AV612" s="13"/>
      <c r="AW612" s="13"/>
      <c r="AX612" s="48"/>
      <c r="AY612" s="48"/>
      <c r="AZ612" s="48"/>
      <c r="BA612" s="48"/>
      <c r="BB612" s="19"/>
      <c r="BC612" s="48"/>
      <c r="BD612" s="48"/>
      <c r="BE612" s="48"/>
      <c r="BF612" s="19"/>
      <c r="BG612" s="20"/>
      <c r="BH612" s="22"/>
      <c r="BI612" s="22"/>
      <c r="BJ612" s="14"/>
      <c r="BK612" s="22"/>
      <c r="BL612" s="14"/>
      <c r="BM612" s="14"/>
      <c r="BN612" s="14"/>
      <c r="BO612" s="17"/>
      <c r="BP612" s="23"/>
      <c r="BQ612" s="14"/>
      <c r="BR612" s="14"/>
      <c r="BS612" s="14"/>
      <c r="BT612" s="14"/>
      <c r="BU612" s="17"/>
      <c r="BV612" s="23"/>
      <c r="BW612" s="14"/>
      <c r="BX612" s="14"/>
      <c r="BY612" s="14"/>
      <c r="BZ612" s="14"/>
      <c r="CA612" s="17"/>
      <c r="CB612" s="23"/>
      <c r="CC612" s="14"/>
      <c r="CD612" s="14"/>
      <c r="CE612" s="14"/>
      <c r="CF612" s="14"/>
      <c r="CG612" s="17"/>
      <c r="CH612" s="23"/>
      <c r="CI612" s="14"/>
      <c r="CJ612" s="14"/>
      <c r="CK612" s="14"/>
      <c r="CL612" s="14"/>
      <c r="CM612" s="17"/>
      <c r="CN612" s="23"/>
      <c r="CO612" s="14"/>
      <c r="CP612" s="14"/>
      <c r="CQ612" s="14"/>
      <c r="CR612" s="14"/>
      <c r="CS612" s="17"/>
      <c r="CT612" s="23"/>
      <c r="CU612" s="14"/>
      <c r="CV612" s="14"/>
      <c r="CW612" s="14"/>
      <c r="CX612" s="14"/>
      <c r="CY612" s="14"/>
      <c r="CZ612" s="14"/>
      <c r="DA612" s="14"/>
      <c r="DB612" s="14"/>
      <c r="DC612" s="14"/>
      <c r="DD612" s="14"/>
      <c r="DE612" s="14"/>
      <c r="DF612" s="47"/>
      <c r="DG612" s="14"/>
      <c r="DH612" s="32"/>
      <c r="DI612" s="14"/>
      <c r="DJ612" s="14">
        <v>100</v>
      </c>
      <c r="DK612" s="14">
        <f>SUM(DE612,DG612,DQ612, DJ612, DI612,FS612)</f>
        <v>1288.28</v>
      </c>
      <c r="DL612" s="14">
        <f>370+24.53</f>
        <v>394.53</v>
      </c>
      <c r="DM612" s="14">
        <f>93.75+122.5</f>
        <v>216.25</v>
      </c>
      <c r="DN612" s="14">
        <v>67.5</v>
      </c>
      <c r="DO612" s="23"/>
      <c r="DP612" s="25">
        <v>510</v>
      </c>
      <c r="DQ612" s="14">
        <f>SUM(DL612:DP612)</f>
        <v>1188.28</v>
      </c>
      <c r="DR612" s="24" t="s">
        <v>1997</v>
      </c>
      <c r="DS612" s="25">
        <v>3800</v>
      </c>
      <c r="DT612" s="25">
        <v>14100</v>
      </c>
      <c r="DU612" s="25">
        <f>SUM(DS612+DT612)</f>
        <v>17900</v>
      </c>
      <c r="DV612" s="36">
        <v>16</v>
      </c>
      <c r="DW612" s="18" t="s">
        <v>2500</v>
      </c>
      <c r="DX612" s="18" t="s">
        <v>2501</v>
      </c>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240"/>
      <c r="IQ612" s="240"/>
      <c r="IR612" s="240"/>
      <c r="IS612" s="240"/>
      <c r="IT612" s="240"/>
      <c r="IU612" s="240"/>
      <c r="IV612" s="240"/>
      <c r="IW612" s="240"/>
      <c r="IX612" s="240"/>
      <c r="IY612" s="240"/>
    </row>
    <row r="613" spans="1:263" ht="15" customHeight="1">
      <c r="A613" s="19">
        <v>102021014</v>
      </c>
      <c r="B613" s="18" t="s">
        <v>2014</v>
      </c>
      <c r="C613" s="18"/>
      <c r="D613" s="18"/>
      <c r="E613" s="18" t="s">
        <v>2523</v>
      </c>
      <c r="F613" s="18">
        <v>210004662</v>
      </c>
      <c r="G613" s="18"/>
      <c r="H613" s="18"/>
      <c r="I613" s="18"/>
      <c r="J613" s="18" t="s">
        <v>434</v>
      </c>
      <c r="K613" s="18" t="s">
        <v>1142</v>
      </c>
      <c r="L613" s="18" t="s">
        <v>574</v>
      </c>
      <c r="M613" s="18"/>
      <c r="N613" s="18"/>
      <c r="O613" s="18"/>
      <c r="P613" s="18" t="s">
        <v>1142</v>
      </c>
      <c r="Q613" s="18" t="s">
        <v>2015</v>
      </c>
      <c r="R613" s="18"/>
      <c r="S613" s="18"/>
      <c r="T613" s="18"/>
      <c r="U613" s="18"/>
      <c r="V613" s="18"/>
      <c r="W613" s="18"/>
      <c r="X613" s="18"/>
      <c r="Y613" s="18"/>
      <c r="Z613" s="18"/>
      <c r="AA613" s="18"/>
      <c r="AB613" s="18"/>
      <c r="AC613" s="18"/>
      <c r="AD613" s="18"/>
      <c r="AE613" s="18"/>
      <c r="AF613" s="18"/>
      <c r="AG613" s="231"/>
      <c r="AH613" s="18"/>
      <c r="AI613" s="18"/>
      <c r="AJ613" s="18" t="s">
        <v>328</v>
      </c>
      <c r="AK613" s="18"/>
      <c r="AL613" s="24" t="s">
        <v>344</v>
      </c>
      <c r="AM613" s="24"/>
      <c r="AN613" s="24" t="s">
        <v>2143</v>
      </c>
      <c r="AO613" s="18" t="s">
        <v>2142</v>
      </c>
      <c r="AP613" s="13" t="s">
        <v>258</v>
      </c>
      <c r="AQ613" s="24" t="s">
        <v>344</v>
      </c>
      <c r="AR613" s="24"/>
      <c r="AS613" s="13"/>
      <c r="AT613" s="13"/>
      <c r="AU613" s="13"/>
      <c r="AV613" s="13"/>
      <c r="AW613" s="13"/>
      <c r="AX613" s="48"/>
      <c r="AY613" s="48"/>
      <c r="AZ613" s="48"/>
      <c r="BA613" s="48"/>
      <c r="BB613" s="19"/>
      <c r="BC613" s="48"/>
      <c r="BD613" s="48"/>
      <c r="BE613" s="48"/>
      <c r="BF613" s="19"/>
      <c r="BG613" s="20"/>
      <c r="BH613" s="22"/>
      <c r="BI613" s="22"/>
      <c r="BJ613" s="14"/>
      <c r="BK613" s="22"/>
      <c r="BL613" s="14"/>
      <c r="BM613" s="14"/>
      <c r="BN613" s="14"/>
      <c r="BO613" s="17"/>
      <c r="BP613" s="23"/>
      <c r="BQ613" s="14"/>
      <c r="BR613" s="14"/>
      <c r="BS613" s="14"/>
      <c r="BT613" s="14"/>
      <c r="BU613" s="17"/>
      <c r="BV613" s="23"/>
      <c r="BW613" s="14"/>
      <c r="BX613" s="14"/>
      <c r="BY613" s="14"/>
      <c r="BZ613" s="14"/>
      <c r="CA613" s="17"/>
      <c r="CB613" s="23"/>
      <c r="CC613" s="14"/>
      <c r="CD613" s="14"/>
      <c r="CE613" s="14"/>
      <c r="CF613" s="14"/>
      <c r="CG613" s="17"/>
      <c r="CH613" s="23"/>
      <c r="CI613" s="14"/>
      <c r="CJ613" s="14"/>
      <c r="CK613" s="14"/>
      <c r="CL613" s="14"/>
      <c r="CM613" s="17"/>
      <c r="CN613" s="23"/>
      <c r="CO613" s="14"/>
      <c r="CP613" s="14"/>
      <c r="CQ613" s="14"/>
      <c r="CR613" s="14"/>
      <c r="CS613" s="17"/>
      <c r="CT613" s="23"/>
      <c r="CU613" s="14"/>
      <c r="CV613" s="14"/>
      <c r="CW613" s="14"/>
      <c r="CX613" s="14"/>
      <c r="CY613" s="14"/>
      <c r="CZ613" s="14"/>
      <c r="DA613" s="14"/>
      <c r="DB613" s="14"/>
      <c r="DC613" s="14"/>
      <c r="DD613" s="14"/>
      <c r="DE613" s="14"/>
      <c r="DF613" s="47"/>
      <c r="DG613" s="14"/>
      <c r="DH613" s="32"/>
      <c r="DI613" s="14"/>
      <c r="DJ613" s="14">
        <v>100</v>
      </c>
      <c r="DK613" s="14">
        <f>SUM(DE613,DG613,DQ613, DJ613, DI613,FS613)</f>
        <v>1294.78</v>
      </c>
      <c r="DL613" s="14">
        <f>368+24.53</f>
        <v>392.53</v>
      </c>
      <c r="DM613" s="14">
        <f>93.75+122.5</f>
        <v>216.25</v>
      </c>
      <c r="DN613" s="14">
        <v>76</v>
      </c>
      <c r="DO613" s="23"/>
      <c r="DP613" s="25">
        <v>510</v>
      </c>
      <c r="DQ613" s="14">
        <f>SUM(DL613:DP613)</f>
        <v>1194.78</v>
      </c>
      <c r="DR613" s="24" t="s">
        <v>1997</v>
      </c>
      <c r="DS613" s="25">
        <v>38200</v>
      </c>
      <c r="DT613" s="25">
        <v>0</v>
      </c>
      <c r="DU613" s="25">
        <f>SUM(DS613+DT613)</f>
        <v>38200</v>
      </c>
      <c r="DV613" s="36">
        <v>10</v>
      </c>
      <c r="DW613" s="18" t="s">
        <v>2363</v>
      </c>
      <c r="DX613" s="18" t="s">
        <v>2502</v>
      </c>
      <c r="DY613" s="18" t="s">
        <v>2503</v>
      </c>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row>
    <row r="614" spans="1:263" ht="15" customHeight="1">
      <c r="A614" s="19">
        <v>102022177</v>
      </c>
      <c r="B614" t="s">
        <v>2902</v>
      </c>
      <c r="D614" s="1"/>
      <c r="E614" s="3" t="s">
        <v>3884</v>
      </c>
      <c r="F614" s="3">
        <v>220003478</v>
      </c>
      <c r="J614" t="s">
        <v>311</v>
      </c>
      <c r="K614" t="s">
        <v>2081</v>
      </c>
      <c r="L614" t="s">
        <v>896</v>
      </c>
      <c r="M614" t="s">
        <v>326</v>
      </c>
      <c r="AG614" s="43"/>
      <c r="AJ614" s="18" t="s">
        <v>328</v>
      </c>
      <c r="AL614" s="18" t="s">
        <v>344</v>
      </c>
      <c r="AM614"/>
      <c r="AN614"/>
      <c r="AO614" s="3" t="s">
        <v>3226</v>
      </c>
      <c r="AP614" s="3" t="s">
        <v>258</v>
      </c>
      <c r="AQ614" s="18" t="s">
        <v>344</v>
      </c>
      <c r="AR614" t="s">
        <v>260</v>
      </c>
      <c r="AS614" s="1"/>
      <c r="AT614" s="1" t="s">
        <v>258</v>
      </c>
      <c r="AU614" s="1"/>
      <c r="AV614" s="1"/>
      <c r="AW614" s="1"/>
      <c r="AX614" s="70">
        <v>44686</v>
      </c>
      <c r="AY614" s="115">
        <v>44654</v>
      </c>
      <c r="AZ614" s="115">
        <v>44643</v>
      </c>
      <c r="BA614" s="2"/>
      <c r="BB614" s="2"/>
      <c r="BC614" s="2"/>
      <c r="BD614" s="2"/>
      <c r="BE614" s="48">
        <v>44799</v>
      </c>
      <c r="BF614" s="19" t="s">
        <v>319</v>
      </c>
      <c r="BG614" s="20">
        <f ca="1">SUM(DK614)+214.5</f>
        <v>2419.079780952381</v>
      </c>
      <c r="BH614" s="22">
        <f ca="1">PMT(10%/12,12,BG614,0,0)</f>
        <v>-212.67554522260585</v>
      </c>
      <c r="BI614" s="22">
        <f ca="1">SUM(BH614*-1)</f>
        <v>212.67554522260585</v>
      </c>
      <c r="BJ614" s="14">
        <f>SUM(DU614*0.0052)/12</f>
        <v>16.206666666666667</v>
      </c>
      <c r="BK614" s="22">
        <f ca="1">SUM(BI614+BJ614)</f>
        <v>228.88221188927253</v>
      </c>
      <c r="BL614" s="14"/>
      <c r="BM614" s="14">
        <f>SUM(BL614*0.1)</f>
        <v>0</v>
      </c>
      <c r="BN614" s="14">
        <f ca="1">SUM(BO614*BP614)</f>
        <v>0</v>
      </c>
      <c r="BO614" s="17">
        <f>SUM((BL614+BM614)*0.00833333333333333)</f>
        <v>0</v>
      </c>
      <c r="BP614" s="23">
        <f ca="1">MONTH(TODAY())+49</f>
        <v>53</v>
      </c>
      <c r="BQ614" s="14">
        <f ca="1">SUM(BL614,BM614,BN614)</f>
        <v>0</v>
      </c>
      <c r="BR614" s="14"/>
      <c r="BS614" s="14">
        <f>SUM(BR614*0.1)</f>
        <v>0</v>
      </c>
      <c r="BT614" s="14">
        <f ca="1">SUM(BU614*BV614)</f>
        <v>0</v>
      </c>
      <c r="BU614" s="17">
        <f>SUM((BR614+BS614)*0.00833333333333333)</f>
        <v>0</v>
      </c>
      <c r="BV614" s="23">
        <f ca="1">MONTH(TODAY())+37</f>
        <v>41</v>
      </c>
      <c r="BW614" s="14">
        <f ca="1">SUM(BR614,BS614,BT614)</f>
        <v>0</v>
      </c>
      <c r="BX614" s="14"/>
      <c r="BY614" s="14">
        <f>SUM(BX614*0.1)</f>
        <v>0</v>
      </c>
      <c r="BZ614" s="14">
        <f ca="1">SUM(CA614*CB614)</f>
        <v>0</v>
      </c>
      <c r="CA614" s="17">
        <f>SUM((BX614+BY614)*0.00833333333333333)</f>
        <v>0</v>
      </c>
      <c r="CB614" s="23">
        <f ca="1">MONTH(TODAY())+25</f>
        <v>29</v>
      </c>
      <c r="CC614" s="14">
        <f ca="1">SUM(BX614,BY614,BZ614)</f>
        <v>0</v>
      </c>
      <c r="CD614" s="14">
        <f>SUM(DU614*0.0052)</f>
        <v>194.48</v>
      </c>
      <c r="CE614" s="14">
        <f>SUM(CD614*0.1)</f>
        <v>19.448</v>
      </c>
      <c r="CF614" s="14">
        <f ca="1">SUM(CG614*CH614)</f>
        <v>30.306466666666655</v>
      </c>
      <c r="CG614" s="17">
        <f>SUM((CD614+CE614)*0.00833333333333333)</f>
        <v>1.7827333333333326</v>
      </c>
      <c r="CH614" s="23">
        <f ca="1">MONTH(TODAY())+13</f>
        <v>17</v>
      </c>
      <c r="CI614" s="14">
        <f ca="1">SUM(CD614,CE614,CF614)</f>
        <v>244.23446666666666</v>
      </c>
      <c r="CJ614" s="14">
        <f>SUM(DU614*0.0052)</f>
        <v>194.48</v>
      </c>
      <c r="CK614" s="14">
        <f>SUM(CJ614*0.1)</f>
        <v>19.448</v>
      </c>
      <c r="CL614" s="14">
        <f ca="1">SUM(CM614*CN614)</f>
        <v>8.9136666666666624</v>
      </c>
      <c r="CM614" s="17">
        <f>SUM((CJ614+CK614)*0.00833333333333333)</f>
        <v>1.7827333333333326</v>
      </c>
      <c r="CN614" s="23">
        <f ca="1">MONTH(TODAY())+1</f>
        <v>5</v>
      </c>
      <c r="CO614" s="14">
        <f ca="1">SUM(CJ614,CK614,CL614)</f>
        <v>222.84166666666667</v>
      </c>
      <c r="CP614" s="14">
        <f>SUM(DU614*0.0052)/2</f>
        <v>97.24</v>
      </c>
      <c r="CQ614" s="14">
        <f>SUM(CP614*0.1)</f>
        <v>9.7240000000000002</v>
      </c>
      <c r="CR614" s="14">
        <f ca="1">SUM(CS614*CT614)</f>
        <v>-1.7827333333333326</v>
      </c>
      <c r="CS614" s="17">
        <f>SUM((CP614+CQ614)*0.00833333333333333)</f>
        <v>0.89136666666666631</v>
      </c>
      <c r="CT614" s="23">
        <f ca="1">MONTH(TODAY())-6</f>
        <v>-2</v>
      </c>
      <c r="CU614" s="23">
        <f ca="1">SUM(CP614,CQ614,CR614)</f>
        <v>105.18126666666667</v>
      </c>
      <c r="CV614" s="14">
        <f>SUM(DU614*0.0052)/2</f>
        <v>97.24</v>
      </c>
      <c r="CW614" s="14">
        <v>0</v>
      </c>
      <c r="CX614" s="14">
        <v>0</v>
      </c>
      <c r="CY614" s="17">
        <f>SUM((CV614+CW614)*0.00833333333333333)</f>
        <v>0.81033333333333291</v>
      </c>
      <c r="CZ614" s="23">
        <f ca="1">MONTH(TODAY())-6</f>
        <v>-2</v>
      </c>
      <c r="DA614" s="23">
        <f>SUM(CV614,CW614,CX614)</f>
        <v>97.24</v>
      </c>
      <c r="DB614" s="14">
        <f>SUM(BL614, BR614, BX614, CD614, CJ614, CP614,CV614)</f>
        <v>583.43999999999994</v>
      </c>
      <c r="DC614" s="14">
        <f t="shared" ref="DC614:DD616" si="264">SUM(BM614, BS614,BY614,CE614,CK614, CQ614,CW614)</f>
        <v>48.620000000000005</v>
      </c>
      <c r="DD614" s="14">
        <f t="shared" ca="1" si="264"/>
        <v>37.437399999999982</v>
      </c>
      <c r="DE614" s="14">
        <f ca="1">SUM(DB614:DD614)</f>
        <v>669.49739999999997</v>
      </c>
      <c r="DF614" s="47">
        <f ca="1">SUM(DE614/DU614)</f>
        <v>1.7901E-2</v>
      </c>
      <c r="DG614" s="14">
        <f>19.5+19.5+19.5+195+19.5+195+39+39</f>
        <v>546</v>
      </c>
      <c r="DH614" s="32">
        <f>COUNTIF(DN614, "*")+COUNTIF(AO614, "*")+COUNTIF(AJ614, "*")+COUNTIF(AA614, "*")+COUNTIF(EK614, "*")+COUNTIF(EQ614, "*")+COUNTIF(EW614, "*")+COUNTIF(FA614, "*")+COUNTIF(FH614, "*")+COUNTIF(FO614, "*")+COUNTIF(FV614, "*")+COUNTIF(GG614, "*")+COUNTIF(GR614, "*")+COUNTIF(GZ614, "*")+COUNTIF(HH614, "*")+COUNTIF(HP614, "*")+COUNTIF(HX614, "*")</f>
        <v>2</v>
      </c>
      <c r="DI614" s="14">
        <f>DH614*0.53+DH614*6.66+2.74</f>
        <v>17.12</v>
      </c>
      <c r="DJ614" s="4">
        <v>250</v>
      </c>
      <c r="DK614" s="14">
        <f ca="1">SUM(DE614,DG614,DQ614, DJ614, DI614,FS614)</f>
        <v>2204.579780952381</v>
      </c>
      <c r="DL614" s="14">
        <v>27.362380952380899</v>
      </c>
      <c r="DM614" s="4"/>
      <c r="DN614" s="4">
        <v>70</v>
      </c>
      <c r="DO614" s="14">
        <f>SUM(DU614*0.004)</f>
        <v>149.6</v>
      </c>
      <c r="DP614" s="4">
        <v>475</v>
      </c>
      <c r="DQ614" s="14">
        <f>SUM(DL614:DP614)</f>
        <v>721.96238095238095</v>
      </c>
      <c r="DR614" s="24" t="s">
        <v>2773</v>
      </c>
      <c r="DS614" s="4">
        <v>36400</v>
      </c>
      <c r="DT614" s="4">
        <v>1000</v>
      </c>
      <c r="DU614" s="25">
        <f>SUM(DS614+DT614)</f>
        <v>37400</v>
      </c>
      <c r="DV614" s="35">
        <v>9.3640000000000008</v>
      </c>
      <c r="DW614" t="s">
        <v>3619</v>
      </c>
      <c r="DX614" t="s">
        <v>3616</v>
      </c>
      <c r="ID614" s="9">
        <v>44863</v>
      </c>
      <c r="IO614" s="4"/>
      <c r="IP614" s="9">
        <v>44804</v>
      </c>
    </row>
    <row r="615" spans="1:263" ht="15" customHeight="1">
      <c r="A615" s="19">
        <v>102022178</v>
      </c>
      <c r="B615" t="s">
        <v>2903</v>
      </c>
      <c r="D615" s="1"/>
      <c r="E615" s="3" t="s">
        <v>3914</v>
      </c>
      <c r="F615" s="3">
        <v>220004194</v>
      </c>
      <c r="J615" t="s">
        <v>311</v>
      </c>
      <c r="K615" t="s">
        <v>2081</v>
      </c>
      <c r="L615" t="s">
        <v>896</v>
      </c>
      <c r="M615" t="s">
        <v>326</v>
      </c>
      <c r="AD615" t="s">
        <v>3614</v>
      </c>
      <c r="AE615" t="s">
        <v>311</v>
      </c>
      <c r="AF615" t="s">
        <v>3775</v>
      </c>
      <c r="AG615" s="43" t="s">
        <v>3776</v>
      </c>
      <c r="AH615" t="s">
        <v>3227</v>
      </c>
      <c r="AI615" t="s">
        <v>344</v>
      </c>
      <c r="AJ615" s="18" t="s">
        <v>328</v>
      </c>
      <c r="AL615" s="18" t="s">
        <v>344</v>
      </c>
      <c r="AM615"/>
      <c r="AN615"/>
      <c r="AO615" s="3" t="s">
        <v>3226</v>
      </c>
      <c r="AP615" s="3" t="s">
        <v>258</v>
      </c>
      <c r="AQ615" s="18" t="s">
        <v>344</v>
      </c>
      <c r="AR615" t="s">
        <v>260</v>
      </c>
      <c r="AS615" s="1"/>
      <c r="AT615" s="1" t="s">
        <v>258</v>
      </c>
      <c r="AU615" s="1"/>
      <c r="AV615" s="1"/>
      <c r="AW615" s="1"/>
      <c r="AX615" s="70">
        <v>44725</v>
      </c>
      <c r="AY615" s="115">
        <v>44654</v>
      </c>
      <c r="AZ615" s="115">
        <v>44643</v>
      </c>
      <c r="BA615" s="2"/>
      <c r="BB615" s="2"/>
      <c r="BC615" s="2"/>
      <c r="BD615" s="2"/>
      <c r="BE615" s="70">
        <v>44799</v>
      </c>
      <c r="BF615" s="2" t="s">
        <v>319</v>
      </c>
      <c r="BG615" s="20">
        <f ca="1">SUM(DK615)+214.5</f>
        <v>2495.4128809523813</v>
      </c>
      <c r="BH615" s="22">
        <f ca="1">PMT(10%/12,12,BG615,0,0)</f>
        <v>-219.38643743412291</v>
      </c>
      <c r="BI615" s="22">
        <f ca="1">SUM(BH615*-1)</f>
        <v>219.38643743412291</v>
      </c>
      <c r="BJ615" s="14">
        <f>SUM(DU615*0.0052)/12</f>
        <v>13.216666666666667</v>
      </c>
      <c r="BK615" s="22">
        <f ca="1">SUM(BI615+BJ615)</f>
        <v>232.60310410078958</v>
      </c>
      <c r="BL615" s="14"/>
      <c r="BM615" s="14">
        <f>SUM(BL615*0.1)</f>
        <v>0</v>
      </c>
      <c r="BN615" s="14">
        <f ca="1">SUM(BO615*BP615)</f>
        <v>0</v>
      </c>
      <c r="BO615" s="17">
        <f>SUM((BL615+BM615)*0.00833333333333333)</f>
        <v>0</v>
      </c>
      <c r="BP615" s="23">
        <f ca="1">MONTH(TODAY())+49</f>
        <v>53</v>
      </c>
      <c r="BQ615" s="14">
        <f ca="1">SUM(BL615,BM615,BN615)</f>
        <v>0</v>
      </c>
      <c r="BR615" s="14"/>
      <c r="BS615" s="14">
        <f>SUM(BR615*0.1)</f>
        <v>0</v>
      </c>
      <c r="BT615" s="14">
        <f ca="1">SUM(BU615*BV615)</f>
        <v>0</v>
      </c>
      <c r="BU615" s="17">
        <f>SUM((BR615+BS615)*0.00833333333333333)</f>
        <v>0</v>
      </c>
      <c r="BV615" s="23">
        <f ca="1">MONTH(TODAY())+37</f>
        <v>41</v>
      </c>
      <c r="BW615" s="14">
        <f ca="1">SUM(BR615,BS615,BT615)</f>
        <v>0</v>
      </c>
      <c r="BX615" s="14"/>
      <c r="BY615" s="14">
        <f>SUM(BX615*0.1)</f>
        <v>0</v>
      </c>
      <c r="BZ615" s="14">
        <f ca="1">SUM(CA615*CB615)</f>
        <v>0</v>
      </c>
      <c r="CA615" s="17">
        <f>SUM((BX615+BY615)*0.00833333333333333)</f>
        <v>0</v>
      </c>
      <c r="CB615" s="23">
        <f ca="1">MONTH(TODAY())+25</f>
        <v>29</v>
      </c>
      <c r="CC615" s="14">
        <f ca="1">SUM(BX615,BY615,BZ615)</f>
        <v>0</v>
      </c>
      <c r="CD615" s="14">
        <f>SUM(DU615*0.0052)</f>
        <v>158.6</v>
      </c>
      <c r="CE615" s="14">
        <f>SUM(CD615*0.1)</f>
        <v>15.86</v>
      </c>
      <c r="CF615" s="14">
        <f ca="1">SUM(CG615*CH615)</f>
        <v>24.715166666666654</v>
      </c>
      <c r="CG615" s="17">
        <f>SUM((CD615+CE615)*0.00833333333333333)</f>
        <v>1.4538333333333326</v>
      </c>
      <c r="CH615" s="23">
        <f ca="1">MONTH(TODAY())+13</f>
        <v>17</v>
      </c>
      <c r="CI615" s="14">
        <f ca="1">SUM(CD615,CE615,CF615)</f>
        <v>199.17516666666663</v>
      </c>
      <c r="CJ615" s="14">
        <f>SUM(DU615*0.0052)</f>
        <v>158.6</v>
      </c>
      <c r="CK615" s="14">
        <f>SUM(CJ615*0.1)</f>
        <v>15.86</v>
      </c>
      <c r="CL615" s="14">
        <f ca="1">SUM(CM615*CN615)</f>
        <v>7.2691666666666634</v>
      </c>
      <c r="CM615" s="17">
        <f>SUM((CJ615+CK615)*0.00833333333333333)</f>
        <v>1.4538333333333326</v>
      </c>
      <c r="CN615" s="23">
        <f ca="1">MONTH(TODAY())+1</f>
        <v>5</v>
      </c>
      <c r="CO615" s="14">
        <f ca="1">SUM(CJ615,CK615,CL615)</f>
        <v>181.72916666666663</v>
      </c>
      <c r="CP615" s="14">
        <f>SUM(DU615*0.0052)/2</f>
        <v>79.3</v>
      </c>
      <c r="CQ615" s="14">
        <f>SUM(CP615*0.1)</f>
        <v>7.93</v>
      </c>
      <c r="CR615" s="14">
        <f ca="1">SUM(CS615*CT615)</f>
        <v>-1.4538333333333326</v>
      </c>
      <c r="CS615" s="17">
        <f>SUM((CP615+CQ615)*0.00833333333333333)</f>
        <v>0.72691666666666632</v>
      </c>
      <c r="CT615" s="23">
        <f ca="1">MONTH(TODAY())-6</f>
        <v>-2</v>
      </c>
      <c r="CU615" s="23">
        <f ca="1">SUM(CP615,CQ615,CR615)</f>
        <v>85.776166666666654</v>
      </c>
      <c r="CV615" s="14">
        <f>SUM(DU615*0.0052)/2</f>
        <v>79.3</v>
      </c>
      <c r="CW615" s="14">
        <v>0</v>
      </c>
      <c r="CX615" s="14">
        <v>0</v>
      </c>
      <c r="CY615" s="17">
        <f>SUM((CV615+CW615)*0.00833333333333333)</f>
        <v>0.66083333333333305</v>
      </c>
      <c r="CZ615" s="23">
        <f ca="1">MONTH(TODAY())-6</f>
        <v>-2</v>
      </c>
      <c r="DA615" s="23">
        <f>SUM(CV615,CW615,CX615)</f>
        <v>79.3</v>
      </c>
      <c r="DB615" s="14">
        <f>SUM(BL615, BR615, BX615, CD615, CJ615, CP615,CV615)</f>
        <v>475.8</v>
      </c>
      <c r="DC615" s="14">
        <f t="shared" si="264"/>
        <v>39.65</v>
      </c>
      <c r="DD615" s="14">
        <f t="shared" ca="1" si="264"/>
        <v>30.530499999999986</v>
      </c>
      <c r="DE615" s="14">
        <f ca="1">SUM(DB615:DD615)</f>
        <v>545.98050000000001</v>
      </c>
      <c r="DF615" s="47">
        <f ca="1">SUM(DE615/DU615)</f>
        <v>1.7901E-2</v>
      </c>
      <c r="DG615" s="14">
        <f>19.5+19.5+195+58.5+195+39+39+97.5+97.5</f>
        <v>760.5</v>
      </c>
      <c r="DH615" s="32">
        <f>COUNTIF(DN615, "*")+COUNTIF(AO615, "*")+COUNTIF(AJ615, "*")+COUNTIF(AA615, "*")+COUNTIF(EK615, "*")+COUNTIF(EQ615, "*")+COUNTIF(EW615, "*")+COUNTIF(FA615, "*")+COUNTIF(FH615, "*")+COUNTIF(FO615, "*")+COUNTIF(FV615, "*")+COUNTIF(GG615, "*")+COUNTIF(GR615, "*")+COUNTIF(GZ615, "*")+COUNTIF(HH615, "*")+COUNTIF(HP615, "*")+COUNTIF(HX615, "*")</f>
        <v>3</v>
      </c>
      <c r="DI615" s="14">
        <f>DH615*0.53+DH615*6.66</f>
        <v>21.57</v>
      </c>
      <c r="DJ615" s="4">
        <v>250</v>
      </c>
      <c r="DK615" s="14">
        <f ca="1">SUM(DE615,DG615,DQ615, DJ615, DI615,FS615)</f>
        <v>2280.9128809523813</v>
      </c>
      <c r="DL615" s="14">
        <v>27.362380952380899</v>
      </c>
      <c r="DM615" s="4"/>
      <c r="DN615" s="4">
        <v>78.5</v>
      </c>
      <c r="DO615" s="14">
        <f>SUM(DU615*0.004)</f>
        <v>122</v>
      </c>
      <c r="DP615" s="4">
        <v>475</v>
      </c>
      <c r="DQ615" s="14">
        <f>SUM(DL615:DP615)</f>
        <v>702.86238095238093</v>
      </c>
      <c r="DR615" s="24" t="s">
        <v>2773</v>
      </c>
      <c r="DS615" s="4">
        <v>30500</v>
      </c>
      <c r="DT615" s="4">
        <v>0</v>
      </c>
      <c r="DU615" s="25">
        <f>SUM(DS615+DT615)</f>
        <v>30500</v>
      </c>
      <c r="DV615" s="35">
        <v>5.98</v>
      </c>
      <c r="DW615" t="s">
        <v>3617</v>
      </c>
      <c r="DX615" t="s">
        <v>3618</v>
      </c>
      <c r="EI615" t="s">
        <v>3614</v>
      </c>
      <c r="EK615" t="s">
        <v>3227</v>
      </c>
      <c r="EM615" t="s">
        <v>344</v>
      </c>
      <c r="EN615" t="s">
        <v>260</v>
      </c>
      <c r="ID615" s="9">
        <v>44863</v>
      </c>
      <c r="IO615" s="4"/>
      <c r="IP615" s="9">
        <v>44804</v>
      </c>
    </row>
    <row r="616" spans="1:263" ht="15" customHeight="1">
      <c r="A616" s="19">
        <v>102022179</v>
      </c>
      <c r="B616" t="s">
        <v>2904</v>
      </c>
      <c r="D616" s="1"/>
      <c r="E616" s="3" t="s">
        <v>3883</v>
      </c>
      <c r="F616" s="3">
        <v>220003477</v>
      </c>
      <c r="J616" t="s">
        <v>311</v>
      </c>
      <c r="K616" t="s">
        <v>2081</v>
      </c>
      <c r="L616" t="s">
        <v>896</v>
      </c>
      <c r="M616" t="s">
        <v>326</v>
      </c>
      <c r="AG616" s="43"/>
      <c r="AJ616" s="18" t="s">
        <v>3227</v>
      </c>
      <c r="AK616" t="s">
        <v>258</v>
      </c>
      <c r="AL616" s="18" t="s">
        <v>344</v>
      </c>
      <c r="AM616" t="s">
        <v>260</v>
      </c>
      <c r="AN616"/>
      <c r="AO616" s="3" t="s">
        <v>3226</v>
      </c>
      <c r="AP616" s="3" t="s">
        <v>258</v>
      </c>
      <c r="AQ616" s="18" t="s">
        <v>344</v>
      </c>
      <c r="AR616" t="s">
        <v>260</v>
      </c>
      <c r="AS616" s="1" t="s">
        <v>258</v>
      </c>
      <c r="AT616" s="1" t="s">
        <v>258</v>
      </c>
      <c r="AU616" s="1"/>
      <c r="AV616" s="1"/>
      <c r="AW616" s="1"/>
      <c r="AX616" s="70">
        <v>44686</v>
      </c>
      <c r="AY616" s="115">
        <v>44654</v>
      </c>
      <c r="AZ616" s="115">
        <v>44643</v>
      </c>
      <c r="BA616" s="2"/>
      <c r="BB616" s="2"/>
      <c r="BC616" s="2"/>
      <c r="BD616" s="2"/>
      <c r="BE616" s="48">
        <v>44799</v>
      </c>
      <c r="BF616" s="19" t="s">
        <v>319</v>
      </c>
      <c r="BG616" s="20">
        <f ca="1">SUM(DK616)+214.5</f>
        <v>2585.3792809523811</v>
      </c>
      <c r="BH616" s="22">
        <f ca="1">PMT(10%/12,12,BG616,0,0)</f>
        <v>-227.29591331101281</v>
      </c>
      <c r="BI616" s="22">
        <f ca="1">SUM(BH616*-1)</f>
        <v>227.29591331101281</v>
      </c>
      <c r="BJ616" s="14">
        <f>SUM(DU616*0.0052)/12</f>
        <v>15.99</v>
      </c>
      <c r="BK616" s="22">
        <f ca="1">SUM(BI616+BJ616)</f>
        <v>243.28591331101282</v>
      </c>
      <c r="BL616" s="14"/>
      <c r="BM616" s="14">
        <f>SUM(BL616*0.1)</f>
        <v>0</v>
      </c>
      <c r="BN616" s="14">
        <f ca="1">SUM(BO616*BP616)</f>
        <v>0</v>
      </c>
      <c r="BO616" s="17">
        <f>SUM((BL616+BM616)*0.00833333333333333)</f>
        <v>0</v>
      </c>
      <c r="BP616" s="23">
        <f ca="1">MONTH(TODAY())+49</f>
        <v>53</v>
      </c>
      <c r="BQ616" s="14">
        <f ca="1">SUM(BL616,BM616,BN616)</f>
        <v>0</v>
      </c>
      <c r="BR616" s="14"/>
      <c r="BS616" s="14">
        <f>SUM(BR616*0.1)</f>
        <v>0</v>
      </c>
      <c r="BT616" s="14">
        <f ca="1">SUM(BU616*BV616)</f>
        <v>0</v>
      </c>
      <c r="BU616" s="17">
        <f>SUM((BR616+BS616)*0.00833333333333333)</f>
        <v>0</v>
      </c>
      <c r="BV616" s="23">
        <f ca="1">MONTH(TODAY())+37</f>
        <v>41</v>
      </c>
      <c r="BW616" s="14">
        <f ca="1">SUM(BR616,BS616,BT616)</f>
        <v>0</v>
      </c>
      <c r="BX616" s="14"/>
      <c r="BY616" s="14">
        <f>SUM(BX616*0.1)</f>
        <v>0</v>
      </c>
      <c r="BZ616" s="14">
        <f ca="1">SUM(CA616*CB616)</f>
        <v>0</v>
      </c>
      <c r="CA616" s="17">
        <f>SUM((BX616+BY616)*0.00833333333333333)</f>
        <v>0</v>
      </c>
      <c r="CB616" s="23">
        <f ca="1">MONTH(TODAY())+25</f>
        <v>29</v>
      </c>
      <c r="CC616" s="14">
        <f ca="1">SUM(BX616,BY616,BZ616)</f>
        <v>0</v>
      </c>
      <c r="CD616" s="14">
        <f>SUM(DU616*0.0052)</f>
        <v>191.88</v>
      </c>
      <c r="CE616" s="14">
        <f>SUM(CD616*0.1)</f>
        <v>19.187999999999999</v>
      </c>
      <c r="CF616" s="14">
        <f ca="1">SUM(CG616*CH616)</f>
        <v>29.901299999999985</v>
      </c>
      <c r="CG616" s="17">
        <f>SUM((CD616+CE616)*0.00833333333333333)</f>
        <v>1.758899999999999</v>
      </c>
      <c r="CH616" s="23">
        <f ca="1">MONTH(TODAY())+13</f>
        <v>17</v>
      </c>
      <c r="CI616" s="14">
        <f ca="1">SUM(CD616,CE616,CF616)</f>
        <v>240.96929999999998</v>
      </c>
      <c r="CJ616" s="14">
        <f>SUM(DU616*0.0052)</f>
        <v>191.88</v>
      </c>
      <c r="CK616" s="14">
        <f>SUM(CJ616*0.1)</f>
        <v>19.187999999999999</v>
      </c>
      <c r="CL616" s="14">
        <f ca="1">SUM(CM616*CN616)</f>
        <v>8.7944999999999958</v>
      </c>
      <c r="CM616" s="17">
        <f>SUM((CJ616+CK616)*0.00833333333333333)</f>
        <v>1.758899999999999</v>
      </c>
      <c r="CN616" s="23">
        <f ca="1">MONTH(TODAY())+1</f>
        <v>5</v>
      </c>
      <c r="CO616" s="14">
        <f ca="1">SUM(CJ616,CK616,CL616)</f>
        <v>219.86249999999998</v>
      </c>
      <c r="CP616" s="14">
        <f>SUM(DU616*0.0052)/2</f>
        <v>95.94</v>
      </c>
      <c r="CQ616" s="14">
        <f>SUM(CP616*0.1)</f>
        <v>9.5939999999999994</v>
      </c>
      <c r="CR616" s="14">
        <f ca="1">SUM(CS616*CT616)</f>
        <v>-1.758899999999999</v>
      </c>
      <c r="CS616" s="17">
        <f>SUM((CP616+CQ616)*0.00833333333333333)</f>
        <v>0.87944999999999951</v>
      </c>
      <c r="CT616" s="23">
        <f ca="1">MONTH(TODAY())-6</f>
        <v>-2</v>
      </c>
      <c r="CU616" s="23">
        <f ca="1">SUM(CP616,CQ616,CR616)</f>
        <v>103.77509999999999</v>
      </c>
      <c r="CV616" s="14">
        <f>SUM(DU616*0.0052)/2</f>
        <v>95.94</v>
      </c>
      <c r="CW616" s="14">
        <v>0</v>
      </c>
      <c r="CX616" s="14">
        <v>0</v>
      </c>
      <c r="CY616" s="17">
        <f>SUM((CV616+CW616)*0.00833333333333333)</f>
        <v>0.79949999999999966</v>
      </c>
      <c r="CZ616" s="23">
        <f ca="1">MONTH(TODAY())-6</f>
        <v>-2</v>
      </c>
      <c r="DA616" s="23">
        <f>SUM(CV616,CW616,CX616)</f>
        <v>95.94</v>
      </c>
      <c r="DB616" s="14">
        <f>SUM(BL616, BR616, BX616, CD616, CJ616, CP616,CV616)</f>
        <v>575.64</v>
      </c>
      <c r="DC616" s="14">
        <f t="shared" si="264"/>
        <v>47.97</v>
      </c>
      <c r="DD616" s="14">
        <f t="shared" ca="1" si="264"/>
        <v>36.93689999999998</v>
      </c>
      <c r="DE616" s="14">
        <f ca="1">SUM(DB616:DD616)</f>
        <v>660.54690000000005</v>
      </c>
      <c r="DF616" s="47">
        <f ca="1">SUM(DE616/DU616)</f>
        <v>1.7901E-2</v>
      </c>
      <c r="DG616" s="14">
        <f>19.5+19.5+195+195+39+39+97.5+97.5</f>
        <v>702</v>
      </c>
      <c r="DH616" s="32">
        <f>COUNTIF(DN616, "*")+COUNTIF(AO616, "*")+COUNTIF(AJ616, "*")+COUNTIF(AA616, "*")+COUNTIF(EK616, "*")+COUNTIF(EQ616, "*")+COUNTIF(EW616, "*")+COUNTIF(FA616, "*")+COUNTIF(FH616, "*")+COUNTIF(FO616, "*")+COUNTIF(FV616, "*")+COUNTIF(GG616, "*")+COUNTIF(GR616, "*")+COUNTIF(GZ616, "*")+COUNTIF(HH616, "*")+COUNTIF(HP616, "*")+COUNTIF(HX616, "*")</f>
        <v>2</v>
      </c>
      <c r="DI616" s="14">
        <f>DH616*0.53+DH616*6.66+2.74</f>
        <v>17.12</v>
      </c>
      <c r="DJ616" s="4">
        <v>267</v>
      </c>
      <c r="DK616" s="14">
        <f ca="1">SUM(DE616,DG616,DQ616, DJ616, DI616,FS616)</f>
        <v>2370.8792809523811</v>
      </c>
      <c r="DL616" s="14">
        <v>27.362380952380899</v>
      </c>
      <c r="DM616" s="4"/>
      <c r="DN616" s="4">
        <v>74.25</v>
      </c>
      <c r="DO616" s="14">
        <f>SUM(DU616*0.004)</f>
        <v>147.6</v>
      </c>
      <c r="DP616" s="4">
        <v>475</v>
      </c>
      <c r="DQ616" s="14">
        <f>SUM(DL616:DP616)</f>
        <v>724.21238095238095</v>
      </c>
      <c r="DR616" s="24" t="s">
        <v>2773</v>
      </c>
      <c r="DS616" s="4">
        <v>21400</v>
      </c>
      <c r="DT616" s="4">
        <v>15500</v>
      </c>
      <c r="DU616" s="25">
        <f>SUM(DS616+DT616)</f>
        <v>36900</v>
      </c>
      <c r="DV616" s="35">
        <v>3.4</v>
      </c>
      <c r="DW616" t="s">
        <v>3615</v>
      </c>
      <c r="DX616" t="s">
        <v>3616</v>
      </c>
      <c r="ID616" s="9">
        <v>44863</v>
      </c>
      <c r="IO616" s="4"/>
      <c r="IP616" s="9">
        <v>44804</v>
      </c>
    </row>
    <row r="617" spans="1:263" ht="15" customHeight="1">
      <c r="A617">
        <v>102024003</v>
      </c>
      <c r="B617" t="s">
        <v>5038</v>
      </c>
      <c r="C617" s="10"/>
      <c r="D617" s="161"/>
      <c r="E617" s="147" t="s">
        <v>5594</v>
      </c>
      <c r="F617" s="160">
        <v>240001732</v>
      </c>
      <c r="G617" s="147"/>
      <c r="H617" s="10"/>
      <c r="I617" s="10"/>
      <c r="J617" s="28" t="s">
        <v>311</v>
      </c>
      <c r="K617" s="28" t="s">
        <v>1050</v>
      </c>
      <c r="L617" s="28" t="s">
        <v>577</v>
      </c>
      <c r="M617" s="28" t="s">
        <v>354</v>
      </c>
      <c r="N617" s="10"/>
      <c r="O617" s="147"/>
      <c r="P617" s="10"/>
      <c r="Q617" s="10"/>
      <c r="R617" s="10"/>
      <c r="S617" s="10"/>
      <c r="T617" s="10"/>
      <c r="U617" s="10"/>
      <c r="V617" s="10"/>
      <c r="W617" s="10"/>
      <c r="X617" s="10"/>
      <c r="Y617" s="10"/>
      <c r="Z617" s="10"/>
      <c r="AA617" s="10"/>
      <c r="AB617" s="10"/>
      <c r="AC617" s="10"/>
      <c r="AD617" s="10"/>
      <c r="AE617" s="10"/>
      <c r="AF617" s="10"/>
      <c r="AG617" s="141"/>
      <c r="AH617" s="10"/>
      <c r="AI617" s="10"/>
      <c r="AJ617" t="s">
        <v>5039</v>
      </c>
      <c r="AK617" s="1" t="s">
        <v>258</v>
      </c>
      <c r="AL617" t="s">
        <v>344</v>
      </c>
      <c r="AM617" t="s">
        <v>260</v>
      </c>
      <c r="AN617"/>
      <c r="AO617" t="s">
        <v>4472</v>
      </c>
      <c r="AP617" s="1" t="s">
        <v>258</v>
      </c>
      <c r="AQ617" t="s">
        <v>344</v>
      </c>
      <c r="AR617" t="s">
        <v>260</v>
      </c>
      <c r="AX617" s="1" t="s">
        <v>258</v>
      </c>
      <c r="AY617" s="1" t="s">
        <v>258</v>
      </c>
      <c r="AZ617" s="1"/>
      <c r="BA617" s="1"/>
      <c r="BB617" s="1"/>
      <c r="BC617" s="27">
        <v>45393</v>
      </c>
      <c r="BD617" s="27">
        <v>45361</v>
      </c>
      <c r="BE617" s="144">
        <v>45351</v>
      </c>
      <c r="BF617" s="70"/>
      <c r="BG617" s="2"/>
      <c r="BH617" s="70"/>
      <c r="BI617" s="70"/>
      <c r="BJ617" s="70">
        <v>45533</v>
      </c>
      <c r="BK617" s="70" t="s">
        <v>5895</v>
      </c>
      <c r="BL617" s="20">
        <f ca="1">SUM(EH617)+220</f>
        <v>2115.7101124999999</v>
      </c>
      <c r="BM617" s="22">
        <f ca="1">PMT(10%/12,12,BL617,0,0)</f>
        <v>-186.00453166194089</v>
      </c>
      <c r="BN617" s="22">
        <f ca="1">SUM(BM617*-1)</f>
        <v>186.00453166194089</v>
      </c>
      <c r="BO617" s="14">
        <f>SUM(EP617*0.0052)/12</f>
        <v>16.683333333333334</v>
      </c>
      <c r="BP617" s="22">
        <f ca="1">SUM(BN617+BO617)</f>
        <v>202.68786499527423</v>
      </c>
      <c r="BQ617" s="14"/>
      <c r="BR617" s="14">
        <f>SUM(BQ617*0.1)</f>
        <v>0</v>
      </c>
      <c r="BS617" s="14">
        <f ca="1">SUM(BT617*BU617)</f>
        <v>0</v>
      </c>
      <c r="BT617" s="17">
        <f>SUM((BQ617+BR617)*0.00833333333333333)</f>
        <v>0</v>
      </c>
      <c r="BU617" s="23">
        <f ca="1">MONTH(TODAY())+49</f>
        <v>53</v>
      </c>
      <c r="BV617" s="14">
        <f ca="1">SUM(BQ617,BR617,BS617)</f>
        <v>0</v>
      </c>
      <c r="BW617" s="14">
        <v>0</v>
      </c>
      <c r="BX617" s="14">
        <f>SUM(BW617*0.1)</f>
        <v>0</v>
      </c>
      <c r="BY617" s="14">
        <f ca="1">SUM(BZ617*CA617)</f>
        <v>0</v>
      </c>
      <c r="BZ617" s="17">
        <f>SUM((BW617+BX617)*0.00833333333333333)</f>
        <v>0</v>
      </c>
      <c r="CA617" s="23">
        <f ca="1">MONTH(TODAY())+37</f>
        <v>41</v>
      </c>
      <c r="CB617" s="14">
        <f ca="1">SUM(BW617,BX617,BY617)</f>
        <v>0</v>
      </c>
      <c r="CC617" s="14">
        <f>SUM(EM617*0.0052)</f>
        <v>164.32</v>
      </c>
      <c r="CD617" s="14">
        <f>SUM(CC617*0.1)</f>
        <v>16.431999999999999</v>
      </c>
      <c r="CE617" s="14">
        <f ca="1">SUM(CF617*CG617)</f>
        <v>43.681733333333305</v>
      </c>
      <c r="CF617" s="17">
        <f>SUM((CC617+CD617)*0.00833333333333333)</f>
        <v>1.5062666666666658</v>
      </c>
      <c r="CG617" s="23">
        <f ca="1">MONTH(TODAY())+25</f>
        <v>29</v>
      </c>
      <c r="CH617" s="14">
        <f ca="1">SUM(CC617,CD617,CE617)</f>
        <v>224.43373333333329</v>
      </c>
      <c r="CI617" s="14">
        <f>SUM(EM617*0.0052)/2</f>
        <v>82.16</v>
      </c>
      <c r="CJ617" s="14">
        <f>SUM(CI617*0.1)</f>
        <v>8.2159999999999993</v>
      </c>
      <c r="CK617" s="14">
        <f ca="1">SUM(CL617*CM617)</f>
        <v>15.815799999999991</v>
      </c>
      <c r="CL617" s="17">
        <f>SUM((CI617+CJ617)*0.00833333333333333)</f>
        <v>0.75313333333333288</v>
      </c>
      <c r="CM617" s="23">
        <f ca="1">MONTH(TODAY())+17</f>
        <v>21</v>
      </c>
      <c r="CN617" s="23">
        <f ca="1">SUM(CI617,CJ617,CK617)</f>
        <v>106.19179999999999</v>
      </c>
      <c r="CO617" s="14">
        <f>SUM(EM617*0.0052)/2</f>
        <v>82.16</v>
      </c>
      <c r="CP617" s="14">
        <f>SUM(CO617*0.1)</f>
        <v>8.2159999999999993</v>
      </c>
      <c r="CQ617" s="14">
        <f ca="1">SUM(CR617*CS617)</f>
        <v>12.803266666666659</v>
      </c>
      <c r="CR617" s="17">
        <f>SUM((CO617+CP617)*0.00833333333333333)</f>
        <v>0.75313333333333288</v>
      </c>
      <c r="CS617" s="23">
        <f ca="1">MONTH(TODAY())+13</f>
        <v>17</v>
      </c>
      <c r="CT617" s="14">
        <f ca="1">SUM(CO617,CP617,CQ617)</f>
        <v>103.17926666666665</v>
      </c>
      <c r="CU617" s="14">
        <f>SUM(EP617*0.0045)/2</f>
        <v>86.625</v>
      </c>
      <c r="CV617" s="14">
        <f>SUM(CU617*0.1)</f>
        <v>8.6624999999999996</v>
      </c>
      <c r="CW617" s="14">
        <f ca="1">SUM(CX617*CY617)</f>
        <v>8.7346874999999944</v>
      </c>
      <c r="CX617" s="17">
        <f>SUM((CU617+CV617)*0.00833333333333333)</f>
        <v>0.79406249999999956</v>
      </c>
      <c r="CY617" s="23">
        <f ca="1">MONTH(TODAY())+7</f>
        <v>11</v>
      </c>
      <c r="CZ617" s="14">
        <f ca="1">SUM(CU617,CV617,CW617)</f>
        <v>104.02218749999999</v>
      </c>
      <c r="DA617" s="14">
        <f>SUM(EP617*0.0045)/2</f>
        <v>86.625</v>
      </c>
      <c r="DB617" s="14">
        <f>SUM(DA617*0.1)</f>
        <v>8.6624999999999996</v>
      </c>
      <c r="DC617" s="14">
        <f ca="1">SUM(DD617*DE617)</f>
        <v>3.9703124999999977</v>
      </c>
      <c r="DD617" s="17">
        <f>SUM((DA617+DB617)*0.00833333333333333)</f>
        <v>0.79406249999999956</v>
      </c>
      <c r="DE617" s="23">
        <f ca="1">MONTH(TODAY())+1</f>
        <v>5</v>
      </c>
      <c r="DF617" s="14">
        <f ca="1">SUM(DA617,DB617,DC617)</f>
        <v>99.257812499999986</v>
      </c>
      <c r="DG617" s="14">
        <f>SUM(EP617*0.0045)/2</f>
        <v>86.625</v>
      </c>
      <c r="DH617" s="14">
        <f>SUM(DG617*0.1)</f>
        <v>8.6624999999999996</v>
      </c>
      <c r="DI617" s="14">
        <f ca="1">SUM(DJ617*DK617)</f>
        <v>-2.3821874999999988</v>
      </c>
      <c r="DJ617" s="17">
        <f>SUM((DG617+DH617)*0.00833333333333333)</f>
        <v>0.79406249999999956</v>
      </c>
      <c r="DK617" s="23">
        <f ca="1">MONTH(TODAY())-7</f>
        <v>-3</v>
      </c>
      <c r="DL617" s="14">
        <f ca="1">SUM(DG617,DH617,DI617)</f>
        <v>92.905312499999994</v>
      </c>
      <c r="DM617" s="14">
        <f>0</f>
        <v>0</v>
      </c>
      <c r="DN617" s="14">
        <f>0</f>
        <v>0</v>
      </c>
      <c r="DO617" s="14">
        <f ca="1">SUM(DP617*DQ617)</f>
        <v>0</v>
      </c>
      <c r="DP617" s="17">
        <f>SUM((DM617+DN617)*0.00833333333333333)</f>
        <v>0</v>
      </c>
      <c r="DQ617" s="23">
        <f ca="1">MONTH(TODAY())+1</f>
        <v>5</v>
      </c>
      <c r="DR617" s="14">
        <f ca="1">SUM(DM617,DN617,DO617)</f>
        <v>0</v>
      </c>
      <c r="DS617" s="14">
        <f>SUM(BQ617, BW617, CC617, CI617,CO617,CU617,DA617,DG617,DM617)</f>
        <v>588.51499999999999</v>
      </c>
      <c r="DT617" s="14">
        <f>SUM(BR617,BX617,CD617, CJ617,CP617,CV617,DB617,DH617,DN617)</f>
        <v>58.851500000000001</v>
      </c>
      <c r="DU617" s="14">
        <f ca="1">SUM(BS617,BY617,CE617, CK617,CQ617,CW617,DC617,DI617,DO617)</f>
        <v>82.623612499999936</v>
      </c>
      <c r="DV617" s="25">
        <f ca="1">SUM(DS617:DU617)</f>
        <v>729.9901124999999</v>
      </c>
      <c r="DW617" s="47">
        <f ca="1">SUM(DV617/EM617)</f>
        <v>2.3100952927215188E-2</v>
      </c>
      <c r="DX617" s="14">
        <f>40+200+20+200+40+40</f>
        <v>540</v>
      </c>
      <c r="DY617" s="32">
        <f>COUNTIF(AO617, "*")+COUNTIF(AJ617, "*")+COUNTIF(AA617, "*")+COUNTIF(FA617, "*")+COUNTIF(FG617, "*")+COUNTIF(FM617, "*")+COUNTIF(FQ617, "*")+COUNTIF(FX617, "*")+COUNTIF(AT617, "*")+COUNTIF(GG617, "*")+COUNTIF(GR617, "*")+COUNTIF(HC617, "*")+COUNTIF(HK617, "*")+COUNTIF(HS617, "*")+COUNTIF(IA617, "*")</f>
        <v>2</v>
      </c>
      <c r="DZ617" s="14">
        <f>1.28+DY617*8</f>
        <v>17.28</v>
      </c>
      <c r="EA617" s="4">
        <v>62.44</v>
      </c>
      <c r="EB617" s="4">
        <v>273</v>
      </c>
      <c r="EC617" s="4"/>
      <c r="ED617" s="4"/>
      <c r="EE617" s="4"/>
      <c r="EF617" s="4"/>
      <c r="EG617" s="14">
        <f>SUM(EA617:EF617)</f>
        <v>335.44</v>
      </c>
      <c r="EH617" s="14">
        <f ca="1">SUM(DV617,DX617,EG617, EB617, DZ617,Base!DK79)</f>
        <v>1895.7101124999999</v>
      </c>
      <c r="EI617" s="24" t="s">
        <v>4944</v>
      </c>
      <c r="EJ617" s="23">
        <v>1.01</v>
      </c>
      <c r="EK617" s="14">
        <v>11600</v>
      </c>
      <c r="EL617" s="14">
        <v>20000</v>
      </c>
      <c r="EM617" s="14">
        <f>SUM(EK617+EL617)</f>
        <v>31600</v>
      </c>
      <c r="EN617" s="25">
        <v>11600</v>
      </c>
      <c r="EO617" s="25">
        <v>26900</v>
      </c>
      <c r="EP617" s="25">
        <f>SUM(EN617+EO617)</f>
        <v>38500</v>
      </c>
      <c r="EQ617" s="10" t="s">
        <v>5047</v>
      </c>
      <c r="ER617" s="10" t="s">
        <v>5048</v>
      </c>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9"/>
      <c r="FV617" s="10"/>
      <c r="FW617" s="10"/>
      <c r="FX617" s="10"/>
      <c r="FY617" s="10"/>
      <c r="FZ617" s="10"/>
      <c r="GA617" s="10"/>
      <c r="GB617" s="9"/>
      <c r="GC617" s="10"/>
      <c r="GD617" s="10"/>
      <c r="GE617" s="10"/>
      <c r="GF617" s="10"/>
      <c r="GG617" s="10"/>
      <c r="GH617" s="10"/>
      <c r="GI617" s="10"/>
      <c r="GJ617" s="10"/>
      <c r="GK617" s="9"/>
      <c r="GL617" s="10"/>
      <c r="GM617" s="10"/>
      <c r="GN617" s="10"/>
      <c r="GO617" s="10"/>
      <c r="GP617" s="10"/>
      <c r="GQ617" s="10"/>
      <c r="GR617" s="10"/>
      <c r="GS617" s="10"/>
      <c r="GT617" s="10"/>
      <c r="GU617" s="10"/>
      <c r="GV617" s="9"/>
      <c r="GW617" s="10"/>
      <c r="GX617" s="10"/>
      <c r="GY617" s="10"/>
      <c r="GZ617" s="10"/>
      <c r="HA617" s="10"/>
      <c r="HB617" s="10"/>
      <c r="HC617" s="10"/>
      <c r="HD617" s="10"/>
      <c r="HE617" s="10"/>
      <c r="HF617" s="10"/>
      <c r="HG617" s="9"/>
      <c r="HH617" s="10"/>
      <c r="HI617" s="10"/>
      <c r="HJ617" s="10"/>
      <c r="HK617" s="10"/>
      <c r="HL617" s="10"/>
      <c r="HM617" s="10"/>
      <c r="HN617" s="10"/>
      <c r="HO617" s="9"/>
      <c r="HP617" s="10"/>
      <c r="HQ617" s="10"/>
      <c r="HR617" s="10"/>
      <c r="HS617" s="10"/>
      <c r="HT617" s="10"/>
      <c r="HU617" s="10"/>
      <c r="HV617" s="10"/>
      <c r="HW617" s="9"/>
      <c r="HX617" s="10"/>
      <c r="HY617" s="10"/>
      <c r="HZ617" s="10"/>
      <c r="IA617" s="10"/>
      <c r="IB617" s="10"/>
      <c r="IC617" s="10"/>
      <c r="ID617" s="10"/>
      <c r="IE617" s="9"/>
      <c r="IF617" s="4"/>
      <c r="IG617" s="4"/>
      <c r="IH617" s="10"/>
      <c r="II617" s="10"/>
      <c r="IJ617" s="10"/>
      <c r="IK617" s="10"/>
      <c r="IL617" s="4"/>
      <c r="IM617" s="4"/>
      <c r="IN617" s="4"/>
      <c r="IO617" s="4"/>
      <c r="IP617" s="4"/>
      <c r="IQ617" s="9"/>
      <c r="IR617" s="9"/>
      <c r="IS617" s="9"/>
      <c r="IT617" s="9"/>
      <c r="IU617" s="9"/>
      <c r="IV617" s="27" t="s">
        <v>5913</v>
      </c>
    </row>
    <row r="618" spans="1:263" ht="15" customHeight="1">
      <c r="A618" s="19">
        <v>102020005</v>
      </c>
      <c r="B618" s="14" t="s">
        <v>1544</v>
      </c>
      <c r="C618" s="18"/>
      <c r="D618" s="13"/>
      <c r="E618" s="18"/>
      <c r="F618" s="18"/>
      <c r="G618" s="18">
        <v>200001680</v>
      </c>
      <c r="H618" s="18"/>
      <c r="I618" s="18"/>
      <c r="J618" s="18" t="s">
        <v>554</v>
      </c>
      <c r="K618" s="18" t="s">
        <v>762</v>
      </c>
      <c r="L618" s="18" t="s">
        <v>353</v>
      </c>
      <c r="M618" s="18" t="s">
        <v>763</v>
      </c>
      <c r="N618" s="18"/>
      <c r="O618" s="18"/>
      <c r="P618" s="18" t="s">
        <v>762</v>
      </c>
      <c r="Q618" s="18" t="s">
        <v>764</v>
      </c>
      <c r="R618" s="18" t="s">
        <v>426</v>
      </c>
      <c r="S618" s="18"/>
      <c r="T618" s="18"/>
      <c r="U618" s="18"/>
      <c r="V618" s="18"/>
      <c r="W618" s="18"/>
      <c r="X618" s="18"/>
      <c r="Y618" s="18"/>
      <c r="Z618" s="18"/>
      <c r="AA618" s="18"/>
      <c r="AB618" s="18"/>
      <c r="AC618" s="18"/>
      <c r="AD618" s="18"/>
      <c r="AE618" s="18"/>
      <c r="AF618" s="18"/>
      <c r="AG618" s="231"/>
      <c r="AH618" s="18"/>
      <c r="AI618" s="18"/>
      <c r="AJ618" s="14"/>
      <c r="AK618" s="18"/>
      <c r="AL618" s="18"/>
      <c r="AM618" s="24"/>
      <c r="AN618" s="24"/>
      <c r="AO618" s="14"/>
      <c r="AP618" s="13"/>
      <c r="AQ618" s="24"/>
      <c r="AR618" s="24"/>
      <c r="AS618" s="18"/>
      <c r="AT618" s="18"/>
      <c r="AU618" s="18"/>
      <c r="AV618" s="18"/>
      <c r="AW618" s="18"/>
      <c r="AX618" s="19"/>
      <c r="AY618" s="19"/>
      <c r="AZ618" s="19"/>
      <c r="BA618" s="19"/>
      <c r="BB618" s="19"/>
      <c r="BC618" s="19"/>
      <c r="BD618" s="19"/>
      <c r="BE618" s="19"/>
      <c r="BF618" s="19"/>
      <c r="BG618" s="20"/>
      <c r="BH618" s="22"/>
      <c r="BI618" s="22"/>
      <c r="BJ618" s="14"/>
      <c r="BK618" s="14"/>
      <c r="BL618" s="14"/>
      <c r="BM618" s="17"/>
      <c r="BN618" s="23"/>
      <c r="BO618" s="14"/>
      <c r="BP618" s="14"/>
      <c r="BQ618" s="14"/>
      <c r="BR618" s="14"/>
      <c r="BS618" s="17"/>
      <c r="BT618" s="23"/>
      <c r="BU618" s="14"/>
      <c r="BV618" s="14"/>
      <c r="BW618" s="14"/>
      <c r="BX618" s="14"/>
      <c r="BY618" s="17"/>
      <c r="BZ618" s="23"/>
      <c r="CA618" s="14"/>
      <c r="CB618" s="14"/>
      <c r="CC618" s="14"/>
      <c r="CD618" s="14"/>
      <c r="CE618" s="17"/>
      <c r="CF618" s="23"/>
      <c r="CG618" s="14"/>
      <c r="CH618" s="14"/>
      <c r="CI618" s="14"/>
      <c r="CJ618" s="14"/>
      <c r="CK618" s="17"/>
      <c r="CL618" s="23"/>
      <c r="CM618" s="14"/>
      <c r="CN618" s="14"/>
      <c r="CO618" s="14"/>
      <c r="CP618" s="14"/>
      <c r="CQ618" s="17"/>
      <c r="CR618" s="23"/>
      <c r="CS618" s="14"/>
      <c r="CT618" s="14"/>
      <c r="CU618" s="14"/>
      <c r="CV618" s="14"/>
      <c r="CW618" s="17"/>
      <c r="CX618" s="23"/>
      <c r="CY618" s="14"/>
      <c r="CZ618" s="14"/>
      <c r="DA618" s="14"/>
      <c r="DB618" s="14"/>
      <c r="DC618" s="17"/>
      <c r="DD618" s="23"/>
      <c r="DE618" s="14"/>
      <c r="DF618" s="14"/>
      <c r="DG618" s="14"/>
      <c r="DH618" s="14"/>
      <c r="DI618" s="14"/>
      <c r="DJ618" s="47"/>
      <c r="DK618" s="24"/>
      <c r="DL618" s="14"/>
      <c r="DM618" s="32"/>
      <c r="DN618" s="14"/>
      <c r="DO618" s="14"/>
      <c r="DP618" s="14"/>
      <c r="DQ618" s="14"/>
      <c r="DR618" s="14"/>
      <c r="DS618" s="14"/>
      <c r="DT618" s="23"/>
      <c r="DU618" s="25"/>
      <c r="DV618" s="14"/>
      <c r="DW618" s="25"/>
      <c r="DX618" s="25"/>
      <c r="DY618" s="25"/>
      <c r="DZ618" s="36"/>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243"/>
      <c r="IM618" s="243"/>
      <c r="IN618" s="243"/>
      <c r="IO618" s="243"/>
      <c r="IP618" s="243"/>
      <c r="IQ618" s="243"/>
      <c r="IR618" s="243"/>
      <c r="IS618" s="243"/>
      <c r="IT618" s="243"/>
      <c r="IU618" s="243"/>
      <c r="IV618" s="243"/>
    </row>
    <row r="619" spans="1:263" ht="15" customHeight="1">
      <c r="A619" s="2">
        <v>102017064</v>
      </c>
      <c r="B619" t="s">
        <v>335</v>
      </c>
      <c r="C619" s="1"/>
      <c r="E619" t="s">
        <v>336</v>
      </c>
      <c r="F619" s="2">
        <v>190001957</v>
      </c>
      <c r="G619">
        <v>180002719</v>
      </c>
      <c r="J619" t="s">
        <v>253</v>
      </c>
      <c r="K619" t="s">
        <v>337</v>
      </c>
      <c r="L619" t="s">
        <v>338</v>
      </c>
      <c r="M619" t="s">
        <v>256</v>
      </c>
      <c r="O619" s="1"/>
      <c r="P619" t="s">
        <v>339</v>
      </c>
      <c r="Q619" t="s">
        <v>340</v>
      </c>
      <c r="R619" t="s">
        <v>256</v>
      </c>
      <c r="S619" t="s">
        <v>341</v>
      </c>
      <c r="T619" s="1"/>
      <c r="AB619" s="1"/>
      <c r="AG619" s="34"/>
      <c r="AH619" s="4"/>
      <c r="AI619" s="4"/>
      <c r="AO619" s="4"/>
      <c r="AP619" s="13"/>
      <c r="AQ619" s="34"/>
      <c r="AR619" s="34"/>
      <c r="AS619" s="5"/>
      <c r="AT619" s="13"/>
      <c r="AU619" s="1"/>
      <c r="AV619" s="1"/>
      <c r="AW619" s="1"/>
      <c r="AX619" s="1"/>
      <c r="AY619" s="1"/>
      <c r="AZ619" s="1"/>
      <c r="BA619" s="1"/>
      <c r="BB619" s="1"/>
      <c r="BC619" s="1"/>
      <c r="BD619" s="1"/>
      <c r="BE619" s="5"/>
      <c r="BF619" s="16"/>
      <c r="BG619" s="16"/>
      <c r="BI619" s="4"/>
      <c r="BJ619" s="4"/>
      <c r="BK619" s="6"/>
      <c r="BL619" s="7"/>
      <c r="BM619" s="4"/>
      <c r="BO619" s="4"/>
      <c r="BP619" s="4"/>
      <c r="BQ619" s="6"/>
      <c r="BR619" s="7"/>
      <c r="BS619" s="4"/>
      <c r="BT619" s="4"/>
      <c r="BU619" s="4"/>
      <c r="BV619" s="4"/>
      <c r="BW619" s="6"/>
      <c r="BX619" s="7"/>
      <c r="BY619" s="4"/>
      <c r="CA619" s="4"/>
      <c r="CB619" s="4"/>
      <c r="CC619" s="6"/>
      <c r="CD619" s="7"/>
      <c r="CE619" s="4"/>
      <c r="CF619" s="4"/>
      <c r="CG619" s="4"/>
      <c r="CH619" s="4"/>
      <c r="CI619" s="6"/>
      <c r="CJ619" s="7"/>
      <c r="CK619" s="4"/>
      <c r="CL619" s="4"/>
      <c r="CM619" s="4"/>
      <c r="CN619" s="4"/>
      <c r="CO619" s="6"/>
      <c r="CP619" s="7"/>
      <c r="CQ619" s="4"/>
      <c r="CR619" s="4"/>
      <c r="CS619" s="4"/>
      <c r="CT619" s="4"/>
      <c r="CU619" s="6"/>
      <c r="CV619" s="7"/>
      <c r="CW619" s="4"/>
      <c r="CX619" s="4"/>
      <c r="CY619" s="4"/>
      <c r="CZ619" s="4"/>
      <c r="DA619" s="6"/>
      <c r="DB619" s="7"/>
      <c r="DC619" s="4"/>
      <c r="DD619" s="4"/>
      <c r="DE619" s="4"/>
      <c r="DF619" s="4"/>
      <c r="DG619" s="6"/>
      <c r="DH619" s="7"/>
      <c r="DI619" s="4"/>
      <c r="DJ619" s="4"/>
      <c r="DK619" s="4"/>
      <c r="DL619" s="4"/>
      <c r="DM619" s="4"/>
      <c r="DN619" s="3"/>
      <c r="DO619" s="4"/>
      <c r="DP619" s="4"/>
      <c r="DQ619" s="4"/>
      <c r="DR619" s="4"/>
      <c r="DS619" s="4"/>
      <c r="DT619" s="4"/>
      <c r="DU619" s="4"/>
      <c r="DV619" s="4"/>
      <c r="DW619" s="4"/>
      <c r="DX619" s="4"/>
      <c r="DY619" s="4"/>
      <c r="DZ619" s="4"/>
      <c r="EA619" s="4"/>
      <c r="EB619" s="4"/>
      <c r="EC619" s="4"/>
      <c r="ED619" s="4"/>
      <c r="EE619" s="4"/>
      <c r="EF619" s="4"/>
      <c r="EG619" s="4"/>
      <c r="FO619" s="9"/>
      <c r="FP619" s="10"/>
      <c r="FW619" s="10"/>
      <c r="GI619" s="9"/>
      <c r="IZ619" s="18"/>
    </row>
    <row r="620" spans="1:263" ht="15" customHeight="1">
      <c r="A620" s="19">
        <v>102017064</v>
      </c>
      <c r="B620" s="18" t="s">
        <v>335</v>
      </c>
      <c r="C620" s="13"/>
      <c r="D620" s="13"/>
      <c r="E620" s="24" t="s">
        <v>2521</v>
      </c>
      <c r="F620" s="24">
        <v>210004665</v>
      </c>
      <c r="G620" s="18">
        <v>210005150</v>
      </c>
      <c r="H620" s="18"/>
      <c r="I620" s="18"/>
      <c r="J620" s="18" t="s">
        <v>253</v>
      </c>
      <c r="K620" s="18" t="s">
        <v>337</v>
      </c>
      <c r="L620" s="18" t="s">
        <v>338</v>
      </c>
      <c r="M620" s="18" t="s">
        <v>256</v>
      </c>
      <c r="N620" s="18"/>
      <c r="O620" s="13"/>
      <c r="P620" s="18" t="s">
        <v>339</v>
      </c>
      <c r="Q620" s="18" t="s">
        <v>340</v>
      </c>
      <c r="R620" s="18" t="s">
        <v>256</v>
      </c>
      <c r="S620" s="18" t="s">
        <v>341</v>
      </c>
      <c r="T620" s="13"/>
      <c r="U620" s="18"/>
      <c r="V620" s="18"/>
      <c r="W620" s="18"/>
      <c r="X620" s="18"/>
      <c r="Y620" s="18"/>
      <c r="Z620" s="18"/>
      <c r="AA620" s="18"/>
      <c r="AB620" s="13"/>
      <c r="AC620" s="18"/>
      <c r="AD620" s="18" t="s">
        <v>2518</v>
      </c>
      <c r="AE620" s="18" t="s">
        <v>2519</v>
      </c>
      <c r="AF620" s="18" t="s">
        <v>337</v>
      </c>
      <c r="AG620" s="244" t="s">
        <v>342</v>
      </c>
      <c r="AH620" s="24" t="s">
        <v>343</v>
      </c>
      <c r="AI620" s="24" t="s">
        <v>344</v>
      </c>
      <c r="AJ620" s="14"/>
      <c r="AK620" s="13"/>
      <c r="AL620" s="14"/>
      <c r="AM620" s="14"/>
      <c r="AN620" s="20"/>
      <c r="AO620" s="24" t="s">
        <v>343</v>
      </c>
      <c r="AP620" s="24" t="s">
        <v>258</v>
      </c>
      <c r="AQ620" s="18" t="s">
        <v>344</v>
      </c>
      <c r="AR620" s="18" t="s">
        <v>260</v>
      </c>
      <c r="AS620" s="13"/>
      <c r="AT620" s="13" t="s">
        <v>258</v>
      </c>
      <c r="AU620" s="13"/>
      <c r="AV620" s="13"/>
      <c r="AW620" s="13"/>
      <c r="AX620" s="19"/>
      <c r="AY620" s="114">
        <v>44248</v>
      </c>
      <c r="AZ620" s="114">
        <v>44286</v>
      </c>
      <c r="BA620" s="22"/>
      <c r="BB620" s="22"/>
      <c r="BC620" s="18"/>
      <c r="BD620" s="14"/>
      <c r="BE620" s="14"/>
      <c r="BF620" s="17"/>
      <c r="BG620" s="20">
        <f>SUM(DW620)+214.5</f>
        <v>214.5</v>
      </c>
      <c r="BH620" s="22">
        <f>PMT(10%/12,12,BG620,0,0)</f>
        <v>-18.857957810837057</v>
      </c>
      <c r="BI620" s="22">
        <f>SUM(BH620*-1)</f>
        <v>18.857957810837057</v>
      </c>
      <c r="BJ620" s="14">
        <f>SUM(EG620*0.0052)/12</f>
        <v>0</v>
      </c>
      <c r="BK620" s="22">
        <f>SUM(BI620+BJ620)</f>
        <v>18.857957810837057</v>
      </c>
      <c r="BL620" s="14"/>
      <c r="BM620" s="14">
        <f>SUM(BL620*0.1)</f>
        <v>0</v>
      </c>
      <c r="BN620" s="14">
        <f ca="1">SUM(BO620*BP620)</f>
        <v>0</v>
      </c>
      <c r="BO620" s="17">
        <f>SUM((BL620+BM620)*0.00833333333333333)</f>
        <v>0</v>
      </c>
      <c r="BP620" s="23">
        <f ca="1">MONTH(TODAY())+49</f>
        <v>53</v>
      </c>
      <c r="BQ620" s="14">
        <f ca="1">SUM(BL620,BM620,BN620)</f>
        <v>0</v>
      </c>
      <c r="BR620" s="14"/>
      <c r="BS620" s="14">
        <f>SUM(BR620*0.1)</f>
        <v>0</v>
      </c>
      <c r="BT620" s="14">
        <f ca="1">SUM(BU620*BV620)</f>
        <v>0</v>
      </c>
      <c r="BU620" s="17">
        <f>SUM((BR620+BS620)*0.00833333333333333)</f>
        <v>0</v>
      </c>
      <c r="BV620" s="23">
        <f ca="1">MONTH(TODAY())+37</f>
        <v>41</v>
      </c>
      <c r="BW620" s="14">
        <f ca="1">SUM(BR620,BS620,BT620)</f>
        <v>0</v>
      </c>
      <c r="BX620" s="14"/>
      <c r="BY620" s="14">
        <f>SUM(BX620*0.1)</f>
        <v>0</v>
      </c>
      <c r="BZ620" s="14">
        <f ca="1">SUM(CA620*CB620)</f>
        <v>0</v>
      </c>
      <c r="CA620" s="17">
        <f>SUM((BX620+BY620)*0.00833333333333333)</f>
        <v>0</v>
      </c>
      <c r="CB620" s="23">
        <f ca="1">MONTH(TODAY())+25</f>
        <v>29</v>
      </c>
      <c r="CC620" s="14">
        <f ca="1">SUM(BX620,BY620,BZ620)</f>
        <v>0</v>
      </c>
      <c r="CD620" s="14"/>
      <c r="CE620" s="14">
        <f>SUM(CD620*0.1)</f>
        <v>0</v>
      </c>
      <c r="CF620" s="14">
        <f ca="1">SUM(CG620*CH620)</f>
        <v>0</v>
      </c>
      <c r="CG620" s="17">
        <f>SUM((CD620+CE620)*0.00833333333333333)</f>
        <v>0</v>
      </c>
      <c r="CH620" s="23">
        <f ca="1">MONTH(TODAY())+13</f>
        <v>17</v>
      </c>
      <c r="CI620" s="14">
        <f ca="1">SUM(CD620,CE620,CF620)</f>
        <v>0</v>
      </c>
      <c r="CJ620" s="14">
        <v>0</v>
      </c>
      <c r="CK620" s="14">
        <f>SUM(CJ620*0.1)</f>
        <v>0</v>
      </c>
      <c r="CL620" s="14">
        <f ca="1">SUM(CM620*CN620)</f>
        <v>0</v>
      </c>
      <c r="CM620" s="17">
        <f>SUM((CJ620+CK620)*0.00833333333333333)</f>
        <v>0</v>
      </c>
      <c r="CN620" s="23">
        <f ca="1">MONTH(TODAY())+1</f>
        <v>5</v>
      </c>
      <c r="CO620" s="14">
        <f ca="1">SUM(CJ620,CK620,CL620)</f>
        <v>0</v>
      </c>
      <c r="CP620" s="14">
        <f>SUM(EG620*0.0052)/2-102.06</f>
        <v>-102.06</v>
      </c>
      <c r="CQ620" s="14">
        <v>0</v>
      </c>
      <c r="CR620" s="14">
        <v>0</v>
      </c>
      <c r="CS620" s="17">
        <f>SUM((CP620+CQ620)*0.00833333333333333)</f>
        <v>-0.8504999999999997</v>
      </c>
      <c r="CT620" s="23">
        <f ca="1">MONTH(TODAY())-6</f>
        <v>-2</v>
      </c>
      <c r="CU620" s="23">
        <f>SUM(CP620,CQ620,CR620)</f>
        <v>-102.06</v>
      </c>
      <c r="CV620" s="14">
        <f>SUM(EG620*0.0052)/2</f>
        <v>0</v>
      </c>
      <c r="CW620" s="14">
        <v>0</v>
      </c>
      <c r="CX620" s="14">
        <v>0</v>
      </c>
      <c r="CY620" s="17"/>
      <c r="CZ620" s="23"/>
      <c r="DA620" s="14"/>
      <c r="DB620" s="14"/>
      <c r="DC620" s="14"/>
      <c r="DD620" s="17"/>
      <c r="DE620" s="23"/>
      <c r="DF620" s="23"/>
      <c r="DG620" s="14"/>
      <c r="DH620" s="14"/>
      <c r="DI620" s="14"/>
      <c r="DJ620" s="17"/>
      <c r="DK620" s="23"/>
      <c r="DL620" s="23"/>
      <c r="DM620" s="14">
        <f ca="1">SUM( BQ620, BW620, CC620, CI620, CO620,CU620,DA620,DG620)</f>
        <v>-102.06</v>
      </c>
      <c r="DN620" s="14">
        <f t="shared" ref="DN620:DO622" si="265">SUM(BR620,BX620,CD620,CJ620, CP620,CV620,DB620,DH620)</f>
        <v>-102.06</v>
      </c>
      <c r="DO620" s="14">
        <f t="shared" si="265"/>
        <v>0</v>
      </c>
      <c r="DP620" s="14"/>
      <c r="DQ620" s="14"/>
      <c r="DR620" s="47"/>
      <c r="DS620" s="14"/>
      <c r="DT620" s="32"/>
      <c r="DU620" s="14"/>
      <c r="DV620" s="14"/>
      <c r="DW620" s="14">
        <f>SUM(DQ620,DS620,EC620, DV620, DU620,GE620)</f>
        <v>0</v>
      </c>
      <c r="DX620" s="14">
        <v>44.53</v>
      </c>
      <c r="DY620" s="14"/>
      <c r="DZ620" s="14"/>
      <c r="EA620" s="23"/>
      <c r="EB620" s="25"/>
      <c r="EC620" s="14"/>
      <c r="ED620" s="24"/>
      <c r="EE620" s="25"/>
      <c r="EF620" s="25"/>
      <c r="EG620" s="25"/>
      <c r="EH620" s="36">
        <v>0.46</v>
      </c>
      <c r="EI620" s="18" t="s">
        <v>345</v>
      </c>
      <c r="EJ620" s="18" t="s">
        <v>2424</v>
      </c>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27"/>
      <c r="FS620" s="28"/>
      <c r="FT620" s="18"/>
      <c r="FU620" s="18"/>
      <c r="FV620" s="18"/>
      <c r="FW620" s="18"/>
      <c r="FX620" s="18"/>
      <c r="FY620" s="18"/>
      <c r="FZ620" s="18"/>
      <c r="GA620" s="18"/>
      <c r="GB620" s="18"/>
      <c r="GC620" s="18"/>
      <c r="GD620" s="18"/>
      <c r="GE620" s="18"/>
      <c r="GF620" s="18"/>
      <c r="GG620" s="18"/>
      <c r="GH620" s="18"/>
      <c r="GI620" s="18"/>
      <c r="GJ620" s="18"/>
      <c r="GK620" s="27"/>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4"/>
      <c r="JB620" s="18"/>
      <c r="JC620" s="18"/>
    </row>
    <row r="621" spans="1:263" ht="15" customHeight="1">
      <c r="A621" s="19">
        <v>102017064</v>
      </c>
      <c r="B621" s="18" t="s">
        <v>335</v>
      </c>
      <c r="C621" s="13"/>
      <c r="D621" s="13"/>
      <c r="E621" s="24"/>
      <c r="F621" s="24"/>
      <c r="G621" s="18"/>
      <c r="H621" s="18"/>
      <c r="I621" s="18"/>
      <c r="J621" s="18" t="s">
        <v>253</v>
      </c>
      <c r="K621" s="18" t="s">
        <v>337</v>
      </c>
      <c r="L621" s="18" t="s">
        <v>338</v>
      </c>
      <c r="M621" s="18" t="s">
        <v>256</v>
      </c>
      <c r="N621" s="18"/>
      <c r="O621" s="13"/>
      <c r="P621" s="18" t="s">
        <v>339</v>
      </c>
      <c r="Q621" s="18" t="s">
        <v>340</v>
      </c>
      <c r="R621" s="18" t="s">
        <v>256</v>
      </c>
      <c r="S621" s="18" t="s">
        <v>341</v>
      </c>
      <c r="T621" s="13"/>
      <c r="U621" s="18"/>
      <c r="V621" s="18"/>
      <c r="W621" s="18"/>
      <c r="X621" s="18"/>
      <c r="Y621" s="18"/>
      <c r="Z621" s="18"/>
      <c r="AA621" s="18"/>
      <c r="AB621" s="13"/>
      <c r="AC621" s="18"/>
      <c r="AD621" s="18" t="s">
        <v>2518</v>
      </c>
      <c r="AE621" s="18" t="s">
        <v>2519</v>
      </c>
      <c r="AF621" s="18" t="s">
        <v>337</v>
      </c>
      <c r="AG621" s="244" t="s">
        <v>342</v>
      </c>
      <c r="AH621" s="24" t="s">
        <v>343</v>
      </c>
      <c r="AI621" s="24" t="s">
        <v>344</v>
      </c>
      <c r="AJ621" s="14"/>
      <c r="AK621" s="13"/>
      <c r="AL621" s="14"/>
      <c r="AM621" s="14"/>
      <c r="AN621" s="20"/>
      <c r="AO621" s="24" t="s">
        <v>343</v>
      </c>
      <c r="AP621" s="24" t="s">
        <v>258</v>
      </c>
      <c r="AQ621" s="18" t="s">
        <v>344</v>
      </c>
      <c r="AR621" s="18" t="s">
        <v>260</v>
      </c>
      <c r="AS621" s="13"/>
      <c r="AT621" s="13" t="s">
        <v>258</v>
      </c>
      <c r="AU621" s="13"/>
      <c r="AV621" s="13"/>
      <c r="AW621" s="13"/>
      <c r="AX621" s="19"/>
      <c r="AY621" s="114"/>
      <c r="AZ621" s="114"/>
      <c r="BA621" s="22"/>
      <c r="BB621" s="22"/>
      <c r="BC621" s="18"/>
      <c r="BD621" s="14"/>
      <c r="BE621" s="14"/>
      <c r="BF621" s="14"/>
      <c r="BG621" s="14"/>
      <c r="BH621" s="14"/>
      <c r="BI621" s="14"/>
      <c r="BJ621" s="14"/>
      <c r="BK621" s="17"/>
      <c r="BL621" s="20">
        <f ca="1">SUM(EB621)+214.5</f>
        <v>805.94799999999987</v>
      </c>
      <c r="BM621" s="22">
        <f ca="1">PMT(10%/12,12,BL621,0,0)</f>
        <v>-70.855633481251758</v>
      </c>
      <c r="BN621" s="22">
        <f ca="1">SUM(BM621*-1)</f>
        <v>70.855633481251758</v>
      </c>
      <c r="BO621" s="14" t="e">
        <f>SUM(#REF!*0.0052)/12</f>
        <v>#REF!</v>
      </c>
      <c r="BP621" s="22" t="e">
        <f ca="1">SUM(BN621+BO621)</f>
        <v>#REF!</v>
      </c>
      <c r="BQ621" s="14"/>
      <c r="BR621" s="14">
        <f>SUM(BQ621*0.1)</f>
        <v>0</v>
      </c>
      <c r="BS621" s="14">
        <f ca="1">SUM(BT621*BU621)</f>
        <v>0</v>
      </c>
      <c r="BT621" s="17">
        <f>SUM((BQ621+BR621)*0.00833333333333333)</f>
        <v>0</v>
      </c>
      <c r="BU621" s="23">
        <f ca="1">MONTH(TODAY())+61</f>
        <v>65</v>
      </c>
      <c r="BV621" s="14">
        <f ca="1">SUM(BQ621,BR621,BS621)</f>
        <v>0</v>
      </c>
      <c r="BW621" s="14"/>
      <c r="BX621" s="14">
        <f>SUM(BW621*0.1)</f>
        <v>0</v>
      </c>
      <c r="BY621" s="14">
        <f ca="1">SUM(BZ621*CA621)</f>
        <v>0</v>
      </c>
      <c r="BZ621" s="17">
        <f>SUM((BW621+BX621)*0.00833333333333333)</f>
        <v>0</v>
      </c>
      <c r="CA621" s="23">
        <f ca="1">MONTH(TODAY())+49</f>
        <v>53</v>
      </c>
      <c r="CB621" s="14">
        <f ca="1">SUM(BW621,BX621,BY621)</f>
        <v>0</v>
      </c>
      <c r="CC621" s="14">
        <v>0</v>
      </c>
      <c r="CD621" s="14">
        <f>SUM(CC621*0.1)</f>
        <v>0</v>
      </c>
      <c r="CE621" s="14">
        <f ca="1">SUM(CF621*CG621)</f>
        <v>0</v>
      </c>
      <c r="CF621" s="17">
        <f>SUM((CC621+CD621)*0.00833333333333333)</f>
        <v>0</v>
      </c>
      <c r="CG621" s="23">
        <f ca="1">MONTH(TODAY())+37</f>
        <v>41</v>
      </c>
      <c r="CH621" s="14">
        <f ca="1">SUM(CC621,CD621,CE621)</f>
        <v>0</v>
      </c>
      <c r="CI621" s="14">
        <f>SUM(EG621*0.0052)</f>
        <v>0</v>
      </c>
      <c r="CJ621" s="14">
        <f>SUM(CI621*0.1)</f>
        <v>0</v>
      </c>
      <c r="CK621" s="14">
        <f ca="1">SUM(CL621*CM621)</f>
        <v>0</v>
      </c>
      <c r="CL621" s="17">
        <f>SUM((CI621+CJ621)*0.00833333333333333)</f>
        <v>0</v>
      </c>
      <c r="CM621" s="23">
        <f ca="1">MONTH(TODAY())+25</f>
        <v>29</v>
      </c>
      <c r="CN621" s="14">
        <f ca="1">SUM(CI621,CJ621,CK621)</f>
        <v>0</v>
      </c>
      <c r="CO621" s="14">
        <f>SUM(EG621*0.0052)/2</f>
        <v>0</v>
      </c>
      <c r="CP621" s="14">
        <f>SUM(CO621*0.1)</f>
        <v>0</v>
      </c>
      <c r="CQ621" s="14">
        <f ca="1">SUM(CR621*CS621)</f>
        <v>0</v>
      </c>
      <c r="CR621" s="17">
        <f>SUM((CO621+CP621)*0.00833333333333333)</f>
        <v>0</v>
      </c>
      <c r="CS621" s="23">
        <f ca="1">MONTH(TODAY())+17</f>
        <v>21</v>
      </c>
      <c r="CT621" s="23">
        <f ca="1">SUM(CO621,CP621,CQ621)</f>
        <v>0</v>
      </c>
      <c r="CU621" s="14">
        <f>SUM(EG621*0.0052)/2</f>
        <v>0</v>
      </c>
      <c r="CV621" s="14">
        <f>SUM(CU621*0.1)</f>
        <v>0</v>
      </c>
      <c r="CW621" s="14">
        <f ca="1">SUM(CX621*CY621)</f>
        <v>0</v>
      </c>
      <c r="CX621" s="17">
        <f>SUM((CU621+CV621)*0.00833333333333333)</f>
        <v>0</v>
      </c>
      <c r="CY621" s="23">
        <f ca="1">MONTH(TODAY())+13</f>
        <v>17</v>
      </c>
      <c r="CZ621" s="23">
        <f ca="1">SUM(CU621,CV621,CW621)</f>
        <v>0</v>
      </c>
      <c r="DA621" s="14">
        <f>SUM(EJ621*0.0045)/2</f>
        <v>234.22499999999999</v>
      </c>
      <c r="DB621" s="14">
        <f>SUM(DA621*0.1)</f>
        <v>23.422499999999999</v>
      </c>
      <c r="DC621" s="14">
        <f ca="1">SUM(DD621*DE621)</f>
        <v>23.617687499999988</v>
      </c>
      <c r="DD621" s="17">
        <f>SUM((DA621+DB621)*0.00833333333333333)</f>
        <v>2.1470624999999988</v>
      </c>
      <c r="DE621" s="23">
        <f ca="1">MONTH(TODAY())+7</f>
        <v>11</v>
      </c>
      <c r="DF621" s="23">
        <f ca="1">SUM(DA621,DB621,DC621)</f>
        <v>281.26518749999997</v>
      </c>
      <c r="DG621" s="14">
        <f>SUM(EJ621*0.0045)/2</f>
        <v>234.22499999999999</v>
      </c>
      <c r="DH621" s="14">
        <f>SUM(DG621*0.1)</f>
        <v>23.422499999999999</v>
      </c>
      <c r="DI621" s="14">
        <f ca="1">SUM(DJ621*DK621)</f>
        <v>10.735312499999994</v>
      </c>
      <c r="DJ621" s="17">
        <f>SUM((DG621+DH621)*0.00833333333333333)</f>
        <v>2.1470624999999988</v>
      </c>
      <c r="DK621" s="23">
        <f ca="1">MONTH(TODAY())+1</f>
        <v>5</v>
      </c>
      <c r="DL621" s="14">
        <f ca="1">SUM(DG621,DH621,DI621)</f>
        <v>268.3828125</v>
      </c>
      <c r="DM621" s="14">
        <f>SUM( BQ621, BW621, CC621, CI621, CO621,CU621,DA621,DG621)</f>
        <v>468.45</v>
      </c>
      <c r="DN621" s="14">
        <f t="shared" si="265"/>
        <v>46.844999999999999</v>
      </c>
      <c r="DO621" s="14">
        <f t="shared" ca="1" si="265"/>
        <v>34.35299999999998</v>
      </c>
      <c r="DP621" s="25">
        <f ca="1">SUM(DM621:DO621)</f>
        <v>549.64799999999991</v>
      </c>
      <c r="DQ621" s="47" t="e">
        <f ca="1">SUM(DP621/EG621)</f>
        <v>#DIV/0!</v>
      </c>
      <c r="DR621" s="14">
        <v>40</v>
      </c>
      <c r="DS621" s="32">
        <f>COUNTIF(DX621, "*")+COUNTIF(Paid!AO814, "*")+COUNTIF(Paid!AJ814, "*")+COUNTIF(Paid!AA814, "*")+COUNTIF(ER621, "*")+COUNTIF(Paid!FA814, "*")+COUNTIF(Paid!FG814, "*")+COUNTIF(Paid!FK814, "*")+COUNTIF(Paid!FR814, "*")+COUNTIF(Paid!AT814, "*")+COUNTIF(Paid!GA814, "*")+COUNTIF(Paid!GL814, "*")+COUNTIF(Paid!GW814, "*")+COUNTIF(Paid!HE814, "*")+COUNTIF(Paid!HM814, "*")+COUNTIF(Paid!HU814, "*")</f>
        <v>3</v>
      </c>
      <c r="DT621" s="14">
        <f>DS621*0.6</f>
        <v>1.7999999999999998</v>
      </c>
      <c r="DU621" s="4"/>
      <c r="DV621" s="4"/>
      <c r="DW621" s="4"/>
      <c r="DX621" s="4"/>
      <c r="DZ621" s="4"/>
      <c r="EA621" s="14">
        <f>SUM(DV621:DZ621)</f>
        <v>0</v>
      </c>
      <c r="EB621" s="14">
        <f ca="1">SUM(DP621,DR621,EA621, DU621, DT621,Paid!FX814)</f>
        <v>591.44799999999987</v>
      </c>
      <c r="EC621" s="23">
        <v>2023</v>
      </c>
      <c r="ED621" s="14"/>
      <c r="EE621" s="14">
        <v>0</v>
      </c>
      <c r="EF621" s="23">
        <v>0</v>
      </c>
      <c r="EG621" s="25">
        <f>SUM(EE621+EF621)</f>
        <v>0</v>
      </c>
      <c r="EH621" s="25">
        <v>8300</v>
      </c>
      <c r="EI621" s="25">
        <v>95800</v>
      </c>
      <c r="EJ621" s="25">
        <f>SUM(EH621+EI621)</f>
        <v>104100</v>
      </c>
      <c r="EK621" s="18" t="s">
        <v>345</v>
      </c>
      <c r="EL621" s="18" t="s">
        <v>2424</v>
      </c>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27"/>
      <c r="FU621" s="28"/>
      <c r="FV621" s="18"/>
      <c r="FW621" s="18"/>
      <c r="FX621" s="18"/>
      <c r="FY621" s="18"/>
      <c r="FZ621" s="18"/>
      <c r="GA621" s="18"/>
      <c r="GB621" s="18"/>
      <c r="GC621" s="18"/>
      <c r="GD621" s="18"/>
      <c r="GE621" s="18"/>
      <c r="GF621" s="18"/>
      <c r="GG621" s="18"/>
      <c r="GH621" s="18"/>
      <c r="GI621" s="18"/>
      <c r="GJ621" s="18"/>
      <c r="GK621" s="18"/>
      <c r="GL621" s="18"/>
      <c r="GM621" s="27"/>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4"/>
    </row>
    <row r="622" spans="1:263" ht="15" customHeight="1">
      <c r="A622" s="19">
        <v>102023136</v>
      </c>
      <c r="B622" s="18" t="s">
        <v>4354</v>
      </c>
      <c r="D622" s="1"/>
      <c r="E622" s="3"/>
      <c r="F622" s="3"/>
      <c r="J622" s="18" t="s">
        <v>554</v>
      </c>
      <c r="K622" s="18" t="s">
        <v>4481</v>
      </c>
      <c r="L622" s="18" t="s">
        <v>1020</v>
      </c>
      <c r="M622" s="18" t="s">
        <v>850</v>
      </c>
      <c r="N622" s="18"/>
      <c r="O622" s="19"/>
      <c r="P622" s="18" t="s">
        <v>4481</v>
      </c>
      <c r="Q622" s="18" t="s">
        <v>2025</v>
      </c>
      <c r="R622" s="18" t="s">
        <v>309</v>
      </c>
      <c r="S622" s="18"/>
      <c r="AG622" s="43"/>
      <c r="AJ622" t="s">
        <v>4482</v>
      </c>
      <c r="AK622" t="s">
        <v>258</v>
      </c>
      <c r="AL622" t="s">
        <v>349</v>
      </c>
      <c r="AM622" t="s">
        <v>260</v>
      </c>
      <c r="AN622"/>
      <c r="AO622" s="18" t="s">
        <v>4483</v>
      </c>
      <c r="AP622" s="3" t="s">
        <v>258</v>
      </c>
      <c r="AQ622" s="18" t="s">
        <v>300</v>
      </c>
      <c r="AR622" t="s">
        <v>301</v>
      </c>
      <c r="AX622" s="1"/>
      <c r="AY622" s="1"/>
      <c r="AZ622" s="1"/>
      <c r="BA622" s="1"/>
      <c r="BB622" s="1"/>
      <c r="BC622" s="2"/>
      <c r="BD622" s="116"/>
      <c r="BE622" s="115"/>
      <c r="BF622" s="2"/>
      <c r="BG622" s="2"/>
      <c r="BH622" s="2"/>
      <c r="BI622" s="2"/>
      <c r="BJ622" s="2"/>
      <c r="BK622" s="2"/>
      <c r="BL622" s="20">
        <f ca="1">SUM(EB622)+220</f>
        <v>626.60739999999998</v>
      </c>
      <c r="BM622" s="22">
        <f ca="1">PMT(10%/12,12,BL622,0,0)</f>
        <v>-55.088745515889514</v>
      </c>
      <c r="BN622" s="22">
        <f ca="1">SUM(BM622*-1)</f>
        <v>55.088745515889514</v>
      </c>
      <c r="BO622" s="14">
        <f>SUM(EJ622*0.0052)/12</f>
        <v>17.029999999999998</v>
      </c>
      <c r="BP622" s="22">
        <f ca="1">SUM(BN622+BO622)</f>
        <v>72.118745515889515</v>
      </c>
      <c r="BQ622" s="14"/>
      <c r="BR622" s="14">
        <f>SUM(BQ622*0.1)</f>
        <v>0</v>
      </c>
      <c r="BS622" s="14">
        <f ca="1">SUM(BT622*BU622)</f>
        <v>0</v>
      </c>
      <c r="BT622" s="17">
        <f>SUM((BQ622+BR622)*0.00833333333333333)</f>
        <v>0</v>
      </c>
      <c r="BU622" s="23">
        <f ca="1">MONTH(TODAY())+49</f>
        <v>53</v>
      </c>
      <c r="BV622" s="14">
        <f ca="1">SUM(BQ622,BR622,BS622)</f>
        <v>0</v>
      </c>
      <c r="BW622" s="14"/>
      <c r="BX622" s="14">
        <f>SUM(BW622*0.1)</f>
        <v>0</v>
      </c>
      <c r="BY622" s="14">
        <f ca="1">SUM(BZ622*CA622)</f>
        <v>0</v>
      </c>
      <c r="BZ622" s="17">
        <f>SUM((BW622+BX622)*0.00833333333333333)</f>
        <v>0</v>
      </c>
      <c r="CA622" s="23">
        <f ca="1">MONTH(TODAY())+37</f>
        <v>41</v>
      </c>
      <c r="CB622" s="14">
        <f ca="1">SUM(BW622,BX622,BY622)</f>
        <v>0</v>
      </c>
      <c r="CC622" s="14">
        <v>0</v>
      </c>
      <c r="CD622" s="14">
        <f>SUM(CC622*0.1)</f>
        <v>0</v>
      </c>
      <c r="CE622" s="14">
        <f ca="1">SUM(CF622*CG622)</f>
        <v>0</v>
      </c>
      <c r="CF622" s="17">
        <f>SUM((CC622+CD622)*0.00833333333333333)</f>
        <v>0</v>
      </c>
      <c r="CG622" s="23">
        <f ca="1">MONTH(TODAY())+25</f>
        <v>29</v>
      </c>
      <c r="CH622" s="14">
        <f ca="1">SUM(CC622,CD622,CE622)</f>
        <v>0</v>
      </c>
      <c r="CI622" s="14">
        <f>SUM(EG622*0.0052)</f>
        <v>122.72</v>
      </c>
      <c r="CJ622" s="14">
        <f>SUM(CI622*0.1)</f>
        <v>12.272</v>
      </c>
      <c r="CK622" s="14">
        <f ca="1">SUM(CL622*CM622)</f>
        <v>19.123866666666654</v>
      </c>
      <c r="CL622" s="17">
        <f>SUM((CI622+CJ622)*0.00833333333333333)</f>
        <v>1.1249333333333327</v>
      </c>
      <c r="CM622" s="23">
        <f ca="1">MONTH(TODAY())+13</f>
        <v>17</v>
      </c>
      <c r="CN622" s="14">
        <f ca="1">SUM(CI622,CJ622,CK622)</f>
        <v>154.11586666666665</v>
      </c>
      <c r="CO622" s="14">
        <f>SUM(EG622*0.0052)/2</f>
        <v>61.36</v>
      </c>
      <c r="CP622" s="14">
        <f>SUM(CO622*0.1)</f>
        <v>6.1360000000000001</v>
      </c>
      <c r="CQ622" s="14">
        <f ca="1">SUM(CR622*CS622)</f>
        <v>5.0621999999999971</v>
      </c>
      <c r="CR622" s="17">
        <f>SUM((CO622+CP622)*0.00833333333333333)</f>
        <v>0.56246666666666634</v>
      </c>
      <c r="CS622" s="23">
        <f ca="1">MONTH(TODAY())+5</f>
        <v>9</v>
      </c>
      <c r="CT622" s="23">
        <f ca="1">SUM(CO622,CP622,CQ622)</f>
        <v>72.558199999999999</v>
      </c>
      <c r="CU622" s="14">
        <f>SUM(EG622*0.0052)/2</f>
        <v>61.36</v>
      </c>
      <c r="CV622" s="14">
        <f>SUM(CU622*0.1)</f>
        <v>6.1360000000000001</v>
      </c>
      <c r="CW622" s="14">
        <f ca="1">SUM(CX622*CY622)</f>
        <v>2.8123333333333318</v>
      </c>
      <c r="CX622" s="17">
        <f>SUM((CU622+CV622)*0.00833333333333333)</f>
        <v>0.56246666666666634</v>
      </c>
      <c r="CY622" s="23">
        <f ca="1">MONTH(TODAY())+1</f>
        <v>5</v>
      </c>
      <c r="CZ622" s="23">
        <f ca="1">SUM(CU622,CV622,CW622)</f>
        <v>70.308333333333323</v>
      </c>
      <c r="DA622" s="14">
        <f>SUM(EJ622*0.0045)/2</f>
        <v>88.424999999999997</v>
      </c>
      <c r="DB622" s="14">
        <v>0</v>
      </c>
      <c r="DC622" s="14">
        <v>0</v>
      </c>
      <c r="DD622" s="17">
        <f>SUM((DA622+DB622)*0.00833333333333333)</f>
        <v>0.73687499999999961</v>
      </c>
      <c r="DE622" s="23">
        <f ca="1">MONTH(TODAY())-5</f>
        <v>-1</v>
      </c>
      <c r="DF622" s="23">
        <f>SUM(DA622,DB622,DC622)</f>
        <v>88.424999999999997</v>
      </c>
      <c r="DG622" s="14">
        <v>0</v>
      </c>
      <c r="DH622" s="14">
        <v>0</v>
      </c>
      <c r="DI622" s="14">
        <v>0</v>
      </c>
      <c r="DJ622" s="17">
        <f>SUM((DG622+DH622)*0.00833333333333333)</f>
        <v>0</v>
      </c>
      <c r="DK622" s="23">
        <f ca="1">MONTH(TODAY())+1</f>
        <v>5</v>
      </c>
      <c r="DL622" s="23">
        <f>SUM(DG622,DH622,DI622)</f>
        <v>0</v>
      </c>
      <c r="DM622" s="14">
        <f>SUM( BQ622, BW622, CC622, CI622, CO622,CU622,DA622,DG622)</f>
        <v>333.86500000000001</v>
      </c>
      <c r="DN622" s="14">
        <f t="shared" si="265"/>
        <v>24.544</v>
      </c>
      <c r="DO622" s="14">
        <f t="shared" ca="1" si="265"/>
        <v>26.998399999999982</v>
      </c>
      <c r="DP622" s="25">
        <f ca="1">SUM(DM622:DO622)</f>
        <v>385.4074</v>
      </c>
      <c r="DQ622" s="47">
        <f ca="1">SUM(DP622/EG622)</f>
        <v>1.6330822033898306E-2</v>
      </c>
      <c r="DR622" s="14">
        <v>20</v>
      </c>
      <c r="DS622" s="32">
        <f>COUNTIF(DX622, "*")+COUNTIF(AO622, "*")+COUNTIF(AJ622, "*")+COUNTIF(AA622, "*")+COUNTIF(EY622, "*")+COUNTIF(FE622, "*")+COUNTIF(FK622, "*")+COUNTIF(FO622, "*")+COUNTIF(FV622, "*")+COUNTIF(AT622, "*")+COUNTIF(GE622, "*")+COUNTIF(GP622, "*")+COUNTIF(HA622, "*")+COUNTIF(HI622, "*")+COUNTIF(HQ622, "*")+COUNTIF(HY622, "*")+COUNTIF(IG622, "*")</f>
        <v>2</v>
      </c>
      <c r="DT622" s="14">
        <f>DS622*0.6</f>
        <v>1.2</v>
      </c>
      <c r="DU622" s="4"/>
      <c r="DV622" s="4"/>
      <c r="DW622" s="4"/>
      <c r="DX622" s="4"/>
      <c r="DZ622" s="4"/>
      <c r="EA622" s="14">
        <f>SUM(DV622:DZ622)</f>
        <v>0</v>
      </c>
      <c r="EB622" s="14">
        <f ca="1">SUM(DP622,DR622,EA622, DU622, DT622,GB622)</f>
        <v>406.60739999999998</v>
      </c>
      <c r="EC622" s="24" t="s">
        <v>3879</v>
      </c>
      <c r="ED622" s="130">
        <v>1.28</v>
      </c>
      <c r="EE622" s="14">
        <v>14000</v>
      </c>
      <c r="EF622" s="14">
        <v>9600</v>
      </c>
      <c r="EG622" s="14">
        <v>23600</v>
      </c>
      <c r="EH622" s="14">
        <v>26200</v>
      </c>
      <c r="EI622" s="14">
        <v>13100</v>
      </c>
      <c r="EJ622" s="14">
        <f>SUM(EH622+EI622)</f>
        <v>39300</v>
      </c>
      <c r="IM622" s="9"/>
      <c r="IX622" s="14">
        <f ca="1">SUM(IN622-EB622-GB622-IV622)</f>
        <v>-406.60739999999998</v>
      </c>
      <c r="IY622" s="9"/>
      <c r="IZ622" s="9"/>
      <c r="JA622" s="9"/>
      <c r="JB622" s="9"/>
      <c r="JC622" s="9"/>
    </row>
    <row r="623" spans="1:263" s="18" customFormat="1" ht="15" customHeight="1">
      <c r="A623" s="19">
        <v>102022009</v>
      </c>
      <c r="B623" s="18" t="s">
        <v>2780</v>
      </c>
      <c r="C623" s="28"/>
      <c r="D623" s="159"/>
      <c r="E623" s="150"/>
      <c r="F623" s="149"/>
      <c r="G623" s="150">
        <v>220001836</v>
      </c>
      <c r="H623" s="28"/>
      <c r="I623" s="28"/>
      <c r="J623" s="28" t="s">
        <v>311</v>
      </c>
      <c r="K623" s="28" t="s">
        <v>399</v>
      </c>
      <c r="L623" s="28" t="s">
        <v>577</v>
      </c>
      <c r="M623" s="28" t="s">
        <v>850</v>
      </c>
      <c r="N623" s="28"/>
      <c r="O623" s="150"/>
      <c r="P623" s="28"/>
      <c r="Q623" s="28"/>
      <c r="R623" s="28"/>
      <c r="S623" s="28"/>
      <c r="T623" s="28"/>
      <c r="U623" s="28"/>
      <c r="V623" s="28"/>
      <c r="W623" s="28"/>
      <c r="X623" s="28"/>
      <c r="Y623" s="28"/>
      <c r="Z623" s="28"/>
      <c r="AA623" s="28"/>
      <c r="AB623" s="28"/>
      <c r="AC623" s="28"/>
      <c r="AD623" s="28"/>
      <c r="AE623" s="28"/>
      <c r="AF623" s="28"/>
      <c r="AG623" s="148" t="s">
        <v>3459</v>
      </c>
      <c r="AH623" s="28"/>
      <c r="AI623" s="28"/>
      <c r="AJ623" s="18" t="s">
        <v>328</v>
      </c>
      <c r="AK623" s="13"/>
      <c r="AL623" s="18" t="s">
        <v>349</v>
      </c>
      <c r="AO623" s="18" t="s">
        <v>2941</v>
      </c>
      <c r="AP623" s="13" t="s">
        <v>258</v>
      </c>
      <c r="AQ623" s="18" t="s">
        <v>349</v>
      </c>
      <c r="AR623" s="18" t="s">
        <v>260</v>
      </c>
      <c r="AX623" s="13"/>
      <c r="AY623" s="13"/>
      <c r="AZ623" s="13"/>
      <c r="BA623" s="13"/>
      <c r="BB623" s="13"/>
      <c r="BC623" s="48"/>
      <c r="BD623" s="114">
        <v>44605</v>
      </c>
      <c r="BE623" s="143">
        <v>44614</v>
      </c>
      <c r="BF623" s="48"/>
      <c r="BG623" s="19"/>
      <c r="BH623" s="48"/>
      <c r="BI623" s="48"/>
      <c r="BJ623" s="48"/>
      <c r="BK623" s="48"/>
      <c r="BL623" s="20">
        <f ca="1">SUM(EB623)+220</f>
        <v>4809.3140583333325</v>
      </c>
      <c r="BM623" s="22">
        <f ca="1">PMT(10%/12,12,BL623,0,0)</f>
        <v>-422.81511240613304</v>
      </c>
      <c r="BN623" s="22">
        <f ca="1">SUM(BM623*-1)</f>
        <v>422.81511240613304</v>
      </c>
      <c r="BO623" s="14">
        <f>SUM(EJ623*0.0052)/12</f>
        <v>82.63666666666667</v>
      </c>
      <c r="BP623" s="22">
        <f ca="1">SUM(BN623+BO623)</f>
        <v>505.4517790727997</v>
      </c>
      <c r="BQ623" s="14">
        <v>135.12</v>
      </c>
      <c r="BR623" s="14">
        <f>SUM(BQ623*0.1)</f>
        <v>13.512</v>
      </c>
      <c r="BS623" s="14">
        <f ca="1">SUM(BT623*BU623)</f>
        <v>50.782599999999981</v>
      </c>
      <c r="BT623" s="17">
        <f>SUM((BQ623+BR623)*0.00833333333333333)</f>
        <v>1.2385999999999995</v>
      </c>
      <c r="BU623" s="23">
        <f ca="1">MONTH(TODAY())+37</f>
        <v>41</v>
      </c>
      <c r="BV623" s="14">
        <f ca="1">SUM(BQ623,BR623,BS623)</f>
        <v>199.41459999999998</v>
      </c>
      <c r="BW623" s="14">
        <f>SUM(EG623*0.0052)</f>
        <v>794.04</v>
      </c>
      <c r="BX623" s="14">
        <f>SUM(BW623*0.1)</f>
        <v>79.403999999999996</v>
      </c>
      <c r="BY623" s="14">
        <f ca="1">SUM(BZ623*CA623)</f>
        <v>298.42669999999987</v>
      </c>
      <c r="BZ623" s="17">
        <f>SUM((BW623+BX623)*0.00833333333333333)</f>
        <v>7.2786999999999962</v>
      </c>
      <c r="CA623" s="23">
        <f ca="1">MONTH(TODAY())+37</f>
        <v>41</v>
      </c>
      <c r="CB623" s="14">
        <f ca="1">SUM(BW623,BX623,BY623)</f>
        <v>1171.8706999999999</v>
      </c>
      <c r="CC623" s="14">
        <v>6.52</v>
      </c>
      <c r="CD623" s="14">
        <f>SUM(CC623*0.1)</f>
        <v>0.65200000000000002</v>
      </c>
      <c r="CE623" s="14">
        <f ca="1">SUM(CF623*CG623)</f>
        <v>1.9722999999999993</v>
      </c>
      <c r="CF623" s="17">
        <f>SUM((CC623+CD623)*0.00833333333333333)</f>
        <v>5.9766666666666642E-2</v>
      </c>
      <c r="CG623" s="23">
        <f ca="1">MONTH(TODAY())+29</f>
        <v>33</v>
      </c>
      <c r="CH623" s="23">
        <f ca="1">SUM(CC623,CD623,CE623)</f>
        <v>9.1442999999999994</v>
      </c>
      <c r="CI623" s="14">
        <v>330.85</v>
      </c>
      <c r="CJ623" s="14">
        <f>SUM(CI623*0.1)</f>
        <v>33.085000000000001</v>
      </c>
      <c r="CK623" s="14">
        <f ca="1">SUM(CL623*CM623)</f>
        <v>87.950958333333304</v>
      </c>
      <c r="CL623" s="17">
        <f>SUM((CI623+CJ623)*0.00833333333333333)</f>
        <v>3.0327916666666654</v>
      </c>
      <c r="CM623" s="23">
        <f ca="1">MONTH(TODAY())+25</f>
        <v>29</v>
      </c>
      <c r="CN623" s="14">
        <f ca="1">SUM(CI623,CJ623,CK623)</f>
        <v>451.88595833333329</v>
      </c>
      <c r="CO623" s="14">
        <f>SUM(EJ623*0.0045)/2</f>
        <v>429.07499999999999</v>
      </c>
      <c r="CP623" s="14">
        <f>SUM(CO623*0.1)</f>
        <v>42.907499999999999</v>
      </c>
      <c r="CQ623" s="14">
        <f ca="1">SUM(CR623*CS623)</f>
        <v>90.463312499999958</v>
      </c>
      <c r="CR623" s="17">
        <f>SUM((CO623+CP623)*0.00833333333333333)</f>
        <v>3.9331874999999981</v>
      </c>
      <c r="CS623" s="23">
        <f ca="1">MONTH(TODAY())+19</f>
        <v>23</v>
      </c>
      <c r="CT623" s="14">
        <f ca="1">SUM(CO623,CP623,CQ623)</f>
        <v>562.44581249999987</v>
      </c>
      <c r="CU623" s="14">
        <f>SUM(EJ623*0.0045)/2</f>
        <v>429.07499999999999</v>
      </c>
      <c r="CV623" s="14">
        <f>SUM(CU623*0.1)</f>
        <v>42.907499999999999</v>
      </c>
      <c r="CW623" s="14">
        <f ca="1">SUM(CX623*CY623)</f>
        <v>66.864187499999971</v>
      </c>
      <c r="CX623" s="17">
        <f>SUM((CU623+CV623)*0.00833333333333333)</f>
        <v>3.9331874999999981</v>
      </c>
      <c r="CY623" s="23">
        <f ca="1">MONTH(TODAY())+13</f>
        <v>17</v>
      </c>
      <c r="CZ623" s="14">
        <f ca="1">SUM(CU623,CV623,CW623)</f>
        <v>538.84668749999992</v>
      </c>
      <c r="DA623" s="14">
        <f>SUM(EJ623*0.0045)/2</f>
        <v>429.07499999999999</v>
      </c>
      <c r="DB623" s="14">
        <f>SUM(DA623*0.1)</f>
        <v>42.907499999999999</v>
      </c>
      <c r="DC623" s="14">
        <f ca="1">SUM(DD623*DE623)</f>
        <v>43.265062499999978</v>
      </c>
      <c r="DD623" s="17">
        <f>SUM((DA623+DB623)*0.00833333333333333)</f>
        <v>3.9331874999999981</v>
      </c>
      <c r="DE623" s="23">
        <f ca="1">MONTH(TODAY())+7</f>
        <v>11</v>
      </c>
      <c r="DF623" s="14">
        <f ca="1">SUM(DA623,DB623,DC623)</f>
        <v>515.24756249999996</v>
      </c>
      <c r="DG623" s="14">
        <f>SUM(EJ623*0.0045)/2</f>
        <v>429.07499999999999</v>
      </c>
      <c r="DH623" s="14">
        <f>SUM(DG623*0.1)</f>
        <v>42.907499999999999</v>
      </c>
      <c r="DI623" s="14">
        <f ca="1">SUM(DJ623*DK623)</f>
        <v>19.665937499999991</v>
      </c>
      <c r="DJ623" s="17">
        <f>SUM((DG623+DH623)*0.00833333333333333)</f>
        <v>3.9331874999999981</v>
      </c>
      <c r="DK623" s="23">
        <f ca="1">MONTH(TODAY())+1</f>
        <v>5</v>
      </c>
      <c r="DL623" s="14">
        <f ca="1">SUM(DG623,DH623,DI623)</f>
        <v>491.64843749999994</v>
      </c>
      <c r="DM623" s="14">
        <f>SUM(BQ623, BW623, CC623,CI623,CO623,CU623,DA623,DG623)</f>
        <v>2982.8299999999995</v>
      </c>
      <c r="DN623" s="14">
        <f>SUM(BR623,BX623, CD623,CJ623,CP623,CV623,DB623,DH623)</f>
        <v>298.28300000000002</v>
      </c>
      <c r="DO623" s="14">
        <f ca="1">SUM(BS623,BY623, CE623,CK623,CQ623,CW623,DC623,DI623)</f>
        <v>659.39105833333315</v>
      </c>
      <c r="DP623" s="25">
        <f ca="1">SUM(DM623:DO623)</f>
        <v>3940.5040583333325</v>
      </c>
      <c r="DQ623" s="47">
        <f ca="1">SUM(DP623/EG623)</f>
        <v>2.5805527559484825E-2</v>
      </c>
      <c r="DR623" s="14">
        <f>19.5+19.5+195+156+40</f>
        <v>430</v>
      </c>
      <c r="DS623" s="32">
        <f>COUNTIF(AO623, "*")+COUNTIF(AJ623, "*")+COUNTIF(AA623, "*")+COUNTIF(EU623, "*")+COUNTIF(FA623, "*")+COUNTIF(FG623, "*")+COUNTIF(FK623, "*")+COUNTIF(FR623, "*")+COUNTIF(AT623, "*")+COUNTIF(GA623, "*")+COUNTIF(GL623, "*")+COUNTIF(GW623, "*")+COUNTIF(HE623, "*")+COUNTIF(HM623, "*")+COUNTIF(HU623, "*")</f>
        <v>2</v>
      </c>
      <c r="DT623" s="14">
        <f>DS623*0.53+DS623*6.66</f>
        <v>14.38</v>
      </c>
      <c r="DU623" s="14">
        <v>54.43</v>
      </c>
      <c r="DV623" s="14">
        <v>150</v>
      </c>
      <c r="DW623" s="14"/>
      <c r="DX623" s="14"/>
      <c r="DY623" s="14"/>
      <c r="DZ623" s="14"/>
      <c r="EA623" s="14">
        <f>SUM(DU623:DZ623)</f>
        <v>204.43</v>
      </c>
      <c r="EB623" s="14">
        <f ca="1">SUM(DP623,DR623,EA623,DT623,FX623)</f>
        <v>4589.3140583333325</v>
      </c>
      <c r="EC623" s="24" t="s">
        <v>2770</v>
      </c>
      <c r="ED623" s="23">
        <v>119</v>
      </c>
      <c r="EE623" s="14">
        <v>152300</v>
      </c>
      <c r="EF623" s="14">
        <v>400</v>
      </c>
      <c r="EG623" s="14">
        <f>SUM(EE623+EF623)</f>
        <v>152700</v>
      </c>
      <c r="EH623" s="14">
        <v>190400</v>
      </c>
      <c r="EI623" s="14">
        <v>300</v>
      </c>
      <c r="EJ623" s="14">
        <f>SUM(EH623+EI623)</f>
        <v>190700</v>
      </c>
      <c r="EK623" s="28" t="s">
        <v>3388</v>
      </c>
      <c r="EL623" s="28" t="s">
        <v>3389</v>
      </c>
      <c r="EM623" s="28" t="s">
        <v>3390</v>
      </c>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7"/>
      <c r="FP623" s="28"/>
      <c r="FQ623" s="28"/>
      <c r="FR623" s="28"/>
      <c r="FS623" s="28"/>
      <c r="FT623" s="28"/>
      <c r="FU623" s="28"/>
      <c r="FV623" s="27"/>
      <c r="FW623" s="28"/>
      <c r="FX623" s="28"/>
      <c r="FY623" s="28"/>
      <c r="FZ623" s="28"/>
      <c r="GA623" s="28"/>
      <c r="GB623" s="28"/>
      <c r="GC623" s="28"/>
      <c r="GD623" s="28"/>
      <c r="GE623" s="27"/>
      <c r="GF623" s="28"/>
      <c r="GG623" s="28"/>
      <c r="GH623" s="28"/>
      <c r="GI623" s="28"/>
      <c r="GJ623" s="28"/>
      <c r="GK623" s="28"/>
      <c r="GL623" s="28"/>
      <c r="GM623" s="28"/>
      <c r="GN623" s="28"/>
      <c r="GO623" s="28"/>
      <c r="GP623" s="27"/>
      <c r="GQ623" s="28"/>
      <c r="GR623" s="28"/>
      <c r="GS623" s="28"/>
      <c r="GT623" s="28"/>
      <c r="GU623" s="28"/>
      <c r="GV623" s="28"/>
      <c r="GW623" s="28"/>
      <c r="GX623" s="28"/>
      <c r="GY623" s="28"/>
      <c r="GZ623" s="28"/>
      <c r="HA623" s="27"/>
      <c r="HB623" s="28"/>
      <c r="HC623" s="28"/>
      <c r="HD623" s="28"/>
      <c r="HE623" s="28"/>
      <c r="HF623" s="28"/>
      <c r="HG623" s="28"/>
      <c r="HH623" s="28"/>
      <c r="HI623" s="27"/>
      <c r="HJ623" s="28"/>
      <c r="HK623" s="28"/>
      <c r="HL623" s="28"/>
      <c r="HM623" s="28"/>
      <c r="HN623" s="28"/>
      <c r="HO623" s="28"/>
      <c r="HP623" s="28"/>
      <c r="HQ623" s="27"/>
      <c r="HR623" s="28"/>
      <c r="HS623" s="28"/>
      <c r="HT623" s="28"/>
      <c r="HU623" s="28"/>
      <c r="HV623" s="28"/>
      <c r="HW623" s="28"/>
      <c r="HX623" s="28"/>
      <c r="HY623" s="27"/>
      <c r="HZ623" s="14"/>
      <c r="IA623" s="14"/>
      <c r="IB623" s="28"/>
      <c r="IC623" s="28"/>
      <c r="ID623" s="28"/>
      <c r="IE623" s="28"/>
      <c r="IF623" s="14"/>
      <c r="IG623" s="14"/>
      <c r="IH623" s="14">
        <f ca="1">SUM(HZ623-EB623-FX623-IF623)</f>
        <v>-4589.3140583333325</v>
      </c>
      <c r="II623" s="14"/>
      <c r="IJ623" s="14"/>
      <c r="IK623" s="27"/>
      <c r="IL623" s="27"/>
      <c r="IM623" s="27"/>
      <c r="IN623" s="27"/>
      <c r="IO623" s="27"/>
      <c r="IP623" s="27" t="s">
        <v>5913</v>
      </c>
      <c r="IQ623"/>
      <c r="IR623"/>
      <c r="IS623"/>
      <c r="IT623"/>
      <c r="IU623"/>
      <c r="IV623"/>
      <c r="IW623"/>
      <c r="IX623"/>
      <c r="IY623"/>
      <c r="IZ623"/>
      <c r="JA623"/>
      <c r="JB623"/>
      <c r="JC623"/>
    </row>
    <row r="624" spans="1:263" ht="15" customHeight="1">
      <c r="A624" s="19">
        <v>102022160</v>
      </c>
      <c r="B624" t="s">
        <v>2890</v>
      </c>
      <c r="D624" s="1" t="s">
        <v>3833</v>
      </c>
      <c r="E624" s="3"/>
      <c r="F624" s="3"/>
      <c r="K624" t="s">
        <v>3189</v>
      </c>
      <c r="Z624" t="s">
        <v>3191</v>
      </c>
      <c r="AA624" s="3" t="s">
        <v>3190</v>
      </c>
      <c r="AB624" s="3" t="s">
        <v>259</v>
      </c>
      <c r="AC624" t="s">
        <v>260</v>
      </c>
      <c r="AD624" t="s">
        <v>3970</v>
      </c>
      <c r="AE624" t="s">
        <v>796</v>
      </c>
      <c r="AF624" t="s">
        <v>3971</v>
      </c>
      <c r="AG624" s="43"/>
      <c r="AH624" t="s">
        <v>3972</v>
      </c>
      <c r="AJ624" s="18" t="s">
        <v>328</v>
      </c>
      <c r="AL624" s="3" t="s">
        <v>259</v>
      </c>
      <c r="AM624"/>
      <c r="AN624"/>
      <c r="AO624" s="3" t="s">
        <v>3190</v>
      </c>
      <c r="AP624" s="3" t="s">
        <v>258</v>
      </c>
      <c r="AQ624" t="s">
        <v>259</v>
      </c>
      <c r="AR624" t="s">
        <v>260</v>
      </c>
      <c r="AS624" s="1"/>
      <c r="AT624" s="1"/>
      <c r="AU624" s="1"/>
      <c r="AV624" s="1"/>
      <c r="AW624" s="1"/>
      <c r="AX624" s="2"/>
      <c r="AY624" s="115">
        <v>44661</v>
      </c>
      <c r="AZ624" s="115">
        <v>44649</v>
      </c>
      <c r="BA624" s="2"/>
      <c r="BB624" s="2"/>
      <c r="BC624" s="2"/>
      <c r="BD624" s="2"/>
      <c r="BE624" s="2"/>
      <c r="BF624" s="2"/>
      <c r="BG624" s="20">
        <f ca="1">SUM(DK624)+214.5</f>
        <v>1652.6484166666667</v>
      </c>
      <c r="BH624" s="22">
        <f ca="1">PMT(10%/12,12,BG624,0,0)</f>
        <v>-145.29405183052057</v>
      </c>
      <c r="BI624" s="22">
        <f ca="1">SUM(BH624*-1)</f>
        <v>145.29405183052057</v>
      </c>
      <c r="BJ624" s="14">
        <f>SUM(DU624*0.0052)/12</f>
        <v>23.183333333333334</v>
      </c>
      <c r="BK624" s="22">
        <f ca="1">SUM(BI624+BJ624)</f>
        <v>168.47738516385391</v>
      </c>
      <c r="BL624" s="14"/>
      <c r="BM624" s="14">
        <f>SUM(BL624*0.1)</f>
        <v>0</v>
      </c>
      <c r="BN624" s="14">
        <f ca="1">SUM(BO624*BP624)</f>
        <v>0</v>
      </c>
      <c r="BO624" s="17">
        <f>SUM((BL624+BM624)*0.00833333333333333)</f>
        <v>0</v>
      </c>
      <c r="BP624" s="23">
        <f ca="1">MONTH(TODAY())+49</f>
        <v>53</v>
      </c>
      <c r="BQ624" s="14">
        <f ca="1">SUM(BL624,BM624,BN624)</f>
        <v>0</v>
      </c>
      <c r="BR624" s="14"/>
      <c r="BS624" s="14">
        <f>SUM(BR624*0.1)</f>
        <v>0</v>
      </c>
      <c r="BT624" s="14">
        <f ca="1">SUM(BU624*BV624)</f>
        <v>0</v>
      </c>
      <c r="BU624" s="17">
        <f>SUM((BR624+BS624)*0.00833333333333333)</f>
        <v>0</v>
      </c>
      <c r="BV624" s="23">
        <f ca="1">MONTH(TODAY())+37</f>
        <v>41</v>
      </c>
      <c r="BW624" s="14">
        <f ca="1">SUM(BR624,BS624,BT624)</f>
        <v>0</v>
      </c>
      <c r="BX624" s="14"/>
      <c r="BY624" s="14">
        <f>SUM(BX624*0.1)</f>
        <v>0</v>
      </c>
      <c r="BZ624" s="14">
        <f ca="1">SUM(CA624*CB624)</f>
        <v>0</v>
      </c>
      <c r="CA624" s="17">
        <f>SUM((BX624+BY624)*0.00833333333333333)</f>
        <v>0</v>
      </c>
      <c r="CB624" s="23">
        <f ca="1">MONTH(TODAY())+25</f>
        <v>29</v>
      </c>
      <c r="CC624" s="14">
        <f ca="1">SUM(BX624,BY624,BZ624)</f>
        <v>0</v>
      </c>
      <c r="CD624" s="14">
        <f>SUM(DU624*0.0052)</f>
        <v>278.2</v>
      </c>
      <c r="CE624" s="14">
        <f>SUM(CD624*0.1)</f>
        <v>27.82</v>
      </c>
      <c r="CF624" s="14">
        <f ca="1">SUM(CG624*CH624)</f>
        <v>43.352833333333308</v>
      </c>
      <c r="CG624" s="17">
        <f>SUM((CD624+CE624)*0.00833333333333333)</f>
        <v>2.5501666666666654</v>
      </c>
      <c r="CH624" s="23">
        <f ca="1">MONTH(TODAY())+13</f>
        <v>17</v>
      </c>
      <c r="CI624" s="14">
        <f ca="1">SUM(CD624,CE624,CF624)</f>
        <v>349.37283333333329</v>
      </c>
      <c r="CJ624" s="14">
        <f>SUM(DU624*0.0052)</f>
        <v>278.2</v>
      </c>
      <c r="CK624" s="14">
        <f>SUM(CJ624*0.1)</f>
        <v>27.82</v>
      </c>
      <c r="CL624" s="14">
        <f ca="1">SUM(CM624*CN624)</f>
        <v>12.750833333333327</v>
      </c>
      <c r="CM624" s="17">
        <f>SUM((CJ624+CK624)*0.00833333333333333)</f>
        <v>2.5501666666666654</v>
      </c>
      <c r="CN624" s="23">
        <f ca="1">MONTH(TODAY())+1</f>
        <v>5</v>
      </c>
      <c r="CO624" s="14">
        <f ca="1">SUM(CJ624,CK624,CL624)</f>
        <v>318.77083333333331</v>
      </c>
      <c r="CP624" s="14">
        <f>SUM(DU624*0.0052)/2</f>
        <v>139.1</v>
      </c>
      <c r="CQ624" s="14">
        <f>SUM(CP624*0.1)</f>
        <v>13.91</v>
      </c>
      <c r="CR624" s="14">
        <f ca="1">SUM(CS624*CT624)</f>
        <v>-3.8252499999999978</v>
      </c>
      <c r="CS624" s="17">
        <f>SUM((CP624+CQ624)*0.00833333333333333)</f>
        <v>1.2750833333333327</v>
      </c>
      <c r="CT624" s="23">
        <f ca="1">MONTH(TODAY())-7</f>
        <v>-3</v>
      </c>
      <c r="CU624" s="23">
        <f ca="1">SUM(CP624,CQ624,CR624)</f>
        <v>149.18474999999998</v>
      </c>
      <c r="CV624" s="14">
        <f>SUM(DU624*0.0052)/2</f>
        <v>139.1</v>
      </c>
      <c r="CW624" s="14">
        <v>0</v>
      </c>
      <c r="CX624" s="14">
        <v>0</v>
      </c>
      <c r="CY624" s="17">
        <f>SUM((CV624+CW624)*0.00833333333333333)</f>
        <v>1.159166666666666</v>
      </c>
      <c r="CZ624" s="23">
        <f ca="1">MONTH(TODAY())-6</f>
        <v>-2</v>
      </c>
      <c r="DA624" s="23">
        <f>SUM(CV624,CW624,CX624)</f>
        <v>139.1</v>
      </c>
      <c r="DB624" s="14">
        <f>SUM(BL624, BR624, BX624, CD624, CJ624, CP624,CV624)</f>
        <v>834.6</v>
      </c>
      <c r="DC624" s="14">
        <f>SUM(BM624, BS624,BY624,CE624,CK624, CQ624,CW624)</f>
        <v>69.55</v>
      </c>
      <c r="DD624" s="14">
        <f ca="1">SUM(BN624, BT624,BZ624,CF624,CL624, CR624,CX624)</f>
        <v>52.278416666666637</v>
      </c>
      <c r="DE624" s="14">
        <f ca="1">SUM(DB624:DD624)</f>
        <v>956.42841666666664</v>
      </c>
      <c r="DF624" s="47">
        <f ca="1">SUM(DE624/DU624)</f>
        <v>1.7877166666666666E-2</v>
      </c>
      <c r="DG624" s="14">
        <f>19.5+19.5+195+39</f>
        <v>273</v>
      </c>
      <c r="DH624" s="32">
        <f>COUNTIF(DN624, "*")+COUNTIF(AO624, "*")+COUNTIF(AJ624, "*")+COUNTIF(AA624, "*")+COUNTIF(EK624, "*")+COUNTIF(EQ624, "*")+COUNTIF(EW624, "*")+COUNTIF(FA624, "*")+COUNTIF(FH624, "*")+COUNTIF(FO624, "*")+COUNTIF(FV624, "*")+COUNTIF(GG624, "*")+COUNTIF(GR624, "*")+COUNTIF(GZ624, "*")+COUNTIF(HH624, "*")+COUNTIF(HP624, "*")+COUNTIF(HX624, "*")</f>
        <v>4</v>
      </c>
      <c r="DI624" s="14">
        <f>DH624*0.5+DH624*6.66</f>
        <v>28.64</v>
      </c>
      <c r="DJ624" s="4">
        <v>150</v>
      </c>
      <c r="DK624" s="14">
        <f ca="1">SUM(DE624,DG624,DQ624, DJ624, DI624,FS624)</f>
        <v>1438.1484166666667</v>
      </c>
      <c r="DL624" s="14">
        <v>30.08</v>
      </c>
      <c r="DM624" s="4"/>
      <c r="DN624" s="4"/>
      <c r="DP624" s="4"/>
      <c r="DQ624" s="14">
        <f>SUM(DL624:DP624)</f>
        <v>30.08</v>
      </c>
      <c r="DR624" s="24" t="s">
        <v>2773</v>
      </c>
      <c r="DS624" s="4">
        <v>53500</v>
      </c>
      <c r="DT624" s="4">
        <v>0</v>
      </c>
      <c r="DU624" s="25">
        <f>SUM(DS624+DT624)</f>
        <v>53500</v>
      </c>
      <c r="DV624" s="35">
        <v>15.545</v>
      </c>
      <c r="DW624" t="s">
        <v>3652</v>
      </c>
      <c r="DX624" t="s">
        <v>3653</v>
      </c>
      <c r="FT624" t="s">
        <v>3654</v>
      </c>
      <c r="FU624" t="s">
        <v>3655</v>
      </c>
      <c r="FV624" t="s">
        <v>3656</v>
      </c>
      <c r="FX624" t="s">
        <v>279</v>
      </c>
      <c r="FY624" t="s">
        <v>268</v>
      </c>
      <c r="FZ624" s="9">
        <v>44488</v>
      </c>
      <c r="GA624" t="s">
        <v>3657</v>
      </c>
      <c r="ID624" s="9"/>
      <c r="IO624" s="14">
        <f ca="1">SUM(IE624-DK624-FS624-IM624)</f>
        <v>-1438.1484166666667</v>
      </c>
      <c r="IP624" s="9"/>
      <c r="IQ624" s="9"/>
      <c r="IR624" s="9"/>
      <c r="IS624" s="9"/>
      <c r="IT624" s="9"/>
      <c r="IZ624" s="240"/>
      <c r="JA624" s="240"/>
      <c r="JB624" s="240"/>
      <c r="JC624" s="240"/>
    </row>
    <row r="625" spans="1:263" ht="15" customHeight="1">
      <c r="A625" s="19">
        <v>102023118</v>
      </c>
      <c r="B625" s="18" t="s">
        <v>4372</v>
      </c>
      <c r="D625" s="1"/>
      <c r="E625" s="3"/>
      <c r="F625" s="3"/>
      <c r="J625" s="18" t="s">
        <v>434</v>
      </c>
      <c r="K625" s="18" t="s">
        <v>680</v>
      </c>
      <c r="L625" s="18" t="s">
        <v>354</v>
      </c>
      <c r="M625" s="18" t="s">
        <v>3050</v>
      </c>
      <c r="N625" s="18"/>
      <c r="O625" s="19"/>
      <c r="P625" s="18" t="s">
        <v>680</v>
      </c>
      <c r="Q625" s="18" t="s">
        <v>4445</v>
      </c>
      <c r="R625" s="18" t="s">
        <v>357</v>
      </c>
      <c r="S625" s="18"/>
      <c r="U625" t="s">
        <v>4447</v>
      </c>
      <c r="V625" t="s">
        <v>4448</v>
      </c>
      <c r="W625" t="s">
        <v>326</v>
      </c>
      <c r="AG625" s="43"/>
      <c r="AJ625" s="18" t="s">
        <v>328</v>
      </c>
      <c r="AL625" s="18" t="s">
        <v>259</v>
      </c>
      <c r="AM625"/>
      <c r="AN625"/>
      <c r="AO625" s="18" t="s">
        <v>4446</v>
      </c>
      <c r="AP625" s="3" t="s">
        <v>258</v>
      </c>
      <c r="AQ625" s="18" t="s">
        <v>267</v>
      </c>
      <c r="AR625" t="s">
        <v>268</v>
      </c>
      <c r="AX625" s="1"/>
      <c r="AY625" s="1"/>
      <c r="AZ625" s="1"/>
      <c r="BA625" s="1"/>
      <c r="BB625" s="1"/>
      <c r="BC625" s="2"/>
      <c r="BD625" s="115"/>
      <c r="BE625" s="115"/>
      <c r="BF625" s="2"/>
      <c r="BG625" s="2"/>
      <c r="BH625" s="2"/>
      <c r="BI625" s="2"/>
      <c r="BJ625" s="2"/>
      <c r="BK625" s="2"/>
      <c r="BL625" s="20">
        <f ca="1">SUM(EB625)+220</f>
        <v>502.61899999999997</v>
      </c>
      <c r="BM625" s="22">
        <f ca="1">PMT(10%/12,12,BL625,0,0)</f>
        <v>-44.188195323660196</v>
      </c>
      <c r="BN625" s="22">
        <f ca="1">SUM(BM625*-1)</f>
        <v>44.188195323660196</v>
      </c>
      <c r="BO625" s="14">
        <f>SUM(EJ625*0.0052)/12</f>
        <v>11.57</v>
      </c>
      <c r="BP625" s="22">
        <f ca="1">SUM(BN625+BO625)</f>
        <v>55.758195323660196</v>
      </c>
      <c r="BQ625" s="14"/>
      <c r="BR625" s="14">
        <f>SUM(BQ625*0.1)</f>
        <v>0</v>
      </c>
      <c r="BS625" s="14">
        <f ca="1">SUM(BT625*BU625)</f>
        <v>0</v>
      </c>
      <c r="BT625" s="17">
        <f>SUM((BQ625+BR625)*0.00833333333333333)</f>
        <v>0</v>
      </c>
      <c r="BU625" s="23">
        <f ca="1">MONTH(TODAY())+49</f>
        <v>53</v>
      </c>
      <c r="BV625" s="14">
        <f ca="1">SUM(BQ625,BR625,BS625)</f>
        <v>0</v>
      </c>
      <c r="BW625" s="14"/>
      <c r="BX625" s="14">
        <f>SUM(BW625*0.1)</f>
        <v>0</v>
      </c>
      <c r="BY625" s="14">
        <f ca="1">SUM(BZ625*CA625)</f>
        <v>0</v>
      </c>
      <c r="BZ625" s="17">
        <f>SUM((BW625+BX625)*0.00833333333333333)</f>
        <v>0</v>
      </c>
      <c r="CA625" s="23">
        <f ca="1">MONTH(TODAY())+37</f>
        <v>41</v>
      </c>
      <c r="CB625" s="14">
        <f ca="1">SUM(BW625,BX625,BY625)</f>
        <v>0</v>
      </c>
      <c r="CC625" s="14">
        <v>0</v>
      </c>
      <c r="CD625" s="14">
        <f>SUM(CC625*0.1)</f>
        <v>0</v>
      </c>
      <c r="CE625" s="14">
        <f ca="1">SUM(CF625*CG625)</f>
        <v>0</v>
      </c>
      <c r="CF625" s="17">
        <f>SUM((CC625+CD625)*0.00833333333333333)</f>
        <v>0</v>
      </c>
      <c r="CG625" s="23">
        <f ca="1">MONTH(TODAY())+25</f>
        <v>29</v>
      </c>
      <c r="CH625" s="14">
        <f ca="1">SUM(CC625,CD625,CE625)</f>
        <v>0</v>
      </c>
      <c r="CI625" s="14">
        <f>SUM(EG625*0.0052)</f>
        <v>83.2</v>
      </c>
      <c r="CJ625" s="14">
        <f>SUM(CI625*0.1)</f>
        <v>8.32</v>
      </c>
      <c r="CK625" s="14">
        <f ca="1">SUM(CL625*CM625)</f>
        <v>12.965333333333328</v>
      </c>
      <c r="CL625" s="17">
        <f>SUM((CI625+CJ625)*0.00833333333333333)</f>
        <v>0.76266666666666638</v>
      </c>
      <c r="CM625" s="23">
        <f ca="1">MONTH(TODAY())+13</f>
        <v>17</v>
      </c>
      <c r="CN625" s="14">
        <f ca="1">SUM(CI625,CJ625,CK625)</f>
        <v>104.48533333333334</v>
      </c>
      <c r="CO625" s="14">
        <f>SUM(EG625*0.0052)/2</f>
        <v>41.6</v>
      </c>
      <c r="CP625" s="14">
        <f>SUM(CO625*0.1)</f>
        <v>4.16</v>
      </c>
      <c r="CQ625" s="14">
        <f ca="1">SUM(CR625*CS625)</f>
        <v>3.4319999999999986</v>
      </c>
      <c r="CR625" s="17">
        <f>SUM((CO625+CP625)*0.00833333333333333)</f>
        <v>0.38133333333333319</v>
      </c>
      <c r="CS625" s="23">
        <f ca="1">MONTH(TODAY())+5</f>
        <v>9</v>
      </c>
      <c r="CT625" s="23">
        <f ca="1">SUM(CO625,CP625,CQ625)</f>
        <v>49.192000000000007</v>
      </c>
      <c r="CU625" s="14">
        <f>SUM(EG625*0.0052)/2</f>
        <v>41.6</v>
      </c>
      <c r="CV625" s="14">
        <f>SUM(CU625*0.1)</f>
        <v>4.16</v>
      </c>
      <c r="CW625" s="14">
        <f ca="1">SUM(CX625*CY625)</f>
        <v>1.9066666666666658</v>
      </c>
      <c r="CX625" s="17">
        <f>SUM((CU625+CV625)*0.00833333333333333)</f>
        <v>0.38133333333333319</v>
      </c>
      <c r="CY625" s="23">
        <f ca="1">MONTH(TODAY())+1</f>
        <v>5</v>
      </c>
      <c r="CZ625" s="23">
        <f ca="1">SUM(CU625,CV625,CW625)</f>
        <v>47.666666666666671</v>
      </c>
      <c r="DA625" s="14">
        <f>SUM(EJ625*0.0045)/2</f>
        <v>60.074999999999996</v>
      </c>
      <c r="DB625" s="14">
        <v>0</v>
      </c>
      <c r="DC625" s="14">
        <v>0</v>
      </c>
      <c r="DD625" s="17">
        <f>SUM((DA625+DB625)*0.00833333333333333)</f>
        <v>0.50062499999999976</v>
      </c>
      <c r="DE625" s="23">
        <f ca="1">MONTH(TODAY())-5</f>
        <v>-1</v>
      </c>
      <c r="DF625" s="23">
        <f>SUM(DA625,DB625,DC625)</f>
        <v>60.074999999999996</v>
      </c>
      <c r="DG625" s="14">
        <v>0</v>
      </c>
      <c r="DH625" s="14">
        <v>0</v>
      </c>
      <c r="DI625" s="14">
        <v>0</v>
      </c>
      <c r="DJ625" s="17">
        <f>SUM((DG625+DH625)*0.00833333333333333)</f>
        <v>0</v>
      </c>
      <c r="DK625" s="23">
        <f ca="1">MONTH(TODAY())+1</f>
        <v>5</v>
      </c>
      <c r="DL625" s="23">
        <f>SUM(DG625,DH625,DI625)</f>
        <v>0</v>
      </c>
      <c r="DM625" s="14">
        <f>SUM( BQ625, BW625, CC625, CI625, CO625,CU625,DA625,DG625)</f>
        <v>226.47499999999999</v>
      </c>
      <c r="DN625" s="14">
        <f>SUM(BR625,BX625,CD625,CJ625, CP625,CV625,DB625,DH625)</f>
        <v>16.64</v>
      </c>
      <c r="DO625" s="14">
        <f ca="1">SUM(BS625,BY625,CE625,CK625, CQ625,CW625,DC625,DI625)</f>
        <v>18.303999999999995</v>
      </c>
      <c r="DP625" s="25">
        <f ca="1">SUM(DM625:DO625)</f>
        <v>261.41899999999998</v>
      </c>
      <c r="DQ625" s="47">
        <f ca="1">SUM(DP625/EG625)</f>
        <v>1.6338687499999997E-2</v>
      </c>
      <c r="DR625" s="14">
        <v>20</v>
      </c>
      <c r="DS625" s="32">
        <f>COUNTIF(DX625, "*")+COUNTIF(AO625, "*")+COUNTIF(AJ625, "*")+COUNTIF(AA625, "*")+COUNTIF(EY625, "*")+COUNTIF(FE625, "*")+COUNTIF(FK625, "*")+COUNTIF(FO625, "*")+COUNTIF(FV625, "*")+COUNTIF(AT625, "*")+COUNTIF(GE625, "*")+COUNTIF(GP625, "*")+COUNTIF(HA625, "*")+COUNTIF(HI625, "*")+COUNTIF(HQ625, "*")+COUNTIF(HY625, "*")+COUNTIF(IG625, "*")</f>
        <v>2</v>
      </c>
      <c r="DT625" s="14">
        <f>DS625*0.6</f>
        <v>1.2</v>
      </c>
      <c r="DU625" s="4"/>
      <c r="DV625" s="4"/>
      <c r="DW625" s="4"/>
      <c r="DX625" s="4"/>
      <c r="DZ625" s="4"/>
      <c r="EA625" s="14">
        <f>SUM(DV625:DZ625)</f>
        <v>0</v>
      </c>
      <c r="EB625" s="14">
        <f ca="1">SUM(DP625,DR625,EA625, DU625, DT625,GB625)</f>
        <v>282.61899999999997</v>
      </c>
      <c r="EC625" s="24" t="s">
        <v>3879</v>
      </c>
      <c r="ED625" s="130">
        <v>3</v>
      </c>
      <c r="EE625" s="14">
        <v>16000</v>
      </c>
      <c r="EF625" s="14">
        <v>0</v>
      </c>
      <c r="EG625" s="14">
        <v>16000</v>
      </c>
      <c r="EH625" s="14">
        <v>26700</v>
      </c>
      <c r="EI625" s="14">
        <v>0</v>
      </c>
      <c r="EJ625" s="14">
        <f>SUM(EH625+EI625)</f>
        <v>26700</v>
      </c>
      <c r="FS625" s="9"/>
      <c r="FZ625" s="9"/>
      <c r="IM625" s="9"/>
      <c r="IX625" s="14">
        <f ca="1">SUM(IN625-EB625-GB625-IV625)</f>
        <v>-282.61899999999997</v>
      </c>
      <c r="IY625" s="9"/>
      <c r="IZ625" s="9"/>
      <c r="JA625" s="9"/>
      <c r="JB625" s="9"/>
      <c r="JC625" s="9"/>
    </row>
    <row r="626" spans="1:263" ht="15" customHeight="1">
      <c r="A626" s="19">
        <v>102022153</v>
      </c>
      <c r="B626" t="s">
        <v>2885</v>
      </c>
      <c r="D626" s="1"/>
      <c r="J626" t="s">
        <v>253</v>
      </c>
      <c r="K626" t="s">
        <v>862</v>
      </c>
      <c r="L626" t="s">
        <v>915</v>
      </c>
      <c r="M626" t="s">
        <v>326</v>
      </c>
      <c r="AJ626" t="s">
        <v>3180</v>
      </c>
      <c r="AK626" t="s">
        <v>258</v>
      </c>
      <c r="AL626" t="s">
        <v>349</v>
      </c>
      <c r="AM626" t="s">
        <v>260</v>
      </c>
      <c r="AN626"/>
      <c r="AO626" s="3" t="s">
        <v>3181</v>
      </c>
      <c r="AP626" s="3" t="s">
        <v>258</v>
      </c>
      <c r="AQ626" s="3" t="s">
        <v>349</v>
      </c>
      <c r="AR626" t="s">
        <v>260</v>
      </c>
      <c r="AT626" s="1"/>
      <c r="AU626" s="1"/>
      <c r="AV626" s="1"/>
      <c r="AW626" s="1"/>
      <c r="AX626" s="2"/>
      <c r="AY626" s="2"/>
      <c r="AZ626" s="70"/>
      <c r="BA626" s="2"/>
      <c r="BB626" s="2"/>
      <c r="BC626" s="2"/>
      <c r="BD626" s="2"/>
      <c r="BE626" s="2"/>
      <c r="BF626" s="2"/>
      <c r="BG626" s="20"/>
      <c r="BH626" s="22"/>
      <c r="BI626" s="22"/>
      <c r="BJ626" s="14"/>
      <c r="BK626" s="22"/>
      <c r="BL626" s="14"/>
      <c r="BM626" s="14"/>
      <c r="BN626" s="14"/>
      <c r="BO626" s="17"/>
      <c r="BP626" s="23"/>
      <c r="BQ626" s="14"/>
      <c r="BR626" s="14"/>
      <c r="BS626" s="14"/>
      <c r="BT626" s="14"/>
      <c r="BU626" s="17"/>
      <c r="BV626" s="23"/>
      <c r="BW626" s="14"/>
      <c r="BX626" s="14"/>
      <c r="BY626" s="14"/>
      <c r="BZ626" s="14"/>
      <c r="CA626" s="17"/>
      <c r="CB626" s="23"/>
      <c r="CC626" s="14"/>
      <c r="CD626" s="14"/>
      <c r="CE626" s="14"/>
      <c r="CF626" s="14"/>
      <c r="CG626" s="17"/>
      <c r="CH626" s="23"/>
      <c r="CI626" s="14"/>
      <c r="CJ626" s="14"/>
      <c r="CK626" s="14"/>
      <c r="CL626" s="14"/>
      <c r="CM626" s="17"/>
      <c r="CN626" s="23"/>
      <c r="CO626" s="14"/>
      <c r="CP626" s="14"/>
      <c r="CQ626" s="14"/>
      <c r="CR626" s="14"/>
      <c r="CS626" s="14"/>
      <c r="CT626" s="47"/>
      <c r="CU626" s="14"/>
      <c r="CV626" s="32"/>
      <c r="CW626" s="14"/>
      <c r="CY626" s="14"/>
      <c r="DE626" s="14"/>
      <c r="DF626" s="24"/>
      <c r="DG626" s="4"/>
      <c r="DH626" s="4"/>
      <c r="DI626" s="25"/>
      <c r="DJ626" s="35">
        <v>1.1000000000000001</v>
      </c>
      <c r="IC626" s="4"/>
      <c r="IZ626" s="18"/>
      <c r="JA626" s="18"/>
      <c r="JB626" s="18"/>
      <c r="JC626" s="18"/>
    </row>
    <row r="627" spans="1:263" ht="15" customHeight="1">
      <c r="A627" s="19">
        <v>102020051</v>
      </c>
      <c r="B627" s="18" t="s">
        <v>1674</v>
      </c>
      <c r="C627" s="18"/>
      <c r="D627" s="13"/>
      <c r="E627" s="18" t="s">
        <v>1891</v>
      </c>
      <c r="F627" s="18">
        <v>200003752</v>
      </c>
      <c r="G627" s="18"/>
      <c r="H627" s="18"/>
      <c r="I627" s="18"/>
      <c r="J627" s="18" t="s">
        <v>311</v>
      </c>
      <c r="K627" s="18" t="s">
        <v>672</v>
      </c>
      <c r="L627" s="18" t="s">
        <v>1675</v>
      </c>
      <c r="M627" s="18" t="s">
        <v>326</v>
      </c>
      <c r="N627" s="18"/>
      <c r="O627" s="18"/>
      <c r="P627" s="18"/>
      <c r="Q627" s="18"/>
      <c r="R627" s="18"/>
      <c r="S627" s="18"/>
      <c r="T627" s="18"/>
      <c r="U627" s="18"/>
      <c r="V627" s="18"/>
      <c r="W627" s="18"/>
      <c r="X627" s="18"/>
      <c r="Y627" s="18"/>
      <c r="Z627" s="18"/>
      <c r="AA627" s="18"/>
      <c r="AB627" s="18"/>
      <c r="AC627" s="18"/>
      <c r="AD627" s="18"/>
      <c r="AE627" s="18"/>
      <c r="AF627" s="18"/>
      <c r="AG627" s="231"/>
      <c r="AH627" s="18"/>
      <c r="AI627" s="18"/>
      <c r="AJ627" s="18" t="s">
        <v>328</v>
      </c>
      <c r="AK627" s="18"/>
      <c r="AL627" s="18" t="s">
        <v>259</v>
      </c>
      <c r="AM627" s="24"/>
      <c r="AN627" s="24" t="s">
        <v>1676</v>
      </c>
      <c r="AO627" s="18" t="s">
        <v>1677</v>
      </c>
      <c r="AP627" s="13" t="s">
        <v>258</v>
      </c>
      <c r="AQ627" s="24" t="s">
        <v>1857</v>
      </c>
      <c r="AR627" s="24"/>
      <c r="AS627" s="13"/>
      <c r="AT627" s="13"/>
      <c r="AU627" s="13"/>
      <c r="AV627" s="13"/>
      <c r="AW627" s="13"/>
      <c r="AX627" s="48"/>
      <c r="AY627" s="48"/>
      <c r="AZ627" s="48"/>
      <c r="BA627" s="48"/>
      <c r="BB627" s="19"/>
      <c r="BC627" s="48"/>
      <c r="BD627" s="48"/>
      <c r="BE627" s="48"/>
      <c r="BF627" s="19"/>
      <c r="BG627" s="20"/>
      <c r="BH627" s="22"/>
      <c r="BI627" s="22"/>
      <c r="BJ627" s="14"/>
      <c r="BK627" s="22"/>
      <c r="BL627" s="14"/>
      <c r="BM627" s="14"/>
      <c r="BN627" s="14"/>
      <c r="BO627" s="17"/>
      <c r="BP627" s="23"/>
      <c r="BQ627" s="14"/>
      <c r="BR627" s="14"/>
      <c r="BS627" s="14"/>
      <c r="BT627" s="14"/>
      <c r="BU627" s="17"/>
      <c r="BV627" s="23"/>
      <c r="BW627" s="14"/>
      <c r="BX627" s="14"/>
      <c r="BY627" s="14"/>
      <c r="BZ627" s="14"/>
      <c r="CA627" s="17"/>
      <c r="CB627" s="23"/>
      <c r="CC627" s="14"/>
      <c r="CD627" s="14"/>
      <c r="CE627" s="14"/>
      <c r="CF627" s="14"/>
      <c r="CG627" s="17"/>
      <c r="CH627" s="23"/>
      <c r="CI627" s="14"/>
      <c r="CJ627" s="14"/>
      <c r="CK627" s="14"/>
      <c r="CL627" s="14"/>
      <c r="CM627" s="17"/>
      <c r="CN627" s="23"/>
      <c r="CO627" s="14"/>
      <c r="CP627" s="14"/>
      <c r="CQ627" s="14"/>
      <c r="CR627" s="14"/>
      <c r="CS627" s="17"/>
      <c r="CT627" s="23"/>
      <c r="CU627" s="14"/>
      <c r="CV627" s="14"/>
      <c r="CW627" s="14"/>
      <c r="CX627" s="14"/>
      <c r="CY627" s="14"/>
      <c r="CZ627" s="14"/>
      <c r="DA627" s="14"/>
      <c r="DB627" s="14"/>
      <c r="DC627" s="14"/>
      <c r="DD627" s="14"/>
      <c r="DE627" s="14"/>
      <c r="DF627" s="47"/>
      <c r="DG627" s="14"/>
      <c r="DH627" s="32"/>
      <c r="DI627" s="14"/>
      <c r="DJ627" s="14">
        <v>200</v>
      </c>
      <c r="DK627" s="14">
        <f>SUM(DE627,DG627,DQ627, DJ627, DI627,FS627)</f>
        <v>1843.5</v>
      </c>
      <c r="DL627" s="14">
        <f>25+733</f>
        <v>758</v>
      </c>
      <c r="DM627" s="14">
        <f>93.75+105</f>
        <v>198.75</v>
      </c>
      <c r="DN627" s="14">
        <v>76.75</v>
      </c>
      <c r="DO627" s="23"/>
      <c r="DP627" s="25">
        <v>610</v>
      </c>
      <c r="DQ627" s="14">
        <f>SUM(DL627:DP627)</f>
        <v>1643.5</v>
      </c>
      <c r="DR627" s="24" t="s">
        <v>418</v>
      </c>
      <c r="DS627" s="25">
        <v>13000</v>
      </c>
      <c r="DT627" s="25">
        <v>0</v>
      </c>
      <c r="DU627" s="25">
        <f>SUM(DS627+DT627)</f>
        <v>13000</v>
      </c>
      <c r="DV627" s="36">
        <v>1</v>
      </c>
      <c r="DW627" s="26" t="s">
        <v>1844</v>
      </c>
      <c r="DX627" s="26" t="s">
        <v>1845</v>
      </c>
      <c r="DY627" s="26" t="s">
        <v>1846</v>
      </c>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row>
    <row r="628" spans="1:263" ht="15" customHeight="1">
      <c r="A628" s="19">
        <v>102020051</v>
      </c>
      <c r="B628" s="18" t="s">
        <v>1674</v>
      </c>
      <c r="C628" s="13"/>
      <c r="D628" s="13"/>
      <c r="E628" s="18" t="s">
        <v>1891</v>
      </c>
      <c r="F628" s="18">
        <v>200003752</v>
      </c>
      <c r="G628" s="18"/>
      <c r="H628" s="18"/>
      <c r="I628" s="18"/>
      <c r="J628" s="18" t="s">
        <v>311</v>
      </c>
      <c r="K628" s="18" t="s">
        <v>672</v>
      </c>
      <c r="L628" s="18" t="s">
        <v>1675</v>
      </c>
      <c r="M628" s="18" t="s">
        <v>326</v>
      </c>
      <c r="N628" s="18"/>
      <c r="O628" s="18"/>
      <c r="P628" s="18"/>
      <c r="Q628" s="18"/>
      <c r="R628" s="18"/>
      <c r="S628" s="18"/>
      <c r="T628" s="18"/>
      <c r="U628" s="18"/>
      <c r="V628" s="18"/>
      <c r="W628" s="18"/>
      <c r="X628" s="18"/>
      <c r="Y628" s="18"/>
      <c r="Z628" s="18"/>
      <c r="AA628" s="18"/>
      <c r="AB628" s="18"/>
      <c r="AC628" s="18"/>
      <c r="AD628" s="18"/>
      <c r="AE628" s="18"/>
      <c r="AF628" s="18"/>
      <c r="AG628" s="37"/>
      <c r="AH628" s="18"/>
      <c r="AI628" s="18"/>
      <c r="AJ628" s="18" t="s">
        <v>328</v>
      </c>
      <c r="AK628" s="18"/>
      <c r="AL628" s="18" t="s">
        <v>259</v>
      </c>
      <c r="AM628" s="18"/>
      <c r="AN628" s="18" t="s">
        <v>1676</v>
      </c>
      <c r="AO628" s="24" t="s">
        <v>1677</v>
      </c>
      <c r="AP628" s="24" t="s">
        <v>258</v>
      </c>
      <c r="AQ628" s="24" t="s">
        <v>1857</v>
      </c>
      <c r="AR628" s="18"/>
      <c r="AS628" s="13"/>
      <c r="AT628" s="13"/>
      <c r="AU628" s="13" t="s">
        <v>258</v>
      </c>
      <c r="AV628" s="13" t="s">
        <v>258</v>
      </c>
      <c r="AW628" s="13" t="s">
        <v>258</v>
      </c>
      <c r="AX628" s="48">
        <v>44018</v>
      </c>
      <c r="AY628" s="48">
        <v>43982</v>
      </c>
      <c r="AZ628" s="48">
        <v>43977</v>
      </c>
      <c r="BA628" s="48">
        <v>44071</v>
      </c>
      <c r="BB628" s="19" t="s">
        <v>318</v>
      </c>
      <c r="BC628" s="48">
        <v>44057</v>
      </c>
      <c r="BD628" s="48">
        <v>44064</v>
      </c>
      <c r="BE628" s="48">
        <v>44316</v>
      </c>
      <c r="BF628" s="19" t="s">
        <v>319</v>
      </c>
      <c r="BG628" s="20">
        <v>3347.3198833333331</v>
      </c>
      <c r="BH628" s="22">
        <v>-294.28259738590214</v>
      </c>
      <c r="BI628" s="22">
        <v>294.28259738590214</v>
      </c>
      <c r="BJ628" s="14">
        <v>5.6333333333333329</v>
      </c>
      <c r="BK628" s="22">
        <v>299.91593071923546</v>
      </c>
      <c r="BL628" s="14"/>
      <c r="BM628" s="14">
        <v>0</v>
      </c>
      <c r="BN628" s="14">
        <v>0</v>
      </c>
      <c r="BO628" s="17">
        <v>0</v>
      </c>
      <c r="BP628" s="23">
        <v>70</v>
      </c>
      <c r="BQ628" s="14">
        <v>0</v>
      </c>
      <c r="BR628" s="14"/>
      <c r="BS628" s="14">
        <v>0</v>
      </c>
      <c r="BT628" s="14">
        <v>0</v>
      </c>
      <c r="BU628" s="17">
        <v>0</v>
      </c>
      <c r="BV628" s="23">
        <v>58</v>
      </c>
      <c r="BW628" s="14">
        <v>0</v>
      </c>
      <c r="BX628" s="14">
        <v>52.01</v>
      </c>
      <c r="BY628" s="14">
        <f>SUM(BX628*0.1)</f>
        <v>5.2010000000000005</v>
      </c>
      <c r="BZ628" s="14">
        <f>SUM(CA628*CB628)</f>
        <v>23.361158333333321</v>
      </c>
      <c r="CA628" s="17">
        <f>SUM((BX628+BY628)*0.00833333333333333)</f>
        <v>0.47675833333333312</v>
      </c>
      <c r="CB628" s="23">
        <v>49</v>
      </c>
      <c r="CC628" s="14">
        <f>SUM(BX628,BY628,BZ628)</f>
        <v>80.57215833333332</v>
      </c>
      <c r="CD628" s="14">
        <v>67.599999999999994</v>
      </c>
      <c r="CE628" s="14">
        <f>SUM(CD628*0.1)</f>
        <v>6.76</v>
      </c>
      <c r="CF628" s="14">
        <f>SUM(CG628*CH628)</f>
        <v>22.927666666666656</v>
      </c>
      <c r="CG628" s="17">
        <f>SUM((CD628+CE628)*0.00833333333333333)</f>
        <v>0.61966666666666637</v>
      </c>
      <c r="CH628" s="23">
        <v>37</v>
      </c>
      <c r="CI628" s="14">
        <f>SUM(CD628,CE628,CF628)</f>
        <v>97.287666666666652</v>
      </c>
      <c r="CJ628" s="14">
        <v>67.599999999999994</v>
      </c>
      <c r="CK628" s="14">
        <v>6.76</v>
      </c>
      <c r="CL628" s="14">
        <f>SUM(CM628*CN628)</f>
        <v>15.49166666666666</v>
      </c>
      <c r="CM628" s="17">
        <f>SUM((CJ628+CK628)*0.00833333333333333)</f>
        <v>0.61966666666666637</v>
      </c>
      <c r="CN628" s="23">
        <v>25</v>
      </c>
      <c r="CO628" s="14">
        <f>SUM(CJ628,CK628,CL628)</f>
        <v>89.851666666666659</v>
      </c>
      <c r="CP628" s="14">
        <v>67.599999999999994</v>
      </c>
      <c r="CQ628" s="14">
        <v>6.76</v>
      </c>
      <c r="CR628" s="14">
        <f>SUM(CS628*CT628)</f>
        <v>8.0556666666666636</v>
      </c>
      <c r="CS628" s="17">
        <f>SUM((CP628+CQ628)*0.00833333333333333)</f>
        <v>0.61966666666666637</v>
      </c>
      <c r="CT628" s="23">
        <v>13</v>
      </c>
      <c r="CU628" s="14">
        <f>SUM(CP628,CQ628,CR628)</f>
        <v>82.415666666666667</v>
      </c>
      <c r="CV628" s="14">
        <f>SUM(DP628*0.0052)</f>
        <v>67.599999999999994</v>
      </c>
      <c r="CW628" s="14">
        <f>SUM(BL628, BR628, BX628, CD628,CJ628,CP628, CV628)</f>
        <v>322.40999999999997</v>
      </c>
      <c r="CX628" s="14">
        <f>SUM(BM628, BS628, BY628, CE628,CK628,CQ628)</f>
        <v>25.481000000000002</v>
      </c>
      <c r="CY628" s="14">
        <f>SUM(BN628, BT628, BZ628, CF628,CL628,CR628)</f>
        <v>69.836158333333302</v>
      </c>
      <c r="CZ628" s="14">
        <f>SUM(CW628:CY628)</f>
        <v>417.72715833333325</v>
      </c>
      <c r="DA628" s="47">
        <v>2.6393837179487175E-2</v>
      </c>
      <c r="DB628" s="14">
        <v>1664</v>
      </c>
      <c r="DC628" s="32">
        <v>2</v>
      </c>
      <c r="DD628" s="14">
        <f>42.7+25.03</f>
        <v>67.73</v>
      </c>
      <c r="DE628" s="14">
        <v>200</v>
      </c>
      <c r="DF628" s="18"/>
      <c r="DG628" s="14">
        <f>758+182.42</f>
        <v>940.42</v>
      </c>
      <c r="DH628" s="14">
        <v>198.75</v>
      </c>
      <c r="DI628" s="14">
        <v>76.75</v>
      </c>
      <c r="DJ628" s="14">
        <v>100</v>
      </c>
      <c r="DK628" s="25">
        <v>610</v>
      </c>
      <c r="DL628" s="14">
        <f>SUM(DG628:DK628)</f>
        <v>1925.92</v>
      </c>
      <c r="DM628" s="24" t="s">
        <v>2299</v>
      </c>
      <c r="DN628" s="25">
        <v>13000</v>
      </c>
      <c r="DO628" s="25">
        <v>0</v>
      </c>
      <c r="DP628" s="25">
        <v>13000</v>
      </c>
      <c r="DQ628" s="36">
        <v>1</v>
      </c>
      <c r="DR628" s="26" t="s">
        <v>1844</v>
      </c>
      <c r="DS628" s="26" t="s">
        <v>1845</v>
      </c>
      <c r="DT628" s="26" t="s">
        <v>1846</v>
      </c>
      <c r="DU628" s="18"/>
      <c r="DV628" s="18"/>
      <c r="DW628" s="18"/>
      <c r="DX628" s="18"/>
      <c r="DY628" s="18"/>
      <c r="DZ628" s="18"/>
      <c r="EA628" s="18"/>
      <c r="EB628" s="14">
        <f>SUM(CZ628,DB628,DL628, DE628, DD628,FK628)</f>
        <v>4275.3771583333328</v>
      </c>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4"/>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27">
        <v>44499</v>
      </c>
      <c r="IB628" s="18">
        <f>7500+1500</f>
        <v>9000</v>
      </c>
      <c r="IC628" s="14">
        <v>0</v>
      </c>
      <c r="ID628" s="18"/>
      <c r="IE628" s="18"/>
      <c r="IF628" s="18" t="s">
        <v>2763</v>
      </c>
      <c r="IG628" s="18" t="s">
        <v>1251</v>
      </c>
      <c r="IH628" s="18" t="s">
        <v>349</v>
      </c>
      <c r="II628" s="18"/>
      <c r="IJ628" s="18"/>
      <c r="IK628" s="14">
        <v>103.33</v>
      </c>
      <c r="IL628" s="14">
        <f>SUM(IB628-EB628-IJ628)</f>
        <v>4724.6228416666672</v>
      </c>
      <c r="IM628" s="14"/>
      <c r="IN628" s="14"/>
      <c r="IO628" s="27">
        <v>44333</v>
      </c>
      <c r="IP628" s="27">
        <v>44349</v>
      </c>
      <c r="IQ628" s="27">
        <v>44501</v>
      </c>
      <c r="IR628" s="27">
        <v>44505</v>
      </c>
      <c r="IS628" s="18"/>
      <c r="IT628" s="18"/>
      <c r="IU628" s="18"/>
      <c r="IV628" s="18"/>
      <c r="IW628" s="18"/>
      <c r="IX628" s="18"/>
      <c r="IY628" s="18"/>
      <c r="IZ628" s="18"/>
      <c r="JA628" s="18"/>
      <c r="JB628" s="18"/>
      <c r="JC628" s="18"/>
    </row>
    <row r="629" spans="1:263" ht="15" customHeight="1">
      <c r="A629" s="2">
        <v>102017044</v>
      </c>
      <c r="B629" t="s">
        <v>901</v>
      </c>
      <c r="F629">
        <v>180001571</v>
      </c>
      <c r="J629" t="s">
        <v>829</v>
      </c>
      <c r="K629" t="s">
        <v>902</v>
      </c>
      <c r="L629" t="s">
        <v>903</v>
      </c>
      <c r="M629" t="s">
        <v>357</v>
      </c>
      <c r="O629" s="1"/>
      <c r="T629" s="1"/>
      <c r="AE629" s="1"/>
      <c r="AJ629" s="4"/>
      <c r="AK629" s="4"/>
      <c r="AL629" s="4"/>
      <c r="AM629" s="34"/>
      <c r="AP629" s="13"/>
      <c r="AQ629" s="34"/>
      <c r="AR629" s="34"/>
      <c r="AS629" s="5"/>
      <c r="AT629" s="13"/>
      <c r="AU629" s="1"/>
      <c r="AV629" s="1"/>
      <c r="AW629" s="1"/>
      <c r="AX629" s="1"/>
      <c r="AY629" s="1"/>
      <c r="AZ629" s="15"/>
      <c r="BA629" s="1"/>
      <c r="BB629" s="1"/>
      <c r="BC629" s="1"/>
      <c r="BD629" s="1"/>
      <c r="BE629" s="1"/>
      <c r="BF629" s="1"/>
      <c r="BG629" s="5"/>
      <c r="BH629" s="16"/>
      <c r="BI629" s="16"/>
      <c r="BJ629" s="4"/>
      <c r="BK629" s="4"/>
      <c r="BL629" s="4"/>
      <c r="BM629" s="6"/>
      <c r="BN629" s="7"/>
      <c r="BO629" s="4"/>
      <c r="BQ629" s="4"/>
      <c r="BR629" s="4"/>
      <c r="BS629" s="6"/>
      <c r="BT629" s="7"/>
      <c r="BU629" s="4"/>
      <c r="BV629" s="4"/>
      <c r="BW629" s="4"/>
      <c r="BX629" s="4"/>
      <c r="BY629" s="6"/>
      <c r="BZ629" s="7"/>
      <c r="CA629" s="4"/>
      <c r="CB629" s="4"/>
      <c r="CC629" s="4"/>
      <c r="CD629" s="4"/>
      <c r="CE629" s="6"/>
      <c r="CF629" s="7"/>
      <c r="CG629" s="4"/>
      <c r="CH629" s="4"/>
      <c r="CI629" s="4"/>
      <c r="CJ629" s="4"/>
      <c r="CK629" s="6"/>
      <c r="CL629" s="23"/>
      <c r="CM629" s="4"/>
      <c r="CN629" s="4"/>
      <c r="CO629" s="4"/>
      <c r="CP629" s="4"/>
      <c r="CQ629" s="6"/>
      <c r="CR629" s="7"/>
      <c r="CS629" s="4"/>
      <c r="CT629" s="4"/>
      <c r="CU629" s="4"/>
      <c r="CV629" s="4"/>
      <c r="CW629" s="6"/>
      <c r="CX629" s="23"/>
      <c r="CY629" s="4"/>
      <c r="CZ629" s="4"/>
      <c r="DA629" s="4"/>
      <c r="DB629" s="4"/>
      <c r="DC629" s="6"/>
      <c r="DD629" s="7"/>
      <c r="DE629" s="4"/>
      <c r="DF629" s="4"/>
      <c r="DG629" s="4"/>
      <c r="DH629" s="14"/>
      <c r="DI629" s="14"/>
      <c r="DJ629" s="4"/>
      <c r="DK629" s="3"/>
      <c r="DL629" s="4"/>
      <c r="DM629" s="234"/>
      <c r="DN629" s="4"/>
      <c r="DO629" s="4"/>
      <c r="DP629" s="4"/>
      <c r="DQ629" s="4"/>
      <c r="DR629" s="4"/>
      <c r="DS629" s="4"/>
      <c r="DT629" s="4"/>
      <c r="DU629" s="8"/>
      <c r="DV629" s="4"/>
      <c r="DW629" s="8"/>
      <c r="DX629" s="4"/>
      <c r="DY629" s="4"/>
      <c r="DZ629" s="23"/>
      <c r="FI629" s="9"/>
      <c r="FJ629" s="10"/>
      <c r="FQ629" s="10"/>
      <c r="FR629" s="9"/>
      <c r="FX629" s="4"/>
      <c r="GE629" s="9"/>
      <c r="II629" s="27"/>
      <c r="IJ629" s="4"/>
      <c r="IK629" s="4"/>
      <c r="IL629" s="9"/>
      <c r="IN629" t="s">
        <v>913</v>
      </c>
      <c r="IO629" t="s">
        <v>914</v>
      </c>
      <c r="IP629" t="s">
        <v>349</v>
      </c>
      <c r="IS629" s="4">
        <v>44.5</v>
      </c>
      <c r="IT629" s="4"/>
      <c r="IU629" s="27"/>
      <c r="IV629" s="18"/>
      <c r="IW629" s="18"/>
      <c r="IX629" s="18"/>
      <c r="IY629" s="18"/>
    </row>
    <row r="630" spans="1:263" ht="15" customHeight="1">
      <c r="A630" s="2">
        <v>102019091</v>
      </c>
      <c r="B630" s="4" t="s">
        <v>765</v>
      </c>
      <c r="C630" s="1"/>
      <c r="D630" s="1"/>
      <c r="E630" s="1"/>
      <c r="F630" s="3"/>
      <c r="G630">
        <v>190002209</v>
      </c>
      <c r="J630" t="s">
        <v>253</v>
      </c>
      <c r="K630" t="s">
        <v>695</v>
      </c>
      <c r="L630" t="s">
        <v>766</v>
      </c>
      <c r="O630" s="1" t="s">
        <v>258</v>
      </c>
      <c r="T630" s="1"/>
      <c r="AG630" s="248"/>
      <c r="AJ630" s="4"/>
      <c r="AK630" s="4"/>
      <c r="AO630" s="4"/>
      <c r="AP630" s="5"/>
      <c r="AS630" s="5"/>
      <c r="AT630" s="5"/>
      <c r="AU630" s="1"/>
      <c r="AV630" s="1"/>
      <c r="AW630" s="1"/>
      <c r="AX630" s="1"/>
      <c r="AY630" s="15"/>
      <c r="AZ630" s="15"/>
      <c r="BA630" s="15"/>
      <c r="BB630" s="1"/>
      <c r="BC630" s="21"/>
      <c r="BD630" s="15"/>
      <c r="BE630" s="1"/>
      <c r="BF630" s="1"/>
      <c r="BG630" s="5"/>
      <c r="BH630" s="16"/>
      <c r="BI630" s="16"/>
      <c r="BJ630" s="4"/>
      <c r="BK630" s="4"/>
      <c r="BL630" s="4"/>
      <c r="BM630" s="6"/>
      <c r="BN630" s="7"/>
      <c r="BO630" s="4"/>
      <c r="BP630" s="4"/>
      <c r="BQ630" s="4"/>
      <c r="BR630" s="4"/>
      <c r="BS630" s="6"/>
      <c r="BT630" s="7"/>
      <c r="BU630" s="4"/>
      <c r="BV630" s="4"/>
      <c r="BW630" s="4"/>
      <c r="BX630" s="4"/>
      <c r="BY630" s="6"/>
      <c r="BZ630" s="7"/>
      <c r="CA630" s="4"/>
      <c r="CB630" s="4"/>
      <c r="CC630" s="4"/>
      <c r="CD630" s="4"/>
      <c r="CE630" s="6"/>
      <c r="CF630" s="7"/>
      <c r="CG630" s="4"/>
      <c r="CH630" s="4"/>
      <c r="CI630" s="4"/>
      <c r="CJ630" s="4"/>
      <c r="CK630" s="6"/>
      <c r="CL630" s="7"/>
      <c r="CM630" s="4"/>
      <c r="CN630" s="4"/>
      <c r="CO630" s="4"/>
      <c r="CP630" s="4"/>
      <c r="CQ630" s="6"/>
      <c r="CR630" s="7"/>
      <c r="CS630" s="4"/>
      <c r="CT630" s="4"/>
      <c r="CU630" s="4"/>
      <c r="CV630" s="4"/>
      <c r="CW630" s="6"/>
      <c r="CX630" s="7"/>
      <c r="CY630" s="4"/>
      <c r="CZ630" s="4"/>
      <c r="DA630" s="4"/>
      <c r="DB630" s="4"/>
      <c r="DC630" s="4"/>
      <c r="DD630" s="3"/>
      <c r="DE630" s="4"/>
      <c r="DF630" s="234"/>
      <c r="DG630" s="4"/>
      <c r="DH630" s="4"/>
      <c r="DI630" s="4"/>
      <c r="DJ630" s="4"/>
      <c r="DK630" s="4"/>
      <c r="DL630" s="4"/>
      <c r="DM630" s="7"/>
      <c r="DN630" s="8"/>
      <c r="DO630" s="4"/>
      <c r="DP630" s="8"/>
      <c r="DQ630" s="8"/>
      <c r="DR630" s="8"/>
      <c r="DS630" s="35"/>
      <c r="EB630" s="11"/>
      <c r="EH630" s="11"/>
      <c r="EI630" s="11"/>
      <c r="EJ630" s="4"/>
      <c r="EK630" s="4"/>
      <c r="EL630" s="4"/>
      <c r="EM630" s="4"/>
      <c r="EN630" s="4"/>
      <c r="EO630" s="4"/>
      <c r="EP630" s="4"/>
      <c r="EQ630" s="4"/>
      <c r="ER630" s="4"/>
      <c r="ES630" s="4"/>
      <c r="ET630" s="4"/>
      <c r="EU630" s="4"/>
      <c r="EV630" s="4"/>
      <c r="EW630" s="4"/>
      <c r="EX630" s="4"/>
      <c r="FB630" s="9"/>
      <c r="FK630" s="9"/>
      <c r="FQ630" s="4"/>
      <c r="FV630" s="10"/>
      <c r="GF630" s="10"/>
      <c r="GU630" s="9"/>
      <c r="IC630" s="4"/>
      <c r="ID630" s="4"/>
      <c r="IE630" s="9"/>
      <c r="IL630" s="18"/>
      <c r="IM630" s="18"/>
      <c r="IN630" s="18"/>
      <c r="IO630" s="18"/>
      <c r="IP630" s="18"/>
      <c r="IQ630" s="18"/>
      <c r="IR630" s="18"/>
      <c r="IS630" s="18"/>
      <c r="IT630" s="18"/>
      <c r="IU630" s="18"/>
      <c r="IV630" s="18"/>
    </row>
    <row r="631" spans="1:263" s="18" customFormat="1" ht="15" customHeight="1">
      <c r="A631" s="19">
        <v>102022154</v>
      </c>
      <c r="B631" t="s">
        <v>2886</v>
      </c>
      <c r="C631"/>
      <c r="D631" s="1"/>
      <c r="E631"/>
      <c r="F631"/>
      <c r="G631"/>
      <c r="H631"/>
      <c r="I631"/>
      <c r="J631" t="s">
        <v>253</v>
      </c>
      <c r="K631" t="s">
        <v>862</v>
      </c>
      <c r="L631" t="s">
        <v>915</v>
      </c>
      <c r="M631" t="s">
        <v>326</v>
      </c>
      <c r="N631"/>
      <c r="O631"/>
      <c r="P631"/>
      <c r="Q631"/>
      <c r="R631"/>
      <c r="S631"/>
      <c r="T631"/>
      <c r="U631"/>
      <c r="V631"/>
      <c r="W631"/>
      <c r="X631"/>
      <c r="Y631"/>
      <c r="Z631"/>
      <c r="AA631"/>
      <c r="AB631"/>
      <c r="AC631"/>
      <c r="AD631"/>
      <c r="AE631"/>
      <c r="AF631"/>
      <c r="AG631" s="3"/>
      <c r="AH631"/>
      <c r="AI631"/>
      <c r="AJ631" t="s">
        <v>3182</v>
      </c>
      <c r="AK631" t="s">
        <v>258</v>
      </c>
      <c r="AL631" t="s">
        <v>349</v>
      </c>
      <c r="AM631" t="s">
        <v>260</v>
      </c>
      <c r="AN631"/>
      <c r="AO631" s="3" t="s">
        <v>3181</v>
      </c>
      <c r="AP631" s="3" t="s">
        <v>258</v>
      </c>
      <c r="AQ631" s="3" t="s">
        <v>349</v>
      </c>
      <c r="AR631" t="s">
        <v>260</v>
      </c>
      <c r="AS631"/>
      <c r="AT631" s="1"/>
      <c r="AU631" s="1"/>
      <c r="AV631" s="1"/>
      <c r="AW631" s="1"/>
      <c r="AX631" s="2"/>
      <c r="AY631" s="2"/>
      <c r="AZ631" s="70"/>
      <c r="BA631" s="2"/>
      <c r="BB631" s="2"/>
      <c r="BC631" s="2"/>
      <c r="BD631" s="2"/>
      <c r="BE631" s="2"/>
      <c r="BF631" s="2"/>
      <c r="BG631" s="20"/>
      <c r="BH631" s="22"/>
      <c r="BI631" s="22"/>
      <c r="BJ631" s="14"/>
      <c r="BK631" s="22"/>
      <c r="BL631" s="14"/>
      <c r="BM631" s="14"/>
      <c r="BN631" s="14"/>
      <c r="BO631" s="17"/>
      <c r="BP631" s="23"/>
      <c r="BQ631" s="14"/>
      <c r="BR631" s="14"/>
      <c r="BS631" s="14"/>
      <c r="BT631" s="14"/>
      <c r="BU631" s="17"/>
      <c r="BV631" s="23"/>
      <c r="BW631" s="14"/>
      <c r="BX631" s="14"/>
      <c r="BY631" s="14"/>
      <c r="BZ631" s="14"/>
      <c r="CA631" s="17"/>
      <c r="CB631" s="23"/>
      <c r="CC631" s="14"/>
      <c r="CD631" s="14"/>
      <c r="CE631" s="14"/>
      <c r="CF631" s="14"/>
      <c r="CG631" s="17"/>
      <c r="CH631" s="23"/>
      <c r="CI631" s="14"/>
      <c r="CJ631" s="14"/>
      <c r="CK631" s="14"/>
      <c r="CL631" s="14"/>
      <c r="CM631" s="17"/>
      <c r="CN631" s="23"/>
      <c r="CO631" s="14"/>
      <c r="CP631" s="14"/>
      <c r="CQ631" s="14"/>
      <c r="CR631" s="14"/>
      <c r="CS631" s="14"/>
      <c r="CT631" s="47"/>
      <c r="CU631" s="14"/>
      <c r="CV631" s="32"/>
      <c r="CW631" s="14"/>
      <c r="CX631"/>
      <c r="CY631" s="14"/>
      <c r="CZ631"/>
      <c r="DA631"/>
      <c r="DB631"/>
      <c r="DC631"/>
      <c r="DD631"/>
      <c r="DE631" s="14"/>
      <c r="DF631" s="24"/>
      <c r="DG631" s="4"/>
      <c r="DH631" s="4"/>
      <c r="DI631" s="25"/>
      <c r="DJ631" s="35">
        <v>28.68</v>
      </c>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s="4"/>
      <c r="ID631"/>
      <c r="IE631"/>
      <c r="IF631"/>
      <c r="IG631"/>
      <c r="IH631"/>
      <c r="II631"/>
      <c r="IJ631"/>
      <c r="IK631"/>
      <c r="IL631"/>
      <c r="IM631"/>
      <c r="IN631"/>
      <c r="IO631"/>
      <c r="IP631"/>
      <c r="IQ631"/>
      <c r="IR631"/>
      <c r="IS631"/>
      <c r="IT631"/>
      <c r="IU631"/>
      <c r="IV631"/>
      <c r="IW631"/>
      <c r="IX631"/>
      <c r="IY631"/>
      <c r="IZ631" s="240"/>
      <c r="JA631" s="240"/>
      <c r="JB631" s="240"/>
      <c r="JC631" s="240"/>
    </row>
    <row r="632" spans="1:263" ht="15" customHeight="1">
      <c r="A632" s="19">
        <v>102022155</v>
      </c>
      <c r="B632" t="s">
        <v>2887</v>
      </c>
      <c r="D632" s="1"/>
      <c r="J632" t="s">
        <v>253</v>
      </c>
      <c r="K632" t="s">
        <v>862</v>
      </c>
      <c r="L632" t="s">
        <v>915</v>
      </c>
      <c r="M632" t="s">
        <v>326</v>
      </c>
      <c r="AJ632" t="s">
        <v>3183</v>
      </c>
      <c r="AK632" t="s">
        <v>258</v>
      </c>
      <c r="AL632" t="s">
        <v>349</v>
      </c>
      <c r="AM632" t="s">
        <v>260</v>
      </c>
      <c r="AN632"/>
      <c r="AO632" s="3" t="s">
        <v>3181</v>
      </c>
      <c r="AP632" s="3" t="s">
        <v>258</v>
      </c>
      <c r="AQ632" s="3" t="s">
        <v>349</v>
      </c>
      <c r="AR632" t="s">
        <v>260</v>
      </c>
      <c r="AT632" s="1"/>
      <c r="AU632" s="1"/>
      <c r="AV632" s="1"/>
      <c r="AW632" s="1"/>
      <c r="AX632" s="2"/>
      <c r="AY632" s="2"/>
      <c r="AZ632" s="70"/>
      <c r="BA632" s="2"/>
      <c r="BB632" s="2"/>
      <c r="BC632" s="2"/>
      <c r="BD632" s="2"/>
      <c r="BE632" s="2"/>
      <c r="BF632" s="2"/>
      <c r="BG632" s="20"/>
      <c r="BH632" s="22"/>
      <c r="BI632" s="22"/>
      <c r="BJ632" s="14"/>
      <c r="BK632" s="22"/>
      <c r="BL632" s="14"/>
      <c r="BM632" s="14"/>
      <c r="BN632" s="14"/>
      <c r="BO632" s="17"/>
      <c r="BP632" s="23"/>
      <c r="BQ632" s="14"/>
      <c r="BR632" s="14"/>
      <c r="BS632" s="14"/>
      <c r="BT632" s="14"/>
      <c r="BU632" s="17"/>
      <c r="BV632" s="23"/>
      <c r="BW632" s="14"/>
      <c r="BX632" s="14"/>
      <c r="BY632" s="14"/>
      <c r="BZ632" s="14"/>
      <c r="CA632" s="17"/>
      <c r="CB632" s="23"/>
      <c r="CC632" s="14"/>
      <c r="CD632" s="14"/>
      <c r="CE632" s="14"/>
      <c r="CF632" s="14"/>
      <c r="CG632" s="17"/>
      <c r="CH632" s="23"/>
      <c r="CI632" s="14"/>
      <c r="CJ632" s="14"/>
      <c r="CK632" s="14"/>
      <c r="CL632" s="14"/>
      <c r="CM632" s="17"/>
      <c r="CN632" s="23"/>
      <c r="CO632" s="14"/>
      <c r="CP632" s="14"/>
      <c r="CQ632" s="14"/>
      <c r="CR632" s="14"/>
      <c r="CS632" s="14"/>
      <c r="CT632" s="47"/>
      <c r="CU632" s="14"/>
      <c r="CV632" s="32"/>
      <c r="CW632" s="14"/>
      <c r="CY632" s="14"/>
      <c r="DE632" s="14"/>
      <c r="DF632" s="24"/>
      <c r="DG632" s="4"/>
      <c r="DH632" s="4"/>
      <c r="DI632" s="25"/>
      <c r="DJ632" s="35">
        <v>3.01</v>
      </c>
      <c r="IC632" s="4"/>
    </row>
    <row r="633" spans="1:263" ht="15" customHeight="1">
      <c r="A633" s="19">
        <v>102022115</v>
      </c>
      <c r="B633" t="s">
        <v>2854</v>
      </c>
      <c r="D633" s="1">
        <v>2025</v>
      </c>
      <c r="J633" t="s">
        <v>554</v>
      </c>
      <c r="K633" t="s">
        <v>3117</v>
      </c>
      <c r="L633" t="s">
        <v>741</v>
      </c>
      <c r="M633" t="s">
        <v>537</v>
      </c>
      <c r="P633" t="s">
        <v>3117</v>
      </c>
      <c r="Q633" t="s">
        <v>502</v>
      </c>
      <c r="R633" t="s">
        <v>2957</v>
      </c>
      <c r="AJ633" s="18" t="s">
        <v>328</v>
      </c>
      <c r="AL633" t="s">
        <v>349</v>
      </c>
      <c r="AM633"/>
      <c r="AN633"/>
      <c r="AO633" s="3" t="s">
        <v>3118</v>
      </c>
      <c r="AP633" s="3" t="s">
        <v>258</v>
      </c>
      <c r="AQ633" s="3" t="s">
        <v>3119</v>
      </c>
      <c r="AR633" t="s">
        <v>3120</v>
      </c>
      <c r="AT633" s="1"/>
      <c r="AU633" s="1"/>
      <c r="AV633" s="1"/>
      <c r="AW633" s="1"/>
      <c r="AX633" s="2"/>
      <c r="AY633" s="2"/>
      <c r="AZ633" s="70"/>
      <c r="BA633" s="2"/>
      <c r="BB633" s="2"/>
      <c r="BC633" s="2"/>
      <c r="BD633" s="2"/>
      <c r="BE633" s="2"/>
      <c r="BF633" s="2"/>
      <c r="BG633" s="20"/>
      <c r="BH633" s="22"/>
      <c r="BI633" s="22"/>
      <c r="BJ633" s="14"/>
      <c r="BK633" s="22"/>
      <c r="BL633" s="14"/>
      <c r="BM633" s="14"/>
      <c r="BN633" s="14"/>
      <c r="BO633" s="17"/>
      <c r="BP633" s="23"/>
      <c r="BQ633" s="14"/>
      <c r="BR633" s="14"/>
      <c r="BS633" s="14"/>
      <c r="BT633" s="14"/>
      <c r="BU633" s="17"/>
      <c r="BV633" s="23"/>
      <c r="BW633" s="14"/>
      <c r="BX633" s="14"/>
      <c r="BY633" s="14"/>
      <c r="BZ633" s="14"/>
      <c r="CA633" s="17"/>
      <c r="CB633" s="23"/>
      <c r="CC633" s="14"/>
      <c r="CD633" s="14"/>
      <c r="CE633" s="14"/>
      <c r="CF633" s="14"/>
      <c r="CG633" s="17"/>
      <c r="CH633" s="23"/>
      <c r="CI633" s="14"/>
      <c r="CJ633" s="14"/>
      <c r="CK633" s="14"/>
      <c r="CL633" s="14"/>
      <c r="CM633" s="17"/>
      <c r="CN633" s="23"/>
      <c r="CO633" s="14"/>
      <c r="CP633" s="14"/>
      <c r="CQ633" s="14"/>
      <c r="CR633" s="14"/>
      <c r="CS633" s="14"/>
      <c r="CT633" s="47"/>
      <c r="CU633" s="14"/>
      <c r="CV633" s="32"/>
      <c r="CW633" s="14"/>
      <c r="CY633" s="14"/>
      <c r="DE633" s="14"/>
      <c r="DF633" s="24"/>
      <c r="DG633" s="4"/>
      <c r="DH633" s="4"/>
      <c r="DI633" s="25"/>
      <c r="DJ633" s="35">
        <v>0.5</v>
      </c>
      <c r="IC633" s="4"/>
    </row>
    <row r="634" spans="1:263" ht="15" customHeight="1">
      <c r="A634" s="2">
        <v>102023022</v>
      </c>
      <c r="B634" t="s">
        <v>4040</v>
      </c>
      <c r="C634" s="10"/>
      <c r="D634" s="10"/>
      <c r="E634" s="10"/>
      <c r="F634" s="160"/>
      <c r="G634" s="147">
        <v>230001653</v>
      </c>
      <c r="H634" s="10"/>
      <c r="I634" s="10"/>
      <c r="J634" s="10" t="s">
        <v>3793</v>
      </c>
      <c r="K634" s="10" t="s">
        <v>862</v>
      </c>
      <c r="L634" s="10" t="s">
        <v>915</v>
      </c>
      <c r="M634" s="10" t="s">
        <v>326</v>
      </c>
      <c r="N634" s="10" t="s">
        <v>352</v>
      </c>
      <c r="O634" s="147"/>
      <c r="P634" s="10"/>
      <c r="Q634" s="10"/>
      <c r="R634" s="10"/>
      <c r="S634" s="10"/>
      <c r="T634" s="10"/>
      <c r="U634" s="10"/>
      <c r="V634" s="10"/>
      <c r="W634" s="10"/>
      <c r="X634" s="10"/>
      <c r="Y634" s="10"/>
      <c r="Z634" s="10"/>
      <c r="AA634" s="10"/>
      <c r="AB634" s="10"/>
      <c r="AC634" s="10"/>
      <c r="AD634" s="10" t="s">
        <v>4599</v>
      </c>
      <c r="AE634" s="10" t="s">
        <v>253</v>
      </c>
      <c r="AF634" s="10" t="s">
        <v>4611</v>
      </c>
      <c r="AG634" s="10" t="s">
        <v>4612</v>
      </c>
      <c r="AH634" s="10" t="s">
        <v>4600</v>
      </c>
      <c r="AI634" s="10" t="s">
        <v>4613</v>
      </c>
      <c r="AK634" s="1"/>
      <c r="AM634"/>
      <c r="AN634"/>
      <c r="AO634" t="s">
        <v>3181</v>
      </c>
      <c r="AP634" s="1" t="s">
        <v>258</v>
      </c>
      <c r="AQ634" t="s">
        <v>349</v>
      </c>
      <c r="AR634" t="s">
        <v>260</v>
      </c>
      <c r="AX634" s="1"/>
      <c r="AY634" s="1"/>
      <c r="AZ634" s="1"/>
      <c r="BA634" s="1"/>
      <c r="BB634" s="1"/>
      <c r="BC634" s="70"/>
      <c r="BD634" s="115"/>
      <c r="BE634" s="144">
        <v>45015</v>
      </c>
      <c r="BF634" s="70"/>
      <c r="BG634" s="2"/>
      <c r="BH634" s="70"/>
      <c r="BI634" s="70"/>
      <c r="BJ634" s="70"/>
      <c r="BK634" s="70"/>
      <c r="BL634" s="20">
        <f ca="1">SUM(EH634)+220</f>
        <v>8814.7497249999979</v>
      </c>
      <c r="BM634" s="22">
        <f ca="1">PMT(10%/12,12,BL634,0,0)</f>
        <v>-774.9565427838578</v>
      </c>
      <c r="BN634" s="22">
        <f ca="1">SUM(BM634*-1)</f>
        <v>774.9565427838578</v>
      </c>
      <c r="BO634" s="14">
        <f>SUM(EP634*0.0052)/12</f>
        <v>150.71333333333334</v>
      </c>
      <c r="BP634" s="22">
        <f ca="1">SUM(BN634+BO634)</f>
        <v>925.66987611719117</v>
      </c>
      <c r="BQ634" s="14"/>
      <c r="BR634" s="14">
        <f>SUM(BQ634*0.1)</f>
        <v>0</v>
      </c>
      <c r="BS634" s="14">
        <f ca="1">SUM(BT634*BU634)</f>
        <v>0</v>
      </c>
      <c r="BT634" s="17">
        <f>SUM((BQ634+BR634)*0.00833333333333333)</f>
        <v>0</v>
      </c>
      <c r="BU634" s="23">
        <f ca="1">MONTH(TODAY())+49</f>
        <v>53</v>
      </c>
      <c r="BV634" s="14">
        <f ca="1">SUM(BQ634,BR634,BS634)</f>
        <v>0</v>
      </c>
      <c r="BW634" s="14">
        <f>SUM(EM634*0.0052)-382.33</f>
        <v>831.87000000000012</v>
      </c>
      <c r="BX634" s="14">
        <f>SUM(BW634*0.1)</f>
        <v>83.187000000000012</v>
      </c>
      <c r="BY634" s="14">
        <f ca="1">SUM(BZ634*CA634)</f>
        <v>312.64447499999994</v>
      </c>
      <c r="BZ634" s="17">
        <f>SUM((BW634+BX634)*0.00833333333333333)</f>
        <v>7.625474999999998</v>
      </c>
      <c r="CA634" s="23">
        <f ca="1">MONTH(TODAY())+37</f>
        <v>41</v>
      </c>
      <c r="CB634" s="14">
        <f ca="1">SUM(BW634,BX634,BY634)</f>
        <v>1227.7014750000001</v>
      </c>
      <c r="CC634" s="14">
        <f>SUM(EM634*0.0052)</f>
        <v>1214.2</v>
      </c>
      <c r="CD634" s="14">
        <f>SUM(CC634*0.1)</f>
        <v>121.42000000000002</v>
      </c>
      <c r="CE634" s="14">
        <f ca="1">SUM(CF634*CG634)</f>
        <v>322.77483333333322</v>
      </c>
      <c r="CF634" s="17">
        <f>SUM((CC634+CD634)*0.00833333333333333)</f>
        <v>11.130166666666662</v>
      </c>
      <c r="CG634" s="23">
        <f ca="1">MONTH(TODAY())+25</f>
        <v>29</v>
      </c>
      <c r="CH634" s="14">
        <f ca="1">SUM(CC634,CD634,CE634)</f>
        <v>1658.3948333333333</v>
      </c>
      <c r="CI634" s="14">
        <f>SUM(EM634*0.0052)/2</f>
        <v>607.1</v>
      </c>
      <c r="CJ634" s="14">
        <f>SUM(CI634*0.1)</f>
        <v>60.710000000000008</v>
      </c>
      <c r="CK634" s="14">
        <f ca="1">SUM(CL634*CM634)</f>
        <v>116.86674999999995</v>
      </c>
      <c r="CL634" s="17">
        <f>SUM((CI634+CJ634)*0.00833333333333333)</f>
        <v>5.5650833333333312</v>
      </c>
      <c r="CM634" s="23">
        <f ca="1">MONTH(TODAY())+17</f>
        <v>21</v>
      </c>
      <c r="CN634" s="23">
        <f ca="1">SUM(CI634,CJ634,CK634)</f>
        <v>784.67674999999997</v>
      </c>
      <c r="CO634" s="14">
        <f>SUM(EM634*0.0052)/2</f>
        <v>607.1</v>
      </c>
      <c r="CP634" s="14">
        <f>SUM(CO634*0.1)</f>
        <v>60.710000000000008</v>
      </c>
      <c r="CQ634" s="14">
        <f ca="1">SUM(CR634*CS634)</f>
        <v>94.606416666666632</v>
      </c>
      <c r="CR634" s="17">
        <f>SUM((CO634+CP634)*0.00833333333333333)</f>
        <v>5.5650833333333312</v>
      </c>
      <c r="CS634" s="23">
        <f ca="1">MONTH(TODAY())+13</f>
        <v>17</v>
      </c>
      <c r="CT634" s="14">
        <f ca="1">SUM(CO634,CP634,CQ634)</f>
        <v>762.41641666666669</v>
      </c>
      <c r="CU634" s="14">
        <f>SUM(EP634*0.0045)/2</f>
        <v>782.55</v>
      </c>
      <c r="CV634" s="14">
        <f>SUM(CU634*0.1)</f>
        <v>78.254999999999995</v>
      </c>
      <c r="CW634" s="14">
        <f ca="1">SUM(CX634*CY634)</f>
        <v>78.907124999999965</v>
      </c>
      <c r="CX634" s="17">
        <f>SUM((CU634+CV634)*0.00833333333333333)</f>
        <v>7.1733749999999965</v>
      </c>
      <c r="CY634" s="23">
        <f ca="1">MONTH(TODAY())+7</f>
        <v>11</v>
      </c>
      <c r="CZ634" s="14">
        <f ca="1">SUM(CU634,CV634,CW634)</f>
        <v>939.7121249999999</v>
      </c>
      <c r="DA634" s="14">
        <f>SUM(EP634*0.0045)/2</f>
        <v>782.55</v>
      </c>
      <c r="DB634" s="14">
        <f>SUM(DA634*0.1)</f>
        <v>78.254999999999995</v>
      </c>
      <c r="DC634" s="14">
        <f ca="1">SUM(DD634*DE634)</f>
        <v>35.866874999999979</v>
      </c>
      <c r="DD634" s="17">
        <f>SUM((DA634+DB634)*0.00833333333333333)</f>
        <v>7.1733749999999965</v>
      </c>
      <c r="DE634" s="23">
        <f ca="1">MONTH(TODAY())+1</f>
        <v>5</v>
      </c>
      <c r="DF634" s="14">
        <f ca="1">SUM(DA634,DB634,DC634)</f>
        <v>896.67187499999989</v>
      </c>
      <c r="DG634" s="14">
        <f>SUM(EP634*0.0045)/2</f>
        <v>782.55</v>
      </c>
      <c r="DH634" s="14">
        <f>SUM(DG634*0.1)</f>
        <v>78.254999999999995</v>
      </c>
      <c r="DI634" s="14">
        <f ca="1">SUM(DJ634*DK634)</f>
        <v>-21.52012499999999</v>
      </c>
      <c r="DJ634" s="17">
        <f>SUM((DG634+DH634)*0.00833333333333333)</f>
        <v>7.1733749999999965</v>
      </c>
      <c r="DK634" s="23">
        <f ca="1">MONTH(TODAY())-7</f>
        <v>-3</v>
      </c>
      <c r="DL634" s="14">
        <f ca="1">SUM(DG634,DH634,DI634)</f>
        <v>839.28487499999994</v>
      </c>
      <c r="DM634" s="14">
        <f>SUM(EP634*0.0045)/2</f>
        <v>782.55</v>
      </c>
      <c r="DN634" s="14">
        <f>SUM(DM634*0.1)</f>
        <v>78.254999999999995</v>
      </c>
      <c r="DO634" s="14">
        <f ca="1">SUM(DP634*DQ634)</f>
        <v>-50.213624999999979</v>
      </c>
      <c r="DP634" s="17">
        <f>SUM((DM634+DN634)*0.00833333333333333)</f>
        <v>7.1733749999999965</v>
      </c>
      <c r="DQ634" s="23">
        <f ca="1">MONTH(TODAY())-11</f>
        <v>-7</v>
      </c>
      <c r="DR634" s="14">
        <f ca="1">SUM(DM634,DN634,DO634)</f>
        <v>810.59137499999997</v>
      </c>
      <c r="DS634" s="14">
        <f>SUM(BQ634, BW634, CC634, CI634,CO634,CU634,DA634,DG634,DM634)</f>
        <v>6390.47</v>
      </c>
      <c r="DT634" s="14">
        <f>SUM(BR634,BX634,CD634, CJ634,CP634,CV634,DB634,DH634,DN634)</f>
        <v>639.04700000000003</v>
      </c>
      <c r="DU634" s="14">
        <f ca="1">SUM(BS634,BY634,CE634, CK634,CQ634,CW634,DC634,DI634,DO634)</f>
        <v>889.93272499999966</v>
      </c>
      <c r="DV634" s="25">
        <f ca="1">SUM(DS634:DU634)</f>
        <v>7919.4497249999995</v>
      </c>
      <c r="DW634" s="47">
        <f ca="1">SUM(DV634/EM634)</f>
        <v>3.3916272912205565E-2</v>
      </c>
      <c r="DX634" s="14">
        <f>440+40</f>
        <v>480</v>
      </c>
      <c r="DY634" s="32">
        <f>COUNTIF(AO634, "*")+COUNTIF(AJ634, "*")+COUNTIF(AA634, "*")+COUNTIF(FA634, "*")+COUNTIF(FG634, "*")+COUNTIF(FM634, "*")+COUNTIF(FQ634, "*")+COUNTIF(FX634, "*")+COUNTIF(AT634, "*")+COUNTIF(GG634, "*")+COUNTIF(GR634, "*")+COUNTIF(HC634, "*")+COUNTIF(HK634, "*")+COUNTIF(HS634, "*")+COUNTIF(IA634, "*")</f>
        <v>6</v>
      </c>
      <c r="DZ634" s="14">
        <f>0.6+DY634*7.45</f>
        <v>45.300000000000004</v>
      </c>
      <c r="EA634" s="4"/>
      <c r="EB634" s="4">
        <v>150</v>
      </c>
      <c r="EC634" s="4"/>
      <c r="ED634" s="4"/>
      <c r="EE634" s="4"/>
      <c r="EF634" s="4"/>
      <c r="EG634" s="14">
        <f>SUM(EA634:EF634)</f>
        <v>150</v>
      </c>
      <c r="EH634" s="14">
        <f ca="1">SUM(DV634,DX634,EG634,DZ634,GD634)</f>
        <v>8594.7497249999979</v>
      </c>
      <c r="EI634" s="24" t="s">
        <v>3974</v>
      </c>
      <c r="EJ634" s="7">
        <v>1.06</v>
      </c>
      <c r="EK634" s="4">
        <v>13200</v>
      </c>
      <c r="EL634" s="4">
        <v>220300</v>
      </c>
      <c r="EM634" s="14">
        <f>SUM(EK634+EL634)</f>
        <v>233500</v>
      </c>
      <c r="EN634" s="14">
        <v>25300</v>
      </c>
      <c r="EO634" s="14">
        <v>322500</v>
      </c>
      <c r="EP634" s="14">
        <f>SUM(EN634+EO634)</f>
        <v>347800</v>
      </c>
      <c r="EQ634" s="10"/>
      <c r="ER634" s="10"/>
      <c r="ES634" s="10"/>
      <c r="ET634" s="10"/>
      <c r="EU634" s="10"/>
      <c r="EV634" s="10"/>
      <c r="EW634" s="10"/>
      <c r="EX634" s="10"/>
      <c r="EY634" s="10" t="s">
        <v>4599</v>
      </c>
      <c r="EZ634" s="10"/>
      <c r="FA634" s="10" t="s">
        <v>4600</v>
      </c>
      <c r="FB634" s="10"/>
      <c r="FC634" s="10" t="s">
        <v>349</v>
      </c>
      <c r="FD634" s="10" t="s">
        <v>260</v>
      </c>
      <c r="FE634" s="10" t="s">
        <v>4601</v>
      </c>
      <c r="FF634" s="10"/>
      <c r="FG634" s="10" t="s">
        <v>4602</v>
      </c>
      <c r="FH634" s="10"/>
      <c r="FI634" s="10" t="s">
        <v>290</v>
      </c>
      <c r="FJ634" s="10" t="s">
        <v>268</v>
      </c>
      <c r="FK634" s="10" t="s">
        <v>4603</v>
      </c>
      <c r="FL634" s="10"/>
      <c r="FM634" s="10" t="s">
        <v>4604</v>
      </c>
      <c r="FN634" s="10" t="s">
        <v>4605</v>
      </c>
      <c r="FO634" s="10"/>
      <c r="FP634" s="10" t="s">
        <v>4606</v>
      </c>
      <c r="FQ634" s="10" t="s">
        <v>3182</v>
      </c>
      <c r="FR634" s="10"/>
      <c r="FS634" s="10" t="s">
        <v>349</v>
      </c>
      <c r="FT634" s="10" t="s">
        <v>260</v>
      </c>
      <c r="FU634" s="9"/>
      <c r="FV634" s="10"/>
      <c r="FW634" s="10" t="s">
        <v>4607</v>
      </c>
      <c r="FX634" s="10" t="s">
        <v>3181</v>
      </c>
      <c r="FY634" s="10"/>
      <c r="FZ634" s="10" t="s">
        <v>349</v>
      </c>
      <c r="GA634" s="10" t="s">
        <v>260</v>
      </c>
      <c r="GB634" s="9"/>
      <c r="GC634" s="10"/>
      <c r="GD634" s="10"/>
      <c r="GE634" s="10"/>
      <c r="GF634" s="10"/>
      <c r="GG634" s="10"/>
      <c r="GH634" s="10"/>
      <c r="GI634" s="10"/>
      <c r="GJ634" s="10"/>
      <c r="GK634" s="9"/>
      <c r="GL634" s="10"/>
      <c r="GM634" s="10"/>
      <c r="GN634" s="10"/>
      <c r="GO634" s="10"/>
      <c r="GP634" s="10"/>
      <c r="GQ634" s="10"/>
      <c r="GR634" s="10"/>
      <c r="GS634" s="10"/>
      <c r="GT634" s="10"/>
      <c r="GU634" s="10"/>
      <c r="GV634" s="9"/>
      <c r="GW634" s="10"/>
      <c r="GX634" s="10"/>
      <c r="GY634" s="10"/>
      <c r="GZ634" s="10"/>
      <c r="HA634" s="10"/>
      <c r="HB634" s="10"/>
      <c r="HC634" s="10"/>
      <c r="HD634" s="10"/>
      <c r="HE634" s="10"/>
      <c r="HF634" s="10"/>
      <c r="HG634" s="9"/>
      <c r="HH634" s="10"/>
      <c r="HI634" s="10"/>
      <c r="HJ634" s="10"/>
      <c r="HK634" s="10"/>
      <c r="HL634" s="10"/>
      <c r="HM634" s="10"/>
      <c r="HN634" s="10"/>
      <c r="HO634" s="9"/>
      <c r="HP634" s="10"/>
      <c r="HQ634" s="10"/>
      <c r="HR634" s="10"/>
      <c r="HS634" s="10"/>
      <c r="HT634" s="10"/>
      <c r="HU634" s="10"/>
      <c r="HV634" s="10"/>
      <c r="HW634" s="9"/>
      <c r="HX634" s="10"/>
      <c r="HY634" s="10"/>
      <c r="HZ634" s="10"/>
      <c r="IA634" s="10"/>
      <c r="IB634" s="10"/>
      <c r="IC634" s="10"/>
      <c r="ID634" s="10"/>
      <c r="IE634" s="9"/>
      <c r="IF634" s="4"/>
      <c r="IG634" s="4"/>
      <c r="IH634" s="10"/>
      <c r="II634" s="10"/>
      <c r="IJ634" s="10"/>
      <c r="IK634" s="10"/>
      <c r="IL634" s="4"/>
      <c r="IM634" s="4"/>
      <c r="IN634" s="14">
        <f ca="1">SUM(IF634-EH634-GD634-IL634)</f>
        <v>-8594.7497249999979</v>
      </c>
      <c r="IO634" s="14"/>
      <c r="IP634" s="14"/>
      <c r="IQ634" s="9"/>
      <c r="IR634" s="9"/>
      <c r="IS634" s="9"/>
      <c r="IT634" s="9"/>
      <c r="IU634" s="9"/>
      <c r="IV634" t="s">
        <v>5913</v>
      </c>
    </row>
    <row r="635" spans="1:263" ht="15" customHeight="1">
      <c r="A635" s="2">
        <v>102018097</v>
      </c>
      <c r="B635" s="4" t="s">
        <v>1288</v>
      </c>
      <c r="C635" s="4"/>
      <c r="D635" s="3"/>
      <c r="E635" s="3"/>
      <c r="F635" s="3"/>
      <c r="G635" s="3"/>
      <c r="H635" s="3"/>
      <c r="J635" t="s">
        <v>305</v>
      </c>
      <c r="K635" t="s">
        <v>673</v>
      </c>
      <c r="L635" t="s">
        <v>1289</v>
      </c>
      <c r="M635" t="s">
        <v>396</v>
      </c>
      <c r="O635" s="1"/>
      <c r="P635" t="s">
        <v>673</v>
      </c>
      <c r="Q635" t="s">
        <v>1290</v>
      </c>
      <c r="R635" t="s">
        <v>256</v>
      </c>
      <c r="T635" s="1"/>
      <c r="AF635" s="3"/>
      <c r="AJ635" s="4"/>
      <c r="AK635" s="4"/>
      <c r="AO635" s="4"/>
      <c r="AP635" s="5"/>
      <c r="AS635" s="5"/>
      <c r="AT635" s="5"/>
      <c r="AU635" s="1"/>
      <c r="AV635" s="1"/>
      <c r="AW635" s="1"/>
      <c r="AX635" s="1"/>
      <c r="AY635" s="1"/>
      <c r="AZ635" s="1"/>
      <c r="BA635" s="1"/>
      <c r="BB635" s="1"/>
      <c r="BC635" s="1"/>
      <c r="BD635" s="1"/>
      <c r="BE635" s="1"/>
      <c r="BF635" s="1"/>
      <c r="BG635" s="5"/>
      <c r="BH635" s="16"/>
      <c r="BI635" s="16"/>
      <c r="BK635" s="4"/>
      <c r="BL635" s="4"/>
      <c r="BM635" s="6"/>
      <c r="BN635" s="7"/>
      <c r="BO635" s="4"/>
      <c r="BP635" s="4"/>
      <c r="BQ635" s="4"/>
      <c r="BR635" s="4"/>
      <c r="BS635" s="6"/>
      <c r="BT635" s="7"/>
      <c r="BU635" s="4"/>
      <c r="BV635" s="4"/>
      <c r="BW635" s="4"/>
      <c r="BX635" s="4"/>
      <c r="BY635" s="6"/>
      <c r="BZ635" s="7"/>
      <c r="CA635" s="4"/>
      <c r="CB635" s="4"/>
      <c r="CC635" s="4"/>
      <c r="CD635" s="4"/>
      <c r="CE635" s="6"/>
      <c r="CF635" s="7"/>
      <c r="CG635" s="4"/>
      <c r="CH635" s="4"/>
      <c r="CI635" s="4"/>
      <c r="CJ635" s="4"/>
      <c r="CK635" s="6"/>
      <c r="CL635" s="7"/>
      <c r="CM635" s="4"/>
      <c r="CN635" s="4"/>
      <c r="CO635" s="4"/>
      <c r="CP635" s="4"/>
      <c r="CQ635" s="6"/>
      <c r="CR635" s="7"/>
      <c r="CS635" s="4"/>
      <c r="CT635" s="4"/>
      <c r="CU635" s="4"/>
      <c r="CV635" s="4"/>
      <c r="CW635" s="6"/>
      <c r="CX635" s="7"/>
      <c r="CY635" s="4"/>
      <c r="CZ635" s="4"/>
      <c r="DA635" s="4"/>
      <c r="DB635" s="4"/>
      <c r="DC635" s="6"/>
      <c r="DD635" s="7"/>
      <c r="DE635" s="4"/>
      <c r="DF635" s="4"/>
      <c r="DG635" s="14"/>
      <c r="DH635" s="14"/>
      <c r="DI635" s="4"/>
      <c r="DJ635" s="3"/>
      <c r="DK635" s="4"/>
      <c r="DL635" s="234"/>
      <c r="DM635" s="4"/>
      <c r="DN635" s="4"/>
      <c r="DO635" s="4"/>
      <c r="DP635" s="4"/>
      <c r="DQ635" s="4"/>
      <c r="DR635" s="4"/>
      <c r="DS635" s="7"/>
      <c r="DT635" s="4"/>
      <c r="DU635" s="4"/>
      <c r="DV635" s="8"/>
      <c r="DW635" s="4"/>
      <c r="DX635" s="4"/>
      <c r="EG635" s="11"/>
      <c r="EM635" s="11"/>
      <c r="EN635" s="11"/>
      <c r="EO635" s="4"/>
      <c r="EP635" s="4"/>
      <c r="EQ635" s="4"/>
      <c r="ER635" s="4"/>
      <c r="ES635" s="4"/>
      <c r="ET635" s="4"/>
      <c r="EU635" s="4"/>
      <c r="EV635" s="4"/>
      <c r="EW635" s="4"/>
      <c r="EX635" s="4"/>
      <c r="EY635" s="4"/>
      <c r="EZ635" s="4"/>
      <c r="FA635" s="4"/>
      <c r="FB635" s="4"/>
      <c r="FC635" s="4"/>
      <c r="FG635" s="9"/>
      <c r="FP635" s="9"/>
      <c r="FZ635" s="10"/>
      <c r="GJ635" s="10"/>
      <c r="GY635" s="9"/>
      <c r="IK635" s="4"/>
      <c r="IL635" s="18"/>
      <c r="IM635" s="18"/>
      <c r="IN635" s="18"/>
      <c r="IO635" s="18"/>
      <c r="IP635" s="240"/>
      <c r="IQ635" s="240"/>
      <c r="IR635" s="240"/>
      <c r="IS635" s="240"/>
      <c r="IT635" s="240"/>
      <c r="IU635" s="240"/>
      <c r="IV635" s="240"/>
      <c r="IW635" s="240"/>
    </row>
    <row r="636" spans="1:263" ht="15" customHeight="1">
      <c r="A636" s="19">
        <v>102021105</v>
      </c>
      <c r="B636" t="s">
        <v>2666</v>
      </c>
      <c r="D636" s="1"/>
      <c r="E636" s="3" t="s">
        <v>3718</v>
      </c>
      <c r="F636" s="3">
        <v>220002137</v>
      </c>
      <c r="J636" t="s">
        <v>311</v>
      </c>
      <c r="K636" t="s">
        <v>2667</v>
      </c>
      <c r="L636" t="s">
        <v>2668</v>
      </c>
      <c r="M636" t="s">
        <v>309</v>
      </c>
      <c r="AG636" s="43"/>
      <c r="AJ636" s="18" t="s">
        <v>328</v>
      </c>
      <c r="AK636" s="18"/>
      <c r="AL636" s="18" t="s">
        <v>349</v>
      </c>
      <c r="AM636"/>
      <c r="AN636"/>
      <c r="AO636" s="3" t="s">
        <v>2669</v>
      </c>
      <c r="AP636" s="3" t="s">
        <v>258</v>
      </c>
      <c r="AQ636" t="s">
        <v>2670</v>
      </c>
      <c r="AR636"/>
      <c r="AS636" s="1"/>
      <c r="AT636" s="1" t="s">
        <v>258</v>
      </c>
      <c r="AU636" s="1"/>
      <c r="AV636" s="1"/>
      <c r="AW636" s="1"/>
      <c r="AX636" s="70">
        <v>44648</v>
      </c>
      <c r="AY636" s="115">
        <v>44598</v>
      </c>
      <c r="AZ636" s="114">
        <v>44615</v>
      </c>
      <c r="BA636" s="2"/>
      <c r="BB636" s="2"/>
      <c r="BC636" s="2"/>
      <c r="BD636" s="2"/>
      <c r="BE636" s="2"/>
      <c r="BF636" s="2"/>
      <c r="BG636" s="20">
        <f ca="1">SUM(CZ636)+214.5</f>
        <v>1277.8367083333333</v>
      </c>
      <c r="BH636" s="22">
        <f ca="1">PMT(10%/12,12,BG636,0,0)</f>
        <v>-112.34214794819998</v>
      </c>
      <c r="BI636" s="22">
        <f ca="1">SUM(BH636*-1)</f>
        <v>112.34214794819998</v>
      </c>
      <c r="BJ636" s="14">
        <f>SUM(DJ636*0.0052)/12</f>
        <v>8.6666666666666661</v>
      </c>
      <c r="BK636" s="22">
        <f ca="1">SUM(BI636+BJ636)</f>
        <v>121.00881461486665</v>
      </c>
      <c r="BL636" s="14"/>
      <c r="BM636" s="14">
        <f>SUM(BL636*0.1)</f>
        <v>0</v>
      </c>
      <c r="BN636" s="14">
        <f ca="1">SUM(BO636*BP636)</f>
        <v>0</v>
      </c>
      <c r="BO636" s="17">
        <f>SUM((BL636+BM636)*0.00833333333333333)</f>
        <v>0</v>
      </c>
      <c r="BP636" s="23">
        <f ca="1">MONTH(TODAY())+49</f>
        <v>53</v>
      </c>
      <c r="BQ636" s="14">
        <f ca="1">SUM(BL636,BM636,BN636)</f>
        <v>0</v>
      </c>
      <c r="BR636" s="14"/>
      <c r="BS636" s="14">
        <f>SUM(BR636*0.1)</f>
        <v>0</v>
      </c>
      <c r="BT636" s="14">
        <f ca="1">SUM(BU636*BV636)</f>
        <v>0</v>
      </c>
      <c r="BU636" s="17">
        <f>SUM((BR636+BS636)*0.00833333333333333)</f>
        <v>0</v>
      </c>
      <c r="BV636" s="23">
        <f ca="1">MONTH(TODAY())+37</f>
        <v>41</v>
      </c>
      <c r="BW636" s="14">
        <f ca="1">SUM(BR636,BS636,BT636)</f>
        <v>0</v>
      </c>
      <c r="BX636" s="14">
        <v>13.95</v>
      </c>
      <c r="BY636" s="14">
        <f>SUM(BX636*0.1)</f>
        <v>1.395</v>
      </c>
      <c r="BZ636" s="14">
        <f ca="1">SUM(CA636*CB636)</f>
        <v>3.708374999999998</v>
      </c>
      <c r="CA636" s="17">
        <f>SUM((BX636+BY636)*0.00833333333333333)</f>
        <v>0.12787499999999993</v>
      </c>
      <c r="CB636" s="23">
        <f ca="1">MONTH(TODAY())+25</f>
        <v>29</v>
      </c>
      <c r="CC636" s="14">
        <f ca="1">SUM(BX636,BY636,BZ636)</f>
        <v>19.053374999999996</v>
      </c>
      <c r="CD636" s="14">
        <f>SUM(DJ636*0.0052)</f>
        <v>104</v>
      </c>
      <c r="CE636" s="14">
        <f>SUM(CD636*0.1)</f>
        <v>10.4</v>
      </c>
      <c r="CF636" s="14">
        <f ca="1">SUM(CG636*CH636)</f>
        <v>16.20666666666666</v>
      </c>
      <c r="CG636" s="17">
        <f>SUM((CD636+CE636)*0.00833333333333333)</f>
        <v>0.95333333333333292</v>
      </c>
      <c r="CH636" s="23">
        <f ca="1">MONTH(TODAY())+13</f>
        <v>17</v>
      </c>
      <c r="CI636" s="14">
        <f ca="1">SUM(CD636,CE636,CF636)</f>
        <v>130.60666666666665</v>
      </c>
      <c r="CJ636" s="14">
        <f>SUM(DJ636*0.0052)</f>
        <v>104</v>
      </c>
      <c r="CK636" s="14">
        <f>SUM(CJ636*0.1)</f>
        <v>10.4</v>
      </c>
      <c r="CL636" s="14">
        <f ca="1">SUM(CM636*CN636)</f>
        <v>4.7666666666666648</v>
      </c>
      <c r="CM636" s="17">
        <f>SUM((CJ636+CK636)*0.00833333333333333)</f>
        <v>0.95333333333333292</v>
      </c>
      <c r="CN636" s="23">
        <f ca="1">MONTH(TODAY())+1</f>
        <v>5</v>
      </c>
      <c r="CO636" s="14">
        <f ca="1">SUM(CJ636,CK636,CL636)</f>
        <v>119.16666666666667</v>
      </c>
      <c r="CP636" s="14">
        <f>SUM(DJ636*0.0052)/2</f>
        <v>52</v>
      </c>
      <c r="CQ636" s="14">
        <f>SUM(BL636, BR636, BX636, CD636, CJ636, CP636)</f>
        <v>273.95</v>
      </c>
      <c r="CR636" s="14">
        <f>SUM(BM636, BS636,BY636,CE636,CK636)</f>
        <v>22.195</v>
      </c>
      <c r="CS636" s="14">
        <f ca="1">SUM(BN636, BT636,BZ636,CF636,CL636)</f>
        <v>24.681708333333322</v>
      </c>
      <c r="CT636" s="14">
        <f ca="1">SUM(CQ636:CS636)</f>
        <v>320.82670833333333</v>
      </c>
      <c r="CU636" s="47">
        <f ca="1">SUM(CT636/DJ636)</f>
        <v>1.6041335416666667E-2</v>
      </c>
      <c r="CV636" s="14">
        <f>19.5+19.5+195+195+58.5+39</f>
        <v>526.5</v>
      </c>
      <c r="CW636" s="32">
        <f>COUNTIF(DC636, "*")+COUNTIF(AO636, "*")+COUNTIF(AJ636, "*")+COUNTIF(AA636, "*")+COUNTIF(DZ636, "*")+COUNTIF(EF636, "*")+COUNTIF(EL636, "*")+COUNTIF(EP636, "*")+COUNTIF(EW636, "*")+COUNTIF(FD636, "*")+COUNTIF(FK636, "*")+COUNTIF(FV636, "*")+COUNTIF(GG636, "*")+COUNTIF(GO636, "*")+COUNTIF(GW636, "*")+COUNTIF(HE636, "*")+COUNTIF(HM636, "*")</f>
        <v>3</v>
      </c>
      <c r="CX636" s="14">
        <f>CW636*0.5+CW636*6.66</f>
        <v>21.48</v>
      </c>
      <c r="CY636" s="4">
        <v>150</v>
      </c>
      <c r="CZ636" s="14">
        <f ca="1">SUM(CT636,CV636,DF636, CY636, CX636,FH636)</f>
        <v>1063.3367083333333</v>
      </c>
      <c r="DA636" s="14">
        <v>44.53</v>
      </c>
      <c r="DF636" s="14">
        <f>SUM(DA636:DE636)</f>
        <v>44.53</v>
      </c>
      <c r="DG636" s="24" t="s">
        <v>2770</v>
      </c>
      <c r="DH636" s="4">
        <v>20000</v>
      </c>
      <c r="DI636" s="4">
        <v>0</v>
      </c>
      <c r="DJ636" s="25">
        <f>SUM(DH636+DI636)</f>
        <v>20000</v>
      </c>
      <c r="DK636" s="35">
        <v>3</v>
      </c>
      <c r="DL636" t="s">
        <v>3420</v>
      </c>
      <c r="DM636" t="s">
        <v>3421</v>
      </c>
      <c r="EO636" t="s">
        <v>3422</v>
      </c>
      <c r="EP636" t="s">
        <v>3423</v>
      </c>
      <c r="ER636" t="s">
        <v>279</v>
      </c>
      <c r="ES636" t="s">
        <v>268</v>
      </c>
      <c r="ET636" t="s">
        <v>3424</v>
      </c>
      <c r="EU636" t="s">
        <v>3425</v>
      </c>
      <c r="ID636" s="4"/>
    </row>
    <row r="637" spans="1:263" s="18" customFormat="1" ht="15" customHeight="1">
      <c r="A637" s="2">
        <v>102017045</v>
      </c>
      <c r="B637" t="s">
        <v>905</v>
      </c>
      <c r="C637"/>
      <c r="D637"/>
      <c r="E637" t="s">
        <v>906</v>
      </c>
      <c r="F637">
        <v>180003498</v>
      </c>
      <c r="G637"/>
      <c r="H637"/>
      <c r="I637"/>
      <c r="J637" t="s">
        <v>253</v>
      </c>
      <c r="K637" t="s">
        <v>907</v>
      </c>
      <c r="L637" t="s">
        <v>908</v>
      </c>
      <c r="M637" t="s">
        <v>309</v>
      </c>
      <c r="N637"/>
      <c r="O637" s="1" t="s">
        <v>258</v>
      </c>
      <c r="P637"/>
      <c r="Q637"/>
      <c r="R637"/>
      <c r="S637"/>
      <c r="T637" s="1"/>
      <c r="U637"/>
      <c r="V637"/>
      <c r="W637"/>
      <c r="X637"/>
      <c r="Y637"/>
      <c r="Z637"/>
      <c r="AA637"/>
      <c r="AB637"/>
      <c r="AC637"/>
      <c r="AD637"/>
      <c r="AE637"/>
      <c r="AF637"/>
      <c r="AG637" s="3"/>
      <c r="AH637"/>
      <c r="AI637"/>
      <c r="AJ637"/>
      <c r="AK637" s="1"/>
      <c r="AL637"/>
      <c r="AM637" s="3"/>
      <c r="AN637" s="3"/>
      <c r="AO637"/>
      <c r="AP637" s="1"/>
      <c r="AQ637" s="3"/>
      <c r="AR637" s="3"/>
      <c r="AS637"/>
      <c r="AT637"/>
      <c r="AU637"/>
      <c r="AV637" s="4"/>
      <c r="AW637" s="4"/>
      <c r="AX637" s="6"/>
      <c r="AY637" s="7"/>
      <c r="AZ637" s="4"/>
      <c r="BA637"/>
      <c r="BB637" s="4"/>
      <c r="BC637" s="4"/>
      <c r="BD637" s="6"/>
      <c r="BE637" s="7"/>
      <c r="BF637" s="4"/>
      <c r="BG637" s="4"/>
      <c r="BH637" s="4"/>
      <c r="BI637" s="4"/>
      <c r="BJ637" s="6"/>
      <c r="BK637" s="7"/>
      <c r="BL637" s="4"/>
      <c r="BM637"/>
      <c r="BN637" s="4"/>
      <c r="BO637" s="4"/>
      <c r="BP637" s="6"/>
      <c r="BQ637" s="7"/>
      <c r="BR637" s="4"/>
      <c r="BS637" s="4"/>
      <c r="BT637" s="4"/>
      <c r="BU637" s="4"/>
      <c r="BV637" s="6"/>
      <c r="BW637" s="7"/>
      <c r="BX637" s="4"/>
      <c r="BY637" s="4"/>
      <c r="BZ637" s="4"/>
      <c r="CA637" s="4"/>
      <c r="CB637" s="6"/>
      <c r="CC637" s="7"/>
      <c r="CD637" s="4"/>
      <c r="CE637" s="4"/>
      <c r="CF637" s="4"/>
      <c r="CG637" s="4"/>
      <c r="CH637" s="6"/>
      <c r="CI637" s="7"/>
      <c r="CJ637" s="4"/>
      <c r="CK637" s="4"/>
      <c r="CL637" s="4"/>
      <c r="CM637" s="4"/>
      <c r="CN637" s="6"/>
      <c r="CO637" s="7"/>
      <c r="CP637" s="4"/>
      <c r="CQ637" s="4"/>
      <c r="CR637" s="4"/>
      <c r="CS637" s="4"/>
      <c r="CT637" s="6"/>
      <c r="CU637" s="7"/>
      <c r="CV637" s="4"/>
      <c r="CW637" s="4"/>
      <c r="CX637" s="4"/>
      <c r="CY637" s="4"/>
      <c r="CZ637" s="4"/>
      <c r="DA637" s="4"/>
      <c r="DB637" s="4"/>
      <c r="DC637" s="4"/>
      <c r="DD637" s="4"/>
      <c r="DE637" s="4"/>
      <c r="DF637" s="4"/>
      <c r="DG637" s="4"/>
      <c r="DH637" s="4"/>
      <c r="DI637" s="4"/>
      <c r="DJ637" s="4"/>
      <c r="DK637" s="4"/>
      <c r="DL637" s="4"/>
      <c r="DM637" s="4"/>
      <c r="DN637"/>
      <c r="DO637"/>
      <c r="DP637" s="4"/>
      <c r="DQ637" s="4"/>
      <c r="DR637"/>
      <c r="DS637"/>
      <c r="DT637"/>
      <c r="DU637"/>
      <c r="DW637"/>
      <c r="DX637"/>
      <c r="DY637"/>
      <c r="DZ637" s="4"/>
      <c r="EA637"/>
      <c r="EC637"/>
      <c r="ED637" s="4"/>
      <c r="EE637" s="4"/>
      <c r="EF637" s="4"/>
      <c r="EG637" s="3"/>
      <c r="EH637" s="11"/>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s="10"/>
      <c r="FR637"/>
      <c r="FS637"/>
      <c r="FT637"/>
      <c r="FU637"/>
      <c r="FV637"/>
      <c r="FW637"/>
      <c r="FX637" s="10"/>
      <c r="FY637"/>
      <c r="FZ637"/>
      <c r="GA637"/>
      <c r="GB637"/>
      <c r="GC637"/>
      <c r="GD637"/>
      <c r="GE637"/>
      <c r="GF637"/>
      <c r="GG637"/>
      <c r="GH637"/>
      <c r="GI637"/>
      <c r="GJ637" s="9"/>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row>
    <row r="638" spans="1:263" ht="15" customHeight="1">
      <c r="A638" s="19">
        <v>102022157</v>
      </c>
      <c r="B638" t="s">
        <v>2888</v>
      </c>
      <c r="D638" s="1"/>
      <c r="E638" s="3" t="s">
        <v>3818</v>
      </c>
      <c r="F638" s="3">
        <v>220003005</v>
      </c>
      <c r="J638" t="s">
        <v>554</v>
      </c>
      <c r="K638" t="s">
        <v>862</v>
      </c>
      <c r="L638" t="s">
        <v>1166</v>
      </c>
      <c r="M638" t="s">
        <v>396</v>
      </c>
      <c r="N638" t="s">
        <v>470</v>
      </c>
      <c r="O638" t="s">
        <v>258</v>
      </c>
      <c r="P638" t="s">
        <v>862</v>
      </c>
      <c r="Q638" t="s">
        <v>915</v>
      </c>
      <c r="R638" t="s">
        <v>326</v>
      </c>
      <c r="AD638" t="s">
        <v>3862</v>
      </c>
      <c r="AE638" t="s">
        <v>253</v>
      </c>
      <c r="AF638" t="s">
        <v>352</v>
      </c>
      <c r="AG638" s="43" t="s">
        <v>3863</v>
      </c>
      <c r="AH638" s="3" t="s">
        <v>3181</v>
      </c>
      <c r="AI638" t="s">
        <v>349</v>
      </c>
      <c r="AJ638" t="s">
        <v>3184</v>
      </c>
      <c r="AK638" t="s">
        <v>258</v>
      </c>
      <c r="AL638" t="s">
        <v>349</v>
      </c>
      <c r="AM638" t="s">
        <v>260</v>
      </c>
      <c r="AN638"/>
      <c r="AO638" s="3" t="s">
        <v>3181</v>
      </c>
      <c r="AP638" s="3" t="s">
        <v>258</v>
      </c>
      <c r="AQ638" t="s">
        <v>349</v>
      </c>
      <c r="AR638" t="s">
        <v>260</v>
      </c>
      <c r="AS638" s="1"/>
      <c r="AT638" s="1"/>
      <c r="AU638" s="1" t="s">
        <v>258</v>
      </c>
      <c r="AV638" s="1" t="s">
        <v>258</v>
      </c>
      <c r="AW638" s="1" t="s">
        <v>258</v>
      </c>
      <c r="AX638" s="15">
        <v>44679</v>
      </c>
      <c r="AY638" s="115">
        <v>44647</v>
      </c>
      <c r="AZ638" s="115">
        <v>44637</v>
      </c>
      <c r="BA638" s="70">
        <v>44722</v>
      </c>
      <c r="BB638" s="2" t="s">
        <v>318</v>
      </c>
      <c r="BC638" s="70">
        <v>44708</v>
      </c>
      <c r="BD638" s="70">
        <v>44715</v>
      </c>
      <c r="BE638" s="2"/>
      <c r="BF638" s="2"/>
      <c r="BG638" s="20">
        <f ca="1">SUM(CY638)+214.5</f>
        <v>2013.9769333333331</v>
      </c>
      <c r="BH638" s="22">
        <f ca="1">PMT(10%/12,12,BG638,0,0)</f>
        <v>-177.06056895477386</v>
      </c>
      <c r="BI638" s="22">
        <f ca="1">SUM(BH638*-1)</f>
        <v>177.06056895477386</v>
      </c>
      <c r="BJ638" s="14">
        <f>SUM(DI638*0.0052)/12</f>
        <v>34.146666666666668</v>
      </c>
      <c r="BK638" s="22">
        <f ca="1">SUM(BI638+BJ638)</f>
        <v>211.20723562144053</v>
      </c>
      <c r="BL638" s="14"/>
      <c r="BM638" s="14">
        <f>SUM(BL638*0.1)</f>
        <v>0</v>
      </c>
      <c r="BN638" s="14">
        <f ca="1">SUM(BO638*BP638)</f>
        <v>0</v>
      </c>
      <c r="BO638" s="17">
        <f>SUM((BL638+BM638)*0.00833333333333333)</f>
        <v>0</v>
      </c>
      <c r="BP638" s="23">
        <f ca="1">MONTH(TODAY())+49</f>
        <v>53</v>
      </c>
      <c r="BQ638" s="14">
        <f ca="1">SUM(BL638,BM638,BN638)</f>
        <v>0</v>
      </c>
      <c r="BR638" s="14"/>
      <c r="BS638" s="14">
        <f>SUM(BR638*0.1)</f>
        <v>0</v>
      </c>
      <c r="BT638" s="14">
        <f ca="1">SUM(BU638*BV638)</f>
        <v>0</v>
      </c>
      <c r="BU638" s="17">
        <f>SUM((BR638+BS638)*0.00833333333333333)</f>
        <v>0</v>
      </c>
      <c r="BV638" s="23">
        <f ca="1">MONTH(TODAY())+37</f>
        <v>41</v>
      </c>
      <c r="BW638" s="14">
        <f ca="1">SUM(BR638,BS638,BT638)</f>
        <v>0</v>
      </c>
      <c r="BX638" s="14"/>
      <c r="BY638" s="14">
        <f>SUM(BX638*0.1)</f>
        <v>0</v>
      </c>
      <c r="BZ638" s="14">
        <f ca="1">SUM(CA638*CB638)</f>
        <v>0</v>
      </c>
      <c r="CA638" s="17">
        <f>SUM((BX638+BY638)*0.00833333333333333)</f>
        <v>0</v>
      </c>
      <c r="CB638" s="23">
        <f ca="1">MONTH(TODAY())+25</f>
        <v>29</v>
      </c>
      <c r="CC638" s="14">
        <f ca="1">SUM(BX638,BY638,BZ638)</f>
        <v>0</v>
      </c>
      <c r="CD638" s="14">
        <f>SUM(DI638*0.0052)</f>
        <v>409.76</v>
      </c>
      <c r="CE638" s="14">
        <f>SUM(CD638*0.1)</f>
        <v>40.975999999999999</v>
      </c>
      <c r="CF638" s="14">
        <f ca="1">SUM(CG638*CH638)</f>
        <v>63.854266666666639</v>
      </c>
      <c r="CG638" s="17">
        <f>SUM((CD638+CE638)*0.00833333333333333)</f>
        <v>3.7561333333333318</v>
      </c>
      <c r="CH638" s="23">
        <f ca="1">MONTH(TODAY())+13</f>
        <v>17</v>
      </c>
      <c r="CI638" s="14">
        <f ca="1">SUM(CD638,CE638,CF638)</f>
        <v>514.59026666666659</v>
      </c>
      <c r="CJ638" s="14">
        <f>SUM(DI638*0.0052)</f>
        <v>409.76</v>
      </c>
      <c r="CK638" s="14">
        <f>SUM(CJ638*0.1)</f>
        <v>40.975999999999999</v>
      </c>
      <c r="CL638" s="14">
        <f ca="1">SUM(CM638*CN638)</f>
        <v>18.780666666666658</v>
      </c>
      <c r="CM638" s="17">
        <f>SUM((CJ638+CK638)*0.00833333333333333)</f>
        <v>3.7561333333333318</v>
      </c>
      <c r="CN638" s="23">
        <f ca="1">MONTH(TODAY())+1</f>
        <v>5</v>
      </c>
      <c r="CO638" s="14">
        <f ca="1">SUM(CJ638,CK638,CL638)</f>
        <v>469.51666666666665</v>
      </c>
      <c r="CP638" s="14">
        <f>SUM(BL638, BR638,BX638,CD638,CJ638)</f>
        <v>819.52</v>
      </c>
      <c r="CQ638" s="14">
        <f>SUM(BM638, BS638,BY638,CE638,CK638)</f>
        <v>81.951999999999998</v>
      </c>
      <c r="CR638" s="14">
        <f ca="1">SUM(BN638, BT638,BZ638,CF638,CL638)</f>
        <v>82.634933333333294</v>
      </c>
      <c r="CS638" s="14">
        <f ca="1">SUM(CP638:CR638)</f>
        <v>984.10693333333325</v>
      </c>
      <c r="CT638" s="47">
        <f ca="1">SUM(CS638/DI638)</f>
        <v>1.2488666666666665E-2</v>
      </c>
      <c r="CU638" s="14">
        <f>19.5+19.5+195+195+39+58.5</f>
        <v>526.5</v>
      </c>
      <c r="CV638" s="32">
        <f>COUNTIF(DB638, "*")+COUNTIF(AO638, "*")+COUNTIF(AJ638, "*")+COUNTIF(AA638, "*")+COUNTIF(DY638, "*")+COUNTIF(EE638, "*")+COUNTIF(EK638, "*")+COUNTIF(EO638, "*")+COUNTIF(EV638, "*")+COUNTIF(FC638, "*")+COUNTIF(FJ638, "*")+COUNTIF(FU638, "*")+COUNTIF(GF638, "*")+COUNTIF(GN638, "*")+COUNTIF(GV638, "*")+COUNTIF(HD638, "*")+COUNTIF(HL638, "*")</f>
        <v>2</v>
      </c>
      <c r="CW638" s="14">
        <f>CV638*0.5+CV638*6.66</f>
        <v>14.32</v>
      </c>
      <c r="CX638" s="4">
        <v>150</v>
      </c>
      <c r="CY638" s="14">
        <f ca="1">SUM(CS638,CU638,DE638, CX638, CW638,FG638)</f>
        <v>1799.4769333333331</v>
      </c>
      <c r="CZ638" s="4">
        <f>30.8</f>
        <v>30.8</v>
      </c>
      <c r="DA638">
        <v>93.75</v>
      </c>
      <c r="DE638" s="14">
        <f>SUM(CZ638:DD638)</f>
        <v>124.55</v>
      </c>
      <c r="DF638" s="24" t="s">
        <v>2773</v>
      </c>
      <c r="DG638" s="4">
        <v>19700</v>
      </c>
      <c r="DH638" s="4">
        <v>59100</v>
      </c>
      <c r="DI638" s="25">
        <f>SUM(DG638+DH638)</f>
        <v>78800</v>
      </c>
      <c r="DJ638" s="35">
        <v>2.91</v>
      </c>
      <c r="DK638" t="s">
        <v>3511</v>
      </c>
      <c r="DL638" t="s">
        <v>3512</v>
      </c>
      <c r="DM638" t="s">
        <v>3513</v>
      </c>
      <c r="IC638" s="4"/>
      <c r="IZ638" s="18"/>
      <c r="JA638" s="18"/>
      <c r="JB638" s="18"/>
      <c r="JC638" s="18"/>
    </row>
    <row r="639" spans="1:263" ht="15" customHeight="1">
      <c r="A639" s="2">
        <v>102020019</v>
      </c>
      <c r="B639" t="s">
        <v>1589</v>
      </c>
      <c r="J639" t="s">
        <v>253</v>
      </c>
      <c r="K639" t="s">
        <v>972</v>
      </c>
      <c r="L639" t="s">
        <v>1590</v>
      </c>
      <c r="M639" t="s">
        <v>396</v>
      </c>
      <c r="AG639" s="248"/>
      <c r="BG639" s="5"/>
      <c r="BH639" s="16"/>
      <c r="BI639" s="16"/>
      <c r="BJ639" s="4"/>
      <c r="BK639" s="4"/>
      <c r="BL639" s="4"/>
      <c r="BM639" s="6"/>
      <c r="BN639" s="7"/>
      <c r="BO639" s="4"/>
      <c r="BP639" s="4"/>
      <c r="BQ639" s="4"/>
      <c r="BR639" s="4"/>
      <c r="BS639" s="6"/>
      <c r="BT639" s="7"/>
      <c r="BU639" s="4"/>
      <c r="BV639" s="4"/>
      <c r="BW639" s="4"/>
      <c r="BX639" s="4"/>
      <c r="BY639" s="6"/>
      <c r="BZ639" s="7"/>
      <c r="CA639" s="4"/>
      <c r="CB639" s="4"/>
      <c r="CC639" s="4"/>
      <c r="CD639" s="4"/>
      <c r="CE639" s="6"/>
      <c r="CF639" s="7"/>
      <c r="CG639" s="4"/>
      <c r="CH639" s="4"/>
      <c r="CI639" s="4"/>
      <c r="CJ639" s="4"/>
      <c r="CK639" s="6"/>
      <c r="CL639" s="7"/>
      <c r="CM639" s="4"/>
      <c r="CN639" s="4"/>
      <c r="CO639" s="4"/>
      <c r="CP639" s="4"/>
      <c r="CQ639" s="6"/>
      <c r="CR639" s="7"/>
      <c r="CS639" s="4"/>
      <c r="CT639" s="4"/>
      <c r="CU639" s="4"/>
      <c r="CV639" s="4"/>
      <c r="CW639" s="6"/>
      <c r="CX639" s="7"/>
      <c r="CY639" s="4"/>
      <c r="CZ639" s="4"/>
      <c r="DA639" s="4"/>
      <c r="DB639" s="4"/>
      <c r="DC639" s="4"/>
      <c r="DD639" s="3"/>
      <c r="DE639" s="4"/>
      <c r="DF639" s="234"/>
      <c r="DG639" s="4"/>
      <c r="DH639" s="4"/>
      <c r="DI639" s="4"/>
      <c r="DJ639" s="4"/>
      <c r="DK639" s="4"/>
      <c r="DL639" s="4"/>
      <c r="DM639" s="7"/>
      <c r="DN639" s="8"/>
      <c r="DO639" s="4"/>
      <c r="DP639" s="8"/>
      <c r="DQ639" s="8"/>
      <c r="DR639" s="8"/>
      <c r="DS639" s="2"/>
    </row>
    <row r="640" spans="1:263" ht="15" customHeight="1">
      <c r="A640" s="19">
        <v>102019026</v>
      </c>
      <c r="B640" s="14" t="s">
        <v>590</v>
      </c>
      <c r="C640" s="20"/>
      <c r="D640" s="13"/>
      <c r="E640" s="24"/>
      <c r="F640" s="24"/>
      <c r="G640" s="18">
        <v>220000817</v>
      </c>
      <c r="H640" s="18"/>
      <c r="I640" s="18"/>
      <c r="J640" s="18" t="s">
        <v>253</v>
      </c>
      <c r="K640" s="18" t="s">
        <v>591</v>
      </c>
      <c r="L640" s="18" t="s">
        <v>592</v>
      </c>
      <c r="M640" s="18" t="s">
        <v>392</v>
      </c>
      <c r="N640" s="18"/>
      <c r="O640" s="13"/>
      <c r="P640" s="18"/>
      <c r="Q640" s="18"/>
      <c r="R640" s="18"/>
      <c r="S640" s="18"/>
      <c r="T640" s="13"/>
      <c r="U640" s="18"/>
      <c r="V640" s="18"/>
      <c r="W640" s="18"/>
      <c r="X640" s="18"/>
      <c r="Y640" s="18"/>
      <c r="Z640" s="18"/>
      <c r="AA640" s="18"/>
      <c r="AB640" s="18"/>
      <c r="AC640" s="18"/>
      <c r="AD640" s="18"/>
      <c r="AE640" s="18"/>
      <c r="AF640" s="18"/>
      <c r="AG640" s="26" t="s">
        <v>593</v>
      </c>
      <c r="AH640" s="18"/>
      <c r="AI640" s="18"/>
      <c r="AJ640" s="14" t="s">
        <v>594</v>
      </c>
      <c r="AK640" s="14" t="s">
        <v>258</v>
      </c>
      <c r="AL640" s="18" t="s">
        <v>259</v>
      </c>
      <c r="AM640" s="18" t="s">
        <v>260</v>
      </c>
      <c r="AN640" s="18"/>
      <c r="AO640" s="63" t="s">
        <v>595</v>
      </c>
      <c r="AP640" s="63" t="s">
        <v>258</v>
      </c>
      <c r="AQ640" s="18" t="s">
        <v>596</v>
      </c>
      <c r="AR640" s="18"/>
      <c r="AS640" s="20"/>
      <c r="AT640" s="20"/>
      <c r="AU640" s="13"/>
      <c r="AV640" s="13"/>
      <c r="AW640" s="13"/>
      <c r="AX640" s="19"/>
      <c r="AY640" s="114">
        <v>43555</v>
      </c>
      <c r="AZ640" s="114"/>
      <c r="BA640" s="19"/>
      <c r="BB640" s="19"/>
      <c r="BC640" s="19"/>
      <c r="BD640" s="19"/>
      <c r="BE640" s="19"/>
      <c r="BF640" s="19"/>
      <c r="BG640" s="20">
        <f ca="1">SUM(DK640)+214.5</f>
        <v>1680.5306166666669</v>
      </c>
      <c r="BH640" s="22">
        <f ca="1">PMT(10%/12,12,BG640,0,0)</f>
        <v>-147.74534018144516</v>
      </c>
      <c r="BI640" s="22">
        <f ca="1">SUM(BH640*-1)</f>
        <v>147.74534018144516</v>
      </c>
      <c r="BJ640" s="14">
        <f>SUM(DU640*0.0052)/12</f>
        <v>80.903333333333322</v>
      </c>
      <c r="BK640" s="22">
        <f ca="1">SUM(BI640+BJ640)</f>
        <v>228.64867351477847</v>
      </c>
      <c r="BL640" s="14">
        <v>0</v>
      </c>
      <c r="BM640" s="14">
        <f>SUM(BL640*0.1)</f>
        <v>0</v>
      </c>
      <c r="BN640" s="14">
        <f ca="1">SUM(BO640*BP640)</f>
        <v>0</v>
      </c>
      <c r="BO640" s="17">
        <f>SUM((BL640+BM640)*0.00833333333333333)</f>
        <v>0</v>
      </c>
      <c r="BP640" s="23">
        <f ca="1">MONTH(TODAY())+49</f>
        <v>53</v>
      </c>
      <c r="BQ640" s="14">
        <f ca="1">SUM(BL640,BM640,BN640)</f>
        <v>0</v>
      </c>
      <c r="BR640" s="14">
        <v>0</v>
      </c>
      <c r="BS640" s="14">
        <f>SUM(BR640*0.1)</f>
        <v>0</v>
      </c>
      <c r="BT640" s="14">
        <f ca="1">SUM(BU640*BV640)</f>
        <v>0</v>
      </c>
      <c r="BU640" s="17">
        <f>SUM((BR640+BS640)*0.00833333333333333)</f>
        <v>0</v>
      </c>
      <c r="BV640" s="23">
        <f ca="1">MONTH(TODAY())+37</f>
        <v>41</v>
      </c>
      <c r="BW640" s="14">
        <f ca="1">SUM(BR640,BS640,BT640)</f>
        <v>0</v>
      </c>
      <c r="BX640" s="14">
        <v>0</v>
      </c>
      <c r="BY640" s="14">
        <f>SUM(BX640*0.1)</f>
        <v>0</v>
      </c>
      <c r="BZ640" s="14">
        <f ca="1">SUM(CA640*CB640)</f>
        <v>0</v>
      </c>
      <c r="CA640" s="17">
        <f>SUM((BX640+BY640)*0.00833333333333333)</f>
        <v>0</v>
      </c>
      <c r="CB640" s="23">
        <f ca="1">MONTH(TODAY())+25</f>
        <v>29</v>
      </c>
      <c r="CC640" s="14">
        <f ca="1">SUM(BX640,BY640,BZ640)</f>
        <v>0</v>
      </c>
      <c r="CD640" s="14">
        <v>0</v>
      </c>
      <c r="CE640" s="14">
        <f>SUM(CD640*0.1)</f>
        <v>0</v>
      </c>
      <c r="CF640" s="14">
        <f ca="1">SUM(CG640*CH640)</f>
        <v>0</v>
      </c>
      <c r="CG640" s="17">
        <f>SUM((CD640+CE640)*0.00833333333333333)</f>
        <v>0</v>
      </c>
      <c r="CH640" s="23">
        <f ca="1">MONTH(TODAY())+13</f>
        <v>17</v>
      </c>
      <c r="CI640" s="14">
        <f ca="1">SUM(CD640,CE640,CF640)</f>
        <v>0</v>
      </c>
      <c r="CJ640" s="14">
        <v>640.38</v>
      </c>
      <c r="CK640" s="14">
        <f>SUM(CJ640*0.1)</f>
        <v>64.037999999999997</v>
      </c>
      <c r="CL640" s="14">
        <f ca="1">SUM(CM640*CN640)</f>
        <v>29.350749999999984</v>
      </c>
      <c r="CM640" s="17">
        <f>SUM((CJ640+CK640)*0.00833333333333333)</f>
        <v>5.8701499999999971</v>
      </c>
      <c r="CN640" s="23">
        <f ca="1">MONTH(TODAY())+1</f>
        <v>5</v>
      </c>
      <c r="CO640" s="14">
        <f ca="1">SUM(CJ640,CK640,CL640)</f>
        <v>733.76874999999995</v>
      </c>
      <c r="CP640" s="14">
        <v>242.72</v>
      </c>
      <c r="CQ640" s="14">
        <f>SUM(CP640*0.1)</f>
        <v>24.272000000000002</v>
      </c>
      <c r="CR640" s="14">
        <f>SUM(CS640*CT640)</f>
        <v>4.4498666666666651</v>
      </c>
      <c r="CS640" s="17">
        <f>SUM((CP640+CQ640)*0.00833333333333333)</f>
        <v>2.2249333333333325</v>
      </c>
      <c r="CT640" s="23">
        <v>2</v>
      </c>
      <c r="CU640" s="23">
        <f>SUM(CP640,CQ640,CR640)</f>
        <v>271.44186666666667</v>
      </c>
      <c r="CV640" s="14">
        <f>SUM(DU640*0.0052)/2</f>
        <v>485.41999999999996</v>
      </c>
      <c r="CW640" s="14">
        <v>0</v>
      </c>
      <c r="CX640" s="14">
        <v>0</v>
      </c>
      <c r="CY640" s="17">
        <f>SUM((CV640+CW640)*0.00833333333333333)</f>
        <v>4.045166666666665</v>
      </c>
      <c r="CZ640" s="23">
        <v>2</v>
      </c>
      <c r="DA640" s="23">
        <f>SUM(CV640,CW640,CX640)</f>
        <v>485.41999999999996</v>
      </c>
      <c r="DB640" s="14">
        <f>SUM(BL640, BR640, BX640, CD640, CJ640, CP640)</f>
        <v>883.1</v>
      </c>
      <c r="DC640" s="14">
        <f>SUM(BM640, BS640,BY640,CE640,CK640, CQ640)</f>
        <v>88.31</v>
      </c>
      <c r="DD640" s="14">
        <f ca="1">SUM(BN640, BT640,BZ640,CF640,CL640, CR640)</f>
        <v>33.800616666666649</v>
      </c>
      <c r="DE640" s="14">
        <f ca="1">SUM(DB640:DD640)</f>
        <v>1005.2106166666667</v>
      </c>
      <c r="DF640" s="47">
        <f ca="1">SUM(DE640/DU640)</f>
        <v>5.3840954293876099E-3</v>
      </c>
      <c r="DG640" s="14">
        <f>141.68+58.5+156+58.5+39</f>
        <v>453.68</v>
      </c>
      <c r="DH640" s="32">
        <f>COUNTIF(DN640, "*")+COUNTIF(AO640, "*")+COUNTIF(AJ640, "*")+COUNTIF(AA640, "*")+COUNTIF(EK640, "*")+COUNTIF(EQ640, "*")+COUNTIF(EW640, "*")+COUNTIF(FA640, "*")+COUNTIF(FH640, "*")+COUNTIF(FO640, "*")+COUNTIF(FV640, "*")+COUNTIF(GG640, "*")+COUNTIF(GR640, "*")+COUNTIF(GZ640, "*")+COUNTIF(HH640, "*")+COUNTIF(HP640, "*")+COUNTIF(HX640, "*")</f>
        <v>2</v>
      </c>
      <c r="DI640" s="14">
        <v>7.14</v>
      </c>
      <c r="DJ640" s="14">
        <v>0</v>
      </c>
      <c r="DK640" s="14">
        <f ca="1">SUM(DE640,DG640,DQ640, DJ640, DI640,FS640)</f>
        <v>1466.0306166666669</v>
      </c>
      <c r="DL640" s="14">
        <v>0</v>
      </c>
      <c r="DM640" s="14"/>
      <c r="DN640" s="14"/>
      <c r="DO640" s="23"/>
      <c r="DP640" s="25"/>
      <c r="DQ640" s="14">
        <f>SUM(DL640:DP640)</f>
        <v>0</v>
      </c>
      <c r="DR640" s="24">
        <v>2021</v>
      </c>
      <c r="DS640" s="25">
        <v>29200</v>
      </c>
      <c r="DT640" s="25">
        <v>157500</v>
      </c>
      <c r="DU640" s="25">
        <f>SUM(DS640+DT640)</f>
        <v>186700</v>
      </c>
      <c r="DV640" s="36"/>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27"/>
      <c r="FF640" s="18"/>
      <c r="FG640" s="18"/>
      <c r="FH640" s="18"/>
      <c r="FI640" s="18"/>
      <c r="FJ640" s="18"/>
      <c r="FK640" s="18"/>
      <c r="FL640" s="18"/>
      <c r="FM640" s="18"/>
      <c r="FN640" s="18"/>
      <c r="FO640" s="18"/>
      <c r="FP640" s="18"/>
      <c r="FQ640" s="18"/>
      <c r="FR640" s="18"/>
      <c r="FS640" s="14"/>
      <c r="FT640" s="18"/>
      <c r="FU640" s="18"/>
      <c r="FV640" s="18"/>
      <c r="FW640" s="18"/>
      <c r="FX640" s="28"/>
      <c r="FY640" s="18"/>
      <c r="FZ640" s="18"/>
      <c r="GA640" s="18"/>
      <c r="GB640" s="18"/>
      <c r="GC640" s="18"/>
      <c r="GD640" s="18"/>
      <c r="GE640" s="18"/>
      <c r="GF640" s="18"/>
      <c r="GG640" s="18"/>
      <c r="GH640" s="28"/>
      <c r="GI640" s="18"/>
      <c r="GJ640" s="18"/>
      <c r="GK640" s="18"/>
      <c r="GL640" s="18"/>
      <c r="GM640" s="18"/>
      <c r="GN640" s="18"/>
      <c r="GO640" s="18"/>
      <c r="GP640" s="18"/>
      <c r="GQ640" s="18"/>
      <c r="GR640" s="18"/>
      <c r="GS640" s="18"/>
      <c r="GT640" s="18"/>
      <c r="GU640" s="18"/>
      <c r="GV640" s="18"/>
      <c r="GW640" s="27"/>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4"/>
      <c r="IF640" s="14"/>
      <c r="IG640" s="27"/>
      <c r="IH640" s="18"/>
      <c r="II640" s="18"/>
      <c r="IJ640" s="18"/>
      <c r="IK640" s="18"/>
      <c r="IL640" s="18"/>
      <c r="IM640" s="18"/>
      <c r="IN640" s="14"/>
      <c r="IO640" s="14"/>
      <c r="IP640" s="18"/>
      <c r="IQ640" s="18"/>
      <c r="IR640" s="18"/>
      <c r="IS640" s="18"/>
      <c r="IT640" s="18"/>
    </row>
    <row r="641" spans="1:263" ht="15" customHeight="1">
      <c r="A641" s="19">
        <v>102020055</v>
      </c>
      <c r="B641" s="18" t="s">
        <v>1687</v>
      </c>
      <c r="C641" s="18"/>
      <c r="D641" s="13"/>
      <c r="E641" s="18" t="s">
        <v>1888</v>
      </c>
      <c r="F641" s="18">
        <v>200003756</v>
      </c>
      <c r="G641" s="18"/>
      <c r="H641" s="18"/>
      <c r="I641" s="18"/>
      <c r="J641" s="18" t="s">
        <v>253</v>
      </c>
      <c r="K641" s="18" t="s">
        <v>1688</v>
      </c>
      <c r="L641" s="18" t="s">
        <v>1751</v>
      </c>
      <c r="M641" s="18" t="s">
        <v>326</v>
      </c>
      <c r="N641" s="18"/>
      <c r="O641" s="18"/>
      <c r="P641" s="18"/>
      <c r="Q641" s="18"/>
      <c r="R641" s="18"/>
      <c r="S641" s="18"/>
      <c r="T641" s="18"/>
      <c r="U641" s="18"/>
      <c r="V641" s="18"/>
      <c r="W641" s="18"/>
      <c r="X641" s="18"/>
      <c r="Y641" s="18"/>
      <c r="Z641" s="18"/>
      <c r="AA641" s="18"/>
      <c r="AB641" s="18"/>
      <c r="AC641" s="18"/>
      <c r="AD641" s="18"/>
      <c r="AE641" s="18"/>
      <c r="AF641" s="18"/>
      <c r="AG641" s="231"/>
      <c r="AH641" s="97"/>
      <c r="AI641" s="18"/>
      <c r="AJ641" s="18"/>
      <c r="AK641" s="18"/>
      <c r="AL641" s="18"/>
      <c r="AM641" s="24"/>
      <c r="AN641" s="24"/>
      <c r="AO641" s="18"/>
      <c r="AP641" s="13"/>
      <c r="AQ641" s="24"/>
      <c r="AR641" s="24"/>
      <c r="AS641" s="18"/>
      <c r="AT641" s="18"/>
      <c r="AU641" s="18"/>
      <c r="AV641" s="18"/>
      <c r="AW641" s="18"/>
      <c r="AX641" s="48"/>
      <c r="AY641" s="48"/>
      <c r="AZ641" s="48"/>
      <c r="BA641" s="19"/>
      <c r="BB641" s="19"/>
      <c r="BC641" s="19"/>
      <c r="BD641" s="19"/>
      <c r="BE641" s="48"/>
      <c r="BF641" s="19"/>
      <c r="BG641" s="20"/>
      <c r="BH641" s="22"/>
      <c r="BI641" s="22"/>
      <c r="BJ641" s="14"/>
      <c r="BK641" s="22"/>
      <c r="BL641" s="14"/>
      <c r="BM641" s="14"/>
      <c r="BN641" s="14"/>
      <c r="BO641" s="17"/>
      <c r="BP641" s="23"/>
      <c r="BQ641" s="14"/>
      <c r="BR641" s="14"/>
      <c r="BS641" s="14"/>
      <c r="BT641" s="14"/>
      <c r="BU641" s="17"/>
      <c r="BV641" s="23"/>
      <c r="BW641" s="14"/>
      <c r="BX641" s="14"/>
      <c r="BY641" s="14"/>
      <c r="BZ641" s="14"/>
      <c r="CA641" s="17"/>
      <c r="CB641" s="23"/>
      <c r="CC641" s="14"/>
      <c r="CD641" s="14"/>
      <c r="CE641" s="14"/>
      <c r="CF641" s="14"/>
      <c r="CG641" s="17"/>
      <c r="CH641" s="23"/>
      <c r="CI641" s="14"/>
      <c r="CJ641" s="14"/>
      <c r="CK641" s="14"/>
      <c r="CL641" s="14"/>
      <c r="CM641" s="17"/>
      <c r="CN641" s="23"/>
      <c r="CO641" s="14"/>
      <c r="CP641" s="14"/>
      <c r="CQ641" s="14"/>
      <c r="CR641" s="14"/>
      <c r="CS641" s="17"/>
      <c r="CT641" s="23"/>
      <c r="CU641" s="14"/>
      <c r="CV641" s="14"/>
      <c r="CW641" s="14"/>
      <c r="CX641" s="14"/>
      <c r="CY641" s="17"/>
      <c r="CZ641" s="23"/>
      <c r="DA641" s="14"/>
      <c r="DB641" s="14"/>
      <c r="DC641" s="14"/>
      <c r="DD641" s="14"/>
      <c r="DE641" s="17"/>
      <c r="DF641" s="23"/>
      <c r="DG641" s="14"/>
      <c r="DH641" s="14"/>
      <c r="DI641" s="14"/>
      <c r="DJ641" s="14"/>
      <c r="DK641" s="14"/>
      <c r="DL641" s="47"/>
      <c r="DM641" s="14"/>
      <c r="DN641" s="32"/>
      <c r="DO641" s="14"/>
      <c r="DP641" s="14"/>
      <c r="DQ641" s="14"/>
      <c r="DR641" s="14"/>
      <c r="DS641" s="14"/>
      <c r="DT641" s="14"/>
      <c r="DU641" s="23"/>
      <c r="DV641" s="25"/>
      <c r="DW641" s="14"/>
      <c r="DX641" s="24"/>
      <c r="DY641" s="14"/>
      <c r="DZ641" s="25"/>
      <c r="EA641" s="25"/>
      <c r="EB641" s="36"/>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row>
    <row r="642" spans="1:263" ht="15" customHeight="1">
      <c r="A642" s="2">
        <v>102023021</v>
      </c>
      <c r="B642" t="s">
        <v>4026</v>
      </c>
      <c r="G642" s="3">
        <v>230001652</v>
      </c>
      <c r="J642" t="s">
        <v>3793</v>
      </c>
      <c r="K642" t="s">
        <v>862</v>
      </c>
      <c r="L642" t="s">
        <v>915</v>
      </c>
      <c r="M642" t="s">
        <v>326</v>
      </c>
      <c r="N642" t="s">
        <v>352</v>
      </c>
      <c r="O642" s="3"/>
      <c r="AD642" t="s">
        <v>4599</v>
      </c>
      <c r="AE642" t="s">
        <v>253</v>
      </c>
      <c r="AF642" t="s">
        <v>4611</v>
      </c>
      <c r="AG642" t="s">
        <v>4612</v>
      </c>
      <c r="AH642" t="s">
        <v>4600</v>
      </c>
      <c r="AI642" t="s">
        <v>4613</v>
      </c>
      <c r="AJ642" s="18" t="s">
        <v>4100</v>
      </c>
      <c r="AK642" t="s">
        <v>258</v>
      </c>
      <c r="AL642" t="s">
        <v>349</v>
      </c>
      <c r="AM642" t="s">
        <v>260</v>
      </c>
      <c r="AN642"/>
      <c r="AO642" t="s">
        <v>3181</v>
      </c>
      <c r="AP642" s="3" t="s">
        <v>258</v>
      </c>
      <c r="AQ642" t="s">
        <v>349</v>
      </c>
      <c r="AR642" t="s">
        <v>260</v>
      </c>
      <c r="AX642" s="1"/>
      <c r="AY642" s="1"/>
      <c r="AZ642" s="1"/>
      <c r="BA642" s="1"/>
      <c r="BB642" s="1"/>
      <c r="BC642" s="2"/>
      <c r="BD642" s="116"/>
      <c r="BE642" s="115">
        <v>45015</v>
      </c>
      <c r="BF642" s="2"/>
      <c r="BG642" s="2"/>
      <c r="BH642" s="2"/>
      <c r="BI642" s="2"/>
      <c r="BJ642" s="2"/>
      <c r="BK642" s="2"/>
      <c r="BL642" s="20">
        <f ca="1">SUM(EB642)+220</f>
        <v>3410.5409041666671</v>
      </c>
      <c r="BM642" s="22">
        <f ca="1">PMT(10%/12,12,BL642,0,0)</f>
        <v>-299.84072952405165</v>
      </c>
      <c r="BN642" s="22">
        <f ca="1">SUM(BM642*-1)</f>
        <v>299.84072952405165</v>
      </c>
      <c r="BO642" s="14">
        <f>SUM(EJ642*0.0052)/12</f>
        <v>73.883333333333326</v>
      </c>
      <c r="BP642" s="22">
        <f ca="1">SUM(BN642+BO642)</f>
        <v>373.72406285738498</v>
      </c>
      <c r="BQ642" s="14"/>
      <c r="BR642" s="14">
        <f>SUM(BQ642*0.1)</f>
        <v>0</v>
      </c>
      <c r="BS642" s="14">
        <f ca="1">SUM(BT642*BU642)</f>
        <v>0</v>
      </c>
      <c r="BT642" s="17">
        <f>SUM((BQ642+BR642)*0.00833333333333333)</f>
        <v>0</v>
      </c>
      <c r="BU642" s="23">
        <f ca="1">MONTH(TODAY())+49</f>
        <v>53</v>
      </c>
      <c r="BV642" s="14">
        <f ca="1">SUM(BQ642,BR642,BS642)</f>
        <v>0</v>
      </c>
      <c r="BW642" s="14"/>
      <c r="BX642" s="14">
        <f>SUM(BW642*0.1)</f>
        <v>0</v>
      </c>
      <c r="BY642" s="14">
        <f ca="1">SUM(BZ642*CA642)</f>
        <v>0</v>
      </c>
      <c r="BZ642" s="17">
        <f>SUM((BW642+BX642)*0.00833333333333333)</f>
        <v>0</v>
      </c>
      <c r="CA642" s="23">
        <f ca="1">MONTH(TODAY())+37</f>
        <v>41</v>
      </c>
      <c r="CB642" s="14">
        <f ca="1">SUM(BW642,BX642,BY642)</f>
        <v>0</v>
      </c>
      <c r="CC642" s="14">
        <f>SUM(EG642*0.0052)</f>
        <v>551.72</v>
      </c>
      <c r="CD642" s="14">
        <f>SUM(CC642*0.1)</f>
        <v>55.172000000000004</v>
      </c>
      <c r="CE642" s="14">
        <f ca="1">SUM(CF642*CG642)</f>
        <v>146.66556666666659</v>
      </c>
      <c r="CF642" s="17">
        <f>SUM((CC642+CD642)*0.00833333333333333)</f>
        <v>5.0574333333333312</v>
      </c>
      <c r="CG642" s="23">
        <f ca="1">MONTH(TODAY())+25</f>
        <v>29</v>
      </c>
      <c r="CH642" s="14">
        <f ca="1">SUM(CC642,CD642,CE642)</f>
        <v>753.55756666666662</v>
      </c>
      <c r="CI642" s="14">
        <f>SUM(EG642*0.0052)</f>
        <v>551.72</v>
      </c>
      <c r="CJ642" s="14">
        <f>SUM(CI642*0.1)</f>
        <v>55.172000000000004</v>
      </c>
      <c r="CK642" s="14">
        <f ca="1">SUM(CL642*CM642)</f>
        <v>85.976366666666635</v>
      </c>
      <c r="CL642" s="17">
        <f>SUM((CI642+CJ642)*0.00833333333333333)</f>
        <v>5.0574333333333312</v>
      </c>
      <c r="CM642" s="23">
        <f ca="1">MONTH(TODAY())+13</f>
        <v>17</v>
      </c>
      <c r="CN642" s="14">
        <f ca="1">SUM(CI642,CJ642,CK642)</f>
        <v>692.8683666666667</v>
      </c>
      <c r="CO642" s="14">
        <f>SUM(EG642*0.0052)/2</f>
        <v>275.86</v>
      </c>
      <c r="CP642" s="14">
        <f>SUM(CO642*0.1)</f>
        <v>27.586000000000002</v>
      </c>
      <c r="CQ642" s="14">
        <f ca="1">SUM(CR642*CS642)</f>
        <v>22.758449999999989</v>
      </c>
      <c r="CR642" s="17">
        <f>SUM((CO642+CP642)*0.00833333333333333)</f>
        <v>2.5287166666666656</v>
      </c>
      <c r="CS642" s="23">
        <f ca="1">MONTH(TODAY())+5</f>
        <v>9</v>
      </c>
      <c r="CT642" s="23">
        <f ca="1">SUM(CO642,CP642,CQ642)</f>
        <v>326.20445000000001</v>
      </c>
      <c r="CU642" s="14">
        <f>SUM(EG642*0.0052)/2</f>
        <v>275.86</v>
      </c>
      <c r="CV642" s="14">
        <f>SUM(CU642*0.1)</f>
        <v>27.586000000000002</v>
      </c>
      <c r="CW642" s="14">
        <f ca="1">SUM(CX642*CY642)</f>
        <v>12.643583333333329</v>
      </c>
      <c r="CX642" s="17">
        <f>SUM((CU642+CV642)*0.00833333333333333)</f>
        <v>2.5287166666666656</v>
      </c>
      <c r="CY642" s="23">
        <f ca="1">MONTH(TODAY())+1</f>
        <v>5</v>
      </c>
      <c r="CZ642" s="23">
        <f ca="1">SUM(CU642,CV642,CW642)</f>
        <v>316.08958333333334</v>
      </c>
      <c r="DA642" s="14">
        <f>SUM(EJ642*0.0045)/2</f>
        <v>383.62499999999994</v>
      </c>
      <c r="DB642" s="14">
        <f>SUM(DA642*0.1)</f>
        <v>38.362499999999997</v>
      </c>
      <c r="DC642" s="14">
        <f ca="1">SUM(DD642*DE642)</f>
        <v>-3.5165624999999983</v>
      </c>
      <c r="DD642" s="17">
        <f>SUM((DA642+DB642)*0.00833333333333333)</f>
        <v>3.5165624999999983</v>
      </c>
      <c r="DE642" s="23">
        <f ca="1">MONTH(TODAY())-5</f>
        <v>-1</v>
      </c>
      <c r="DF642" s="23">
        <f ca="1">SUM(DA642,DB642,DC642)</f>
        <v>418.47093749999993</v>
      </c>
      <c r="DG642" s="14">
        <v>0</v>
      </c>
      <c r="DH642" s="14">
        <v>0</v>
      </c>
      <c r="DI642" s="14">
        <v>0</v>
      </c>
      <c r="DJ642" s="17">
        <f>SUM((DG642+DH642)*0.00833333333333333)</f>
        <v>0</v>
      </c>
      <c r="DK642" s="23">
        <f ca="1">MONTH(TODAY())+1</f>
        <v>5</v>
      </c>
      <c r="DL642" s="23">
        <f>SUM(DG642,DH642,DI642)</f>
        <v>0</v>
      </c>
      <c r="DM642" s="14">
        <f>SUM( BQ642, BW642, CC642, CI642, CO642,CU642,DA642,DG642)</f>
        <v>2038.7850000000003</v>
      </c>
      <c r="DN642" s="14">
        <f>SUM(BR642,BX642,CD642,CJ642, CP642,CV642,DB642,DH642)</f>
        <v>203.87850000000003</v>
      </c>
      <c r="DO642" s="14">
        <f ca="1">SUM(BS642,BY642,CE642,CK642, CQ642,CW642,DC642,DI642)</f>
        <v>264.52740416666649</v>
      </c>
      <c r="DP642" s="25">
        <f ca="1">SUM(DM642:DO642)</f>
        <v>2507.1909041666672</v>
      </c>
      <c r="DQ642" s="47">
        <f ca="1">SUM(DP642/EG642)</f>
        <v>2.363045150015709E-2</v>
      </c>
      <c r="DR642" s="14">
        <f>20+200+160+60+40</f>
        <v>480</v>
      </c>
      <c r="DS642" s="32">
        <f>COUNTIF(DX642, "*")+COUNTIF(AO642, "*")+COUNTIF(AJ642, "*")+COUNTIF(AA642, "*")+COUNTIF(EY642, "*")+COUNTIF(FE642, "*")+COUNTIF(FK642, "*")+COUNTIF(FO642, "*")+COUNTIF(FV642, "*")+COUNTIF(AT642, "*")+COUNTIF(GE642, "*")+COUNTIF(GP642, "*")+COUNTIF(HA642, "*")+COUNTIF(HI642, "*")+COUNTIF(HQ642, "*")+COUNTIF(HY642, "*")+COUNTIF(IG642, "*")</f>
        <v>7</v>
      </c>
      <c r="DT642" s="14">
        <f>1.2+DS642*7.45</f>
        <v>53.35</v>
      </c>
      <c r="DU642" s="4">
        <v>150</v>
      </c>
      <c r="DV642" s="4"/>
      <c r="DW642" s="4"/>
      <c r="DX642" s="4"/>
      <c r="DZ642" s="4"/>
      <c r="EA642" s="14">
        <f>SUM(DV642:DZ642)</f>
        <v>0</v>
      </c>
      <c r="EB642" s="14">
        <f ca="1">SUM(DP642,DR642,EA642, DU642, DT642,GB642)</f>
        <v>3190.5409041666671</v>
      </c>
      <c r="EC642" s="24" t="s">
        <v>3974</v>
      </c>
      <c r="ED642" s="7">
        <v>5.98</v>
      </c>
      <c r="EE642" s="4">
        <v>37400</v>
      </c>
      <c r="EF642" s="4">
        <v>68700</v>
      </c>
      <c r="EG642" s="14">
        <f>SUM(EE642+EF642)</f>
        <v>106100</v>
      </c>
      <c r="EH642" s="14">
        <v>45900</v>
      </c>
      <c r="EI642" s="14">
        <v>124600</v>
      </c>
      <c r="EJ642" s="14">
        <f>SUM(EH642+EI642)</f>
        <v>170500</v>
      </c>
      <c r="EW642" t="s">
        <v>4599</v>
      </c>
      <c r="EY642" t="s">
        <v>4600</v>
      </c>
      <c r="FA642" t="s">
        <v>349</v>
      </c>
      <c r="FB642" t="s">
        <v>260</v>
      </c>
      <c r="FC642" t="s">
        <v>4601</v>
      </c>
      <c r="FE642" t="s">
        <v>4602</v>
      </c>
      <c r="FG642" t="s">
        <v>290</v>
      </c>
      <c r="FH642" t="s">
        <v>268</v>
      </c>
      <c r="FI642" t="s">
        <v>4603</v>
      </c>
      <c r="FK642" t="s">
        <v>4604</v>
      </c>
      <c r="FL642" t="s">
        <v>4605</v>
      </c>
      <c r="FN642" t="s">
        <v>4606</v>
      </c>
      <c r="FO642" t="s">
        <v>3182</v>
      </c>
      <c r="FQ642" t="s">
        <v>349</v>
      </c>
      <c r="FR642" t="s">
        <v>260</v>
      </c>
      <c r="FU642" t="s">
        <v>4607</v>
      </c>
      <c r="FV642" t="s">
        <v>3181</v>
      </c>
      <c r="FX642" t="s">
        <v>349</v>
      </c>
      <c r="FY642" t="s">
        <v>260</v>
      </c>
      <c r="IM642" s="9"/>
      <c r="IX642" s="14">
        <f ca="1">SUM(IN642-EB642-GB642-IV642)</f>
        <v>-3190.5409041666671</v>
      </c>
      <c r="IY642" s="9"/>
      <c r="IZ642" s="9"/>
      <c r="JA642" s="9"/>
      <c r="JB642" s="9"/>
      <c r="JC642" s="9"/>
    </row>
    <row r="643" spans="1:263" ht="15" customHeight="1">
      <c r="A643" s="2">
        <v>102017080</v>
      </c>
      <c r="B643" t="s">
        <v>1008</v>
      </c>
      <c r="G643">
        <v>170003420</v>
      </c>
      <c r="J643" t="s">
        <v>311</v>
      </c>
      <c r="K643" t="s">
        <v>1009</v>
      </c>
      <c r="L643" t="s">
        <v>1010</v>
      </c>
      <c r="M643" t="s">
        <v>354</v>
      </c>
      <c r="N643" t="s">
        <v>341</v>
      </c>
      <c r="O643" s="1"/>
      <c r="T643" s="1"/>
      <c r="Y643" s="18"/>
      <c r="Z643" s="18"/>
      <c r="AA643" s="18"/>
      <c r="AB643" s="18"/>
      <c r="AC643" s="18"/>
      <c r="AD643" s="18"/>
      <c r="AE643" s="13"/>
      <c r="AF643" s="24"/>
      <c r="AG643" s="18"/>
      <c r="AH643" s="18"/>
      <c r="AI643" s="18"/>
      <c r="AJ643" s="14"/>
      <c r="AK643" s="14"/>
      <c r="AL643" s="14"/>
      <c r="AM643" s="24"/>
      <c r="AN643" s="24"/>
      <c r="AO643" s="14"/>
      <c r="AP643" s="13"/>
      <c r="AQ643" s="63"/>
      <c r="AR643" s="63"/>
      <c r="AS643" s="20"/>
      <c r="AT643" s="13"/>
      <c r="AU643" s="13"/>
      <c r="AV643" s="13"/>
      <c r="AW643" s="13"/>
      <c r="AX643" s="21"/>
      <c r="AY643" s="21"/>
      <c r="AZ643" s="21"/>
      <c r="BA643" s="21"/>
      <c r="BB643" s="13"/>
      <c r="BC643" s="21"/>
      <c r="BD643" s="21"/>
      <c r="BE643" s="15"/>
      <c r="BF643" s="15"/>
      <c r="BG643" s="20"/>
      <c r="BH643" s="22"/>
      <c r="BI643" s="22"/>
      <c r="BJ643" s="14"/>
      <c r="BK643" s="14"/>
      <c r="BL643" s="14"/>
      <c r="BM643" s="17"/>
      <c r="BN643" s="7"/>
      <c r="BO643" s="14"/>
      <c r="BP643" s="18"/>
      <c r="BQ643" s="14"/>
      <c r="BR643" s="14"/>
      <c r="BS643" s="17"/>
      <c r="BT643" s="23"/>
      <c r="BU643" s="14"/>
      <c r="BV643" s="14"/>
      <c r="BW643" s="14"/>
      <c r="BX643" s="14"/>
      <c r="BY643" s="17"/>
      <c r="BZ643" s="23"/>
      <c r="CA643" s="14"/>
      <c r="CB643" s="14"/>
      <c r="CC643" s="14"/>
      <c r="CD643" s="14"/>
      <c r="CE643" s="17"/>
      <c r="CF643" s="23"/>
      <c r="CG643" s="14"/>
      <c r="CH643" s="14"/>
      <c r="CI643" s="14"/>
      <c r="CJ643" s="14"/>
      <c r="CK643" s="17"/>
      <c r="CL643" s="23"/>
      <c r="CM643" s="14"/>
      <c r="CN643" s="14"/>
      <c r="CO643" s="14"/>
      <c r="CP643" s="14"/>
      <c r="CQ643" s="17"/>
      <c r="CR643" s="7"/>
      <c r="CS643" s="14"/>
      <c r="CT643" s="14"/>
      <c r="CU643" s="14"/>
      <c r="CV643" s="14"/>
      <c r="CW643" s="17"/>
      <c r="CX643" s="23"/>
      <c r="CY643" s="14"/>
      <c r="CZ643" s="14"/>
      <c r="DA643" s="14"/>
      <c r="DB643" s="14"/>
      <c r="DC643" s="17"/>
      <c r="DD643" s="7"/>
      <c r="DE643" s="14"/>
      <c r="DF643" s="4"/>
      <c r="DG643" s="14"/>
      <c r="DH643" s="14"/>
      <c r="DI643" s="14"/>
      <c r="DJ643" s="24"/>
      <c r="DK643" s="14"/>
      <c r="DL643" s="234"/>
      <c r="DM643" s="14"/>
      <c r="DN643" s="14"/>
      <c r="DO643" s="14"/>
      <c r="DP643" s="14"/>
      <c r="DQ643" s="14"/>
      <c r="DR643" s="14"/>
      <c r="DS643" s="14"/>
      <c r="DT643" s="25"/>
      <c r="DU643" s="14"/>
      <c r="DV643" s="25"/>
      <c r="DW643" s="14"/>
      <c r="DX643" s="14"/>
      <c r="DY643" s="23"/>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27"/>
      <c r="FI643" s="28"/>
      <c r="FJ643" s="18"/>
      <c r="FK643" s="18"/>
      <c r="FL643" s="18"/>
      <c r="FM643" s="18"/>
      <c r="FN643" s="18"/>
      <c r="FO643" s="18"/>
      <c r="FP643" s="28"/>
      <c r="FQ643" s="27"/>
      <c r="FR643" s="18"/>
      <c r="FS643" s="18"/>
      <c r="FT643" s="18"/>
      <c r="FU643" s="18"/>
      <c r="FV643" s="18"/>
      <c r="FW643" s="14"/>
      <c r="FX643" s="18"/>
      <c r="FY643" s="18"/>
      <c r="FZ643" s="18"/>
      <c r="GA643" s="18"/>
      <c r="GB643" s="18"/>
      <c r="GC643" s="18"/>
      <c r="GD643" s="27"/>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4"/>
      <c r="IO643" s="14"/>
      <c r="IP643" s="27">
        <v>43931</v>
      </c>
      <c r="IQ643" s="18"/>
      <c r="IR643" s="18"/>
      <c r="IS643" s="18"/>
      <c r="IT643" s="18"/>
    </row>
    <row r="644" spans="1:263" ht="15" customHeight="1">
      <c r="A644" s="2">
        <v>102020056</v>
      </c>
      <c r="B644" t="s">
        <v>1008</v>
      </c>
      <c r="D644" s="1"/>
      <c r="J644" t="s">
        <v>311</v>
      </c>
      <c r="K644" t="s">
        <v>1009</v>
      </c>
      <c r="L644" t="s">
        <v>1010</v>
      </c>
      <c r="M644" t="s">
        <v>354</v>
      </c>
      <c r="N644" t="s">
        <v>341</v>
      </c>
      <c r="T644" s="1"/>
      <c r="AG644" s="248"/>
      <c r="AJ644" s="4"/>
      <c r="AK644" s="4"/>
      <c r="AO644" s="4"/>
      <c r="AP644" s="5"/>
      <c r="AQ644" s="34"/>
      <c r="AS644" s="1"/>
      <c r="AT644" s="1"/>
      <c r="AU644" s="29"/>
      <c r="AV644" s="1"/>
      <c r="AW644" s="1"/>
      <c r="AX644" s="1"/>
      <c r="AY644" s="1"/>
      <c r="AZ644" s="1"/>
      <c r="BA644" s="1"/>
      <c r="BB644" s="1"/>
      <c r="BC644" s="1"/>
      <c r="BD644" s="1"/>
      <c r="BE644" s="1"/>
      <c r="BF644" s="1"/>
      <c r="BG644" s="5"/>
      <c r="BH644" s="16"/>
      <c r="BI644" s="16"/>
      <c r="BJ644" s="4"/>
      <c r="BK644" s="4"/>
      <c r="BL644" s="4"/>
      <c r="BM644" s="6"/>
      <c r="BN644" s="7"/>
      <c r="BO644" s="4"/>
      <c r="BP644" s="4"/>
      <c r="BQ644" s="4"/>
      <c r="BR644" s="4"/>
      <c r="BS644" s="6"/>
      <c r="BT644" s="7"/>
      <c r="BU644" s="4"/>
      <c r="BV644" s="4"/>
      <c r="BW644" s="4"/>
      <c r="BX644" s="4"/>
      <c r="BY644" s="6"/>
      <c r="BZ644" s="7"/>
      <c r="CA644" s="4"/>
      <c r="CB644" s="4"/>
      <c r="CC644" s="4"/>
      <c r="CD644" s="4"/>
      <c r="CE644" s="6"/>
      <c r="CF644" s="7"/>
      <c r="CG644" s="4"/>
      <c r="CH644" s="4"/>
      <c r="CI644" s="4"/>
      <c r="CJ644" s="4"/>
      <c r="CK644" s="6"/>
      <c r="CL644" s="7"/>
      <c r="CM644" s="4"/>
      <c r="CN644" s="4"/>
      <c r="CO644" s="4"/>
      <c r="CP644" s="4"/>
      <c r="CQ644" s="6"/>
      <c r="CR644" s="7"/>
      <c r="CS644" s="4"/>
      <c r="CT644" s="4"/>
      <c r="CU644" s="4"/>
      <c r="CV644" s="4"/>
      <c r="CW644" s="6"/>
      <c r="CX644" s="7"/>
      <c r="CY644" s="4"/>
      <c r="CZ644" s="4"/>
      <c r="DA644" s="4"/>
      <c r="DB644" s="4"/>
      <c r="DC644" s="4"/>
      <c r="DE644" s="4"/>
      <c r="DF644" s="234"/>
      <c r="DG644" s="4"/>
      <c r="DH644" s="4"/>
      <c r="DI644" s="4"/>
      <c r="DJ644" s="7"/>
      <c r="DK644" s="7"/>
      <c r="DL644" s="4"/>
      <c r="DM644" s="4"/>
      <c r="DN644" s="8"/>
      <c r="DO644" s="4"/>
      <c r="DP644" s="8"/>
      <c r="DQ644" s="8"/>
      <c r="DR644" s="8"/>
      <c r="DS644" s="35"/>
      <c r="DZ644" s="11"/>
      <c r="EF644" s="11"/>
      <c r="EG644" s="4"/>
      <c r="EH644" s="4"/>
      <c r="EI644" s="4"/>
      <c r="EJ644" s="4"/>
      <c r="EK644" s="4"/>
      <c r="EL644" s="4"/>
      <c r="EM644" s="4"/>
      <c r="EN644" s="4"/>
      <c r="EO644" s="4"/>
      <c r="EP644" s="4"/>
      <c r="EQ644" s="4"/>
      <c r="ER644" s="4"/>
      <c r="ES644" s="4"/>
      <c r="ET644" s="4"/>
      <c r="EU644" s="4"/>
      <c r="EV644" s="4"/>
      <c r="FB644" s="9"/>
      <c r="FK644" s="9"/>
      <c r="FQ644" s="4"/>
      <c r="FT644" s="10"/>
      <c r="GD644" s="10"/>
      <c r="GS644" s="9"/>
      <c r="IC644" s="4"/>
      <c r="ID644" s="4"/>
      <c r="IE644" s="9"/>
      <c r="IL644" s="18"/>
      <c r="IM644" s="18"/>
      <c r="IN644" s="18"/>
      <c r="IO644" s="18"/>
      <c r="IX644" s="18"/>
      <c r="IY644" s="18"/>
    </row>
    <row r="645" spans="1:263" ht="15" customHeight="1">
      <c r="A645" s="19">
        <v>102022187</v>
      </c>
      <c r="B645" t="s">
        <v>1008</v>
      </c>
      <c r="D645" s="1"/>
      <c r="J645" t="s">
        <v>311</v>
      </c>
      <c r="K645" t="s">
        <v>1009</v>
      </c>
      <c r="L645" t="s">
        <v>1010</v>
      </c>
      <c r="M645" t="s">
        <v>354</v>
      </c>
      <c r="N645" t="s">
        <v>341</v>
      </c>
      <c r="AG645" s="43"/>
      <c r="AJ645" t="s">
        <v>984</v>
      </c>
      <c r="AK645" t="s">
        <v>258</v>
      </c>
      <c r="AL645" t="s">
        <v>349</v>
      </c>
      <c r="AM645" t="s">
        <v>260</v>
      </c>
      <c r="AN645"/>
      <c r="AO645" s="3" t="s">
        <v>1689</v>
      </c>
      <c r="AP645" s="3" t="s">
        <v>258</v>
      </c>
      <c r="AQ645" t="s">
        <v>349</v>
      </c>
      <c r="AR645" t="s">
        <v>260</v>
      </c>
      <c r="AS645" s="1"/>
      <c r="AT645" s="1"/>
      <c r="AU645" s="1"/>
      <c r="AV645" s="1"/>
      <c r="AW645" s="1"/>
      <c r="AX645" s="2"/>
      <c r="AY645" s="115">
        <v>44654</v>
      </c>
      <c r="AZ645" s="115">
        <v>44642</v>
      </c>
      <c r="BA645" s="2"/>
      <c r="BB645" s="2"/>
      <c r="BC645" s="2"/>
      <c r="BD645" s="2"/>
      <c r="BE645" s="2"/>
      <c r="BF645" s="2"/>
      <c r="BG645" s="20">
        <f ca="1">SUM(CY645)+214.5</f>
        <v>1336.7167809523808</v>
      </c>
      <c r="BH645" s="22">
        <f ca="1">PMT(10%/12,12,BG645,0,0)</f>
        <v>-117.51864177267095</v>
      </c>
      <c r="BI645" s="22">
        <f ca="1">SUM(BH645*-1)</f>
        <v>117.51864177267095</v>
      </c>
      <c r="BJ645" s="14">
        <f>SUM(DI645*0.0052)/12</f>
        <v>23.919999999999998</v>
      </c>
      <c r="BK645" s="22">
        <f ca="1">SUM(BI645+BJ645)</f>
        <v>141.43864177267093</v>
      </c>
      <c r="BL645" s="14"/>
      <c r="BM645" s="14">
        <f>SUM(BL645*0.1)</f>
        <v>0</v>
      </c>
      <c r="BN645" s="14">
        <f ca="1">SUM(BO645*BP645)</f>
        <v>0</v>
      </c>
      <c r="BO645" s="17">
        <f>SUM((BL645+BM645)*0.00833333333333333)</f>
        <v>0</v>
      </c>
      <c r="BP645" s="23">
        <f ca="1">MONTH(TODAY())+49</f>
        <v>53</v>
      </c>
      <c r="BQ645" s="14">
        <f ca="1">SUM(BL645,BM645,BN645)</f>
        <v>0</v>
      </c>
      <c r="BR645" s="14"/>
      <c r="BS645" s="14">
        <f>SUM(BR645*0.1)</f>
        <v>0</v>
      </c>
      <c r="BT645" s="14">
        <f ca="1">SUM(BU645*BV645)</f>
        <v>0</v>
      </c>
      <c r="BU645" s="17">
        <f>SUM((BR645+BS645)*0.00833333333333333)</f>
        <v>0</v>
      </c>
      <c r="BV645" s="23">
        <f ca="1">MONTH(TODAY())+37</f>
        <v>41</v>
      </c>
      <c r="BW645" s="14">
        <f ca="1">SUM(BR645,BS645,BT645)</f>
        <v>0</v>
      </c>
      <c r="BX645" s="14"/>
      <c r="BY645" s="14">
        <f>SUM(BX645*0.1)</f>
        <v>0</v>
      </c>
      <c r="BZ645" s="14">
        <f ca="1">SUM(CA645*CB645)</f>
        <v>0</v>
      </c>
      <c r="CA645" s="17">
        <f>SUM((BX645+BY645)*0.00833333333333333)</f>
        <v>0</v>
      </c>
      <c r="CB645" s="23">
        <f ca="1">MONTH(TODAY())+25</f>
        <v>29</v>
      </c>
      <c r="CC645" s="14">
        <f ca="1">SUM(BX645,BY645,BZ645)</f>
        <v>0</v>
      </c>
      <c r="CD645" s="14">
        <f>SUM(DI645*0.0052)</f>
        <v>287.03999999999996</v>
      </c>
      <c r="CE645" s="14">
        <f>SUM(CD645*0.1)</f>
        <v>28.703999999999997</v>
      </c>
      <c r="CF645" s="14">
        <f ca="1">SUM(CG645*CH645)</f>
        <v>44.730399999999975</v>
      </c>
      <c r="CG645" s="17">
        <f>SUM((CD645+CE645)*0.00833333333333333)</f>
        <v>2.6311999999999984</v>
      </c>
      <c r="CH645" s="23">
        <f ca="1">MONTH(TODAY())+13</f>
        <v>17</v>
      </c>
      <c r="CI645" s="14">
        <f ca="1">SUM(CD645,CE645,CF645)</f>
        <v>360.47439999999995</v>
      </c>
      <c r="CJ645" s="14">
        <f>SUM(DI645*0.0052)</f>
        <v>287.03999999999996</v>
      </c>
      <c r="CK645" s="14">
        <f>SUM(CJ645*0.1)</f>
        <v>28.703999999999997</v>
      </c>
      <c r="CL645" s="14">
        <f ca="1">SUM(CM645*CN645)</f>
        <v>13.155999999999992</v>
      </c>
      <c r="CM645" s="17">
        <f>SUM((CJ645+CK645)*0.00833333333333333)</f>
        <v>2.6311999999999984</v>
      </c>
      <c r="CN645" s="23">
        <f ca="1">MONTH(TODAY())+1</f>
        <v>5</v>
      </c>
      <c r="CO645" s="14">
        <f ca="1">SUM(CJ645,CK645,CL645)</f>
        <v>328.9</v>
      </c>
      <c r="CP645" s="14">
        <f>SUM(BL645, BR645,BX645,CD645,CJ645)</f>
        <v>574.07999999999993</v>
      </c>
      <c r="CQ645" s="14">
        <f>SUM(BM645, BS645,BY645,CE645,CK645)</f>
        <v>57.407999999999994</v>
      </c>
      <c r="CR645" s="14">
        <f ca="1">SUM(BN645, BT645,BZ645,CF645,CL645)</f>
        <v>57.886399999999966</v>
      </c>
      <c r="CS645" s="14">
        <f ca="1">SUM(CP645:CR645)</f>
        <v>689.37439999999992</v>
      </c>
      <c r="CT645" s="47">
        <f ca="1">SUM(CS645/DI645)</f>
        <v>1.2488666666666665E-2</v>
      </c>
      <c r="CU645" s="14">
        <f>19.5+195+19.5</f>
        <v>234</v>
      </c>
      <c r="CV645" s="32">
        <f>COUNTIF(DB645, "*")+COUNTIF(AO645, "*")+COUNTIF(AJ645, "*")+COUNTIF(AA645, "*")+COUNTIF(DY645, "*")+COUNTIF(EE645, "*")+COUNTIF(EK645, "*")+COUNTIF(EO645, "*")+COUNTIF(EV645, "*")+COUNTIF(FC645, "*")+COUNTIF(FJ645, "*")+COUNTIF(FU645, "*")+COUNTIF(GF645, "*")+COUNTIF(GN645, "*")+COUNTIF(GV645, "*")+COUNTIF(HD645, "*")+COUNTIF(HL645, "*")</f>
        <v>3</v>
      </c>
      <c r="CW645" s="14">
        <f>CV645*0.5+CV645*6.66</f>
        <v>21.48</v>
      </c>
      <c r="CX645" s="4">
        <v>150</v>
      </c>
      <c r="CY645" s="14">
        <f ca="1">SUM(CS645,CU645,DE645, CX645, CW645,FG645)</f>
        <v>1122.2167809523808</v>
      </c>
      <c r="CZ645" s="14">
        <v>27.362380952380899</v>
      </c>
      <c r="DE645" s="14">
        <f>SUM(CZ645:DD645)</f>
        <v>27.362380952380899</v>
      </c>
      <c r="DF645" s="24" t="s">
        <v>2773</v>
      </c>
      <c r="DG645" s="4">
        <v>33900</v>
      </c>
      <c r="DH645" s="4">
        <v>21300</v>
      </c>
      <c r="DI645" s="25">
        <f>SUM(DG645+DH645)</f>
        <v>55200</v>
      </c>
      <c r="DJ645" s="35">
        <v>6.22</v>
      </c>
      <c r="DK645" t="s">
        <v>3550</v>
      </c>
      <c r="DL645" t="s">
        <v>3555</v>
      </c>
      <c r="DW645" t="s">
        <v>3551</v>
      </c>
      <c r="DY645" t="s">
        <v>3552</v>
      </c>
      <c r="EA645" t="s">
        <v>349</v>
      </c>
      <c r="EB645" t="s">
        <v>260</v>
      </c>
      <c r="IC645" s="4"/>
      <c r="II645" s="243"/>
      <c r="IJ645" s="243"/>
      <c r="IK645" s="243"/>
    </row>
    <row r="646" spans="1:263" ht="15" customHeight="1">
      <c r="A646" s="19">
        <v>102023115</v>
      </c>
      <c r="B646" s="18" t="s">
        <v>4369</v>
      </c>
      <c r="D646" s="1">
        <v>2025</v>
      </c>
      <c r="E646" s="3"/>
      <c r="G646" s="3"/>
      <c r="J646" s="18" t="s">
        <v>311</v>
      </c>
      <c r="K646" s="18" t="s">
        <v>4411</v>
      </c>
      <c r="L646" s="18" t="s">
        <v>1489</v>
      </c>
      <c r="M646" s="18" t="s">
        <v>357</v>
      </c>
      <c r="N646" s="18"/>
      <c r="O646" s="19"/>
      <c r="P646" s="18"/>
      <c r="Q646" s="18"/>
      <c r="R646" s="18"/>
      <c r="S646" s="18"/>
      <c r="AG646" s="43"/>
      <c r="AJ646" s="18" t="s">
        <v>328</v>
      </c>
      <c r="AL646" s="18" t="s">
        <v>349</v>
      </c>
      <c r="AM646"/>
      <c r="AN646"/>
      <c r="AO646" t="s">
        <v>4412</v>
      </c>
      <c r="AP646" s="3" t="s">
        <v>258</v>
      </c>
      <c r="AQ646" s="18" t="s">
        <v>349</v>
      </c>
      <c r="AR646" s="18" t="s">
        <v>260</v>
      </c>
      <c r="AX646" s="1"/>
      <c r="AY646" s="1"/>
      <c r="AZ646" s="1"/>
      <c r="BA646" s="1"/>
      <c r="BB646" s="1"/>
      <c r="BC646" s="2"/>
      <c r="BD646" s="116"/>
      <c r="BE646" s="115"/>
      <c r="BF646" s="2"/>
      <c r="BG646" s="2"/>
      <c r="BH646" s="2"/>
      <c r="BI646" s="2"/>
      <c r="BJ646" s="2"/>
      <c r="BK646" s="2"/>
      <c r="BL646" s="20">
        <f ca="1">SUM(EB646)+220</f>
        <v>598.97280000000001</v>
      </c>
      <c r="BM646" s="22">
        <f ca="1">PMT(10%/12,12,BL646,0,0)</f>
        <v>-52.659225138643087</v>
      </c>
      <c r="BN646" s="22">
        <f ca="1">SUM(BM646*-1)</f>
        <v>52.659225138643087</v>
      </c>
      <c r="BO646" s="14">
        <f>SUM(EJ646*0.0052)/12</f>
        <v>9.5333333333333332</v>
      </c>
      <c r="BP646" s="22">
        <f ca="1">SUM(BN646+BO646)</f>
        <v>62.192558471976419</v>
      </c>
      <c r="BQ646" s="14"/>
      <c r="BR646" s="14">
        <f>SUM(BQ646*0.1)</f>
        <v>0</v>
      </c>
      <c r="BS646" s="14">
        <f ca="1">SUM(BT646*BU646)</f>
        <v>0</v>
      </c>
      <c r="BT646" s="17">
        <f>SUM((BQ646+BR646)*0.00833333333333333)</f>
        <v>0</v>
      </c>
      <c r="BU646" s="23">
        <f ca="1">MONTH(TODAY())+61</f>
        <v>65</v>
      </c>
      <c r="BV646" s="14">
        <f ca="1">SUM(BQ646,BR646,BS646)</f>
        <v>0</v>
      </c>
      <c r="BW646" s="14"/>
      <c r="BX646" s="14">
        <f>SUM(BW646*0.1)</f>
        <v>0</v>
      </c>
      <c r="BY646" s="14">
        <f ca="1">SUM(BZ646*CA646)</f>
        <v>0</v>
      </c>
      <c r="BZ646" s="17">
        <f>SUM((BW646+BX646)*0.00833333333333333)</f>
        <v>0</v>
      </c>
      <c r="CA646" s="23">
        <f ca="1">MONTH(TODAY())+49</f>
        <v>53</v>
      </c>
      <c r="CB646" s="14">
        <f ca="1">SUM(BW646,BX646,BY646)</f>
        <v>0</v>
      </c>
      <c r="CC646" s="14">
        <v>0</v>
      </c>
      <c r="CD646" s="14">
        <f>SUM(CC646*0.1)</f>
        <v>0</v>
      </c>
      <c r="CE646" s="14">
        <f ca="1">SUM(CF646*CG646)</f>
        <v>0</v>
      </c>
      <c r="CF646" s="17">
        <f>SUM((CC646+CD646)*0.00833333333333333)</f>
        <v>0</v>
      </c>
      <c r="CG646" s="23">
        <f ca="1">MONTH(TODAY())+37</f>
        <v>41</v>
      </c>
      <c r="CH646" s="14">
        <f ca="1">SUM(CC646,CD646,CE646)</f>
        <v>0</v>
      </c>
      <c r="CI646" s="14">
        <f>SUM(EG646*0.0052)</f>
        <v>91.52</v>
      </c>
      <c r="CJ646" s="14">
        <f>SUM(CI646*0.1)</f>
        <v>9.1519999999999992</v>
      </c>
      <c r="CK646" s="14">
        <f ca="1">SUM(CL646*CM646)</f>
        <v>24.329066666666655</v>
      </c>
      <c r="CL646" s="17">
        <f>SUM((CI646+CJ646)*0.00833333333333333)</f>
        <v>0.83893333333333298</v>
      </c>
      <c r="CM646" s="23">
        <f ca="1">MONTH(TODAY())+25</f>
        <v>29</v>
      </c>
      <c r="CN646" s="14">
        <f ca="1">SUM(CI646,CJ646,CK646)</f>
        <v>125.00106666666665</v>
      </c>
      <c r="CO646" s="14">
        <f>SUM(EG646*0.0052)/2</f>
        <v>45.76</v>
      </c>
      <c r="CP646" s="14">
        <f>SUM(CO646*0.1)</f>
        <v>4.5759999999999996</v>
      </c>
      <c r="CQ646" s="14">
        <f ca="1">SUM(CR646*CS646)</f>
        <v>8.8087999999999962</v>
      </c>
      <c r="CR646" s="17">
        <f>SUM((CO646+CP646)*0.00833333333333333)</f>
        <v>0.41946666666666649</v>
      </c>
      <c r="CS646" s="23">
        <f ca="1">MONTH(TODAY())+17</f>
        <v>21</v>
      </c>
      <c r="CT646" s="23">
        <f ca="1">SUM(CO646,CP646,CQ646)</f>
        <v>59.144799999999996</v>
      </c>
      <c r="CU646" s="14">
        <f>SUM(EG646*0.0052)/2</f>
        <v>45.76</v>
      </c>
      <c r="CV646" s="14">
        <f>SUM(CU646*0.1)</f>
        <v>4.5759999999999996</v>
      </c>
      <c r="CW646" s="14">
        <f ca="1">SUM(CX646*CY646)</f>
        <v>7.1309333333333305</v>
      </c>
      <c r="CX646" s="17">
        <f>SUM((CU646+CV646)*0.00833333333333333)</f>
        <v>0.41946666666666649</v>
      </c>
      <c r="CY646" s="23">
        <f ca="1">MONTH(TODAY())+13</f>
        <v>17</v>
      </c>
      <c r="CZ646" s="23">
        <f ca="1">SUM(CU646,CV646,CW646)</f>
        <v>57.46693333333333</v>
      </c>
      <c r="DA646" s="14">
        <f>SUM(EJ646*0.0045)/2</f>
        <v>49.499999999999993</v>
      </c>
      <c r="DB646" s="14">
        <f>SUM(DA646*0.1)</f>
        <v>4.9499999999999993</v>
      </c>
      <c r="DC646" s="14">
        <f ca="1">SUM(DD646*DE646)</f>
        <v>4.9912499999999964</v>
      </c>
      <c r="DD646" s="17">
        <f>SUM((DA646+DB646)*0.00833333333333333)</f>
        <v>0.45374999999999971</v>
      </c>
      <c r="DE646" s="23">
        <f ca="1">MONTH(TODAY())+7</f>
        <v>11</v>
      </c>
      <c r="DF646" s="23">
        <f ca="1">SUM(DA646,DB646,DC646)</f>
        <v>59.441249999999982</v>
      </c>
      <c r="DG646" s="14">
        <f>SUM(EJ646*0.0045)/2</f>
        <v>49.499999999999993</v>
      </c>
      <c r="DH646" s="14">
        <f>SUM(DG646*0.1)</f>
        <v>4.9499999999999993</v>
      </c>
      <c r="DI646" s="14">
        <f ca="1">SUM(DJ646*DK646)</f>
        <v>2.2687499999999985</v>
      </c>
      <c r="DJ646" s="17">
        <f>SUM((DG646+DH646)*0.00833333333333333)</f>
        <v>0.45374999999999971</v>
      </c>
      <c r="DK646" s="23">
        <f ca="1">MONTH(TODAY())+1</f>
        <v>5</v>
      </c>
      <c r="DL646" s="14">
        <f ca="1">SUM(DG646,DH646,DI646)</f>
        <v>56.718749999999986</v>
      </c>
      <c r="DM646" s="14">
        <f>SUM( BQ646, BW646, CC646, CI646, CO646,CU646,DA646,DG646)</f>
        <v>282.03999999999996</v>
      </c>
      <c r="DN646" s="14">
        <f>SUM(BR646,BX646,CD646,CJ646, CP646,CV646,DB646,DH646)</f>
        <v>28.203999999999997</v>
      </c>
      <c r="DO646" s="14">
        <f ca="1">SUM(BS646,BY646,CE646,CK646, CQ646,CW646,DC646,DI646)</f>
        <v>47.528799999999976</v>
      </c>
      <c r="DP646" s="25">
        <f ca="1">SUM(DM646:DO646)</f>
        <v>357.77279999999996</v>
      </c>
      <c r="DQ646" s="47">
        <f ca="1">SUM(DP646/EG646)</f>
        <v>2.0327999999999999E-2</v>
      </c>
      <c r="DR646" s="14">
        <v>20</v>
      </c>
      <c r="DS646" s="32">
        <f>COUNTIF(DX646, "*")+COUNTIF(AO646, "*")+COUNTIF(AJ646, "*")+COUNTIF(AA646, "*")+COUNTIF(EU646, "*")+COUNTIF(FA646, "*")+COUNTIF(FG646, "*")+COUNTIF(FK646, "*")+COUNTIF(FR646, "*")+COUNTIF(AT646, "*")+COUNTIF(GA646, "*")+COUNTIF(GL646, "*")+COUNTIF(GW646, "*")+COUNTIF(HE646, "*")+COUNTIF(HM646, "*")+COUNTIF(HU646, "*")</f>
        <v>2</v>
      </c>
      <c r="DT646" s="14">
        <f>DS646*0.6</f>
        <v>1.2</v>
      </c>
      <c r="DU646" s="4"/>
      <c r="DV646" s="4"/>
      <c r="DW646" s="4"/>
      <c r="DX646" s="4"/>
      <c r="DZ646" s="4"/>
      <c r="EA646" s="14">
        <f>SUM(DV646:DZ646)</f>
        <v>0</v>
      </c>
      <c r="EB646" s="14">
        <f ca="1">SUM(DP646,DR646,EA646, DU646, DT646,FX646)</f>
        <v>378.97279999999995</v>
      </c>
      <c r="EC646" s="24" t="s">
        <v>3879</v>
      </c>
      <c r="ED646" s="130">
        <v>0.88</v>
      </c>
      <c r="EE646" s="14">
        <v>17600</v>
      </c>
      <c r="EF646" s="14">
        <v>0</v>
      </c>
      <c r="EG646" s="14">
        <f>SUM(EE646+EF646)</f>
        <v>17600</v>
      </c>
      <c r="EH646" s="14">
        <v>22000</v>
      </c>
      <c r="EI646" s="14">
        <v>0</v>
      </c>
      <c r="EJ646" s="14">
        <f>SUM(EH646+EI646)</f>
        <v>22000</v>
      </c>
      <c r="FX646" s="4"/>
      <c r="IA646" s="9"/>
      <c r="IL646" s="14">
        <f ca="1">SUM(IB646-EB646-FX646-IJ646)</f>
        <v>-378.97279999999995</v>
      </c>
      <c r="IM646" s="14"/>
      <c r="IN646" s="14"/>
      <c r="IO646" s="9"/>
      <c r="IP646" s="9"/>
      <c r="IQ646" s="9"/>
      <c r="IR646" s="9"/>
      <c r="IS646" s="9"/>
    </row>
    <row r="647" spans="1:263" ht="15" customHeight="1">
      <c r="A647" s="19">
        <v>102021114</v>
      </c>
      <c r="B647" t="s">
        <v>2698</v>
      </c>
      <c r="D647" s="13">
        <v>2023</v>
      </c>
      <c r="J647" t="s">
        <v>554</v>
      </c>
      <c r="K647" t="s">
        <v>2079</v>
      </c>
      <c r="L647" t="s">
        <v>574</v>
      </c>
      <c r="M647" t="s">
        <v>326</v>
      </c>
      <c r="P647" t="s">
        <v>2079</v>
      </c>
      <c r="Q647" t="s">
        <v>2699</v>
      </c>
      <c r="R647" t="s">
        <v>403</v>
      </c>
      <c r="AG647" s="248"/>
      <c r="AJ647" s="18" t="s">
        <v>328</v>
      </c>
      <c r="AK647" s="18"/>
      <c r="AL647" s="18" t="s">
        <v>349</v>
      </c>
      <c r="AO647" t="s">
        <v>2700</v>
      </c>
      <c r="AP647" s="1" t="s">
        <v>258</v>
      </c>
      <c r="AQ647" s="3" t="s">
        <v>349</v>
      </c>
      <c r="AR647" s="3" t="s">
        <v>260</v>
      </c>
      <c r="AS647" s="1"/>
      <c r="AT647" s="1"/>
      <c r="AU647" s="1"/>
      <c r="AV647" s="1"/>
      <c r="AW647" s="1"/>
      <c r="AX647" s="2"/>
      <c r="AY647" s="2"/>
      <c r="AZ647" s="70"/>
      <c r="BA647" s="2"/>
      <c r="BB647" s="2"/>
      <c r="BC647" s="2"/>
      <c r="BD647" s="2"/>
      <c r="BE647" s="2"/>
      <c r="BF647" s="2"/>
      <c r="BG647" s="20"/>
      <c r="BH647" s="22"/>
      <c r="BI647" s="22"/>
      <c r="BJ647" s="14"/>
      <c r="BK647" s="22"/>
      <c r="BL647" s="14"/>
      <c r="BM647" s="14"/>
      <c r="BN647" s="14"/>
      <c r="BO647" s="17"/>
      <c r="BP647" s="23"/>
      <c r="BQ647" s="14"/>
      <c r="BR647" s="14"/>
      <c r="BS647" s="14"/>
      <c r="BT647" s="14"/>
      <c r="BU647" s="17"/>
      <c r="BV647" s="23"/>
      <c r="BW647" s="14"/>
      <c r="BX647" s="14"/>
      <c r="BY647" s="14"/>
      <c r="BZ647" s="14"/>
      <c r="CA647" s="17"/>
      <c r="CB647" s="23"/>
      <c r="CC647" s="14"/>
      <c r="CD647" s="14"/>
      <c r="CE647" s="14"/>
      <c r="CF647" s="14"/>
      <c r="CG647" s="17"/>
      <c r="CH647" s="23"/>
      <c r="CI647" s="14"/>
      <c r="CJ647" s="14"/>
      <c r="CK647" s="14"/>
      <c r="CL647" s="14"/>
      <c r="CM647" s="17"/>
      <c r="CN647" s="23"/>
      <c r="CO647" s="14"/>
      <c r="CP647" s="14"/>
      <c r="CQ647" s="14"/>
      <c r="CR647" s="14"/>
      <c r="CS647" s="17"/>
      <c r="CT647" s="23"/>
      <c r="CU647" s="14"/>
      <c r="CV647" s="14"/>
      <c r="DA647" s="14"/>
      <c r="DB647" s="14"/>
      <c r="DC647" s="14"/>
      <c r="DD647" s="14"/>
      <c r="DE647" s="14"/>
      <c r="DF647" s="47"/>
      <c r="DG647" s="14"/>
      <c r="DH647" s="32"/>
      <c r="DI647" s="14"/>
      <c r="DK647" s="14">
        <f>SUM(DE647,DG647,DQ647, DJ647, DI647,FS647)</f>
        <v>0</v>
      </c>
      <c r="DQ647" s="14">
        <f>SUM(DL647:DP647)</f>
        <v>0</v>
      </c>
      <c r="DR647" s="24" t="s">
        <v>1944</v>
      </c>
      <c r="DS647" s="4">
        <v>1000</v>
      </c>
      <c r="DT647" s="4">
        <v>0</v>
      </c>
      <c r="DU647" s="25">
        <f>SUM(DS647+DT647)</f>
        <v>1000</v>
      </c>
      <c r="DV647" s="35">
        <v>0.88</v>
      </c>
    </row>
    <row r="648" spans="1:263" ht="15" customHeight="1">
      <c r="A648" s="19">
        <v>102022064</v>
      </c>
      <c r="B648" t="s">
        <v>2809</v>
      </c>
      <c r="D648" s="1"/>
      <c r="E648" t="s">
        <v>4913</v>
      </c>
      <c r="F648">
        <v>230002883</v>
      </c>
      <c r="G648" s="3"/>
      <c r="K648" t="s">
        <v>3043</v>
      </c>
      <c r="O648" s="3"/>
      <c r="AG648" s="43"/>
      <c r="AJ648" s="18" t="s">
        <v>328</v>
      </c>
      <c r="AL648" t="s">
        <v>349</v>
      </c>
      <c r="AM648"/>
      <c r="AN648"/>
      <c r="AO648" t="s">
        <v>3042</v>
      </c>
      <c r="AP648" s="3"/>
      <c r="AQ648" t="s">
        <v>3041</v>
      </c>
      <c r="AR648"/>
      <c r="AX648" s="1"/>
      <c r="AY648" s="1"/>
      <c r="AZ648" s="1" t="s">
        <v>258</v>
      </c>
      <c r="BA648" s="1"/>
      <c r="BB648" s="1"/>
      <c r="BC648" s="70">
        <v>45092</v>
      </c>
      <c r="BD648" s="115">
        <v>45060</v>
      </c>
      <c r="BE648" s="115">
        <v>45057</v>
      </c>
      <c r="BF648" s="2"/>
      <c r="BG648" s="2"/>
      <c r="BH648" s="2"/>
      <c r="BI648" s="2"/>
      <c r="BJ648" s="70">
        <v>45177</v>
      </c>
      <c r="BK648" s="2" t="s">
        <v>319</v>
      </c>
      <c r="BL648" s="20">
        <f ca="1">SUM(EB648)+220</f>
        <v>3051.5568666666663</v>
      </c>
      <c r="BM648" s="22">
        <f ca="1">PMT(10%/12,12,BL648,0,0)</f>
        <v>-268.28032936582804</v>
      </c>
      <c r="BN648" s="22">
        <f ca="1">SUM(BM648*-1)</f>
        <v>268.28032936582804</v>
      </c>
      <c r="BO648" s="14">
        <f>SUM(EJ648*0.0052)/12</f>
        <v>2.6433333333333331</v>
      </c>
      <c r="BP648" s="22">
        <f ca="1">SUM(BN648+BO648)</f>
        <v>270.92366269916135</v>
      </c>
      <c r="BQ648" s="14"/>
      <c r="BR648" s="14">
        <f>SUM(BQ648*0.1)</f>
        <v>0</v>
      </c>
      <c r="BS648" s="14">
        <f ca="1">SUM(BT648*BU648)</f>
        <v>0</v>
      </c>
      <c r="BT648" s="17">
        <f>SUM((BQ648+BR648)*0.00833333333333333)</f>
        <v>0</v>
      </c>
      <c r="BU648" s="23">
        <f ca="1">MONTH(TODAY())+61</f>
        <v>65</v>
      </c>
      <c r="BV648" s="14">
        <f ca="1">SUM(BQ648,BR648,BS648)</f>
        <v>0</v>
      </c>
      <c r="BW648" s="14"/>
      <c r="BX648" s="14">
        <f>SUM(BW648*0.1)</f>
        <v>0</v>
      </c>
      <c r="BY648" s="14">
        <f ca="1">SUM(BZ648*CA648)</f>
        <v>0</v>
      </c>
      <c r="BZ648" s="17">
        <f>SUM((BW648+BX648)*0.00833333333333333)</f>
        <v>0</v>
      </c>
      <c r="CA648" s="23">
        <f ca="1">MONTH(TODAY())+49</f>
        <v>53</v>
      </c>
      <c r="CB648" s="14">
        <f ca="1">SUM(BW648,BX648,BY648)</f>
        <v>0</v>
      </c>
      <c r="CC648" s="14">
        <f>SUM(EG648*0.0052)</f>
        <v>19.759999999999998</v>
      </c>
      <c r="CD648" s="14">
        <f>SUM(CC648*0.1)</f>
        <v>1.976</v>
      </c>
      <c r="CE648" s="14">
        <f ca="1">SUM(CF648*CG648)</f>
        <v>7.4264666666666628</v>
      </c>
      <c r="CF648" s="17">
        <f>SUM((CC648+CD648)*0.00833333333333333)</f>
        <v>0.18113333333333323</v>
      </c>
      <c r="CG648" s="23">
        <f ca="1">MONTH(TODAY())+37</f>
        <v>41</v>
      </c>
      <c r="CH648" s="14">
        <f ca="1">SUM(CC648,CD648,CE648)</f>
        <v>29.16246666666666</v>
      </c>
      <c r="CI648" s="14">
        <f>SUM(EG648*0.0052)</f>
        <v>19.759999999999998</v>
      </c>
      <c r="CJ648" s="14">
        <f>SUM(CI648*0.1)</f>
        <v>1.976</v>
      </c>
      <c r="CK648" s="14">
        <f ca="1">SUM(CL648*CM648)</f>
        <v>5.2528666666666632</v>
      </c>
      <c r="CL648" s="17">
        <f>SUM((CI648+CJ648)*0.00833333333333333)</f>
        <v>0.18113333333333323</v>
      </c>
      <c r="CM648" s="23">
        <f ca="1">MONTH(TODAY())+25</f>
        <v>29</v>
      </c>
      <c r="CN648" s="14">
        <f ca="1">SUM(CI648,CJ648,CK648)</f>
        <v>26.988866666666659</v>
      </c>
      <c r="CO648" s="14">
        <f>SUM(EG648*0.0052)/2</f>
        <v>9.879999999999999</v>
      </c>
      <c r="CP648" s="14">
        <f>SUM(CO648*0.1)</f>
        <v>0.98799999999999999</v>
      </c>
      <c r="CQ648" s="14">
        <f ca="1">SUM(CR648*CS648)</f>
        <v>1.9018999999999988</v>
      </c>
      <c r="CR648" s="17">
        <f>SUM((CO648+CP648)*0.00833333333333333)</f>
        <v>9.0566666666666615E-2</v>
      </c>
      <c r="CS648" s="23">
        <f ca="1">MONTH(TODAY())+17</f>
        <v>21</v>
      </c>
      <c r="CT648" s="23">
        <f ca="1">SUM(CO648,CP648,CQ648)</f>
        <v>12.769899999999998</v>
      </c>
      <c r="CU648" s="14">
        <f>SUM(EG648*0.0052)/2</f>
        <v>9.879999999999999</v>
      </c>
      <c r="CV648" s="14">
        <f>SUM(CU648*0.1)</f>
        <v>0.98799999999999999</v>
      </c>
      <c r="CW648" s="14">
        <f ca="1">SUM(CX648*CY648)</f>
        <v>1.5396333333333325</v>
      </c>
      <c r="CX648" s="17">
        <f>SUM((CU648+CV648)*0.00833333333333333)</f>
        <v>9.0566666666666615E-2</v>
      </c>
      <c r="CY648" s="23">
        <f ca="1">MONTH(TODAY())+13</f>
        <v>17</v>
      </c>
      <c r="CZ648" s="23">
        <f ca="1">SUM(CU648,CV648,CW648)</f>
        <v>12.407633333333331</v>
      </c>
      <c r="DA648" s="14">
        <f>SUM(EJ648*0.0045)/2</f>
        <v>13.725</v>
      </c>
      <c r="DB648" s="14">
        <f>SUM(DA648*0.1)</f>
        <v>1.3725000000000001</v>
      </c>
      <c r="DC648" s="14">
        <f ca="1">SUM(DD648*DE648)</f>
        <v>1.3839374999999994</v>
      </c>
      <c r="DD648" s="17">
        <f>SUM((DA648+DB648)*0.00833333333333333)</f>
        <v>0.12581249999999994</v>
      </c>
      <c r="DE648" s="23">
        <f ca="1">MONTH(TODAY())+7</f>
        <v>11</v>
      </c>
      <c r="DF648" s="23">
        <f ca="1">SUM(DA648,DB648,DC648)</f>
        <v>16.481437499999998</v>
      </c>
      <c r="DG648" s="14">
        <f>SUM(EJ648*0.0045)/2</f>
        <v>13.725</v>
      </c>
      <c r="DH648" s="14">
        <f>SUM(DG648*0.1)</f>
        <v>1.3725000000000001</v>
      </c>
      <c r="DI648" s="14">
        <f ca="1">SUM(DJ648*DK648)</f>
        <v>0.62906249999999964</v>
      </c>
      <c r="DJ648" s="17">
        <f>SUM((DG648+DH648)*0.00833333333333333)</f>
        <v>0.12581249999999994</v>
      </c>
      <c r="DK648" s="23">
        <f ca="1">MONTH(TODAY())+1</f>
        <v>5</v>
      </c>
      <c r="DL648" s="14">
        <f ca="1">SUM(DG648,DH648,DI648)</f>
        <v>15.7265625</v>
      </c>
      <c r="DM648" s="14">
        <f>SUM( BQ648, BW648, CC648, CI648, CO648,CU648,DA648,DG648)</f>
        <v>86.729999999999976</v>
      </c>
      <c r="DN648" s="14">
        <f>SUM(BR648,BX648,CD648,CJ648, CP648,CV648,DB648,DH648)</f>
        <v>8.673</v>
      </c>
      <c r="DO648" s="14">
        <f ca="1">SUM(BS648,BY648,CE648,CK648, CQ648,CW648,DC648,DI648)</f>
        <v>18.133866666666655</v>
      </c>
      <c r="DP648" s="25">
        <f ca="1">SUM(DM648:DO648)</f>
        <v>113.53686666666664</v>
      </c>
      <c r="DQ648" s="47">
        <f ca="1">SUM(DP648/EG648)</f>
        <v>2.9878122807017536E-2</v>
      </c>
      <c r="DR648" s="14">
        <f>909.5+100+80+160+100+200</f>
        <v>1549.5</v>
      </c>
      <c r="DS648" s="32">
        <f>COUNTIF(DX648, "*")+COUNTIF(AO648, "*")+COUNTIF(AJ648, "*")+COUNTIF(AA648, "*")+COUNTIF(EU648, "*")+COUNTIF(FA648, "*")+COUNTIF(FG648, "*")+COUNTIF(FK648, "*")+COUNTIF(FR648, "*")+COUNTIF(AT648, "*")+COUNTIF(GA648, "*")+COUNTIF(GL648, "*")+COUNTIF(GW648, "*")+COUNTIF(HE648, "*")+COUNTIF(HM648, "*")+COUNTIF(HU648, "*")</f>
        <v>2</v>
      </c>
      <c r="DT648" s="14">
        <f>1.2+DS648*7.45+55.17</f>
        <v>71.27000000000001</v>
      </c>
      <c r="DU648" s="4">
        <v>250</v>
      </c>
      <c r="DV648" s="4">
        <f>36.76+246.49</f>
        <v>283.25</v>
      </c>
      <c r="DW648" s="4"/>
      <c r="DX648" s="4">
        <v>104</v>
      </c>
      <c r="DY648" s="14">
        <v>100</v>
      </c>
      <c r="DZ648" s="4">
        <v>360</v>
      </c>
      <c r="EA648" s="14">
        <f>SUM(DV648:DZ648)</f>
        <v>847.25</v>
      </c>
      <c r="EB648" s="14">
        <f ca="1">SUM(DP648,DR648,EA648, DU648, DT648,FX648)</f>
        <v>2831.5568666666663</v>
      </c>
      <c r="EC648" s="24" t="s">
        <v>4920</v>
      </c>
      <c r="ED648" s="7">
        <v>0.91</v>
      </c>
      <c r="EE648" s="4">
        <v>2300</v>
      </c>
      <c r="EF648" s="4">
        <v>1500</v>
      </c>
      <c r="EG648" s="14">
        <f>SUM(EE648+EF648)</f>
        <v>3800</v>
      </c>
      <c r="EH648" s="14">
        <v>4600</v>
      </c>
      <c r="EI648" s="14">
        <v>1500</v>
      </c>
      <c r="EJ648" s="14">
        <f>SUM(EH648+EI648)</f>
        <v>6100</v>
      </c>
      <c r="EK648" t="s">
        <v>4843</v>
      </c>
      <c r="EL648" t="s">
        <v>4844</v>
      </c>
      <c r="EM648" t="s">
        <v>4845</v>
      </c>
      <c r="FX648" s="4"/>
      <c r="IA648" s="9">
        <v>45227</v>
      </c>
      <c r="IL648" s="14">
        <f ca="1">SUM(IB648-EB648-FX648-IJ648)</f>
        <v>-2831.5568666666663</v>
      </c>
      <c r="IM648" s="14"/>
      <c r="IN648" s="14"/>
      <c r="IO648" s="9">
        <v>45187</v>
      </c>
      <c r="IP648" s="27">
        <v>45204</v>
      </c>
      <c r="IQ648" s="9"/>
      <c r="IR648" s="9"/>
      <c r="IS648" s="9"/>
    </row>
    <row r="649" spans="1:263" ht="15" customHeight="1">
      <c r="A649" s="19">
        <v>102022063</v>
      </c>
      <c r="B649" t="s">
        <v>2808</v>
      </c>
      <c r="D649" s="1"/>
      <c r="E649" t="s">
        <v>4912</v>
      </c>
      <c r="F649">
        <v>230002880</v>
      </c>
      <c r="G649" s="3"/>
      <c r="K649" t="s">
        <v>3038</v>
      </c>
      <c r="O649" s="3"/>
      <c r="Z649" t="s">
        <v>3039</v>
      </c>
      <c r="AA649" t="s">
        <v>3040</v>
      </c>
      <c r="AB649" t="s">
        <v>3041</v>
      </c>
      <c r="AC649" t="s">
        <v>2584</v>
      </c>
      <c r="AG649" s="43"/>
      <c r="AJ649" s="18" t="s">
        <v>328</v>
      </c>
      <c r="AL649" t="s">
        <v>349</v>
      </c>
      <c r="AM649"/>
      <c r="AN649"/>
      <c r="AO649" t="s">
        <v>3042</v>
      </c>
      <c r="AP649" s="3"/>
      <c r="AQ649" t="s">
        <v>3041</v>
      </c>
      <c r="AR649"/>
      <c r="AX649" s="1"/>
      <c r="AY649" s="1"/>
      <c r="AZ649" s="1" t="s">
        <v>258</v>
      </c>
      <c r="BA649" s="1"/>
      <c r="BB649" s="1"/>
      <c r="BC649" s="70">
        <v>45092</v>
      </c>
      <c r="BD649" s="115">
        <v>45060</v>
      </c>
      <c r="BE649" s="115">
        <v>45057</v>
      </c>
      <c r="BF649" s="2"/>
      <c r="BG649" s="2"/>
      <c r="BH649" s="2"/>
      <c r="BI649" s="2"/>
      <c r="BJ649" s="70">
        <v>45177</v>
      </c>
      <c r="BK649" s="2" t="s">
        <v>319</v>
      </c>
      <c r="BL649" s="20">
        <f ca="1">SUM(EB649)+220</f>
        <v>3299.4766000000004</v>
      </c>
      <c r="BM649" s="22">
        <f ca="1">PMT(10%/12,12,BL649,0,0)</f>
        <v>-290.07641268365552</v>
      </c>
      <c r="BN649" s="22">
        <f ca="1">SUM(BM649*-1)</f>
        <v>290.07641268365552</v>
      </c>
      <c r="BO649" s="14">
        <f>SUM(EJ649*0.0052)/12</f>
        <v>6.0666666666666664</v>
      </c>
      <c r="BP649" s="22">
        <f ca="1">SUM(BN649+BO649)</f>
        <v>296.14307935032218</v>
      </c>
      <c r="BQ649" s="14"/>
      <c r="BR649" s="14">
        <f>SUM(BQ649*0.1)</f>
        <v>0</v>
      </c>
      <c r="BS649" s="14">
        <f ca="1">SUM(BT649*BU649)</f>
        <v>0</v>
      </c>
      <c r="BT649" s="17">
        <f>SUM((BQ649+BR649)*0.00833333333333333)</f>
        <v>0</v>
      </c>
      <c r="BU649" s="23">
        <f ca="1">MONTH(TODAY())+61</f>
        <v>65</v>
      </c>
      <c r="BV649" s="14">
        <f ca="1">SUM(BQ649,BR649,BS649)</f>
        <v>0</v>
      </c>
      <c r="BW649" s="14"/>
      <c r="BX649" s="14">
        <f>SUM(BW649*0.1)</f>
        <v>0</v>
      </c>
      <c r="BY649" s="14">
        <f ca="1">SUM(BZ649*CA649)</f>
        <v>0</v>
      </c>
      <c r="BZ649" s="17">
        <f>SUM((BW649+BX649)*0.00833333333333333)</f>
        <v>0</v>
      </c>
      <c r="CA649" s="23">
        <f ca="1">MONTH(TODAY())+49</f>
        <v>53</v>
      </c>
      <c r="CB649" s="14">
        <f ca="1">SUM(BW649,BX649,BY649)</f>
        <v>0</v>
      </c>
      <c r="CC649" s="14">
        <f>SUM(EG649*0.0052)</f>
        <v>59.279999999999994</v>
      </c>
      <c r="CD649" s="14">
        <f>SUM(CC649*0.1)</f>
        <v>5.9279999999999999</v>
      </c>
      <c r="CE649" s="14">
        <f ca="1">SUM(CF649*CG649)</f>
        <v>22.279399999999992</v>
      </c>
      <c r="CF649" s="17">
        <f>SUM((CC649+CD649)*0.00833333333333333)</f>
        <v>0.54339999999999977</v>
      </c>
      <c r="CG649" s="23">
        <f ca="1">MONTH(TODAY())+37</f>
        <v>41</v>
      </c>
      <c r="CH649" s="14">
        <f ca="1">SUM(CC649,CD649,CE649)</f>
        <v>87.487399999999994</v>
      </c>
      <c r="CI649" s="14">
        <f>SUM(EG649*0.0052)</f>
        <v>59.279999999999994</v>
      </c>
      <c r="CJ649" s="14">
        <f>SUM(CI649*0.1)</f>
        <v>5.9279999999999999</v>
      </c>
      <c r="CK649" s="14">
        <f ca="1">SUM(CL649*CM649)</f>
        <v>15.758599999999994</v>
      </c>
      <c r="CL649" s="17">
        <f>SUM((CI649+CJ649)*0.00833333333333333)</f>
        <v>0.54339999999999977</v>
      </c>
      <c r="CM649" s="23">
        <f ca="1">MONTH(TODAY())+25</f>
        <v>29</v>
      </c>
      <c r="CN649" s="14">
        <f ca="1">SUM(CI649,CJ649,CK649)</f>
        <v>80.9666</v>
      </c>
      <c r="CO649" s="14">
        <f>SUM(EG649*0.0052)/2</f>
        <v>29.639999999999997</v>
      </c>
      <c r="CP649" s="14">
        <f>SUM(CO649*0.1)</f>
        <v>2.964</v>
      </c>
      <c r="CQ649" s="14">
        <f ca="1">SUM(CR649*CS649)</f>
        <v>5.7056999999999976</v>
      </c>
      <c r="CR649" s="17">
        <f>SUM((CO649+CP649)*0.00833333333333333)</f>
        <v>0.27169999999999989</v>
      </c>
      <c r="CS649" s="23">
        <f ca="1">MONTH(TODAY())+17</f>
        <v>21</v>
      </c>
      <c r="CT649" s="23">
        <f ca="1">SUM(CO649,CP649,CQ649)</f>
        <v>38.309699999999999</v>
      </c>
      <c r="CU649" s="14">
        <f>SUM(EG649*0.0052)/2</f>
        <v>29.639999999999997</v>
      </c>
      <c r="CV649" s="14">
        <f>SUM(CU649*0.1)</f>
        <v>2.964</v>
      </c>
      <c r="CW649" s="14">
        <f ca="1">SUM(CX649*CY649)</f>
        <v>4.6188999999999982</v>
      </c>
      <c r="CX649" s="17">
        <f>SUM((CU649+CV649)*0.00833333333333333)</f>
        <v>0.27169999999999989</v>
      </c>
      <c r="CY649" s="23">
        <f ca="1">MONTH(TODAY())+13</f>
        <v>17</v>
      </c>
      <c r="CZ649" s="23">
        <f ca="1">SUM(CU649,CV649,CW649)</f>
        <v>37.222899999999996</v>
      </c>
      <c r="DA649" s="14">
        <f>SUM(EJ649*0.0045)/2</f>
        <v>31.499999999999996</v>
      </c>
      <c r="DB649" s="14">
        <f>SUM(DA649*0.1)</f>
        <v>3.15</v>
      </c>
      <c r="DC649" s="14">
        <f ca="1">SUM(DD649*DE649)</f>
        <v>3.1762499999999982</v>
      </c>
      <c r="DD649" s="17">
        <f>SUM((DA649+DB649)*0.00833333333333333)</f>
        <v>0.28874999999999984</v>
      </c>
      <c r="DE649" s="23">
        <f ca="1">MONTH(TODAY())+7</f>
        <v>11</v>
      </c>
      <c r="DF649" s="23">
        <f ca="1">SUM(DA649,DB649,DC649)</f>
        <v>37.826249999999995</v>
      </c>
      <c r="DG649" s="14">
        <f>SUM(EJ649*0.0045)/2</f>
        <v>31.499999999999996</v>
      </c>
      <c r="DH649" s="14">
        <f>SUM(DG649*0.1)</f>
        <v>3.15</v>
      </c>
      <c r="DI649" s="14">
        <f ca="1">SUM(DJ649*DK649)</f>
        <v>1.4437499999999992</v>
      </c>
      <c r="DJ649" s="17">
        <f>SUM((DG649+DH649)*0.00833333333333333)</f>
        <v>0.28874999999999984</v>
      </c>
      <c r="DK649" s="23">
        <f ca="1">MONTH(TODAY())+1</f>
        <v>5</v>
      </c>
      <c r="DL649" s="14">
        <f ca="1">SUM(DG649,DH649,DI649)</f>
        <v>36.09375</v>
      </c>
      <c r="DM649" s="14">
        <f>SUM( BQ649, BW649, CC649, CI649, CO649,CU649,DA649,DG649)</f>
        <v>240.83999999999997</v>
      </c>
      <c r="DN649" s="14">
        <f>SUM(BR649,BX649,CD649,CJ649, CP649,CV649,DB649,DH649)</f>
        <v>24.083999999999996</v>
      </c>
      <c r="DO649" s="14">
        <f ca="1">SUM(BS649,BY649,CE649,CK649, CQ649,CW649,DC649,DI649)</f>
        <v>52.982599999999977</v>
      </c>
      <c r="DP649" s="25">
        <f ca="1">SUM(DM649:DO649)</f>
        <v>317.90659999999997</v>
      </c>
      <c r="DQ649" s="47">
        <f ca="1">SUM(DP649/EG649)</f>
        <v>2.7886543859649119E-2</v>
      </c>
      <c r="DR649" s="14">
        <f>949.5+100+80+160+100+200</f>
        <v>1589.5</v>
      </c>
      <c r="DS649" s="32">
        <f>COUNTIF(DX649, "*")+COUNTIF(AO649, "*")+COUNTIF(AJ649, "*")+COUNTIF(AA649, "*")+COUNTIF(EU649, "*")+COUNTIF(FA649, "*")+COUNTIF(FG649, "*")+COUNTIF(FK649, "*")+COUNTIF(FR649, "*")+COUNTIF(AT649, "*")+COUNTIF(GA649, "*")+COUNTIF(GL649, "*")+COUNTIF(GW649, "*")+COUNTIF(HE649, "*")+COUNTIF(HM649, "*")+COUNTIF(HU649, "*")</f>
        <v>3</v>
      </c>
      <c r="DT649" s="14">
        <f>1.8+DS649*7.45+55.17</f>
        <v>79.320000000000007</v>
      </c>
      <c r="DU649" s="4">
        <v>250</v>
      </c>
      <c r="DV649" s="4">
        <f>36.76+246.49</f>
        <v>283.25</v>
      </c>
      <c r="DW649" s="4"/>
      <c r="DX649" s="4">
        <v>99.5</v>
      </c>
      <c r="DY649" s="14">
        <v>100</v>
      </c>
      <c r="DZ649" s="4">
        <v>360</v>
      </c>
      <c r="EA649" s="14">
        <f>SUM(DV649:DZ649)</f>
        <v>842.75</v>
      </c>
      <c r="EB649" s="14">
        <f ca="1">SUM(DP649,DR649,EA649, DU649, DT649,FX649)</f>
        <v>3079.4766000000004</v>
      </c>
      <c r="EC649" s="24" t="s">
        <v>4920</v>
      </c>
      <c r="ED649" s="7">
        <v>0.89</v>
      </c>
      <c r="EE649" s="4">
        <v>8900</v>
      </c>
      <c r="EF649" s="4">
        <v>2500</v>
      </c>
      <c r="EG649" s="14">
        <f>SUM(EE649+EF649)</f>
        <v>11400</v>
      </c>
      <c r="EH649" s="14">
        <v>11500</v>
      </c>
      <c r="EI649" s="14">
        <v>2500</v>
      </c>
      <c r="EJ649" s="14">
        <f>SUM(EH649+EI649)</f>
        <v>14000</v>
      </c>
      <c r="EK649" t="s">
        <v>4840</v>
      </c>
      <c r="EL649" t="s">
        <v>4841</v>
      </c>
      <c r="EM649" t="s">
        <v>4842</v>
      </c>
      <c r="FX649" s="4"/>
      <c r="IA649" s="9">
        <v>45227</v>
      </c>
      <c r="IL649" s="14">
        <f ca="1">SUM(IB649-EB649-FX649-IJ649)</f>
        <v>-3079.4766000000004</v>
      </c>
      <c r="IM649" s="14"/>
      <c r="IN649" s="14"/>
      <c r="IO649" s="9">
        <v>45187</v>
      </c>
      <c r="IP649" s="27">
        <v>45204</v>
      </c>
      <c r="IQ649" s="9"/>
      <c r="IR649" s="9"/>
      <c r="IS649" s="9"/>
    </row>
    <row r="650" spans="1:263" ht="15" customHeight="1">
      <c r="A650" s="19">
        <v>102022114</v>
      </c>
      <c r="B650" t="s">
        <v>3583</v>
      </c>
      <c r="D650" s="1"/>
      <c r="E650" s="3" t="s">
        <v>3868</v>
      </c>
      <c r="F650" s="3"/>
      <c r="J650" t="s">
        <v>554</v>
      </c>
      <c r="K650" t="s">
        <v>3114</v>
      </c>
      <c r="L650" t="s">
        <v>3581</v>
      </c>
      <c r="P650" t="s">
        <v>3114</v>
      </c>
      <c r="Q650" t="s">
        <v>3115</v>
      </c>
      <c r="R650" t="s">
        <v>650</v>
      </c>
      <c r="AD650" t="s">
        <v>3852</v>
      </c>
      <c r="AE650" t="s">
        <v>311</v>
      </c>
      <c r="AF650" t="s">
        <v>3114</v>
      </c>
      <c r="AG650" s="43" t="s">
        <v>3853</v>
      </c>
      <c r="AH650" s="31" t="s">
        <v>3854</v>
      </c>
      <c r="AJ650" s="3" t="s">
        <v>328</v>
      </c>
      <c r="AL650" s="3" t="s">
        <v>349</v>
      </c>
      <c r="AM650"/>
      <c r="AN650"/>
      <c r="AO650" s="3" t="s">
        <v>3116</v>
      </c>
      <c r="AP650" s="3" t="s">
        <v>258</v>
      </c>
      <c r="AQ650" t="s">
        <v>349</v>
      </c>
      <c r="AR650" t="s">
        <v>260</v>
      </c>
      <c r="AS650" s="1"/>
      <c r="AT650" s="1" t="s">
        <v>258</v>
      </c>
      <c r="AU650" s="1"/>
      <c r="AV650" s="1"/>
      <c r="AW650" s="1"/>
      <c r="AX650" s="70">
        <v>44686</v>
      </c>
      <c r="AY650" s="115">
        <v>44654</v>
      </c>
      <c r="AZ650" s="115">
        <v>44643</v>
      </c>
      <c r="BA650" s="2"/>
      <c r="BB650" s="2"/>
      <c r="BC650" s="2"/>
      <c r="BD650" s="2"/>
      <c r="BE650" s="2"/>
      <c r="BF650" s="2"/>
      <c r="BG650" s="20">
        <f ca="1">SUM(CY650)+214.5</f>
        <v>1444.717714285714</v>
      </c>
      <c r="BH650" s="22">
        <f ca="1">PMT(10%/12,12,BG650,0,0)</f>
        <v>-127.01363964834006</v>
      </c>
      <c r="BI650" s="22">
        <f ca="1">SUM(BH650*-1)</f>
        <v>127.01363964834006</v>
      </c>
      <c r="BJ650" s="14">
        <f>SUM(DI650*0.0052)/12</f>
        <v>17.766666666666666</v>
      </c>
      <c r="BK650" s="22">
        <f ca="1">SUM(BI650+BJ650)</f>
        <v>144.78030631500673</v>
      </c>
      <c r="BL650" s="14"/>
      <c r="BM650" s="14">
        <f>SUM(BL650*0.1)</f>
        <v>0</v>
      </c>
      <c r="BN650" s="14">
        <f ca="1">SUM(BO650*BP650)</f>
        <v>0</v>
      </c>
      <c r="BO650" s="17">
        <f>SUM((BL650+BM650)*0.00833333333333333)</f>
        <v>0</v>
      </c>
      <c r="BP650" s="23">
        <f ca="1">MONTH(TODAY())+49</f>
        <v>53</v>
      </c>
      <c r="BQ650" s="14">
        <f ca="1">SUM(BL650,BM650,BN650)</f>
        <v>0</v>
      </c>
      <c r="BR650" s="14"/>
      <c r="BS650" s="14">
        <f>SUM(BR650*0.1)</f>
        <v>0</v>
      </c>
      <c r="BT650" s="14">
        <f ca="1">SUM(BU650*BV650)</f>
        <v>0</v>
      </c>
      <c r="BU650" s="17">
        <f>SUM((BR650+BS650)*0.00833333333333333)</f>
        <v>0</v>
      </c>
      <c r="BV650" s="23">
        <f ca="1">MONTH(TODAY())+37</f>
        <v>41</v>
      </c>
      <c r="BW650" s="14">
        <f ca="1">SUM(BR650,BS650,BT650)</f>
        <v>0</v>
      </c>
      <c r="BX650" s="14"/>
      <c r="BY650" s="14">
        <f>SUM(BX650*0.1)</f>
        <v>0</v>
      </c>
      <c r="BZ650" s="14">
        <f ca="1">SUM(CA650*CB650)</f>
        <v>0</v>
      </c>
      <c r="CA650" s="17">
        <f>SUM((BX650+BY650)*0.00833333333333333)</f>
        <v>0</v>
      </c>
      <c r="CB650" s="23">
        <f ca="1">MONTH(TODAY())+25</f>
        <v>29</v>
      </c>
      <c r="CC650" s="14">
        <f ca="1">SUM(BX650,BY650,BZ650)</f>
        <v>0</v>
      </c>
      <c r="CD650" s="14">
        <f>SUM(DI650*0.0052)</f>
        <v>213.2</v>
      </c>
      <c r="CE650" s="14">
        <f>SUM(CD650*0.1)</f>
        <v>21.32</v>
      </c>
      <c r="CF650" s="14">
        <f ca="1">SUM(CG650*CH650)</f>
        <v>33.223666666666652</v>
      </c>
      <c r="CG650" s="17">
        <f>SUM((CD650+CE650)*0.00833333333333333)</f>
        <v>1.9543333333333324</v>
      </c>
      <c r="CH650" s="23">
        <f ca="1">MONTH(TODAY())+13</f>
        <v>17</v>
      </c>
      <c r="CI650" s="14">
        <f ca="1">SUM(CD650,CE650,CF650)</f>
        <v>267.74366666666663</v>
      </c>
      <c r="CJ650" s="14">
        <f>SUM(DI650*0.0052)</f>
        <v>213.2</v>
      </c>
      <c r="CK650" s="14">
        <f>SUM(CJ650*0.1)</f>
        <v>21.32</v>
      </c>
      <c r="CL650" s="14">
        <f ca="1">SUM(CM650*CN650)</f>
        <v>9.7716666666666612</v>
      </c>
      <c r="CM650" s="17">
        <f>SUM((CJ650+CK650)*0.00833333333333333)</f>
        <v>1.9543333333333324</v>
      </c>
      <c r="CN650" s="23">
        <f ca="1">MONTH(TODAY())+1</f>
        <v>5</v>
      </c>
      <c r="CO650" s="14">
        <f ca="1">SUM(CJ650,CK650,CL650)</f>
        <v>244.29166666666663</v>
      </c>
      <c r="CP650" s="14">
        <f t="shared" ref="CP650:CR651" si="266">SUM(BL650, BR650,BX650,CD650,CJ650)</f>
        <v>426.4</v>
      </c>
      <c r="CQ650" s="14">
        <f t="shared" si="266"/>
        <v>42.64</v>
      </c>
      <c r="CR650" s="14">
        <f t="shared" ca="1" si="266"/>
        <v>42.995333333333313</v>
      </c>
      <c r="CS650" s="14">
        <f ca="1">SUM(CP650:CR650)</f>
        <v>512.03533333333326</v>
      </c>
      <c r="CT650" s="47">
        <f ca="1">SUM(CS650/DI650)</f>
        <v>1.2488666666666665E-2</v>
      </c>
      <c r="CU650" s="14">
        <f>19.5+195+19.5+195+58.5+39</f>
        <v>526.5</v>
      </c>
      <c r="CV650" s="32">
        <f>COUNTIF(DB650, "*")+COUNTIF(AO650, "*")+COUNTIF(AJ650, "*")+COUNTIF(AA650, "*")+COUNTIF(DY650, "*")+COUNTIF(EE650, "*")+COUNTIF(EK650, "*")+COUNTIF(EO650, "*")+COUNTIF(EV650, "*")+COUNTIF(FC650, "*")+COUNTIF(FJ650, "*")+COUNTIF(FU650, "*")+COUNTIF(GF650, "*")+COUNTIF(GN650, "*")+COUNTIF(GV650, "*")+COUNTIF(HD650, "*")+COUNTIF(HL650, "*")</f>
        <v>2</v>
      </c>
      <c r="CW650" s="14">
        <f>CV650*0.5+CV650*6.66</f>
        <v>14.32</v>
      </c>
      <c r="CX650" s="4">
        <v>150</v>
      </c>
      <c r="CY650" s="14">
        <f ca="1">SUM(CS650,CU650,DE650, CX650, CW650,FG650)</f>
        <v>1230.217714285714</v>
      </c>
      <c r="CZ650" s="14">
        <v>27.362380952380899</v>
      </c>
      <c r="DE650" s="14">
        <f>SUM(CZ650:DD650)</f>
        <v>27.362380952380899</v>
      </c>
      <c r="DF650" s="24" t="s">
        <v>2773</v>
      </c>
      <c r="DG650" s="4">
        <f>18300+13400</f>
        <v>31700</v>
      </c>
      <c r="DH650" s="4">
        <v>9300</v>
      </c>
      <c r="DI650" s="25">
        <f>SUM(DG650+DH650)</f>
        <v>41000</v>
      </c>
      <c r="DJ650" s="35">
        <f>0.83+0.65</f>
        <v>1.48</v>
      </c>
      <c r="DK650" t="s">
        <v>3585</v>
      </c>
      <c r="DL650" t="s">
        <v>3586</v>
      </c>
      <c r="DM650" t="s">
        <v>3587</v>
      </c>
      <c r="DN650" t="s">
        <v>3588</v>
      </c>
      <c r="IC650" s="4"/>
    </row>
    <row r="651" spans="1:263" ht="15" customHeight="1">
      <c r="A651" s="19">
        <v>102022221</v>
      </c>
      <c r="B651" t="s">
        <v>3582</v>
      </c>
      <c r="D651" s="1"/>
      <c r="E651" s="3" t="s">
        <v>3868</v>
      </c>
      <c r="F651" s="3"/>
      <c r="J651" t="s">
        <v>253</v>
      </c>
      <c r="K651" t="s">
        <v>3114</v>
      </c>
      <c r="L651" t="s">
        <v>3115</v>
      </c>
      <c r="M651" t="s">
        <v>650</v>
      </c>
      <c r="AD651" t="s">
        <v>3852</v>
      </c>
      <c r="AE651" t="s">
        <v>311</v>
      </c>
      <c r="AF651" t="s">
        <v>3114</v>
      </c>
      <c r="AG651" s="43" t="s">
        <v>3853</v>
      </c>
      <c r="AH651" s="31" t="s">
        <v>3854</v>
      </c>
      <c r="AJ651" s="3" t="s">
        <v>328</v>
      </c>
      <c r="AL651" s="3" t="s">
        <v>349</v>
      </c>
      <c r="AM651"/>
      <c r="AN651"/>
      <c r="AO651" s="3" t="s">
        <v>3116</v>
      </c>
      <c r="AP651" s="3" t="s">
        <v>258</v>
      </c>
      <c r="AQ651" t="s">
        <v>349</v>
      </c>
      <c r="AR651" t="s">
        <v>260</v>
      </c>
      <c r="AS651" s="1"/>
      <c r="AT651" s="1" t="s">
        <v>258</v>
      </c>
      <c r="AU651" s="1"/>
      <c r="AV651" s="1"/>
      <c r="AW651" s="1"/>
      <c r="AX651" s="70">
        <v>44686</v>
      </c>
      <c r="AY651" s="115">
        <v>44654</v>
      </c>
      <c r="AZ651" s="115">
        <v>44643</v>
      </c>
      <c r="BA651" s="2"/>
      <c r="BB651" s="2"/>
      <c r="BC651" s="2"/>
      <c r="BD651" s="2"/>
      <c r="BE651" s="2"/>
      <c r="BF651" s="2"/>
      <c r="BG651" s="20">
        <f ca="1">SUM(CY651)+214.5</f>
        <v>1444.717714285714</v>
      </c>
      <c r="BH651" s="22">
        <f ca="1">PMT(10%/12,12,BG651,0,0)</f>
        <v>-127.01363964834006</v>
      </c>
      <c r="BI651" s="22">
        <f ca="1">SUM(BH651*-1)</f>
        <v>127.01363964834006</v>
      </c>
      <c r="BJ651" s="14">
        <f>SUM(DI651*0.0052)/12</f>
        <v>17.766666666666666</v>
      </c>
      <c r="BK651" s="22">
        <f ca="1">SUM(BI651+BJ651)</f>
        <v>144.78030631500673</v>
      </c>
      <c r="BL651" s="14"/>
      <c r="BM651" s="14">
        <f>SUM(BL651*0.1)</f>
        <v>0</v>
      </c>
      <c r="BN651" s="14">
        <f ca="1">SUM(BO651*BP651)</f>
        <v>0</v>
      </c>
      <c r="BO651" s="17">
        <f>SUM((BL651+BM651)*0.00833333333333333)</f>
        <v>0</v>
      </c>
      <c r="BP651" s="23">
        <f ca="1">MONTH(TODAY())+49</f>
        <v>53</v>
      </c>
      <c r="BQ651" s="14">
        <f ca="1">SUM(BL651,BM651,BN651)</f>
        <v>0</v>
      </c>
      <c r="BR651" s="14"/>
      <c r="BS651" s="14">
        <f>SUM(BR651*0.1)</f>
        <v>0</v>
      </c>
      <c r="BT651" s="14">
        <f ca="1">SUM(BU651*BV651)</f>
        <v>0</v>
      </c>
      <c r="BU651" s="17">
        <f>SUM((BR651+BS651)*0.00833333333333333)</f>
        <v>0</v>
      </c>
      <c r="BV651" s="23">
        <f ca="1">MONTH(TODAY())+37</f>
        <v>41</v>
      </c>
      <c r="BW651" s="14">
        <f ca="1">SUM(BR651,BS651,BT651)</f>
        <v>0</v>
      </c>
      <c r="BX651" s="14"/>
      <c r="BY651" s="14">
        <f>SUM(BX651*0.1)</f>
        <v>0</v>
      </c>
      <c r="BZ651" s="14">
        <f ca="1">SUM(CA651*CB651)</f>
        <v>0</v>
      </c>
      <c r="CA651" s="17">
        <f>SUM((BX651+BY651)*0.00833333333333333)</f>
        <v>0</v>
      </c>
      <c r="CB651" s="23">
        <f ca="1">MONTH(TODAY())+25</f>
        <v>29</v>
      </c>
      <c r="CC651" s="14">
        <f ca="1">SUM(BX651,BY651,BZ651)</f>
        <v>0</v>
      </c>
      <c r="CD651" s="14">
        <f>SUM(DI651*0.0052)</f>
        <v>213.2</v>
      </c>
      <c r="CE651" s="14">
        <f>SUM(CD651*0.1)</f>
        <v>21.32</v>
      </c>
      <c r="CF651" s="14">
        <f ca="1">SUM(CG651*CH651)</f>
        <v>33.223666666666652</v>
      </c>
      <c r="CG651" s="17">
        <f>SUM((CD651+CE651)*0.00833333333333333)</f>
        <v>1.9543333333333324</v>
      </c>
      <c r="CH651" s="23">
        <f ca="1">MONTH(TODAY())+13</f>
        <v>17</v>
      </c>
      <c r="CI651" s="14">
        <f ca="1">SUM(CD651,CE651,CF651)</f>
        <v>267.74366666666663</v>
      </c>
      <c r="CJ651" s="14">
        <f>SUM(DI651*0.0052)</f>
        <v>213.2</v>
      </c>
      <c r="CK651" s="14">
        <f>SUM(CJ651*0.1)</f>
        <v>21.32</v>
      </c>
      <c r="CL651" s="14">
        <f ca="1">SUM(CM651*CN651)</f>
        <v>9.7716666666666612</v>
      </c>
      <c r="CM651" s="17">
        <f>SUM((CJ651+CK651)*0.00833333333333333)</f>
        <v>1.9543333333333324</v>
      </c>
      <c r="CN651" s="23">
        <f ca="1">MONTH(TODAY())+1</f>
        <v>5</v>
      </c>
      <c r="CO651" s="14">
        <f ca="1">SUM(CJ651,CK651,CL651)</f>
        <v>244.29166666666663</v>
      </c>
      <c r="CP651" s="14">
        <f t="shared" si="266"/>
        <v>426.4</v>
      </c>
      <c r="CQ651" s="14">
        <f t="shared" si="266"/>
        <v>42.64</v>
      </c>
      <c r="CR651" s="14">
        <f t="shared" ca="1" si="266"/>
        <v>42.995333333333313</v>
      </c>
      <c r="CS651" s="14">
        <f ca="1">SUM(CP651:CR651)</f>
        <v>512.03533333333326</v>
      </c>
      <c r="CT651" s="47">
        <f ca="1">SUM(CS651/DI651)</f>
        <v>1.2488666666666665E-2</v>
      </c>
      <c r="CU651" s="14">
        <f>19.5+195+19.5+195+58.5+39</f>
        <v>526.5</v>
      </c>
      <c r="CV651" s="32">
        <f>COUNTIF(DB651, "*")+COUNTIF(AO651, "*")+COUNTIF(AJ651, "*")+COUNTIF(AA651, "*")+COUNTIF(DY651, "*")+COUNTIF(EE651, "*")+COUNTIF(EK651, "*")+COUNTIF(EO651, "*")+COUNTIF(EV651, "*")+COUNTIF(FC651, "*")+COUNTIF(FJ651, "*")+COUNTIF(FU651, "*")+COUNTIF(GF651, "*")+COUNTIF(GN651, "*")+COUNTIF(GV651, "*")+COUNTIF(HD651, "*")+COUNTIF(HL651, "*")</f>
        <v>2</v>
      </c>
      <c r="CW651" s="14">
        <f>CV651*0.5+CV651*6.66</f>
        <v>14.32</v>
      </c>
      <c r="CX651" s="4">
        <v>150</v>
      </c>
      <c r="CY651" s="14">
        <f ca="1">SUM(CS651,CU651,DE651, CX651, CW651,FG651)</f>
        <v>1230.217714285714</v>
      </c>
      <c r="CZ651" s="14">
        <v>27.362380952380899</v>
      </c>
      <c r="DE651" s="14">
        <f>SUM(CZ651:DD651)</f>
        <v>27.362380952380899</v>
      </c>
      <c r="DF651" s="24" t="s">
        <v>2773</v>
      </c>
      <c r="DG651" s="4">
        <f>18300+13400</f>
        <v>31700</v>
      </c>
      <c r="DH651" s="4">
        <v>9300</v>
      </c>
      <c r="DI651" s="25">
        <f>SUM(DG651+DH651)</f>
        <v>41000</v>
      </c>
      <c r="DJ651" s="35">
        <v>0.83</v>
      </c>
      <c r="DK651" t="s">
        <v>3584</v>
      </c>
      <c r="DL651" t="s">
        <v>3589</v>
      </c>
      <c r="IC651" s="4"/>
    </row>
    <row r="652" spans="1:263" ht="15" customHeight="1">
      <c r="A652" s="2">
        <v>102018048</v>
      </c>
      <c r="B652" s="4" t="s">
        <v>1184</v>
      </c>
      <c r="C652" s="3"/>
      <c r="D652" s="3"/>
      <c r="E652" s="3"/>
      <c r="F652" s="3"/>
      <c r="K652" t="s">
        <v>1183</v>
      </c>
      <c r="O652" s="1"/>
      <c r="T652" s="1"/>
      <c r="AJ652" s="4"/>
      <c r="AK652" s="4"/>
      <c r="AM652" s="34"/>
      <c r="AN652" s="34"/>
      <c r="AO652" s="4"/>
      <c r="AP652" s="5"/>
      <c r="AQ652" s="34"/>
      <c r="AS652" s="5"/>
      <c r="AT652" s="5"/>
      <c r="AU652" s="1"/>
      <c r="AV652" s="1"/>
      <c r="AW652" s="1"/>
      <c r="AX652" s="1"/>
      <c r="AY652" s="1"/>
      <c r="AZ652" s="1"/>
      <c r="BA652" s="1"/>
      <c r="BB652" s="1"/>
      <c r="BC652" s="1"/>
      <c r="BD652" s="1"/>
      <c r="BE652" s="1"/>
      <c r="BF652" s="1"/>
      <c r="BG652" s="5"/>
      <c r="BH652" s="16"/>
      <c r="BI652" s="16"/>
      <c r="BK652" s="4"/>
      <c r="BL652" s="4"/>
      <c r="BM652" s="6"/>
      <c r="BN652" s="7"/>
      <c r="BO652" s="4"/>
      <c r="BQ652" s="4"/>
      <c r="BR652" s="4"/>
      <c r="BS652" s="6"/>
      <c r="BT652" s="7"/>
      <c r="BU652" s="4"/>
      <c r="BW652" s="4"/>
      <c r="BX652" s="4"/>
      <c r="BY652" s="6"/>
      <c r="BZ652" s="7"/>
      <c r="CA652" s="4"/>
      <c r="CB652" s="4"/>
      <c r="CC652" s="4"/>
      <c r="CD652" s="4"/>
      <c r="CE652" s="6"/>
      <c r="CF652" s="7"/>
      <c r="CG652" s="4"/>
      <c r="CH652" s="6"/>
      <c r="CI652" s="4"/>
      <c r="CJ652" s="4"/>
      <c r="CK652" s="6"/>
      <c r="CL652" s="7"/>
      <c r="CM652" s="4"/>
      <c r="CN652" s="4"/>
      <c r="CO652" s="4"/>
      <c r="CP652" s="4"/>
      <c r="CQ652" s="6"/>
      <c r="CR652" s="7"/>
      <c r="CS652" s="4"/>
      <c r="CT652" s="4"/>
      <c r="CU652" s="4"/>
      <c r="CV652" s="4"/>
      <c r="CW652" s="6"/>
      <c r="CX652" s="7"/>
      <c r="CY652" s="4"/>
      <c r="CZ652" s="4"/>
      <c r="DA652" s="4"/>
      <c r="DB652" s="4"/>
      <c r="DC652" s="6"/>
      <c r="DD652" s="23"/>
      <c r="DE652" s="4"/>
      <c r="DF652" s="4"/>
      <c r="DG652" s="4"/>
      <c r="DH652" s="4"/>
      <c r="DI652" s="6"/>
      <c r="DJ652" s="7"/>
      <c r="DK652" s="4"/>
      <c r="DL652" s="4"/>
      <c r="DM652" s="4"/>
      <c r="DN652" s="4"/>
      <c r="DO652" s="4"/>
      <c r="DP652" s="4"/>
      <c r="DR652" s="4"/>
      <c r="DS652" s="4"/>
      <c r="DT652" s="4"/>
      <c r="DU652" s="4"/>
      <c r="DV652" s="4"/>
      <c r="DW652" s="4"/>
      <c r="DX652" s="4"/>
      <c r="DY652" s="7"/>
      <c r="DZ652" s="4"/>
      <c r="EA652" s="4"/>
      <c r="EB652" s="34"/>
      <c r="EC652" s="4"/>
      <c r="ED652" s="4"/>
      <c r="EM652" s="11"/>
      <c r="ES652" s="11"/>
      <c r="ET652" s="11"/>
      <c r="EU652" s="4"/>
      <c r="EV652" s="4"/>
      <c r="EW652" s="4"/>
      <c r="EX652" s="4"/>
      <c r="EY652" s="4"/>
      <c r="EZ652" s="4"/>
      <c r="FA652" s="4"/>
      <c r="FB652" s="4"/>
      <c r="FC652" s="4"/>
      <c r="FD652" s="4"/>
      <c r="FE652" s="4"/>
      <c r="FF652" s="4"/>
      <c r="FG652" s="4"/>
      <c r="FH652" s="4"/>
      <c r="FL652" s="9"/>
      <c r="FU652" s="9"/>
      <c r="GE652" s="10"/>
      <c r="GO652" s="10"/>
      <c r="HD652" s="9"/>
      <c r="IP652" s="4"/>
    </row>
    <row r="653" spans="1:263" ht="15" customHeight="1">
      <c r="A653" s="18">
        <v>102022161</v>
      </c>
      <c r="B653" t="s">
        <v>2891</v>
      </c>
      <c r="C653" s="10"/>
      <c r="D653" s="161"/>
      <c r="E653" s="147"/>
      <c r="F653" s="160"/>
      <c r="G653" s="147"/>
      <c r="H653" s="10"/>
      <c r="I653" s="10"/>
      <c r="J653" s="10" t="s">
        <v>434</v>
      </c>
      <c r="K653" s="10" t="s">
        <v>3192</v>
      </c>
      <c r="L653" s="10" t="s">
        <v>893</v>
      </c>
      <c r="M653" s="10"/>
      <c r="N653" s="10"/>
      <c r="O653" s="147"/>
      <c r="P653" s="10" t="s">
        <v>3192</v>
      </c>
      <c r="Q653" s="10" t="s">
        <v>3193</v>
      </c>
      <c r="R653" s="10"/>
      <c r="S653" s="10"/>
      <c r="T653" s="10"/>
      <c r="U653" s="10"/>
      <c r="V653" s="10"/>
      <c r="W653" s="10"/>
      <c r="X653" s="10"/>
      <c r="Y653" s="10"/>
      <c r="Z653" s="10"/>
      <c r="AA653" s="10"/>
      <c r="AB653" s="10"/>
      <c r="AC653" s="10"/>
      <c r="AD653" s="10"/>
      <c r="AE653" s="10"/>
      <c r="AF653" s="10"/>
      <c r="AG653" s="141"/>
      <c r="AH653" s="10"/>
      <c r="AI653" s="10"/>
      <c r="AJ653" s="18" t="s">
        <v>328</v>
      </c>
      <c r="AK653" s="1"/>
      <c r="AL653" t="s">
        <v>259</v>
      </c>
      <c r="AM653"/>
      <c r="AN653"/>
      <c r="AO653" t="s">
        <v>3194</v>
      </c>
      <c r="AP653" s="1" t="s">
        <v>258</v>
      </c>
      <c r="AQ653" t="s">
        <v>344</v>
      </c>
      <c r="AR653" t="s">
        <v>260</v>
      </c>
      <c r="AX653" s="1"/>
      <c r="AY653" s="1"/>
      <c r="AZ653" s="1"/>
      <c r="BA653" s="1"/>
      <c r="BB653" s="1"/>
      <c r="BC653" s="70"/>
      <c r="BD653" s="115"/>
      <c r="BE653" s="144"/>
      <c r="BF653" s="70"/>
      <c r="BG653" s="2"/>
      <c r="BH653" s="70"/>
      <c r="BI653" s="70"/>
      <c r="BJ653" s="70"/>
      <c r="BK653" s="70"/>
      <c r="BL653" s="20">
        <f ca="1">SUM(EH653)+220</f>
        <v>1799.727875</v>
      </c>
      <c r="BM653" s="22">
        <f ca="1">PMT(10%/12,12,BL653,0,0)</f>
        <v>-158.22467290320481</v>
      </c>
      <c r="BN653" s="22">
        <f ca="1">SUM(BM653*-1)</f>
        <v>158.22467290320481</v>
      </c>
      <c r="BO653" s="14">
        <f>SUM(EP653*0.0052)/12</f>
        <v>9.9666666666666668</v>
      </c>
      <c r="BP653" s="22">
        <f ca="1">SUM(BN653+BO653)</f>
        <v>168.19133956987147</v>
      </c>
      <c r="BQ653" s="14"/>
      <c r="BR653" s="14">
        <f>SUM(BQ653*0.1)</f>
        <v>0</v>
      </c>
      <c r="BS653" s="14">
        <f ca="1">SUM(BT653*BU653)</f>
        <v>0</v>
      </c>
      <c r="BT653" s="17">
        <f>SUM((BQ653+BR653)*0.00833333333333333)</f>
        <v>0</v>
      </c>
      <c r="BU653" s="23">
        <f ca="1">MONTH(TODAY())+49</f>
        <v>53</v>
      </c>
      <c r="BV653" s="14">
        <f ca="1">SUM(BQ653,BR653,BS653)</f>
        <v>0</v>
      </c>
      <c r="BW653" s="14">
        <f>SUM(EM653*0.0052)</f>
        <v>62.4</v>
      </c>
      <c r="BX653" s="14">
        <f>SUM(BW653*0.1)</f>
        <v>6.24</v>
      </c>
      <c r="BY653" s="14">
        <f>SUM(BZ653*CA653)</f>
        <v>28.027999999999988</v>
      </c>
      <c r="BZ653" s="17">
        <f>SUM((BW653+BX653)*0.00833333333333333)</f>
        <v>0.57199999999999973</v>
      </c>
      <c r="CA653" s="23">
        <v>49</v>
      </c>
      <c r="CB653" s="14">
        <f>SUM(BW653,BX653,BY653)</f>
        <v>96.667999999999992</v>
      </c>
      <c r="CC653" s="14">
        <f>SUM(EM653*0.0052)</f>
        <v>62.4</v>
      </c>
      <c r="CD653" s="14">
        <f>SUM(CC653*0.1)</f>
        <v>6.24</v>
      </c>
      <c r="CE653" s="14">
        <f>SUM(CF653*CG653)</f>
        <v>21.163999999999991</v>
      </c>
      <c r="CF653" s="17">
        <f>SUM((CC653+CD653)*0.00833333333333333)</f>
        <v>0.57199999999999973</v>
      </c>
      <c r="CG653" s="23">
        <v>37</v>
      </c>
      <c r="CH653" s="14">
        <f>SUM(CC653,CD653,CE653)</f>
        <v>89.803999999999988</v>
      </c>
      <c r="CI653" s="14">
        <f>SUM(EM653*0.0052)/2</f>
        <v>31.2</v>
      </c>
      <c r="CJ653" s="14">
        <f>SUM(CI653*0.1)</f>
        <v>3.12</v>
      </c>
      <c r="CK653" s="14">
        <f>SUM(CL653*CM653)</f>
        <v>8.2939999999999969</v>
      </c>
      <c r="CL653" s="17">
        <f>SUM((CI653+CJ653)*0.00833333333333333)</f>
        <v>0.28599999999999987</v>
      </c>
      <c r="CM653" s="23">
        <v>29</v>
      </c>
      <c r="CN653" s="23">
        <f>SUM(CI653,CJ653,CK653)</f>
        <v>42.613999999999997</v>
      </c>
      <c r="CO653" s="14">
        <f>SUM(EM653*0.0052)/2</f>
        <v>31.2</v>
      </c>
      <c r="CP653" s="14">
        <f>SUM(CO653*0.1)</f>
        <v>3.12</v>
      </c>
      <c r="CQ653" s="14">
        <f>SUM(CR653*CS653)</f>
        <v>7.1499999999999968</v>
      </c>
      <c r="CR653" s="17">
        <f>SUM((CO653+CP653)*0.00833333333333333)</f>
        <v>0.28599999999999987</v>
      </c>
      <c r="CS653" s="23">
        <v>25</v>
      </c>
      <c r="CT653" s="14">
        <f>SUM(CO653,CP653,CQ653)</f>
        <v>41.47</v>
      </c>
      <c r="CU653" s="14">
        <f>SUM(EP653*0.0045)/2</f>
        <v>51.749999999999993</v>
      </c>
      <c r="CV653" s="14">
        <f>SUM(CU653*0.1)</f>
        <v>5.1749999999999998</v>
      </c>
      <c r="CW653" s="14">
        <f>SUM(CX653*CY653)</f>
        <v>9.0131249999999952</v>
      </c>
      <c r="CX653" s="17">
        <f>SUM((CU653+CV653)*0.00833333333333333)</f>
        <v>0.47437499999999971</v>
      </c>
      <c r="CY653" s="23">
        <v>19</v>
      </c>
      <c r="CZ653" s="14">
        <f>SUM(CU653,CV653,CW653)</f>
        <v>65.938124999999985</v>
      </c>
      <c r="DA653" s="14">
        <f>SUM(EP653*0.0045)/2</f>
        <v>51.749999999999993</v>
      </c>
      <c r="DB653" s="14">
        <f>SUM(DA653*0.1)</f>
        <v>5.1749999999999998</v>
      </c>
      <c r="DC653" s="14">
        <f>SUM(DD653*DE653)</f>
        <v>6.1668749999999966</v>
      </c>
      <c r="DD653" s="17">
        <f>SUM((DA653+DB653)*0.00833333333333333)</f>
        <v>0.47437499999999971</v>
      </c>
      <c r="DE653" s="23">
        <v>13</v>
      </c>
      <c r="DF653" s="14">
        <f>SUM(DA653,DB653,DC653)</f>
        <v>63.091874999999987</v>
      </c>
      <c r="DG653" s="14">
        <f>SUM(EP653*0.0045)/2</f>
        <v>51.749999999999993</v>
      </c>
      <c r="DH653" s="14">
        <f>SUM(DG653*0.1)</f>
        <v>5.1749999999999998</v>
      </c>
      <c r="DI653" s="14">
        <f>SUM(DJ653*DK653)</f>
        <v>2.3718749999999984</v>
      </c>
      <c r="DJ653" s="17">
        <f>SUM((DG653+DH653)*0.00833333333333333)</f>
        <v>0.47437499999999971</v>
      </c>
      <c r="DK653" s="23">
        <v>5</v>
      </c>
      <c r="DL653" s="14">
        <f>SUM(DG653,DH653,DI653)</f>
        <v>59.296874999999986</v>
      </c>
      <c r="DM653" s="14">
        <f>SUM(EP653*0.0045)/2</f>
        <v>51.749999999999993</v>
      </c>
      <c r="DN653" s="14">
        <f>SUM(DM653*0.1)</f>
        <v>5.1749999999999998</v>
      </c>
      <c r="DO653" s="14">
        <v>0</v>
      </c>
      <c r="DP653" s="17">
        <f>SUM((DM653+DN653)*0.00833333333333333)</f>
        <v>0.47437499999999971</v>
      </c>
      <c r="DQ653" s="23">
        <v>1</v>
      </c>
      <c r="DR653" s="14">
        <f>SUM(DM653,DN653,DO653)</f>
        <v>56.92499999999999</v>
      </c>
      <c r="DS653" s="14">
        <f>SUM(BQ653, BW653, CC653, CI653,CO653,CU653,DA653,DG653,DM653)</f>
        <v>394.2</v>
      </c>
      <c r="DT653" s="14">
        <f>SUM(BR653,BX653,CD653, CJ653,CP653,CV653,DB653,DH653,DN653)</f>
        <v>39.42</v>
      </c>
      <c r="DU653" s="14">
        <f ca="1">SUM(BS653,BY653,CE653, CK653,CQ653,CW653,DC653,DI653,DO653)</f>
        <v>82.187874999999963</v>
      </c>
      <c r="DV653" s="25">
        <f ca="1">SUM(DS653:DU653)</f>
        <v>515.80787499999997</v>
      </c>
      <c r="DW653" s="47">
        <f ca="1">SUM(DV653/EM653)</f>
        <v>4.2983989583333333E-2</v>
      </c>
      <c r="DX653" s="14">
        <f>19.5+200+200+40+60</f>
        <v>519.5</v>
      </c>
      <c r="DY653" s="32">
        <f>COUNTIF(AO653, "*")+COUNTIF(AJ653, "*")+COUNTIF(AA653, "*")+COUNTIF(FA653, "*")+COUNTIF(FG653, "*")+COUNTIF(FM653, "*")+COUNTIF(FQ653, "*")+COUNTIF(FX653, "*")+COUNTIF(AT653, "*")+COUNTIF(GG653, "*")+COUNTIF(GR653, "*")+COUNTIF(HC653, "*")+COUNTIF(HK653, "*")+COUNTIF(HS653, "*")+COUNTIF(IA653, "*")</f>
        <v>2</v>
      </c>
      <c r="DZ653" s="66">
        <v>71.31</v>
      </c>
      <c r="EA653" s="4">
        <v>273.11</v>
      </c>
      <c r="EB653" s="4">
        <v>200</v>
      </c>
      <c r="EC653" s="4"/>
      <c r="ED653" s="4"/>
      <c r="EE653" s="4"/>
      <c r="EF653" s="4"/>
      <c r="EG653" s="14">
        <f>SUM(EC653:EF653,EA653)</f>
        <v>273.11</v>
      </c>
      <c r="EH653" s="14">
        <f ca="1">SUM(DV653,DX653,EB653,EG653,DZ653,GD653)</f>
        <v>1579.727875</v>
      </c>
      <c r="EI653" s="18" t="s">
        <v>5939</v>
      </c>
      <c r="EJ653" s="7">
        <v>0.46</v>
      </c>
      <c r="EK653" s="4">
        <v>12000</v>
      </c>
      <c r="EL653" s="4">
        <v>0</v>
      </c>
      <c r="EM653" s="14">
        <f>SUM(EK653+EL653)</f>
        <v>12000</v>
      </c>
      <c r="EN653" s="14">
        <v>23000</v>
      </c>
      <c r="EO653" s="14">
        <v>0</v>
      </c>
      <c r="EP653" s="14">
        <f>SUM(EN653+EO653)</f>
        <v>23000</v>
      </c>
      <c r="EQ653" s="10" t="s">
        <v>5937</v>
      </c>
      <c r="ER653" s="10" t="s">
        <v>5938</v>
      </c>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9"/>
      <c r="FV653" s="10"/>
      <c r="FW653" s="10"/>
      <c r="FX653" s="10"/>
      <c r="FY653" s="10"/>
      <c r="FZ653" s="10"/>
      <c r="GA653" s="10"/>
      <c r="GB653" s="9"/>
      <c r="GC653" s="10"/>
      <c r="GD653" s="10"/>
      <c r="GE653" s="10"/>
      <c r="GF653" s="10"/>
      <c r="GG653" s="10"/>
      <c r="GH653" s="10"/>
      <c r="GI653" s="10"/>
      <c r="GJ653" s="10"/>
      <c r="GK653" s="9"/>
      <c r="GL653" s="10"/>
      <c r="GM653" s="10"/>
      <c r="GN653" s="10"/>
      <c r="GO653" s="10"/>
      <c r="GP653" s="10"/>
      <c r="GQ653" s="10"/>
      <c r="GR653" s="10"/>
      <c r="GS653" s="10"/>
      <c r="GT653" s="10"/>
      <c r="GU653" s="10"/>
      <c r="GV653" s="9"/>
      <c r="GW653" s="10"/>
      <c r="GX653" s="10"/>
      <c r="GY653" s="10"/>
      <c r="GZ653" s="10"/>
      <c r="HA653" s="10"/>
      <c r="HB653" s="10"/>
      <c r="HC653" s="10"/>
      <c r="HD653" s="10"/>
      <c r="HE653" s="10"/>
      <c r="HF653" s="10"/>
      <c r="HG653" s="9"/>
      <c r="HH653" s="10"/>
      <c r="HI653" s="10"/>
      <c r="HJ653" s="10"/>
      <c r="HK653" s="10"/>
      <c r="HL653" s="10"/>
      <c r="HM653" s="10"/>
      <c r="HN653" s="10"/>
      <c r="HO653" s="9"/>
      <c r="HP653" s="10"/>
      <c r="HQ653" s="10"/>
      <c r="HR653" s="10"/>
      <c r="HS653" s="10"/>
      <c r="HT653" s="10"/>
      <c r="HU653" s="10"/>
      <c r="HV653" s="10"/>
      <c r="HW653" s="9"/>
      <c r="HX653" s="10"/>
      <c r="HY653" s="10"/>
      <c r="HZ653" s="10"/>
      <c r="IA653" s="10"/>
      <c r="IB653" s="10"/>
      <c r="IC653" s="10"/>
      <c r="ID653" s="10"/>
      <c r="IE653" s="9">
        <v>45619</v>
      </c>
      <c r="IF653" s="4"/>
      <c r="IG653" s="4"/>
      <c r="IH653" s="10"/>
      <c r="II653" s="10"/>
      <c r="IJ653" s="10"/>
      <c r="IK653" s="10"/>
      <c r="IL653" s="4"/>
      <c r="IM653" s="4"/>
      <c r="IN653" s="14">
        <f ca="1">SUM(IF653-EH653-GD653-IL653)</f>
        <v>-1579.727875</v>
      </c>
      <c r="IO653" s="14"/>
      <c r="IP653" s="14"/>
      <c r="IQ653" s="9"/>
      <c r="IR653" s="9"/>
      <c r="IS653" s="9"/>
      <c r="IT653" s="9"/>
      <c r="IU653" s="9"/>
      <c r="IV653" t="s">
        <v>5913</v>
      </c>
    </row>
    <row r="654" spans="1:263" ht="15" customHeight="1">
      <c r="A654" s="199">
        <v>102022161</v>
      </c>
      <c r="B654" s="200" t="s">
        <v>2891</v>
      </c>
      <c r="C654" s="201"/>
      <c r="D654" s="202" t="s">
        <v>5932</v>
      </c>
      <c r="E654" s="203"/>
      <c r="F654" s="204"/>
      <c r="G654" s="203"/>
      <c r="H654" s="201"/>
      <c r="I654" s="201"/>
      <c r="J654" s="201" t="s">
        <v>434</v>
      </c>
      <c r="K654" s="201" t="s">
        <v>3192</v>
      </c>
      <c r="L654" s="201" t="s">
        <v>893</v>
      </c>
      <c r="M654" s="201"/>
      <c r="N654" s="201"/>
      <c r="O654" s="203"/>
      <c r="P654" s="201" t="s">
        <v>3192</v>
      </c>
      <c r="Q654" s="201" t="s">
        <v>3193</v>
      </c>
      <c r="R654" s="201"/>
      <c r="S654" s="201"/>
      <c r="T654" s="201"/>
      <c r="U654" s="201"/>
      <c r="V654" s="201"/>
      <c r="W654" s="201"/>
      <c r="X654" s="201"/>
      <c r="Y654" s="201"/>
      <c r="Z654" s="201"/>
      <c r="AA654" s="201"/>
      <c r="AB654" s="201"/>
      <c r="AC654" s="201"/>
      <c r="AD654" s="201"/>
      <c r="AE654" s="201"/>
      <c r="AF654" s="201"/>
      <c r="AG654" s="205"/>
      <c r="AH654" s="201"/>
      <c r="AI654" s="201"/>
      <c r="AJ654" s="96" t="s">
        <v>328</v>
      </c>
      <c r="AK654" s="206"/>
      <c r="AL654" s="200" t="s">
        <v>259</v>
      </c>
      <c r="AM654" s="200"/>
      <c r="AN654" s="200"/>
      <c r="AO654" s="200" t="s">
        <v>3194</v>
      </c>
      <c r="AP654" s="206" t="s">
        <v>258</v>
      </c>
      <c r="AQ654" s="200" t="s">
        <v>344</v>
      </c>
      <c r="AR654" s="200" t="s">
        <v>260</v>
      </c>
      <c r="AS654" s="200"/>
      <c r="AT654" s="200"/>
      <c r="AU654" s="200"/>
      <c r="AV654" s="200"/>
      <c r="AW654" s="200"/>
      <c r="AX654" s="206"/>
      <c r="AY654" s="206"/>
      <c r="AZ654" s="206"/>
      <c r="BA654" s="206"/>
      <c r="BB654" s="206"/>
      <c r="BC654" s="207"/>
      <c r="BD654" s="210"/>
      <c r="BE654" s="227">
        <v>45572</v>
      </c>
      <c r="BF654" s="207"/>
      <c r="BG654" s="211"/>
      <c r="BH654" s="207"/>
      <c r="BI654" s="207"/>
      <c r="BJ654" s="207"/>
      <c r="BK654" s="207"/>
      <c r="BL654" s="190">
        <f ca="1">SUM(EB654)+220</f>
        <v>990.09099999999989</v>
      </c>
      <c r="BM654" s="191">
        <f ca="1">PMT(10%/12,12,BL654,0,0)</f>
        <v>-87.044728703447419</v>
      </c>
      <c r="BN654" s="191">
        <f ca="1">SUM(BM654*-1)</f>
        <v>87.044728703447419</v>
      </c>
      <c r="BO654" s="192">
        <f>SUM(EJ654*0.0052)/12</f>
        <v>9.9666666666666668</v>
      </c>
      <c r="BP654" s="191">
        <f ca="1">SUM(BN654+BO654)</f>
        <v>97.011395370114087</v>
      </c>
      <c r="BQ654" s="192">
        <f>SUM(EG654*0.0052)</f>
        <v>62.4</v>
      </c>
      <c r="BR654" s="192">
        <f>SUM(BQ654*0.1)</f>
        <v>6.24</v>
      </c>
      <c r="BS654" s="192">
        <f ca="1">SUM(BT654*BU654)</f>
        <v>23.451999999999988</v>
      </c>
      <c r="BT654" s="193">
        <f>SUM((BQ654+BR654)*0.00833333333333333)</f>
        <v>0.57199999999999973</v>
      </c>
      <c r="BU654" s="194">
        <f ca="1">MONTH(TODAY())+37</f>
        <v>41</v>
      </c>
      <c r="BV654" s="192">
        <f ca="1">SUM(BQ654,BR654,BS654)</f>
        <v>92.091999999999985</v>
      </c>
      <c r="BW654" s="192">
        <f>SUM(EG654*0.0052)</f>
        <v>62.4</v>
      </c>
      <c r="BX654" s="192">
        <f>SUM(BW654*0.1)</f>
        <v>6.24</v>
      </c>
      <c r="BY654" s="192">
        <f ca="1">SUM(BZ654*CA654)</f>
        <v>23.451999999999988</v>
      </c>
      <c r="BZ654" s="193">
        <f>SUM((BW654+BX654)*0.00833333333333333)</f>
        <v>0.57199999999999973</v>
      </c>
      <c r="CA654" s="194">
        <f ca="1">MONTH(TODAY())+37</f>
        <v>41</v>
      </c>
      <c r="CB654" s="192">
        <f ca="1">SUM(BW654,BX654,BY654)</f>
        <v>92.091999999999985</v>
      </c>
      <c r="CC654" s="192">
        <f>SUM(EG654*0.0052)/2</f>
        <v>31.2</v>
      </c>
      <c r="CD654" s="192">
        <f>SUM(CC654*0.1)</f>
        <v>3.12</v>
      </c>
      <c r="CE654" s="192">
        <f ca="1">SUM(CF654*CG654)</f>
        <v>9.4379999999999953</v>
      </c>
      <c r="CF654" s="193">
        <f>SUM((CC654+CD654)*0.00833333333333333)</f>
        <v>0.28599999999999987</v>
      </c>
      <c r="CG654" s="194">
        <f ca="1">MONTH(TODAY())+29</f>
        <v>33</v>
      </c>
      <c r="CH654" s="194">
        <f ca="1">SUM(CC654,CD654,CE654)</f>
        <v>43.757999999999996</v>
      </c>
      <c r="CI654" s="192">
        <f>SUM(EG654*0.0052)/2</f>
        <v>31.2</v>
      </c>
      <c r="CJ654" s="192">
        <f>SUM(CI654*0.1)</f>
        <v>3.12</v>
      </c>
      <c r="CK654" s="192">
        <f ca="1">SUM(CL654*CM654)</f>
        <v>8.2939999999999969</v>
      </c>
      <c r="CL654" s="193">
        <f>SUM((CI654+CJ654)*0.00833333333333333)</f>
        <v>0.28599999999999987</v>
      </c>
      <c r="CM654" s="194">
        <f ca="1">MONTH(TODAY())+25</f>
        <v>29</v>
      </c>
      <c r="CN654" s="192">
        <f ca="1">SUM(CI654,CJ654,CK654)</f>
        <v>42.613999999999997</v>
      </c>
      <c r="CO654" s="192">
        <f>SUM(EJ654*0.0045)/2</f>
        <v>51.749999999999993</v>
      </c>
      <c r="CP654" s="192">
        <f>SUM(CO654*0.1)</f>
        <v>5.1749999999999998</v>
      </c>
      <c r="CQ654" s="192">
        <f ca="1">SUM(CR654*CS654)</f>
        <v>10.910624999999994</v>
      </c>
      <c r="CR654" s="193">
        <f>SUM((CO654+CP654)*0.00833333333333333)</f>
        <v>0.47437499999999971</v>
      </c>
      <c r="CS654" s="194">
        <f ca="1">MONTH(TODAY())+19</f>
        <v>23</v>
      </c>
      <c r="CT654" s="192">
        <f ca="1">SUM(CO654,CP654,CQ654)</f>
        <v>67.835624999999979</v>
      </c>
      <c r="CU654" s="192">
        <f>SUM(EJ654*0.0045)/2</f>
        <v>51.749999999999993</v>
      </c>
      <c r="CV654" s="192">
        <f>SUM(CU654*0.1)</f>
        <v>5.1749999999999998</v>
      </c>
      <c r="CW654" s="192">
        <f ca="1">SUM(CX654*CY654)</f>
        <v>8.0643749999999947</v>
      </c>
      <c r="CX654" s="193">
        <f>SUM((CU654+CV654)*0.00833333333333333)</f>
        <v>0.47437499999999971</v>
      </c>
      <c r="CY654" s="194">
        <f ca="1">MONTH(TODAY())+13</f>
        <v>17</v>
      </c>
      <c r="CZ654" s="192">
        <f ca="1">SUM(CU654,CV654,CW654)</f>
        <v>64.989374999999981</v>
      </c>
      <c r="DA654" s="192">
        <f>SUM(EJ654*0.0045)/2</f>
        <v>51.749999999999993</v>
      </c>
      <c r="DB654" s="192">
        <f>SUM(DA654*0.1)</f>
        <v>5.1749999999999998</v>
      </c>
      <c r="DC654" s="192">
        <f ca="1">SUM(DD654*DE654)</f>
        <v>5.218124999999997</v>
      </c>
      <c r="DD654" s="193">
        <f>SUM((DA654+DB654)*0.00833333333333333)</f>
        <v>0.47437499999999971</v>
      </c>
      <c r="DE654" s="194">
        <f ca="1">MONTH(TODAY())+7</f>
        <v>11</v>
      </c>
      <c r="DF654" s="192">
        <f ca="1">SUM(DA654,DB654,DC654)</f>
        <v>62.143124999999984</v>
      </c>
      <c r="DG654" s="192">
        <f>SUM(EJ654*0.0045)/2</f>
        <v>51.749999999999993</v>
      </c>
      <c r="DH654" s="192">
        <f>SUM(DG654*0.1)</f>
        <v>5.1749999999999998</v>
      </c>
      <c r="DI654" s="192">
        <f ca="1">SUM(DJ654*DK654)</f>
        <v>2.3718749999999984</v>
      </c>
      <c r="DJ654" s="193">
        <f>SUM((DG654+DH654)*0.00833333333333333)</f>
        <v>0.47437499999999971</v>
      </c>
      <c r="DK654" s="194">
        <f ca="1">MONTH(TODAY())+1</f>
        <v>5</v>
      </c>
      <c r="DL654" s="192">
        <f ca="1">SUM(DG654,DH654,DI654)</f>
        <v>59.296874999999986</v>
      </c>
      <c r="DM654" s="192">
        <f>SUM(BQ654, BW654, CC654,CI654,CO654,CU654,DA654,DG654)</f>
        <v>394.2</v>
      </c>
      <c r="DN654" s="192">
        <f>SUM(BR654,BX654, CD654,CJ654,CP654,CV654,DB654,DH654)</f>
        <v>39.42</v>
      </c>
      <c r="DO654" s="192">
        <f ca="1">SUM(BS654,BY654, CE654,CK654,CQ654,CW654,DC654,DI654)</f>
        <v>91.200999999999965</v>
      </c>
      <c r="DP654" s="195">
        <f ca="1">SUM(DM654:DO654)</f>
        <v>524.82099999999991</v>
      </c>
      <c r="DQ654" s="196">
        <f ca="1">SUM(DP654/EG654)</f>
        <v>4.3735083333333327E-2</v>
      </c>
      <c r="DR654" s="192">
        <v>19.5</v>
      </c>
      <c r="DS654" s="197">
        <f>COUNTIF(AO654, "*")+COUNTIF(AJ654, "*")+COUNTIF(AA654, "*")+COUNTIF(EU654, "*")+COUNTIF(FA654, "*")+COUNTIF(FG654, "*")+COUNTIF(FK654, "*")+COUNTIF(FR654, "*")+COUNTIF(AT654, "*")+COUNTIF(GA654, "*")+COUNTIF(GL654, "*")+COUNTIF(GW654, "*")+COUNTIF(HE654, "*")+COUNTIF(HM654, "*")+COUNTIF(HU654, "*")</f>
        <v>3</v>
      </c>
      <c r="DT654" s="192">
        <f>1.2+DS654*8.19</f>
        <v>25.77</v>
      </c>
      <c r="DU654" s="208"/>
      <c r="DV654" s="208">
        <v>200</v>
      </c>
      <c r="DW654" s="208"/>
      <c r="DX654" s="208"/>
      <c r="DY654" s="208"/>
      <c r="DZ654" s="208"/>
      <c r="EA654" s="192">
        <f>SUM(DU654:DZ654)</f>
        <v>200</v>
      </c>
      <c r="EB654" s="192">
        <f ca="1">SUM(DP654,DR654,EA654,DT654,FX654)</f>
        <v>770.09099999999989</v>
      </c>
      <c r="EC654" s="96" t="s">
        <v>5939</v>
      </c>
      <c r="ED654" s="228">
        <v>0.46</v>
      </c>
      <c r="EE654" s="208">
        <v>12000</v>
      </c>
      <c r="EF654" s="208">
        <v>0</v>
      </c>
      <c r="EG654" s="192">
        <f>SUM(EE654+EF654)</f>
        <v>12000</v>
      </c>
      <c r="EH654" s="192">
        <v>23000</v>
      </c>
      <c r="EI654" s="192">
        <v>0</v>
      </c>
      <c r="EJ654" s="192">
        <f>SUM(EH654+EI654)</f>
        <v>23000</v>
      </c>
      <c r="EK654" s="201" t="s">
        <v>5937</v>
      </c>
      <c r="EL654" s="201" t="s">
        <v>5938</v>
      </c>
      <c r="EM654" s="201"/>
      <c r="EN654" s="201"/>
      <c r="EO654" s="201"/>
      <c r="EP654" s="201"/>
      <c r="EQ654" s="201"/>
      <c r="ER654" s="201"/>
      <c r="ES654" s="201" t="s">
        <v>5941</v>
      </c>
      <c r="ET654" s="201"/>
      <c r="EU654" s="201" t="s">
        <v>5942</v>
      </c>
      <c r="EV654" s="201"/>
      <c r="EW654" s="201" t="s">
        <v>5920</v>
      </c>
      <c r="EX654" s="201" t="s">
        <v>260</v>
      </c>
      <c r="EY654" s="201"/>
      <c r="EZ654" s="201"/>
      <c r="FA654" s="201"/>
      <c r="FB654" s="201"/>
      <c r="FC654" s="201"/>
      <c r="FD654" s="201"/>
      <c r="FE654" s="201"/>
      <c r="FF654" s="201"/>
      <c r="FG654" s="201"/>
      <c r="FH654" s="201"/>
      <c r="FI654" s="201"/>
      <c r="FJ654" s="201"/>
      <c r="FK654" s="201"/>
      <c r="FL654" s="201"/>
      <c r="FM654" s="201"/>
      <c r="FN654" s="201"/>
      <c r="FO654" s="209"/>
      <c r="FP654" s="201"/>
      <c r="FQ654" s="201"/>
      <c r="FR654" s="201"/>
      <c r="FS654" s="201"/>
      <c r="FT654" s="201"/>
      <c r="FU654" s="201"/>
      <c r="FV654" s="209"/>
      <c r="FW654" s="201"/>
      <c r="FX654" s="201"/>
      <c r="FY654" s="201"/>
      <c r="FZ654" s="201"/>
      <c r="GA654" s="201"/>
      <c r="GB654" s="201"/>
      <c r="GC654" s="201"/>
      <c r="GD654" s="201"/>
      <c r="GE654" s="209"/>
      <c r="GF654" s="201"/>
      <c r="GG654" s="201"/>
      <c r="GH654" s="201"/>
      <c r="GI654" s="201"/>
      <c r="GJ654" s="201"/>
      <c r="GK654" s="201"/>
      <c r="GL654" s="201"/>
      <c r="GM654" s="201"/>
      <c r="GN654" s="201"/>
      <c r="GO654" s="201"/>
      <c r="GP654" s="209"/>
      <c r="GQ654" s="201"/>
      <c r="GR654" s="201"/>
      <c r="GS654" s="201"/>
      <c r="GT654" s="201"/>
      <c r="GU654" s="201"/>
      <c r="GV654" s="201"/>
      <c r="GW654" s="201"/>
      <c r="GX654" s="201"/>
      <c r="GY654" s="201"/>
      <c r="GZ654" s="201"/>
      <c r="HA654" s="209"/>
      <c r="HB654" s="201"/>
      <c r="HC654" s="201"/>
      <c r="HD654" s="201"/>
      <c r="HE654" s="201"/>
      <c r="HF654" s="201"/>
      <c r="HG654" s="201"/>
      <c r="HH654" s="201"/>
      <c r="HI654" s="209"/>
      <c r="HJ654" s="201"/>
      <c r="HK654" s="201"/>
      <c r="HL654" s="201"/>
      <c r="HM654" s="201"/>
      <c r="HN654" s="201"/>
      <c r="HO654" s="201"/>
      <c r="HP654" s="201"/>
      <c r="HQ654" s="209"/>
      <c r="HR654" s="201"/>
      <c r="HS654" s="201"/>
      <c r="HT654" s="201"/>
      <c r="HU654" s="201"/>
      <c r="HV654" s="201"/>
      <c r="HW654" s="201"/>
      <c r="HX654" s="201"/>
      <c r="HY654" s="209"/>
      <c r="HZ654" s="208"/>
      <c r="IA654" s="208"/>
      <c r="IB654" s="201"/>
      <c r="IC654" s="201"/>
      <c r="ID654" s="201"/>
      <c r="IE654" s="201"/>
      <c r="IF654" s="208"/>
      <c r="IG654" s="208"/>
      <c r="IH654" s="192">
        <f ca="1">SUM(HZ654-EB654-FX654-IF654)</f>
        <v>-770.09099999999989</v>
      </c>
      <c r="II654" s="192"/>
      <c r="IJ654" s="192"/>
      <c r="IK654" s="209"/>
      <c r="IL654" s="209"/>
      <c r="IM654" s="209"/>
      <c r="IN654" s="209"/>
      <c r="IO654" s="209"/>
      <c r="IP654" s="200" t="s">
        <v>5913</v>
      </c>
      <c r="IQ654" s="127"/>
      <c r="IR654" s="127"/>
      <c r="IS654" s="127"/>
      <c r="IT654" s="127"/>
      <c r="IU654" s="127"/>
      <c r="IV654" s="127"/>
      <c r="IW654" s="127"/>
      <c r="IX654" s="127"/>
      <c r="IY654" s="127"/>
      <c r="IZ654" s="127"/>
      <c r="JA654" s="127"/>
      <c r="JB654" s="127"/>
      <c r="JC654" s="127"/>
    </row>
    <row r="655" spans="1:263" ht="15" customHeight="1">
      <c r="A655" s="2">
        <v>102024022</v>
      </c>
      <c r="B655" t="s">
        <v>5071</v>
      </c>
      <c r="D655" s="1"/>
      <c r="E655" s="3"/>
      <c r="G655" s="3"/>
      <c r="J655" t="s">
        <v>253</v>
      </c>
      <c r="K655" t="s">
        <v>5135</v>
      </c>
      <c r="L655" t="s">
        <v>657</v>
      </c>
      <c r="M655" t="s">
        <v>326</v>
      </c>
      <c r="O655" s="3"/>
      <c r="AD655" t="s">
        <v>5590</v>
      </c>
      <c r="AE655" t="s">
        <v>253</v>
      </c>
      <c r="AF655" t="s">
        <v>808</v>
      </c>
      <c r="AG655" t="s">
        <v>5236</v>
      </c>
      <c r="AH655" t="s">
        <v>5136</v>
      </c>
      <c r="AI655" t="s">
        <v>259</v>
      </c>
      <c r="AK655" s="1"/>
      <c r="AM655"/>
      <c r="AN655"/>
      <c r="AO655" t="s">
        <v>5136</v>
      </c>
      <c r="AP655" s="1" t="s">
        <v>258</v>
      </c>
      <c r="AQ655" t="s">
        <v>259</v>
      </c>
      <c r="AR655" t="s">
        <v>260</v>
      </c>
      <c r="AS655" s="10"/>
      <c r="AT655" s="10"/>
      <c r="AU655" s="10"/>
      <c r="AV655" s="10"/>
      <c r="AW655" s="10"/>
      <c r="AX655" s="1"/>
      <c r="AY655" s="1"/>
      <c r="AZ655" s="1"/>
      <c r="BA655" s="1"/>
      <c r="BB655" s="1"/>
      <c r="BC655" s="2"/>
      <c r="BD655" s="116"/>
      <c r="BE655" s="144"/>
      <c r="BF655" s="2"/>
      <c r="BG655" s="2"/>
      <c r="BH655" s="2"/>
      <c r="BI655" s="2"/>
      <c r="BJ655" s="2"/>
      <c r="BK655" s="2"/>
      <c r="BL655" s="20">
        <f ca="1">SUM(EH655)+220</f>
        <v>5199.8424000000005</v>
      </c>
      <c r="BM655" s="22">
        <f ca="1">PMT(10%/12,12,BL655,0,0)</f>
        <v>-457.14875805222249</v>
      </c>
      <c r="BN655" s="22">
        <f ca="1">SUM(BM655*-1)</f>
        <v>457.14875805222249</v>
      </c>
      <c r="BO655" s="14">
        <f>SUM(EP655*0.0052)/12</f>
        <v>122.54666666666667</v>
      </c>
      <c r="BP655" s="22">
        <f ca="1">SUM(BN655+BO655)</f>
        <v>579.69542471888917</v>
      </c>
      <c r="BQ655" s="14"/>
      <c r="BR655" s="14">
        <f>SUM(BQ655*0.1)</f>
        <v>0</v>
      </c>
      <c r="BS655" s="14">
        <f ca="1">SUM(BT655*BU655)</f>
        <v>0</v>
      </c>
      <c r="BT655" s="17">
        <f>SUM((BQ655+BR655)*0.00833333333333333)</f>
        <v>0</v>
      </c>
      <c r="BU655" s="23">
        <f ca="1">MONTH(TODAY())+49</f>
        <v>53</v>
      </c>
      <c r="BV655" s="14">
        <f ca="1">SUM(BQ655,BR655,BS655)</f>
        <v>0</v>
      </c>
      <c r="BW655" s="14">
        <v>0</v>
      </c>
      <c r="BX655" s="14">
        <f>SUM(BW655*0.1)</f>
        <v>0</v>
      </c>
      <c r="BY655" s="14">
        <f ca="1">SUM(BZ655*CA655)</f>
        <v>0</v>
      </c>
      <c r="BZ655" s="17">
        <f>SUM((BW655+BX655)*0.00833333333333333)</f>
        <v>0</v>
      </c>
      <c r="CA655" s="23">
        <f ca="1">MONTH(TODAY())+37</f>
        <v>41</v>
      </c>
      <c r="CB655" s="14">
        <f ca="1">SUM(BW655,BX655,BY655)</f>
        <v>0</v>
      </c>
      <c r="CC655" s="14">
        <f>SUM(EM655*0.0052)</f>
        <v>1041.56</v>
      </c>
      <c r="CD655" s="14">
        <f>SUM(CC655*0.1)</f>
        <v>104.15600000000001</v>
      </c>
      <c r="CE655" s="14">
        <f ca="1">SUM(CF655*CG655)</f>
        <v>276.88136666666651</v>
      </c>
      <c r="CF655" s="17">
        <f>SUM((CC655+CD655)*0.00833333333333333)</f>
        <v>9.5476333333333283</v>
      </c>
      <c r="CG655" s="23">
        <f ca="1">MONTH(TODAY())+25</f>
        <v>29</v>
      </c>
      <c r="CH655" s="14">
        <f ca="1">SUM(CC655,CD655,CE655)</f>
        <v>1422.5973666666664</v>
      </c>
      <c r="CI655" s="14">
        <f>SUM(EM655*0.0052)/2</f>
        <v>520.78</v>
      </c>
      <c r="CJ655" s="14">
        <f>SUM(CI655*0.1)</f>
        <v>52.078000000000003</v>
      </c>
      <c r="CK655" s="14">
        <f ca="1">SUM(CL655*CM655)</f>
        <v>100.25014999999995</v>
      </c>
      <c r="CL655" s="17">
        <f>SUM((CI655+CJ655)*0.00833333333333333)</f>
        <v>4.7738166666666642</v>
      </c>
      <c r="CM655" s="23">
        <f ca="1">MONTH(TODAY())+17</f>
        <v>21</v>
      </c>
      <c r="CN655" s="23">
        <f ca="1">SUM(CI655,CJ655,CK655)</f>
        <v>673.10814999999991</v>
      </c>
      <c r="CO655" s="14">
        <f>SUM(EM655*0.0052)/2</f>
        <v>520.78</v>
      </c>
      <c r="CP655" s="14">
        <f>SUM(CO655*0.1)</f>
        <v>52.078000000000003</v>
      </c>
      <c r="CQ655" s="14">
        <f ca="1">SUM(CR655*CS655)</f>
        <v>81.154883333333288</v>
      </c>
      <c r="CR655" s="17">
        <f>SUM((CO655+CP655)*0.00833333333333333)</f>
        <v>4.7738166666666642</v>
      </c>
      <c r="CS655" s="23">
        <f ca="1">MONTH(TODAY())+13</f>
        <v>17</v>
      </c>
      <c r="CT655" s="23">
        <f ca="1">SUM(CO655,CP655,CQ655)</f>
        <v>654.01288333333321</v>
      </c>
      <c r="CU655" s="14">
        <f>SUM(EP655*0.0045)/2</f>
        <v>636.29999999999995</v>
      </c>
      <c r="CV655" s="14">
        <f>SUM(CU655*0.1)</f>
        <v>63.629999999999995</v>
      </c>
      <c r="CW655" s="14">
        <f ca="1">SUM(CX655*CY655)</f>
        <v>64.160249999999962</v>
      </c>
      <c r="CX655" s="17">
        <f>SUM((CU655+CV655)*0.00833333333333333)</f>
        <v>5.8327499999999972</v>
      </c>
      <c r="CY655" s="23">
        <f ca="1">MONTH(TODAY())+7</f>
        <v>11</v>
      </c>
      <c r="CZ655" s="23">
        <f ca="1">SUM(CU655,CV655,CW655)</f>
        <v>764.09024999999997</v>
      </c>
      <c r="DA655" s="14">
        <f>SUM(EP655*0.0045)/2</f>
        <v>636.29999999999995</v>
      </c>
      <c r="DB655" s="14">
        <f>SUM(DA655*0.1)</f>
        <v>63.629999999999995</v>
      </c>
      <c r="DC655" s="14">
        <f ca="1">SUM(DD655*DE655)</f>
        <v>29.163749999999986</v>
      </c>
      <c r="DD655" s="17">
        <f>SUM((DA655+DB655)*0.00833333333333333)</f>
        <v>5.8327499999999972</v>
      </c>
      <c r="DE655" s="23">
        <f ca="1">MONTH(TODAY())+1</f>
        <v>5</v>
      </c>
      <c r="DF655" s="14">
        <f ca="1">SUM(DA655,DB655,DC655)</f>
        <v>729.09374999999989</v>
      </c>
      <c r="DG655" s="14">
        <f>SUM(EP655*0.0045)/2</f>
        <v>636.29999999999995</v>
      </c>
      <c r="DH655" s="14">
        <f>0</f>
        <v>0</v>
      </c>
      <c r="DI655" s="14">
        <f>0</f>
        <v>0</v>
      </c>
      <c r="DJ655" s="17">
        <f>SUM((DG655+DH655)*0.00833333333333333)</f>
        <v>5.3024999999999975</v>
      </c>
      <c r="DK655" s="23">
        <f ca="1">MONTH(TODAY())+7</f>
        <v>11</v>
      </c>
      <c r="DL655" s="23">
        <f>SUM(DG655,DH655,DI655)</f>
        <v>636.29999999999995</v>
      </c>
      <c r="DM655" s="14">
        <f>0</f>
        <v>0</v>
      </c>
      <c r="DN655" s="14">
        <f>0</f>
        <v>0</v>
      </c>
      <c r="DO655" s="14">
        <f ca="1">SUM(DP655*DQ655)</f>
        <v>0</v>
      </c>
      <c r="DP655" s="17">
        <f>SUM((DM655+DN655)*0.00833333333333333)</f>
        <v>0</v>
      </c>
      <c r="DQ655" s="23">
        <f ca="1">MONTH(TODAY())+1</f>
        <v>5</v>
      </c>
      <c r="DR655" s="14">
        <f ca="1">SUM(DM655,DN655,DO655)</f>
        <v>0</v>
      </c>
      <c r="DS655" s="14">
        <f>SUM(BQ655, BW655, CC655, CI655,CO655,CU655,DA655,DG655,DM655)</f>
        <v>3992.0200000000004</v>
      </c>
      <c r="DT655" s="14">
        <f>SUM(BR655,BX655,CD655, CJ655,CP655,CV655,DB655,DH655,DN655)</f>
        <v>335.572</v>
      </c>
      <c r="DU655" s="14">
        <f ca="1">SUM(BS655,BY655,CE655, CK655,CQ655,CW655,DC655,DI655,DO655)</f>
        <v>551.61039999999957</v>
      </c>
      <c r="DV655" s="25">
        <f ca="1">SUM(DS655:DU655)</f>
        <v>4879.2024000000001</v>
      </c>
      <c r="DW655" s="47">
        <f ca="1">SUM(DV655/EM655)</f>
        <v>2.4359472790813779E-2</v>
      </c>
      <c r="DX655" s="14">
        <f>40+60</f>
        <v>100</v>
      </c>
      <c r="DY655" s="32">
        <f>COUNTIF(AO655, "*")+COUNTIF(AJ655, "*")+COUNTIF(AA655, "*")+COUNTIF(FA655, "*")+COUNTIF(FG655, "*")+COUNTIF(FM655, "*")+COUNTIF(FQ655, "*")+COUNTIF(FX655, "*")+COUNTIF(AT655, "*")+COUNTIF(GG655, "*")+COUNTIF(GR655, "*")+COUNTIF(HC655, "*")+COUNTIF(HK655, "*")+COUNTIF(HS655, "*")+COUNTIF(IA655, "*")</f>
        <v>1</v>
      </c>
      <c r="DZ655" s="14">
        <f>DY655*0.64</f>
        <v>0.64</v>
      </c>
      <c r="EA655" s="4"/>
      <c r="EB655" s="4"/>
      <c r="EC655" s="4"/>
      <c r="ED655" s="4"/>
      <c r="EF655" s="4"/>
      <c r="EG655" s="14">
        <f>SUM(EB655:EF655)</f>
        <v>0</v>
      </c>
      <c r="EH655" s="14">
        <f ca="1">SUM(DV655,DX655,EG655, EA655, DZ655,GD655)</f>
        <v>4979.8424000000005</v>
      </c>
      <c r="EI655" s="24" t="s">
        <v>4944</v>
      </c>
      <c r="EJ655" s="130">
        <f>0.47+0.46+0.43</f>
        <v>1.3599999999999999</v>
      </c>
      <c r="EK655" s="14">
        <f>12000+12000+6000</f>
        <v>30000</v>
      </c>
      <c r="EL655" s="14">
        <f>153800+16500</f>
        <v>170300</v>
      </c>
      <c r="EM655" s="14">
        <f>SUM(EK655+EL655)</f>
        <v>200300</v>
      </c>
      <c r="EN655" s="14">
        <f>18400+23000+4600</f>
        <v>46000</v>
      </c>
      <c r="EO655" s="14">
        <f>220300+16500</f>
        <v>236800</v>
      </c>
      <c r="EP655" s="14">
        <f>SUM(EN655+EO655)</f>
        <v>282800</v>
      </c>
      <c r="EQ655" s="10"/>
      <c r="ER655" s="10"/>
      <c r="ES655" s="10"/>
      <c r="ET655" s="10"/>
      <c r="EU655" s="10"/>
      <c r="EV655" s="10"/>
      <c r="EW655" s="10"/>
      <c r="EX655" s="10"/>
      <c r="GD655" s="4"/>
      <c r="IE655" s="9"/>
      <c r="IN655" s="4"/>
      <c r="IO655" s="4"/>
      <c r="IP655" s="4"/>
      <c r="IQ655" s="9"/>
      <c r="IR655" s="9"/>
      <c r="IS655" s="9"/>
      <c r="IT655" s="9"/>
      <c r="IU655" s="9"/>
    </row>
    <row r="656" spans="1:263" ht="15" customHeight="1">
      <c r="A656" s="19">
        <v>102023142</v>
      </c>
      <c r="B656" s="18" t="s">
        <v>4351</v>
      </c>
      <c r="D656" s="1"/>
      <c r="E656" s="3"/>
      <c r="G656" s="24" t="s">
        <v>4777</v>
      </c>
      <c r="J656" s="18" t="s">
        <v>434</v>
      </c>
      <c r="K656" s="18" t="s">
        <v>4504</v>
      </c>
      <c r="L656" s="18" t="s">
        <v>4505</v>
      </c>
      <c r="M656" s="18" t="s">
        <v>428</v>
      </c>
      <c r="N656" s="18" t="s">
        <v>341</v>
      </c>
      <c r="O656" s="19"/>
      <c r="P656" s="18"/>
      <c r="Q656" s="18"/>
      <c r="R656" s="18"/>
      <c r="S656" s="18"/>
      <c r="AG656" s="43"/>
      <c r="AJ656" s="18" t="s">
        <v>4506</v>
      </c>
      <c r="AK656" t="s">
        <v>258</v>
      </c>
      <c r="AL656" t="s">
        <v>329</v>
      </c>
      <c r="AM656" t="s">
        <v>260</v>
      </c>
      <c r="AN656"/>
      <c r="AO656" s="18" t="s">
        <v>4507</v>
      </c>
      <c r="AP656" s="3" t="s">
        <v>258</v>
      </c>
      <c r="AQ656" s="18" t="s">
        <v>567</v>
      </c>
      <c r="AR656" t="s">
        <v>821</v>
      </c>
      <c r="AX656" s="1"/>
      <c r="AY656" s="1"/>
      <c r="AZ656" s="1"/>
      <c r="BA656" s="1"/>
      <c r="BB656" s="1"/>
      <c r="BC656" s="2"/>
      <c r="BD656" s="116"/>
      <c r="BE656" s="115"/>
      <c r="BF656" s="2"/>
      <c r="BG656" s="2"/>
      <c r="BH656" s="2"/>
      <c r="BI656" s="2"/>
      <c r="BJ656" s="2"/>
      <c r="BK656" s="2"/>
      <c r="BL656" s="20">
        <f ca="1">SUM(EB656)+220</f>
        <v>1252.1551999999999</v>
      </c>
      <c r="BM656" s="22">
        <f ca="1">PMT(10%/12,12,BL656,0,0)</f>
        <v>-110.08433535767011</v>
      </c>
      <c r="BN656" s="22">
        <f ca="1">SUM(BM656*-1)</f>
        <v>110.08433535767011</v>
      </c>
      <c r="BO656" s="14">
        <f>SUM(EJ656*0.0052)/12</f>
        <v>23.833333333333332</v>
      </c>
      <c r="BP656" s="22">
        <f ca="1">SUM(BN656+BO656)</f>
        <v>133.91766869100346</v>
      </c>
      <c r="BQ656" s="14"/>
      <c r="BR656" s="14">
        <f>SUM(BQ656*0.1)</f>
        <v>0</v>
      </c>
      <c r="BS656" s="14">
        <f ca="1">SUM(BT656*BU656)</f>
        <v>0</v>
      </c>
      <c r="BT656" s="17">
        <f>SUM((BQ656+BR656)*0.00833333333333333)</f>
        <v>0</v>
      </c>
      <c r="BU656" s="23">
        <f ca="1">MONTH(TODAY())+61</f>
        <v>65</v>
      </c>
      <c r="BV656" s="14">
        <f ca="1">SUM(BQ656,BR656,BS656)</f>
        <v>0</v>
      </c>
      <c r="BW656" s="14"/>
      <c r="BX656" s="14">
        <f>SUM(BW656*0.1)</f>
        <v>0</v>
      </c>
      <c r="BY656" s="14">
        <f ca="1">SUM(BZ656*CA656)</f>
        <v>0</v>
      </c>
      <c r="BZ656" s="17">
        <f>SUM((BW656+BX656)*0.00833333333333333)</f>
        <v>0</v>
      </c>
      <c r="CA656" s="23">
        <f ca="1">MONTH(TODAY())+49</f>
        <v>53</v>
      </c>
      <c r="CB656" s="14">
        <f ca="1">SUM(BW656,BX656,BY656)</f>
        <v>0</v>
      </c>
      <c r="CC656" s="14">
        <v>0</v>
      </c>
      <c r="CD656" s="14">
        <f>SUM(CC656*0.1)</f>
        <v>0</v>
      </c>
      <c r="CE656" s="14">
        <f ca="1">SUM(CF656*CG656)</f>
        <v>0</v>
      </c>
      <c r="CF656" s="17">
        <f>SUM((CC656+CD656)*0.00833333333333333)</f>
        <v>0</v>
      </c>
      <c r="CG656" s="23">
        <f ca="1">MONTH(TODAY())+37</f>
        <v>41</v>
      </c>
      <c r="CH656" s="14">
        <f ca="1">SUM(CC656,CD656,CE656)</f>
        <v>0</v>
      </c>
      <c r="CI656" s="14">
        <f>SUM(EG656*0.0052)</f>
        <v>264.68</v>
      </c>
      <c r="CJ656" s="14">
        <f>SUM(CI656*0.1)</f>
        <v>26.468000000000004</v>
      </c>
      <c r="CK656" s="14">
        <f ca="1">SUM(CL656*CM656)</f>
        <v>70.360766666666635</v>
      </c>
      <c r="CL656" s="17">
        <f>SUM((CI656+CJ656)*0.00833333333333333)</f>
        <v>2.4262333333333324</v>
      </c>
      <c r="CM656" s="23">
        <f ca="1">MONTH(TODAY())+25</f>
        <v>29</v>
      </c>
      <c r="CN656" s="14">
        <f ca="1">SUM(CI656,CJ656,CK656)</f>
        <v>361.50876666666665</v>
      </c>
      <c r="CO656" s="14">
        <f>SUM(EG656*0.0052)/2</f>
        <v>132.34</v>
      </c>
      <c r="CP656" s="14">
        <f>SUM(CO656*0.1)</f>
        <v>13.234000000000002</v>
      </c>
      <c r="CQ656" s="14">
        <f ca="1">SUM(CR656*CS656)</f>
        <v>25.475449999999988</v>
      </c>
      <c r="CR656" s="17">
        <f>SUM((CO656+CP656)*0.00833333333333333)</f>
        <v>1.2131166666666662</v>
      </c>
      <c r="CS656" s="23">
        <f ca="1">MONTH(TODAY())+17</f>
        <v>21</v>
      </c>
      <c r="CT656" s="23">
        <f ca="1">SUM(CO656,CP656,CQ656)</f>
        <v>171.04945000000001</v>
      </c>
      <c r="CU656" s="14">
        <f>SUM(EG656*0.0052)/2</f>
        <v>132.34</v>
      </c>
      <c r="CV656" s="14">
        <f>SUM(CU656*0.1)</f>
        <v>13.234000000000002</v>
      </c>
      <c r="CW656" s="14">
        <f ca="1">SUM(CX656*CY656)</f>
        <v>20.622983333333323</v>
      </c>
      <c r="CX656" s="17">
        <f>SUM((CU656+CV656)*0.00833333333333333)</f>
        <v>1.2131166666666662</v>
      </c>
      <c r="CY656" s="23">
        <f ca="1">MONTH(TODAY())+13</f>
        <v>17</v>
      </c>
      <c r="CZ656" s="23">
        <f ca="1">SUM(CU656,CV656,CW656)</f>
        <v>166.19698333333332</v>
      </c>
      <c r="DA656" s="14">
        <f>SUM(EJ656*0.0045)/2</f>
        <v>123.74999999999999</v>
      </c>
      <c r="DB656" s="14">
        <f>SUM(DA656*0.1)</f>
        <v>12.375</v>
      </c>
      <c r="DC656" s="14">
        <f ca="1">SUM(DD656*DE656)</f>
        <v>12.478124999999995</v>
      </c>
      <c r="DD656" s="17">
        <f>SUM((DA656+DB656)*0.00833333333333333)</f>
        <v>1.1343749999999995</v>
      </c>
      <c r="DE656" s="23">
        <f ca="1">MONTH(TODAY())+7</f>
        <v>11</v>
      </c>
      <c r="DF656" s="23">
        <f ca="1">SUM(DA656,DB656,DC656)</f>
        <v>148.60312500000001</v>
      </c>
      <c r="DG656" s="14">
        <f>SUM(EJ656*0.0045)/2</f>
        <v>123.74999999999999</v>
      </c>
      <c r="DH656" s="14">
        <f>SUM(DG656*0.1)</f>
        <v>12.375</v>
      </c>
      <c r="DI656" s="14">
        <f ca="1">SUM(DJ656*DK656)</f>
        <v>5.6718749999999973</v>
      </c>
      <c r="DJ656" s="17">
        <f>SUM((DG656+DH656)*0.00833333333333333)</f>
        <v>1.1343749999999995</v>
      </c>
      <c r="DK656" s="23">
        <f ca="1">MONTH(TODAY())+1</f>
        <v>5</v>
      </c>
      <c r="DL656" s="14">
        <f ca="1">SUM(DG656,DH656,DI656)</f>
        <v>141.796875</v>
      </c>
      <c r="DM656" s="14">
        <f>SUM( BQ656, BW656, CC656, CI656, CO656,CU656,DA656,DG656)</f>
        <v>776.86</v>
      </c>
      <c r="DN656" s="14">
        <f>SUM(BR656,BX656,CD656,CJ656, CP656,CV656,DB656,DH656)</f>
        <v>77.686000000000007</v>
      </c>
      <c r="DO656" s="14">
        <f ca="1">SUM(BS656,BY656,CE656,CK656, CQ656,CW656,DC656,DI656)</f>
        <v>134.60919999999993</v>
      </c>
      <c r="DP656" s="25">
        <f ca="1">SUM(DM656:DO656)</f>
        <v>989.15519999999992</v>
      </c>
      <c r="DQ656" s="47">
        <f ca="1">SUM(DP656/EG656)</f>
        <v>1.9433304518664044E-2</v>
      </c>
      <c r="DR656" s="14">
        <v>40</v>
      </c>
      <c r="DS656" s="32">
        <f>COUNTIF(DX656, "*")+COUNTIF(AO656, "*")+COUNTIF(AJ656, "*")+COUNTIF(AA656, "*")+COUNTIF(EU656, "*")+COUNTIF(FA656, "*")+COUNTIF(FG656, "*")+COUNTIF(FK656, "*")+COUNTIF(FR656, "*")+COUNTIF(AT656, "*")+COUNTIF(GA656, "*")+COUNTIF(GL656, "*")+COUNTIF(GW656, "*")+COUNTIF(HE656, "*")+COUNTIF(HM656, "*")+COUNTIF(HU656, "*")</f>
        <v>5</v>
      </c>
      <c r="DT656" s="14">
        <f>DS656*0.6</f>
        <v>3</v>
      </c>
      <c r="DU656" s="4"/>
      <c r="DV656" s="4"/>
      <c r="DW656" s="4"/>
      <c r="DX656" s="4"/>
      <c r="DZ656" s="4"/>
      <c r="EA656" s="14">
        <f>SUM(DV656:DZ656)</f>
        <v>0</v>
      </c>
      <c r="EB656" s="14">
        <f ca="1">SUM(DP656,DR656,EA656, DU656, DT656,FX656)</f>
        <v>1032.1551999999999</v>
      </c>
      <c r="EC656" s="24" t="s">
        <v>3879</v>
      </c>
      <c r="ED656" s="130">
        <v>2.0699999999999998</v>
      </c>
      <c r="EE656" s="14">
        <v>21400</v>
      </c>
      <c r="EF656" s="14">
        <v>29500</v>
      </c>
      <c r="EG656" s="14">
        <f>SUM(EE656+EF656)</f>
        <v>50900</v>
      </c>
      <c r="EH656" s="14">
        <v>21400</v>
      </c>
      <c r="EI656" s="14">
        <v>33600</v>
      </c>
      <c r="EJ656" s="14">
        <f>SUM(EH656+EI656)</f>
        <v>55000</v>
      </c>
      <c r="ES656" t="s">
        <v>4508</v>
      </c>
      <c r="EU656" t="s">
        <v>4509</v>
      </c>
      <c r="EW656" t="s">
        <v>567</v>
      </c>
      <c r="EX656" t="s">
        <v>821</v>
      </c>
      <c r="EY656" t="s">
        <v>4510</v>
      </c>
      <c r="FA656" t="s">
        <v>4506</v>
      </c>
      <c r="FC656" t="s">
        <v>329</v>
      </c>
      <c r="FD656" t="s">
        <v>260</v>
      </c>
      <c r="FE656" t="s">
        <v>4511</v>
      </c>
      <c r="FG656" t="s">
        <v>4512</v>
      </c>
      <c r="FH656" t="s">
        <v>386</v>
      </c>
      <c r="FI656" t="s">
        <v>260</v>
      </c>
      <c r="FX656" s="4"/>
      <c r="IA656" s="9"/>
      <c r="IL656" s="14">
        <f ca="1">SUM(IB656-EB656-FX656-IJ656)</f>
        <v>-1032.1551999999999</v>
      </c>
      <c r="IM656" s="14"/>
      <c r="IN656" s="14"/>
      <c r="IO656" s="9"/>
      <c r="IP656" s="9"/>
      <c r="IQ656" s="9"/>
      <c r="IR656" s="9"/>
      <c r="IS656" s="9"/>
    </row>
    <row r="657" spans="1:263" ht="15" customHeight="1">
      <c r="A657" s="19">
        <v>102020015</v>
      </c>
      <c r="B657" s="18" t="s">
        <v>1579</v>
      </c>
      <c r="C657" s="28"/>
      <c r="D657" s="159"/>
      <c r="E657" s="28"/>
      <c r="F657" s="149"/>
      <c r="G657" s="150" t="s">
        <v>5036</v>
      </c>
      <c r="H657" s="28"/>
      <c r="I657" s="28"/>
      <c r="J657" s="28" t="s">
        <v>253</v>
      </c>
      <c r="K657" s="28" t="s">
        <v>1580</v>
      </c>
      <c r="L657" s="28" t="s">
        <v>1581</v>
      </c>
      <c r="M657" s="28" t="s">
        <v>396</v>
      </c>
      <c r="N657" s="28"/>
      <c r="O657" s="150"/>
      <c r="P657" s="28"/>
      <c r="Q657" s="28"/>
      <c r="R657" s="28"/>
      <c r="S657" s="28"/>
      <c r="T657" s="28"/>
      <c r="U657" s="28"/>
      <c r="V657" s="28"/>
      <c r="W657" s="28"/>
      <c r="X657" s="28"/>
      <c r="Y657" s="28"/>
      <c r="Z657" s="28"/>
      <c r="AA657" s="28"/>
      <c r="AB657" s="28"/>
      <c r="AC657" s="28"/>
      <c r="AD657" s="28" t="s">
        <v>4516</v>
      </c>
      <c r="AE657" s="28" t="s">
        <v>253</v>
      </c>
      <c r="AF657" s="28" t="s">
        <v>4517</v>
      </c>
      <c r="AG657" s="250" t="s">
        <v>4518</v>
      </c>
      <c r="AH657" s="28" t="s">
        <v>4082</v>
      </c>
      <c r="AI657" s="28" t="s">
        <v>329</v>
      </c>
      <c r="AJ657" s="18"/>
      <c r="AK657" s="13"/>
      <c r="AL657" s="18"/>
      <c r="AM657" s="18"/>
      <c r="AN657" s="18"/>
      <c r="AO657" s="18" t="s">
        <v>4082</v>
      </c>
      <c r="AP657" s="13" t="s">
        <v>258</v>
      </c>
      <c r="AQ657" s="24" t="s">
        <v>329</v>
      </c>
      <c r="AR657" s="24" t="s">
        <v>260</v>
      </c>
      <c r="AS657" s="18"/>
      <c r="AT657" s="18"/>
      <c r="AU657" s="18"/>
      <c r="AV657" s="18"/>
      <c r="AW657" s="18"/>
      <c r="AX657" s="13"/>
      <c r="AY657" s="13"/>
      <c r="AZ657" s="13"/>
      <c r="BA657" s="13"/>
      <c r="BB657" s="13"/>
      <c r="BC657" s="48"/>
      <c r="BD657" s="48"/>
      <c r="BE657" s="27"/>
      <c r="BF657" s="48"/>
      <c r="BG657" s="19"/>
      <c r="BH657" s="48"/>
      <c r="BI657" s="48"/>
      <c r="BJ657" s="48"/>
      <c r="BK657" s="48"/>
      <c r="BL657" s="20">
        <f ca="1">SUM(EB657)+220</f>
        <v>2995.1577416666664</v>
      </c>
      <c r="BM657" s="22">
        <f ca="1">PMT(10%/12,12,BL657,0,0)</f>
        <v>-263.32195025245687</v>
      </c>
      <c r="BN657" s="22">
        <f ca="1">SUM(BM657*-1)</f>
        <v>263.32195025245687</v>
      </c>
      <c r="BO657" s="14">
        <f>SUM(EJ657*0.0052)/12</f>
        <v>52.129999999999995</v>
      </c>
      <c r="BP657" s="22">
        <f ca="1">SUM(BN657+BO657)</f>
        <v>315.45195025245687</v>
      </c>
      <c r="BQ657" s="14">
        <v>0</v>
      </c>
      <c r="BR657" s="14">
        <f>SUM(BQ657*0.1)</f>
        <v>0</v>
      </c>
      <c r="BS657" s="14">
        <f ca="1">SUM(BT657*BU657)</f>
        <v>0</v>
      </c>
      <c r="BT657" s="17">
        <f>SUM((BQ657+BR657)*0.00833333333333333)</f>
        <v>0</v>
      </c>
      <c r="BU657" s="23">
        <f ca="1">MONTH(TODAY())+37</f>
        <v>41</v>
      </c>
      <c r="BV657" s="14">
        <f ca="1">SUM(BQ657,BR657,BS657)</f>
        <v>0</v>
      </c>
      <c r="BW657" s="14">
        <f>SUM(EG657*0.0052)-200.19</f>
        <v>433.17</v>
      </c>
      <c r="BX657" s="14">
        <f>SUM(BW657*0.1)</f>
        <v>43.317000000000007</v>
      </c>
      <c r="BY657" s="14">
        <f ca="1">SUM(BZ657*CA657)</f>
        <v>162.79972499999994</v>
      </c>
      <c r="BZ657" s="17">
        <f>SUM((BW657+BX657)*0.00833333333333333)</f>
        <v>3.9707249999999985</v>
      </c>
      <c r="CA657" s="23">
        <f ca="1">MONTH(TODAY())+37</f>
        <v>41</v>
      </c>
      <c r="CB657" s="14">
        <f ca="1">SUM(BW657,BX657,BY657)</f>
        <v>639.28672499999993</v>
      </c>
      <c r="CC657" s="14">
        <f>SUM(EG657*0.0052)/2</f>
        <v>316.68</v>
      </c>
      <c r="CD657" s="14">
        <f>SUM(CC657*0.1)</f>
        <v>31.668000000000003</v>
      </c>
      <c r="CE657" s="14">
        <f ca="1">SUM(CF657*CG657)</f>
        <v>95.795699999999968</v>
      </c>
      <c r="CF657" s="17">
        <f>SUM((CC657+CD657)*0.00833333333333333)</f>
        <v>2.9028999999999989</v>
      </c>
      <c r="CG657" s="23">
        <f ca="1">MONTH(TODAY())+29</f>
        <v>33</v>
      </c>
      <c r="CH657" s="23">
        <f ca="1">SUM(CC657,CD657,CE657)</f>
        <v>444.14369999999997</v>
      </c>
      <c r="CI657" s="14">
        <f>SUM(EG657*0.0052)/2</f>
        <v>316.68</v>
      </c>
      <c r="CJ657" s="14">
        <f>SUM(CI657*0.1)</f>
        <v>31.668000000000003</v>
      </c>
      <c r="CK657" s="14">
        <f ca="1">SUM(CL657*CM657)</f>
        <v>84.184099999999972</v>
      </c>
      <c r="CL657" s="17">
        <f>SUM((CI657+CJ657)*0.00833333333333333)</f>
        <v>2.9028999999999989</v>
      </c>
      <c r="CM657" s="23">
        <f ca="1">MONTH(TODAY())+25</f>
        <v>29</v>
      </c>
      <c r="CN657" s="14">
        <f ca="1">SUM(CI657,CJ657,CK657)</f>
        <v>432.53210000000001</v>
      </c>
      <c r="CO657" s="14">
        <f>SUM(EJ657*0.0045)/2-104.26</f>
        <v>166.41499999999996</v>
      </c>
      <c r="CP657" s="14">
        <f>SUM(CO657*0.1)</f>
        <v>16.641499999999997</v>
      </c>
      <c r="CQ657" s="14">
        <f ca="1">SUM(CR657*CS657)</f>
        <v>35.085829166666649</v>
      </c>
      <c r="CR657" s="17">
        <f>SUM((CO657+CP657)*0.00833333333333333)</f>
        <v>1.5254708333333324</v>
      </c>
      <c r="CS657" s="23">
        <f ca="1">MONTH(TODAY())+19</f>
        <v>23</v>
      </c>
      <c r="CT657" s="14">
        <f ca="1">SUM(CO657,CP657,CQ657)</f>
        <v>218.14232916666663</v>
      </c>
      <c r="CU657" s="14">
        <f>SUM(EJ657*0.0045)/2-52.13</f>
        <v>218.54499999999996</v>
      </c>
      <c r="CV657" s="14">
        <f>SUM(CU657*0.1)</f>
        <v>21.854499999999998</v>
      </c>
      <c r="CW657" s="14">
        <f ca="1">SUM(CX657*CY657)</f>
        <v>34.056595833333311</v>
      </c>
      <c r="CX657" s="17">
        <f>SUM((CU657+CV657)*0.00833333333333333)</f>
        <v>2.0033291666666653</v>
      </c>
      <c r="CY657" s="23">
        <f ca="1">MONTH(TODAY())+13</f>
        <v>17</v>
      </c>
      <c r="CZ657" s="14">
        <f ca="1">SUM(CU657,CV657,CW657)</f>
        <v>274.45609583333328</v>
      </c>
      <c r="DA657" s="14">
        <f>SUM(EJ657*0.0045)/2-260.65</f>
        <v>10.024999999999977</v>
      </c>
      <c r="DB657" s="14">
        <f>SUM(DA657*0.1)</f>
        <v>1.0024999999999977</v>
      </c>
      <c r="DC657" s="14">
        <f ca="1">SUM(DD657*DE657)</f>
        <v>1.0108541666666639</v>
      </c>
      <c r="DD657" s="17">
        <f>SUM((DA657+DB657)*0.00833333333333333)</f>
        <v>9.189583333333308E-2</v>
      </c>
      <c r="DE657" s="23">
        <f ca="1">MONTH(TODAY())+7</f>
        <v>11</v>
      </c>
      <c r="DF657" s="14">
        <f ca="1">SUM(DA657,DB657,DC657)</f>
        <v>12.03835416666664</v>
      </c>
      <c r="DG657" s="14">
        <f>SUM(EJ657*0.0045)/2</f>
        <v>270.67499999999995</v>
      </c>
      <c r="DH657" s="14">
        <f>SUM(DG657*0.1)</f>
        <v>27.067499999999995</v>
      </c>
      <c r="DI657" s="14">
        <f ca="1">SUM(DJ657*DK657)</f>
        <v>12.405937499999993</v>
      </c>
      <c r="DJ657" s="17">
        <f>SUM((DG657+DH657)*0.00833333333333333)</f>
        <v>2.4811874999999985</v>
      </c>
      <c r="DK657" s="23">
        <f ca="1">MONTH(TODAY())+1</f>
        <v>5</v>
      </c>
      <c r="DL657" s="14">
        <f ca="1">SUM(DG657,DH657,DI657)</f>
        <v>310.14843749999994</v>
      </c>
      <c r="DM657" s="14">
        <f>SUM(BQ657, BW657, CC657,CI657,CO657,CU657,DA657,DG657)</f>
        <v>1732.1899999999998</v>
      </c>
      <c r="DN657" s="14">
        <f>SUM(BR657,BX657, CD657,CJ657,CP657,CV657,DB657,DH657)</f>
        <v>173.21899999999999</v>
      </c>
      <c r="DO657" s="14">
        <f ca="1">SUM(BS657,BY657, CE657,CK657,CQ657,CW657,DC657,DI657)</f>
        <v>425.33874166666652</v>
      </c>
      <c r="DP657" s="25">
        <f ca="1">SUM(DM657:DO657)</f>
        <v>2330.7477416666666</v>
      </c>
      <c r="DQ657" s="47">
        <f ca="1">SUM(DP657/EG657)</f>
        <v>1.9135859948002189E-2</v>
      </c>
      <c r="DR657" s="14">
        <f>20+60+160+60+60+60</f>
        <v>420</v>
      </c>
      <c r="DS657" s="32">
        <f>COUNTIF(AO657, "*")+COUNTIF(AJ657, "*")+COUNTIF(AA657, "*")+COUNTIF(EU657, "*")+COUNTIF(FA657, "*")+COUNTIF(FG657, "*")+COUNTIF(FK657, "*")+COUNTIF(FR657, "*")+COUNTIF(AT657, "*")+COUNTIF(GA657, "*")+COUNTIF(GL657, "*")+COUNTIF(GW657, "*")+COUNTIF(HE657, "*")+COUNTIF(HM657, "*")+COUNTIF(HU657, "*")</f>
        <v>1</v>
      </c>
      <c r="DT657" s="14">
        <f>8.41+8+8</f>
        <v>24.41</v>
      </c>
      <c r="DU657" s="4"/>
      <c r="DV657" s="4">
        <v>0</v>
      </c>
      <c r="DW657" s="4"/>
      <c r="DX657" s="4"/>
      <c r="DY657" s="4"/>
      <c r="DZ657" s="4"/>
      <c r="EA657" s="14">
        <f>SUM(DU657:DZ657)</f>
        <v>0</v>
      </c>
      <c r="EB657" s="14">
        <f ca="1">SUM(DP657,DR657,EA657,DT657,FX657)</f>
        <v>2775.1577416666664</v>
      </c>
      <c r="EC657" s="24" t="s">
        <v>3974</v>
      </c>
      <c r="ED657" s="23">
        <v>5.75</v>
      </c>
      <c r="EE657" s="14">
        <v>39800</v>
      </c>
      <c r="EF657" s="244">
        <v>82000</v>
      </c>
      <c r="EG657" s="14">
        <f>SUM(EE657+EF657)</f>
        <v>121800</v>
      </c>
      <c r="EH657" s="14">
        <v>39800</v>
      </c>
      <c r="EI657" s="14">
        <v>80500</v>
      </c>
      <c r="EJ657" s="14">
        <f>SUM(EH657+EI657)</f>
        <v>120300</v>
      </c>
      <c r="EK657" s="28"/>
      <c r="EL657" s="28"/>
      <c r="EM657" s="28"/>
      <c r="EN657" s="28"/>
      <c r="EO657" s="28"/>
      <c r="EP657" s="149"/>
      <c r="EQ657" s="28"/>
      <c r="ER657" s="150"/>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7"/>
      <c r="FP657" s="28"/>
      <c r="FQ657" s="28"/>
      <c r="FR657" s="28"/>
      <c r="FS657" s="28"/>
      <c r="FT657" s="28"/>
      <c r="FU657" s="28"/>
      <c r="FV657" s="27"/>
      <c r="FW657" s="28"/>
      <c r="FX657" s="28"/>
      <c r="FY657" s="28"/>
      <c r="FZ657" s="28"/>
      <c r="GA657" s="28"/>
      <c r="GB657" s="28"/>
      <c r="GC657" s="28"/>
      <c r="GD657" s="28"/>
      <c r="GE657" s="27"/>
      <c r="GF657" s="28"/>
      <c r="GG657" s="28"/>
      <c r="GH657" s="28"/>
      <c r="GI657" s="28"/>
      <c r="GJ657" s="28"/>
      <c r="GK657" s="28"/>
      <c r="GL657" s="28"/>
      <c r="GM657" s="28"/>
      <c r="GN657" s="28"/>
      <c r="GO657" s="28"/>
      <c r="GP657" s="27"/>
      <c r="GQ657" s="28"/>
      <c r="GR657" s="28"/>
      <c r="GS657" s="28"/>
      <c r="GT657" s="28"/>
      <c r="GU657" s="28"/>
      <c r="GV657" s="28"/>
      <c r="GW657" s="28"/>
      <c r="GX657" s="28"/>
      <c r="GY657" s="28"/>
      <c r="GZ657" s="28"/>
      <c r="HA657" s="27"/>
      <c r="HB657" s="28"/>
      <c r="HC657" s="28"/>
      <c r="HD657" s="28"/>
      <c r="HE657" s="28"/>
      <c r="HF657" s="28"/>
      <c r="HG657" s="28"/>
      <c r="HH657" s="28"/>
      <c r="HI657" s="27"/>
      <c r="HJ657" s="28"/>
      <c r="HK657" s="28"/>
      <c r="HL657" s="28"/>
      <c r="HM657" s="28"/>
      <c r="HN657" s="28"/>
      <c r="HO657" s="28"/>
      <c r="HP657" s="28"/>
      <c r="HQ657" s="27"/>
      <c r="HR657" s="28"/>
      <c r="HS657" s="28"/>
      <c r="HT657" s="28"/>
      <c r="HU657" s="28"/>
      <c r="HV657" s="28"/>
      <c r="HW657" s="28"/>
      <c r="HX657" s="28"/>
      <c r="HY657" s="27"/>
      <c r="HZ657" s="14"/>
      <c r="IA657" s="14"/>
      <c r="IB657" s="28"/>
      <c r="IC657" s="28"/>
      <c r="ID657" s="28"/>
      <c r="IE657" s="28"/>
      <c r="IF657" s="14"/>
      <c r="IG657" s="14"/>
      <c r="IH657" s="14">
        <f ca="1">SUM(HZ657-EB657-FX657-IF657)</f>
        <v>-2775.1577416666664</v>
      </c>
      <c r="II657" s="14"/>
      <c r="IJ657" s="14"/>
      <c r="IK657" s="27"/>
      <c r="IL657" s="27"/>
      <c r="IM657" s="9"/>
      <c r="IN657" s="9"/>
      <c r="IO657" s="9"/>
      <c r="IP657" t="s">
        <v>5913</v>
      </c>
      <c r="IQ657" s="18"/>
      <c r="IR657" s="18"/>
      <c r="IS657" s="18"/>
      <c r="IT657" s="18"/>
      <c r="IU657" s="18"/>
      <c r="IV657" s="18"/>
      <c r="IW657" s="18"/>
      <c r="IX657" s="18"/>
      <c r="IY657" s="18"/>
      <c r="IZ657" s="18"/>
      <c r="JA657" s="18"/>
      <c r="JB657" s="18"/>
      <c r="JC657" s="18"/>
    </row>
    <row r="658" spans="1:263" ht="15" customHeight="1">
      <c r="A658" s="2">
        <v>102019044</v>
      </c>
      <c r="B658" s="4" t="s">
        <v>638</v>
      </c>
      <c r="C658" s="4"/>
      <c r="D658" s="1"/>
      <c r="E658" s="1"/>
      <c r="F658" s="1"/>
      <c r="G658" s="1"/>
      <c r="H658" s="1"/>
      <c r="I658" s="3"/>
      <c r="J658" t="s">
        <v>253</v>
      </c>
      <c r="K658" t="s">
        <v>639</v>
      </c>
      <c r="L658" t="s">
        <v>640</v>
      </c>
      <c r="M658" t="s">
        <v>641</v>
      </c>
      <c r="O658" s="1"/>
      <c r="AG658" s="1"/>
      <c r="AH658" s="4"/>
      <c r="AJ658" s="34"/>
      <c r="AK658" s="4"/>
      <c r="AO658" s="4"/>
      <c r="AP658" s="5"/>
      <c r="AS658" s="5"/>
      <c r="AT658" s="5"/>
      <c r="AU658" s="1"/>
      <c r="AV658" s="1"/>
      <c r="AW658" s="1"/>
      <c r="AX658" s="1"/>
      <c r="AY658" s="15"/>
      <c r="AZ658" s="1"/>
      <c r="BA658" s="1"/>
      <c r="BB658" s="1"/>
      <c r="BC658" s="1"/>
      <c r="BD658" s="1"/>
      <c r="BE658" s="1"/>
      <c r="BF658" s="1"/>
      <c r="BG658" s="5"/>
      <c r="BH658" s="16"/>
      <c r="BI658" s="16"/>
      <c r="BK658" s="4"/>
      <c r="BL658" s="4"/>
      <c r="BM658" s="6"/>
      <c r="BN658" s="7"/>
      <c r="BO658" s="4"/>
      <c r="BP658" s="4"/>
      <c r="BQ658" s="4"/>
      <c r="BR658" s="4"/>
      <c r="BS658" s="6"/>
      <c r="BT658" s="7"/>
      <c r="BU658" s="4"/>
      <c r="BV658" s="4"/>
      <c r="BW658" s="4"/>
      <c r="BX658" s="4"/>
      <c r="BY658" s="6"/>
      <c r="BZ658" s="7"/>
      <c r="CA658" s="4"/>
      <c r="CB658" s="4"/>
      <c r="CC658" s="4"/>
      <c r="CD658" s="4"/>
      <c r="CE658" s="6"/>
      <c r="CF658" s="7"/>
      <c r="CG658" s="4"/>
      <c r="CH658" s="4"/>
      <c r="CI658" s="4"/>
      <c r="CJ658" s="4"/>
      <c r="CK658" s="6"/>
      <c r="CL658" s="7"/>
      <c r="CM658" s="4"/>
      <c r="CN658" s="4"/>
      <c r="CO658" s="4"/>
      <c r="CP658" s="4"/>
      <c r="CQ658" s="6"/>
      <c r="CR658" s="7"/>
      <c r="CS658" s="4"/>
      <c r="CT658" s="4"/>
      <c r="CU658" s="4"/>
      <c r="CV658" s="4"/>
      <c r="CW658" s="6"/>
      <c r="CX658" s="7"/>
      <c r="CY658" s="4"/>
      <c r="CZ658" s="4"/>
      <c r="DA658" s="4"/>
      <c r="DB658" s="4"/>
      <c r="DC658" s="6"/>
      <c r="DD658" s="7"/>
      <c r="DE658" s="4"/>
      <c r="DF658" s="4"/>
      <c r="DG658" s="4"/>
      <c r="DH658" s="14"/>
      <c r="DI658" s="14"/>
      <c r="DJ658" s="4"/>
      <c r="DK658" s="3"/>
      <c r="DL658" s="4"/>
      <c r="DM658" s="234"/>
      <c r="DN658" s="4"/>
      <c r="DO658" s="4"/>
      <c r="DP658" s="4"/>
      <c r="DQ658" s="4"/>
      <c r="DR658" s="4"/>
      <c r="DS658" s="4"/>
      <c r="DT658" s="7"/>
      <c r="DU658" s="8"/>
      <c r="DV658" s="4"/>
      <c r="DW658" s="8"/>
      <c r="DX658" s="4"/>
      <c r="DY658" s="4"/>
      <c r="DZ658" s="7"/>
      <c r="EI658" s="11"/>
      <c r="EO658" s="11"/>
      <c r="EP658" s="11"/>
      <c r="EQ658" s="4"/>
      <c r="ER658" s="4"/>
      <c r="ES658" s="4"/>
      <c r="ET658" s="4"/>
      <c r="EU658" s="4"/>
      <c r="EV658" s="4"/>
      <c r="EW658" s="4"/>
      <c r="EX658" s="4"/>
      <c r="EY658" s="4"/>
      <c r="EZ658" s="4"/>
      <c r="FA658" s="4"/>
      <c r="FB658" s="4"/>
      <c r="FC658" s="4"/>
      <c r="FD658" s="4"/>
      <c r="FE658" s="4"/>
      <c r="FI658" s="9"/>
      <c r="FR658" s="9"/>
      <c r="FX658" s="4"/>
      <c r="GC658" s="10"/>
      <c r="GM658" s="10"/>
      <c r="HB658" s="9"/>
      <c r="IJ658" s="4"/>
      <c r="IK658" s="4"/>
      <c r="IL658" s="9"/>
      <c r="IS658" s="4"/>
      <c r="IT658" s="4"/>
    </row>
    <row r="659" spans="1:263" ht="15" customHeight="1">
      <c r="A659" s="19">
        <v>102019044</v>
      </c>
      <c r="B659" t="s">
        <v>638</v>
      </c>
      <c r="D659" s="13"/>
      <c r="E659" s="3"/>
      <c r="F659" s="3"/>
      <c r="J659" t="s">
        <v>253</v>
      </c>
      <c r="K659" t="s">
        <v>639</v>
      </c>
      <c r="L659" t="s">
        <v>2933</v>
      </c>
      <c r="M659" t="s">
        <v>403</v>
      </c>
      <c r="AG659" s="43"/>
      <c r="AJ659" s="18" t="s">
        <v>642</v>
      </c>
      <c r="AK659" t="s">
        <v>258</v>
      </c>
      <c r="AL659" s="18" t="s">
        <v>329</v>
      </c>
      <c r="AM659" t="s">
        <v>260</v>
      </c>
      <c r="AN659"/>
      <c r="AO659" s="3" t="s">
        <v>2936</v>
      </c>
      <c r="AP659" s="3"/>
      <c r="AQ659" t="s">
        <v>290</v>
      </c>
      <c r="AR659"/>
      <c r="AS659" s="1"/>
      <c r="AT659" s="1"/>
      <c r="AU659" s="1"/>
      <c r="AV659" s="1"/>
      <c r="AW659" s="1"/>
      <c r="AX659" s="2"/>
      <c r="AY659" s="115">
        <v>44661</v>
      </c>
      <c r="AZ659" s="115">
        <v>44649</v>
      </c>
      <c r="BA659" s="2"/>
      <c r="BB659" s="2"/>
      <c r="BC659" s="2"/>
      <c r="BD659" s="2"/>
      <c r="BE659" s="2"/>
      <c r="BF659" s="2"/>
      <c r="BG659" s="20">
        <f ca="1">SUM(CY659)+214.5</f>
        <v>943.87686666666673</v>
      </c>
      <c r="BH659" s="22">
        <f ca="1">PMT(10%/12,12,BG659,0,0)</f>
        <v>-82.981772168881477</v>
      </c>
      <c r="BI659" s="22">
        <f ca="1">SUM(BH659*-1)</f>
        <v>82.981772168881477</v>
      </c>
      <c r="BJ659" s="14">
        <f>SUM(DI659*0.0052)/12</f>
        <v>10.443333333333333</v>
      </c>
      <c r="BK659" s="22">
        <f ca="1">SUM(BI659+BJ659)</f>
        <v>93.425105502214805</v>
      </c>
      <c r="BL659" s="14"/>
      <c r="BM659" s="14">
        <f>SUM(BL659*0.1)</f>
        <v>0</v>
      </c>
      <c r="BN659" s="14">
        <f ca="1">SUM(BO659*BP659)</f>
        <v>0</v>
      </c>
      <c r="BO659" s="17">
        <f>SUM((BL659+BM659)*0.00833333333333333)</f>
        <v>0</v>
      </c>
      <c r="BP659" s="23">
        <f ca="1">MONTH(TODAY())+49</f>
        <v>53</v>
      </c>
      <c r="BQ659" s="14">
        <f ca="1">SUM(BL659,BM659,BN659)</f>
        <v>0</v>
      </c>
      <c r="BR659" s="14"/>
      <c r="BS659" s="14">
        <f>SUM(BR659*0.1)</f>
        <v>0</v>
      </c>
      <c r="BT659" s="14">
        <f ca="1">SUM(BU659*BV659)</f>
        <v>0</v>
      </c>
      <c r="BU659" s="17">
        <f>SUM((BR659+BS659)*0.00833333333333333)</f>
        <v>0</v>
      </c>
      <c r="BV659" s="23">
        <f ca="1">MONTH(TODAY())+37</f>
        <v>41</v>
      </c>
      <c r="BW659" s="14">
        <f ca="1">SUM(BR659,BS659,BT659)</f>
        <v>0</v>
      </c>
      <c r="BX659" s="14"/>
      <c r="BY659" s="14">
        <f>SUM(BX659*0.1)</f>
        <v>0</v>
      </c>
      <c r="BZ659" s="14">
        <f ca="1">SUM(CA659*CB659)</f>
        <v>0</v>
      </c>
      <c r="CA659" s="17">
        <f>SUM((BX659+BY659)*0.00833333333333333)</f>
        <v>0</v>
      </c>
      <c r="CB659" s="23">
        <f ca="1">MONTH(TODAY())+25</f>
        <v>29</v>
      </c>
      <c r="CC659" s="14">
        <f ca="1">SUM(BX659,BY659,BZ659)</f>
        <v>0</v>
      </c>
      <c r="CD659" s="14">
        <f>SUM(DI659*0.0052)</f>
        <v>125.32</v>
      </c>
      <c r="CE659" s="14">
        <f>SUM(CD659*0.1)</f>
        <v>12.532</v>
      </c>
      <c r="CF659" s="14">
        <f ca="1">SUM(CG659*CH659)</f>
        <v>19.529033333333327</v>
      </c>
      <c r="CG659" s="17">
        <f>SUM((CD659+CE659)*0.00833333333333333)</f>
        <v>1.1487666666666663</v>
      </c>
      <c r="CH659" s="23">
        <f ca="1">MONTH(TODAY())+13</f>
        <v>17</v>
      </c>
      <c r="CI659" s="14">
        <f ca="1">SUM(CD659,CE659,CF659)</f>
        <v>157.38103333333333</v>
      </c>
      <c r="CJ659" s="14">
        <f>SUM(DI659*0.0052)</f>
        <v>125.32</v>
      </c>
      <c r="CK659" s="14">
        <f>SUM(CJ659*0.1)</f>
        <v>12.532</v>
      </c>
      <c r="CL659" s="14">
        <f ca="1">SUM(CM659*CN659)</f>
        <v>5.7438333333333311</v>
      </c>
      <c r="CM659" s="17">
        <f>SUM((CJ659+CK659)*0.00833333333333333)</f>
        <v>1.1487666666666663</v>
      </c>
      <c r="CN659" s="23">
        <f ca="1">MONTH(TODAY())+1</f>
        <v>5</v>
      </c>
      <c r="CO659" s="14">
        <f ca="1">SUM(CJ659,CK659,CL659)</f>
        <v>143.59583333333333</v>
      </c>
      <c r="CP659" s="14">
        <f>SUM(BL659, BR659,BX659,CD659,CJ659)</f>
        <v>250.64</v>
      </c>
      <c r="CQ659" s="14">
        <f>SUM(BM659, BS659,BY659,CE659,CK659)</f>
        <v>25.064</v>
      </c>
      <c r="CR659" s="14">
        <f ca="1">SUM(BN659, BT659,BZ659,CF659,CL659)</f>
        <v>25.272866666666658</v>
      </c>
      <c r="CS659" s="14">
        <f ca="1">SUM(CP659:CR659)</f>
        <v>300.97686666666664</v>
      </c>
      <c r="CT659" s="47">
        <f ca="1">SUM(CS659/DI659)</f>
        <v>1.2488666666666665E-2</v>
      </c>
      <c r="CU659" s="14">
        <f>19.5+19.5+195</f>
        <v>234</v>
      </c>
      <c r="CV659" s="32">
        <f>COUNTIF(DB659, "*")+COUNTIF(AO659, "*")+COUNTIF(AJ659, "*")+COUNTIF(AA659, "*")+COUNTIF(DY659, "*")+COUNTIF(EE659, "*")+COUNTIF(EK659, "*")+COUNTIF(EO659, "*")+COUNTIF(EV659, "*")+COUNTIF(FC659, "*")+COUNTIF(FJ659, "*")+COUNTIF(FU659, "*")+COUNTIF(GF659, "*")+COUNTIF(GN659, "*")+COUNTIF(GV659, "*")+COUNTIF(HD659, "*")+COUNTIF(HL659, "*")</f>
        <v>2</v>
      </c>
      <c r="CW659" s="14">
        <f>CV659*0.5+CV659*6.66</f>
        <v>14.32</v>
      </c>
      <c r="CX659" s="4">
        <v>150</v>
      </c>
      <c r="CY659" s="14">
        <f ca="1">SUM(CS659,CU659,DE659, CX659, CW659,FG659)</f>
        <v>729.37686666666673</v>
      </c>
      <c r="CZ659" s="14">
        <v>30.08</v>
      </c>
      <c r="DE659" s="14">
        <f>SUM(CZ659:DD659)</f>
        <v>30.08</v>
      </c>
      <c r="DF659" s="24" t="s">
        <v>2773</v>
      </c>
      <c r="DG659" s="4">
        <v>16500</v>
      </c>
      <c r="DH659" s="4">
        <v>7600</v>
      </c>
      <c r="DI659" s="25">
        <f>SUM(DG659+DH659)</f>
        <v>24100</v>
      </c>
      <c r="DJ659" s="35">
        <v>1.1000000000000001</v>
      </c>
      <c r="DK659" t="s">
        <v>3695</v>
      </c>
      <c r="DL659" t="s">
        <v>3696</v>
      </c>
      <c r="DM659" t="s">
        <v>3697</v>
      </c>
      <c r="IC659" s="4"/>
      <c r="IL659" s="9"/>
      <c r="IS659" s="4"/>
      <c r="IT659" s="4"/>
    </row>
    <row r="660" spans="1:263" ht="15" customHeight="1">
      <c r="A660" s="2">
        <v>102017075</v>
      </c>
      <c r="B660" t="s">
        <v>994</v>
      </c>
      <c r="J660" t="s">
        <v>311</v>
      </c>
      <c r="K660" t="s">
        <v>995</v>
      </c>
      <c r="L660" t="s">
        <v>996</v>
      </c>
      <c r="M660" t="s">
        <v>326</v>
      </c>
      <c r="N660" s="1"/>
      <c r="O660" s="4"/>
      <c r="T660" s="1"/>
      <c r="AE660" s="1"/>
      <c r="AF660" s="3"/>
      <c r="AG660"/>
      <c r="AJ660" s="4"/>
      <c r="AK660" s="18"/>
      <c r="AL660" s="4"/>
      <c r="AM660" s="34"/>
      <c r="AP660" s="13"/>
      <c r="AR660" s="34"/>
      <c r="AS660" s="13"/>
      <c r="AT660" s="13"/>
      <c r="AU660" s="1"/>
      <c r="AV660" s="1"/>
      <c r="AW660" s="1"/>
      <c r="AX660" s="1"/>
      <c r="AY660" s="1"/>
      <c r="AZ660" s="1"/>
      <c r="BA660" s="1"/>
      <c r="BB660" s="1"/>
      <c r="BC660" s="1"/>
      <c r="BD660" s="1"/>
      <c r="BE660" s="1"/>
      <c r="BF660" s="1"/>
      <c r="BG660" s="5"/>
      <c r="BH660" s="16"/>
      <c r="BI660" s="16"/>
      <c r="BJ660" s="4"/>
      <c r="BK660" s="4"/>
      <c r="BL660" s="4"/>
      <c r="BM660" s="6"/>
      <c r="BN660" s="7"/>
      <c r="BO660" s="4"/>
      <c r="BQ660" s="4"/>
      <c r="BR660" s="4"/>
      <c r="BS660" s="6"/>
      <c r="BT660" s="7"/>
      <c r="BU660" s="4"/>
      <c r="BV660" s="4"/>
      <c r="BW660" s="4"/>
      <c r="BX660" s="4"/>
      <c r="BY660" s="6"/>
      <c r="BZ660" s="7"/>
      <c r="CA660" s="4"/>
      <c r="CB660" s="4"/>
      <c r="CC660" s="4"/>
      <c r="CD660" s="4"/>
      <c r="CE660" s="6"/>
      <c r="CF660" s="7"/>
      <c r="CG660" s="4"/>
      <c r="CH660" s="4"/>
      <c r="CI660" s="4"/>
      <c r="CJ660" s="4"/>
      <c r="CK660" s="6"/>
      <c r="CL660" s="7"/>
      <c r="CM660" s="4"/>
      <c r="CN660" s="4"/>
      <c r="CO660" s="4"/>
      <c r="CP660" s="4"/>
      <c r="CQ660" s="6"/>
      <c r="CR660" s="7"/>
      <c r="CS660" s="4"/>
      <c r="CT660" s="4"/>
      <c r="CU660" s="4"/>
      <c r="CV660" s="4"/>
      <c r="CW660" s="6"/>
      <c r="CX660" s="7"/>
      <c r="CY660" s="4"/>
      <c r="CZ660" s="4"/>
      <c r="DA660" s="4"/>
      <c r="DB660" s="4"/>
      <c r="DC660" s="6"/>
      <c r="DD660" s="7"/>
      <c r="DE660" s="4"/>
      <c r="DF660" s="4"/>
      <c r="DG660" s="4"/>
      <c r="DH660" s="14"/>
      <c r="DI660" s="14"/>
      <c r="DJ660" s="4"/>
      <c r="DK660" s="3"/>
      <c r="DL660" s="4"/>
      <c r="DM660" s="234"/>
      <c r="DN660" s="4"/>
      <c r="DO660" s="4"/>
      <c r="DP660" s="4"/>
      <c r="DQ660" s="4"/>
      <c r="DR660" s="4"/>
      <c r="DS660" s="4"/>
      <c r="DT660" s="4"/>
      <c r="DU660" s="8"/>
      <c r="DV660" s="4"/>
      <c r="DW660" s="8"/>
      <c r="DX660" s="4"/>
      <c r="DY660" s="4"/>
      <c r="DZ660" s="7"/>
      <c r="FI660" s="9"/>
      <c r="FJ660" s="10"/>
      <c r="FQ660" s="10"/>
      <c r="FR660" s="9"/>
      <c r="FX660" s="4"/>
      <c r="GE660" s="9"/>
      <c r="IJ660" s="4"/>
      <c r="IK660" s="4"/>
      <c r="IL660" s="18"/>
      <c r="IM660" s="18"/>
      <c r="IN660" s="18"/>
      <c r="IO660" s="18"/>
      <c r="IP660" s="18"/>
      <c r="IQ660" s="18"/>
      <c r="IZ660" s="18"/>
      <c r="JA660" s="18"/>
      <c r="JB660" s="18"/>
      <c r="JC660" s="18"/>
    </row>
    <row r="661" spans="1:263" ht="15" customHeight="1">
      <c r="A661" s="2">
        <v>102020045</v>
      </c>
      <c r="B661" t="s">
        <v>1656</v>
      </c>
      <c r="D661" s="1"/>
      <c r="E661" t="s">
        <v>1887</v>
      </c>
      <c r="F661">
        <v>200003755</v>
      </c>
      <c r="J661" t="s">
        <v>253</v>
      </c>
      <c r="K661" t="s">
        <v>1657</v>
      </c>
      <c r="L661" t="s">
        <v>1658</v>
      </c>
      <c r="M661" t="s">
        <v>357</v>
      </c>
      <c r="AG661" s="248"/>
      <c r="AX661" s="9"/>
      <c r="AY661" s="15"/>
      <c r="AZ661" s="15"/>
      <c r="BA661" s="9"/>
      <c r="BC661" s="9"/>
      <c r="BD661" s="9"/>
      <c r="BG661" s="5"/>
      <c r="BH661" s="16"/>
      <c r="BI661" s="16"/>
      <c r="BJ661" s="4"/>
      <c r="BK661" s="4"/>
      <c r="BL661" s="4"/>
      <c r="BM661" s="6"/>
      <c r="BN661" s="7"/>
      <c r="BO661" s="4"/>
      <c r="BP661" s="4"/>
      <c r="BQ661" s="4"/>
      <c r="BR661" s="4"/>
      <c r="BS661" s="6"/>
      <c r="BT661" s="7"/>
      <c r="BU661" s="4"/>
      <c r="BV661" s="4"/>
      <c r="BW661" s="4"/>
      <c r="BX661" s="4"/>
      <c r="BY661" s="6"/>
      <c r="BZ661" s="7"/>
      <c r="CA661" s="4"/>
      <c r="CB661" s="4"/>
      <c r="CC661" s="4"/>
      <c r="CD661" s="4"/>
      <c r="CE661" s="6"/>
      <c r="CF661" s="7"/>
      <c r="CG661" s="4"/>
      <c r="CH661" s="4"/>
      <c r="CI661" s="4"/>
      <c r="CJ661" s="4"/>
      <c r="CK661" s="6"/>
      <c r="CL661" s="7"/>
      <c r="CM661" s="4"/>
      <c r="CN661" s="4"/>
      <c r="CO661" s="4"/>
      <c r="CP661" s="4"/>
      <c r="CQ661" s="6"/>
      <c r="CR661" s="7"/>
      <c r="CS661" s="4"/>
      <c r="CT661" s="4"/>
      <c r="CU661" s="4"/>
      <c r="CV661" s="4"/>
      <c r="CW661" s="6"/>
      <c r="CX661" s="7"/>
      <c r="CY661" s="4"/>
      <c r="CZ661" s="4"/>
      <c r="DA661" s="4"/>
      <c r="DB661" s="4"/>
      <c r="DC661" s="4"/>
      <c r="DD661" s="3"/>
      <c r="DE661" s="4"/>
      <c r="DF661" s="234"/>
      <c r="DG661" s="4"/>
      <c r="DH661" s="4"/>
      <c r="DI661" s="4"/>
      <c r="DJ661" s="4"/>
      <c r="DK661" s="4"/>
      <c r="DL661" s="4"/>
      <c r="DM661" s="7"/>
      <c r="DN661" s="8"/>
      <c r="DO661" s="4"/>
      <c r="DP661" s="8"/>
      <c r="DQ661" s="8"/>
      <c r="DR661" s="8"/>
      <c r="DS661" s="35"/>
      <c r="FX661" s="9"/>
      <c r="IN661" s="66">
        <v>55.5</v>
      </c>
      <c r="IO661" s="66"/>
      <c r="IP661" s="9">
        <v>43549</v>
      </c>
      <c r="IQ661" s="9">
        <v>43565</v>
      </c>
      <c r="IR661" s="9">
        <v>43699</v>
      </c>
      <c r="IS661" s="9">
        <v>43711</v>
      </c>
    </row>
    <row r="662" spans="1:263" ht="15" customHeight="1">
      <c r="A662" s="19">
        <v>102022090</v>
      </c>
      <c r="B662" t="s">
        <v>2833</v>
      </c>
      <c r="D662" s="1"/>
      <c r="E662" s="3"/>
      <c r="F662" s="3"/>
      <c r="J662" t="s">
        <v>311</v>
      </c>
      <c r="K662" t="s">
        <v>1186</v>
      </c>
      <c r="L662" t="s">
        <v>3083</v>
      </c>
      <c r="AG662" s="43"/>
      <c r="AJ662" t="s">
        <v>3089</v>
      </c>
      <c r="AK662" t="s">
        <v>258</v>
      </c>
      <c r="AL662" t="s">
        <v>329</v>
      </c>
      <c r="AM662" t="s">
        <v>260</v>
      </c>
      <c r="AN662"/>
      <c r="AO662" s="3" t="s">
        <v>773</v>
      </c>
      <c r="AP662" s="3" t="s">
        <v>258</v>
      </c>
      <c r="AQ662" t="s">
        <v>386</v>
      </c>
      <c r="AR662" t="s">
        <v>260</v>
      </c>
      <c r="AS662" s="1"/>
      <c r="AT662" s="1"/>
      <c r="AU662" s="1"/>
      <c r="AV662" s="1"/>
      <c r="AW662" s="1"/>
      <c r="AX662" s="2"/>
      <c r="AY662" s="116"/>
      <c r="AZ662" s="115"/>
      <c r="BA662" s="2"/>
      <c r="BB662" s="2"/>
      <c r="BC662" s="2"/>
      <c r="BD662" s="2"/>
      <c r="BE662" s="2"/>
      <c r="BF662" s="2"/>
      <c r="BG662" s="20">
        <f ca="1">SUM(CY662)+58.5+58.5</f>
        <v>1091.6341333333332</v>
      </c>
      <c r="BH662" s="22">
        <f ca="1">PMT(10%/12,12,BG662,0,0)</f>
        <v>-95.971983362562582</v>
      </c>
      <c r="BI662" s="22">
        <f ca="1">SUM(BH662*-1)</f>
        <v>95.971983362562582</v>
      </c>
      <c r="BJ662" s="14">
        <f>SUM(DI662*0.0052)/12</f>
        <v>33.106666666666662</v>
      </c>
      <c r="BK662" s="22">
        <f ca="1">SUM(BI662+BJ662)</f>
        <v>129.07865002922924</v>
      </c>
      <c r="BL662" s="14"/>
      <c r="BM662" s="14">
        <f>SUM(BL662*0.1)</f>
        <v>0</v>
      </c>
      <c r="BN662" s="14">
        <f ca="1">SUM(BO662*BP662)</f>
        <v>0</v>
      </c>
      <c r="BO662" s="17">
        <f>SUM((BL662+BM662)*0.00833333333333333)</f>
        <v>0</v>
      </c>
      <c r="BP662" s="23">
        <f ca="1">MONTH(TODAY())+49</f>
        <v>53</v>
      </c>
      <c r="BQ662" s="14">
        <f ca="1">SUM(BL662,BM662,BN662)</f>
        <v>0</v>
      </c>
      <c r="BR662" s="14"/>
      <c r="BS662" s="14">
        <f>SUM(BR662*0.1)</f>
        <v>0</v>
      </c>
      <c r="BT662" s="14">
        <f ca="1">SUM(BU662*BV662)</f>
        <v>0</v>
      </c>
      <c r="BU662" s="17">
        <f>SUM((BR662+BS662)*0.00833333333333333)</f>
        <v>0</v>
      </c>
      <c r="BV662" s="23">
        <f ca="1">MONTH(TODAY())+37</f>
        <v>41</v>
      </c>
      <c r="BW662" s="14">
        <f ca="1">SUM(BR662,BS662,BT662)</f>
        <v>0</v>
      </c>
      <c r="BX662" s="14"/>
      <c r="BY662" s="14">
        <f>SUM(BX662*0.1)</f>
        <v>0</v>
      </c>
      <c r="BZ662" s="14">
        <f ca="1">SUM(CA662*CB662)</f>
        <v>0</v>
      </c>
      <c r="CA662" s="17">
        <f>SUM((BX662+BY662)*0.00833333333333333)</f>
        <v>0</v>
      </c>
      <c r="CB662" s="23">
        <f ca="1">MONTH(TODAY())+25</f>
        <v>29</v>
      </c>
      <c r="CC662" s="14">
        <f ca="1">SUM(BX662,BY662,BZ662)</f>
        <v>0</v>
      </c>
      <c r="CD662" s="14">
        <f>SUM(DI662*0.0052)</f>
        <v>397.28</v>
      </c>
      <c r="CE662" s="14">
        <f>SUM(CD662*0.1)</f>
        <v>39.728000000000002</v>
      </c>
      <c r="CF662" s="14">
        <f ca="1">SUM(CG662*CH662)</f>
        <v>61.909466666666638</v>
      </c>
      <c r="CG662" s="17">
        <f>SUM((CD662+CE662)*0.00833333333333333)</f>
        <v>3.6417333333333315</v>
      </c>
      <c r="CH662" s="23">
        <f ca="1">MONTH(TODAY())+13</f>
        <v>17</v>
      </c>
      <c r="CI662" s="14">
        <f ca="1">SUM(CD662,CE662,CF662)</f>
        <v>498.9174666666666</v>
      </c>
      <c r="CJ662" s="14">
        <f>SUM(DI662*0.0052)</f>
        <v>397.28</v>
      </c>
      <c r="CK662" s="14">
        <f>SUM(CJ662*0.1)</f>
        <v>39.728000000000002</v>
      </c>
      <c r="CL662" s="14">
        <f ca="1">SUM(CM662*CN662)</f>
        <v>18.208666666666659</v>
      </c>
      <c r="CM662" s="17">
        <f>SUM((CJ662+CK662)*0.00833333333333333)</f>
        <v>3.6417333333333315</v>
      </c>
      <c r="CN662" s="23">
        <f ca="1">MONTH(TODAY())+1</f>
        <v>5</v>
      </c>
      <c r="CO662" s="14">
        <f ca="1">SUM(CJ662,CK662,CL662)</f>
        <v>455.21666666666664</v>
      </c>
      <c r="CP662" s="14">
        <f>SUM(BL662, BR662,BX662,CD662,CJ662)</f>
        <v>794.56</v>
      </c>
      <c r="CQ662" s="14">
        <f>SUM(BM662, BS662,BY662,CE662,CK662)</f>
        <v>79.456000000000003</v>
      </c>
      <c r="CR662" s="14">
        <f ca="1">SUM(BN662, BT662,BZ662,CF662,CL662)</f>
        <v>80.118133333333304</v>
      </c>
      <c r="CS662" s="14">
        <f ca="1">SUM(CP662:CR662)</f>
        <v>954.13413333333324</v>
      </c>
      <c r="CT662" s="47">
        <f ca="1">SUM(CS662/DI662)</f>
        <v>1.2488666666666665E-2</v>
      </c>
      <c r="CU662" s="14">
        <v>19.5</v>
      </c>
      <c r="CV662" s="32">
        <f>COUNTIF(DB662, "*")+COUNTIF(AO662, "*")+COUNTIF(AJ662, "*")+COUNTIF(AA662, "*")+COUNTIF(DY662, "*")+COUNTIF(EE662, "*")+COUNTIF(EK662, "*")+COUNTIF(EO662, "*")+COUNTIF(EV662, "*")+COUNTIF(FC662, "*")+COUNTIF(FJ662, "*")+COUNTIF(FU662, "*")+COUNTIF(GF662, "*")+COUNTIF(GN662, "*")+COUNTIF(GV662, "*")+COUNTIF(HD662, "*")+COUNTIF(HL662, "*")</f>
        <v>2</v>
      </c>
      <c r="CW662" s="14">
        <f>CV662*0.5</f>
        <v>1</v>
      </c>
      <c r="CX662" s="4"/>
      <c r="CY662" s="14">
        <f ca="1">SUM(CS662,CU662,DE662, CX662, CW662,FG662)</f>
        <v>974.63413333333324</v>
      </c>
      <c r="CZ662" s="4"/>
      <c r="DE662" s="14">
        <f>SUM(CZ662:DD662)</f>
        <v>0</v>
      </c>
      <c r="DF662" s="24" t="s">
        <v>2773</v>
      </c>
      <c r="DG662" s="4">
        <v>24400</v>
      </c>
      <c r="DH662" s="4">
        <v>52000</v>
      </c>
      <c r="DI662" s="25">
        <f>SUM(DG662+DH662)</f>
        <v>76400</v>
      </c>
      <c r="DJ662" s="35">
        <v>2.67</v>
      </c>
      <c r="IC662" s="4"/>
    </row>
    <row r="663" spans="1:263" ht="15" customHeight="1">
      <c r="A663" s="2">
        <v>102017033</v>
      </c>
      <c r="B663" t="s">
        <v>867</v>
      </c>
      <c r="E663" t="s">
        <v>868</v>
      </c>
      <c r="F663">
        <v>180001428</v>
      </c>
      <c r="J663" t="s">
        <v>311</v>
      </c>
      <c r="K663" t="s">
        <v>869</v>
      </c>
      <c r="L663" t="s">
        <v>870</v>
      </c>
      <c r="O663" s="1"/>
      <c r="T663" s="1"/>
      <c r="AE663" s="1"/>
      <c r="AJ663" s="4"/>
      <c r="AK663" s="4"/>
      <c r="AL663" s="4"/>
      <c r="AO663" s="4"/>
      <c r="AP663" s="13"/>
      <c r="AQ663" s="34"/>
      <c r="AR663" s="34"/>
      <c r="AS663" s="5"/>
      <c r="AT663" s="13"/>
      <c r="AU663" s="1"/>
      <c r="AV663" s="1"/>
      <c r="AW663" s="1"/>
      <c r="AX663" s="15"/>
      <c r="AY663" s="15"/>
      <c r="AZ663" s="15"/>
      <c r="BA663" s="15"/>
      <c r="BB663" s="13"/>
      <c r="BC663" s="15"/>
      <c r="BD663" s="15"/>
      <c r="BE663" s="15"/>
      <c r="BF663" s="15"/>
      <c r="BG663" s="5"/>
      <c r="BH663" s="16"/>
      <c r="BI663" s="16"/>
      <c r="BK663" s="4"/>
      <c r="BL663" s="4"/>
      <c r="BM663" s="6"/>
      <c r="BN663" s="7"/>
      <c r="BO663" s="4"/>
      <c r="BQ663" s="4"/>
      <c r="BR663" s="4"/>
      <c r="BS663" s="6"/>
      <c r="BT663" s="7"/>
      <c r="BU663" s="4"/>
      <c r="BV663" s="4"/>
      <c r="BW663" s="4"/>
      <c r="BX663" s="4"/>
      <c r="BY663" s="6"/>
      <c r="BZ663" s="7"/>
      <c r="CA663" s="4"/>
      <c r="CC663" s="4"/>
      <c r="CD663" s="4"/>
      <c r="CE663" s="6"/>
      <c r="CF663" s="7"/>
      <c r="CG663" s="4"/>
      <c r="CH663" s="4"/>
      <c r="CI663" s="4"/>
      <c r="CJ663" s="4"/>
      <c r="CK663" s="6"/>
      <c r="CL663" s="7"/>
      <c r="CM663" s="4"/>
      <c r="CN663" s="4"/>
      <c r="CO663" s="4"/>
      <c r="CP663" s="4"/>
      <c r="CQ663" s="6"/>
      <c r="CR663" s="7"/>
      <c r="CS663" s="4"/>
      <c r="CT663" s="4"/>
      <c r="CU663" s="4"/>
      <c r="CV663" s="4"/>
      <c r="CW663" s="6"/>
      <c r="CX663" s="7"/>
      <c r="CY663" s="4"/>
      <c r="CZ663" s="4"/>
      <c r="DA663" s="4"/>
      <c r="DB663" s="4"/>
      <c r="DC663" s="6"/>
      <c r="DD663" s="7"/>
      <c r="DE663" s="4"/>
      <c r="DF663" s="4"/>
      <c r="DG663" s="4"/>
      <c r="DH663" s="4"/>
      <c r="DI663" s="6"/>
      <c r="DJ663" s="7"/>
      <c r="DK663" s="4"/>
      <c r="DL663" s="4"/>
      <c r="DM663" s="4"/>
      <c r="DN663" s="4"/>
      <c r="DO663" s="4"/>
      <c r="DP663" s="3"/>
      <c r="DQ663" s="4"/>
      <c r="DR663" s="4"/>
      <c r="DS663" s="4"/>
      <c r="DT663" s="4"/>
      <c r="DU663" s="4"/>
      <c r="DV663" s="4"/>
      <c r="DW663" s="4"/>
      <c r="DX663" s="4"/>
      <c r="DY663" s="4"/>
      <c r="DZ663" s="4"/>
      <c r="EA663" s="14"/>
      <c r="EB663" s="4"/>
      <c r="EC663" s="4"/>
      <c r="ED663" s="4"/>
      <c r="EE663" s="4"/>
      <c r="EF663" s="4"/>
      <c r="EG663" s="4"/>
      <c r="EH663" s="4"/>
      <c r="EI663" s="4"/>
      <c r="EJ663" s="242"/>
      <c r="EK663" s="242"/>
      <c r="FQ663" s="9"/>
      <c r="FR663" s="10"/>
      <c r="FY663" s="10"/>
      <c r="GK663" s="9"/>
      <c r="IL663" s="18"/>
      <c r="IM663" s="18"/>
      <c r="IN663" s="14"/>
      <c r="IO663" s="14"/>
      <c r="IP663" s="18"/>
      <c r="IQ663" s="18"/>
      <c r="IR663" s="18"/>
      <c r="IS663" s="18"/>
      <c r="IT663" s="18"/>
      <c r="IU663" s="243"/>
      <c r="IV663" s="243"/>
      <c r="IZ663" s="240"/>
      <c r="JA663" s="240"/>
      <c r="JB663" s="240"/>
      <c r="JC663" s="240"/>
    </row>
    <row r="664" spans="1:263" ht="15" customHeight="1">
      <c r="A664" s="2">
        <v>102018066</v>
      </c>
      <c r="B664" s="4" t="s">
        <v>1218</v>
      </c>
      <c r="C664" s="5"/>
      <c r="D664" s="5"/>
      <c r="E664" s="5"/>
      <c r="F664" s="3"/>
      <c r="G664">
        <v>180000562</v>
      </c>
      <c r="J664" t="s">
        <v>311</v>
      </c>
      <c r="K664" t="s">
        <v>1219</v>
      </c>
      <c r="L664" t="s">
        <v>424</v>
      </c>
      <c r="M664" t="s">
        <v>1220</v>
      </c>
      <c r="O664" s="1"/>
      <c r="T664" s="1"/>
      <c r="AI664" s="3"/>
      <c r="AJ664" s="4"/>
      <c r="AK664" s="4"/>
      <c r="AO664" s="4"/>
      <c r="AP664" s="5"/>
      <c r="AS664" s="5"/>
      <c r="AT664" s="5"/>
      <c r="AU664" s="1"/>
      <c r="AV664" s="1"/>
      <c r="AW664" s="1"/>
      <c r="AX664" s="15"/>
      <c r="AY664" s="15"/>
      <c r="AZ664" s="15"/>
      <c r="BA664" s="15"/>
      <c r="BB664" s="1"/>
      <c r="BC664" s="15"/>
      <c r="BD664" s="15"/>
      <c r="BE664" s="15"/>
      <c r="BF664" s="1"/>
      <c r="BG664" s="5"/>
      <c r="BH664" s="16"/>
      <c r="BI664" s="16"/>
      <c r="BK664" s="4"/>
      <c r="BL664" s="4"/>
      <c r="BM664" s="6"/>
      <c r="BN664" s="7"/>
      <c r="BO664" s="4"/>
      <c r="BQ664" s="4"/>
      <c r="BR664" s="4"/>
      <c r="BS664" s="6"/>
      <c r="BT664" s="7"/>
      <c r="BU664" s="4"/>
      <c r="BW664" s="4"/>
      <c r="BX664" s="4"/>
      <c r="BY664" s="6"/>
      <c r="BZ664" s="7"/>
      <c r="CA664" s="4"/>
      <c r="CB664" s="4"/>
      <c r="CC664" s="4"/>
      <c r="CD664" s="4"/>
      <c r="CE664" s="6"/>
      <c r="CF664" s="7"/>
      <c r="CG664" s="4"/>
      <c r="CH664" s="6"/>
      <c r="CI664" s="4"/>
      <c r="CJ664" s="4"/>
      <c r="CK664" s="6"/>
      <c r="CL664" s="7"/>
      <c r="CM664" s="4"/>
      <c r="CN664" s="4"/>
      <c r="CO664" s="4"/>
      <c r="CP664" s="4"/>
      <c r="CQ664" s="6"/>
      <c r="CR664" s="7"/>
      <c r="CS664" s="4"/>
      <c r="CT664" s="4"/>
      <c r="CU664" s="4"/>
      <c r="CV664" s="4"/>
      <c r="CW664" s="6"/>
      <c r="CX664" s="7"/>
      <c r="CY664" s="4"/>
      <c r="CZ664" s="4"/>
      <c r="DA664" s="4"/>
      <c r="DB664" s="4"/>
      <c r="DC664" s="6"/>
      <c r="DD664" s="7"/>
      <c r="DE664" s="4"/>
      <c r="DF664" s="4"/>
      <c r="DG664" s="4"/>
      <c r="DH664" s="4"/>
      <c r="DI664" s="6"/>
      <c r="DJ664" s="7"/>
      <c r="DK664" s="4"/>
      <c r="DL664" s="4"/>
      <c r="DM664" s="4"/>
      <c r="DN664" s="4"/>
      <c r="DO664" s="4"/>
      <c r="DP664" s="4"/>
      <c r="DR664" s="4"/>
      <c r="DS664" s="4"/>
      <c r="DT664" s="4"/>
      <c r="DU664" s="4"/>
      <c r="DV664" s="4"/>
      <c r="DW664" s="4"/>
      <c r="DX664" s="4"/>
      <c r="DY664" s="7"/>
      <c r="DZ664" s="4"/>
      <c r="EA664" s="4"/>
      <c r="EB664" s="34"/>
      <c r="EC664" s="4"/>
      <c r="ED664" s="4"/>
      <c r="EM664" s="11"/>
      <c r="ES664" s="11"/>
      <c r="ET664" s="11"/>
      <c r="EU664" s="4"/>
      <c r="EV664" s="4"/>
      <c r="EW664" s="4"/>
      <c r="EX664" s="4"/>
      <c r="EY664" s="4"/>
      <c r="EZ664" s="4"/>
      <c r="FA664" s="4"/>
      <c r="FB664" s="4"/>
      <c r="FC664" s="4"/>
      <c r="FD664" s="4"/>
      <c r="FE664" s="4"/>
      <c r="FF664" s="4"/>
      <c r="FG664" s="4"/>
      <c r="FH664" s="4"/>
      <c r="FL664" s="9"/>
      <c r="FU664" s="9"/>
      <c r="GE664" s="10"/>
      <c r="GO664" s="10"/>
      <c r="HD664" s="9"/>
      <c r="IP664" s="4">
        <v>11756.22</v>
      </c>
      <c r="IV664" s="9">
        <v>42696</v>
      </c>
      <c r="IZ664" s="18"/>
    </row>
    <row r="665" spans="1:263" ht="15" customHeight="1">
      <c r="A665" s="19">
        <v>102022194</v>
      </c>
      <c r="B665" t="s">
        <v>2914</v>
      </c>
      <c r="D665" s="1"/>
      <c r="J665" t="s">
        <v>554</v>
      </c>
      <c r="K665" t="s">
        <v>3257</v>
      </c>
      <c r="L665" t="s">
        <v>871</v>
      </c>
      <c r="M665" t="s">
        <v>326</v>
      </c>
      <c r="P665" t="s">
        <v>3257</v>
      </c>
      <c r="Q665" t="s">
        <v>666</v>
      </c>
      <c r="R665" t="s">
        <v>763</v>
      </c>
      <c r="AM665"/>
      <c r="AN665"/>
      <c r="AO665" s="3" t="s">
        <v>3258</v>
      </c>
      <c r="AP665" s="3" t="s">
        <v>258</v>
      </c>
      <c r="AQ665" s="3" t="s">
        <v>329</v>
      </c>
      <c r="AR665" t="s">
        <v>260</v>
      </c>
      <c r="AT665" s="1"/>
      <c r="AU665" s="1"/>
      <c r="AV665" s="1"/>
      <c r="AW665" s="1"/>
      <c r="AX665" s="2"/>
      <c r="AY665" s="48"/>
      <c r="AZ665" s="70"/>
      <c r="BA665" s="2"/>
      <c r="BB665" s="2"/>
      <c r="BC665" s="2"/>
      <c r="BD665" s="2"/>
      <c r="BE665" s="2"/>
      <c r="BF665" s="2"/>
      <c r="BG665" s="20"/>
      <c r="BH665" s="22"/>
      <c r="BI665" s="22"/>
      <c r="BJ665" s="14"/>
      <c r="BK665" s="22"/>
      <c r="BL665" s="14"/>
      <c r="BM665" s="14"/>
      <c r="BN665" s="14"/>
      <c r="BO665" s="17"/>
      <c r="BP665" s="23"/>
      <c r="BQ665" s="14"/>
      <c r="BR665" s="14"/>
      <c r="BS665" s="14"/>
      <c r="BT665" s="14"/>
      <c r="BU665" s="17"/>
      <c r="BV665" s="23"/>
      <c r="BW665" s="14"/>
      <c r="BX665" s="14"/>
      <c r="BY665" s="14"/>
      <c r="BZ665" s="14"/>
      <c r="CA665" s="17"/>
      <c r="CB665" s="23"/>
      <c r="CC665" s="14"/>
      <c r="CD665" s="14"/>
      <c r="CE665" s="14"/>
      <c r="CF665" s="14"/>
      <c r="CG665" s="17"/>
      <c r="CH665" s="23"/>
      <c r="CI665" s="14"/>
      <c r="CJ665" s="14"/>
      <c r="CK665" s="14"/>
      <c r="CL665" s="14"/>
      <c r="CM665" s="17"/>
      <c r="CN665" s="23"/>
      <c r="CO665" s="14"/>
      <c r="CP665" s="14"/>
      <c r="CQ665" s="14"/>
      <c r="CR665" s="14"/>
      <c r="CS665" s="14"/>
      <c r="CT665" s="47"/>
      <c r="CU665" s="14"/>
      <c r="CV665" s="32"/>
      <c r="CW665" s="14"/>
      <c r="CY665" s="14"/>
      <c r="DE665" s="14"/>
      <c r="DF665" s="24"/>
      <c r="DG665" s="4"/>
      <c r="DH665" s="4"/>
      <c r="DI665" s="25"/>
      <c r="DJ665" s="35">
        <v>11.66</v>
      </c>
      <c r="IC665" s="4"/>
    </row>
    <row r="666" spans="1:263" ht="15" customHeight="1">
      <c r="A666" s="2">
        <v>102020021</v>
      </c>
      <c r="B666" t="s">
        <v>1592</v>
      </c>
      <c r="K666" t="s">
        <v>1593</v>
      </c>
      <c r="T666" s="1"/>
      <c r="AG666" s="248"/>
      <c r="AJ666" s="4"/>
      <c r="AK666" s="4"/>
      <c r="AO666" s="4"/>
      <c r="AP666" s="5"/>
      <c r="AS666" s="5"/>
      <c r="AT666" s="5"/>
      <c r="AU666" s="1"/>
      <c r="AV666" s="1"/>
      <c r="AW666" s="1"/>
      <c r="AX666" s="1"/>
      <c r="AY666" s="15"/>
      <c r="AZ666" s="1"/>
      <c r="BA666" s="15"/>
      <c r="BB666" s="1"/>
      <c r="BC666" s="21"/>
      <c r="BD666" s="15"/>
      <c r="BE666" s="1"/>
      <c r="BF666" s="1"/>
      <c r="BG666" s="5"/>
      <c r="BH666" s="16"/>
      <c r="BI666" s="16"/>
      <c r="BJ666" s="4"/>
      <c r="BK666" s="4"/>
      <c r="BL666" s="4"/>
      <c r="BM666" s="6"/>
      <c r="BN666" s="7"/>
      <c r="BO666" s="4"/>
      <c r="BP666" s="4"/>
      <c r="BQ666" s="4"/>
      <c r="BR666" s="4"/>
      <c r="BS666" s="6"/>
      <c r="BT666" s="7"/>
      <c r="BU666" s="4"/>
      <c r="BV666" s="4"/>
      <c r="BW666" s="4"/>
      <c r="BX666" s="4"/>
      <c r="BY666" s="6"/>
      <c r="BZ666" s="7"/>
      <c r="CA666" s="4"/>
      <c r="CB666" s="4"/>
      <c r="CC666" s="4"/>
      <c r="CD666" s="4"/>
      <c r="CE666" s="6"/>
      <c r="CF666" s="7"/>
      <c r="CG666" s="4"/>
      <c r="CH666" s="4"/>
      <c r="CI666" s="4"/>
      <c r="CJ666" s="4"/>
      <c r="CK666" s="6"/>
      <c r="CL666" s="7"/>
      <c r="CM666" s="4"/>
      <c r="CN666" s="4"/>
      <c r="CO666" s="4"/>
      <c r="CP666" s="4"/>
      <c r="CQ666" s="6"/>
      <c r="CR666" s="7"/>
      <c r="CS666" s="4"/>
      <c r="CT666" s="4"/>
      <c r="CU666" s="4"/>
      <c r="CV666" s="4"/>
      <c r="CW666" s="6"/>
      <c r="CX666" s="7"/>
      <c r="CY666" s="4"/>
      <c r="CZ666" s="4"/>
      <c r="DA666" s="4"/>
      <c r="DB666" s="4"/>
      <c r="DC666" s="4"/>
      <c r="DD666" s="3"/>
      <c r="DE666" s="4"/>
      <c r="DF666" s="234"/>
      <c r="DG666" s="4"/>
      <c r="DH666" s="4"/>
      <c r="DI666" s="4"/>
      <c r="DJ666" s="4"/>
      <c r="DK666" s="4"/>
      <c r="DL666" s="4"/>
      <c r="DM666" s="7"/>
      <c r="DN666" s="8"/>
      <c r="DO666" s="4"/>
      <c r="DP666" s="8"/>
      <c r="DQ666" s="8"/>
      <c r="DR666" s="8"/>
      <c r="DS666" s="35"/>
      <c r="EB666" s="11"/>
      <c r="EH666" s="11"/>
      <c r="EI666" s="11"/>
      <c r="EJ666" s="4"/>
      <c r="EK666" s="4"/>
      <c r="EL666" s="4"/>
      <c r="EM666" s="4"/>
      <c r="EN666" s="4"/>
      <c r="EO666" s="4"/>
      <c r="EP666" s="4"/>
      <c r="EQ666" s="4"/>
      <c r="ER666" s="4"/>
      <c r="ES666" s="4"/>
      <c r="ET666" s="4"/>
      <c r="EU666" s="4"/>
      <c r="EV666" s="4"/>
      <c r="EW666" s="4"/>
      <c r="EX666" s="4"/>
      <c r="FB666" s="9"/>
      <c r="FK666" s="9"/>
      <c r="FQ666" s="4"/>
      <c r="FV666" s="10"/>
      <c r="GF666" s="10"/>
      <c r="GU666" s="9"/>
      <c r="IC666" s="4"/>
      <c r="ID666" s="4"/>
      <c r="IE666" s="9"/>
      <c r="IL666" s="18"/>
      <c r="IM666" s="18"/>
      <c r="IN666" s="18"/>
      <c r="IO666" s="18"/>
      <c r="IP666" s="18"/>
      <c r="IQ666" s="18"/>
      <c r="IR666" s="18"/>
      <c r="IS666" s="18"/>
      <c r="IT666" s="18"/>
      <c r="IU666" s="18"/>
      <c r="IV666" s="18"/>
    </row>
    <row r="667" spans="1:263" ht="15" customHeight="1">
      <c r="A667" s="2">
        <v>102024166</v>
      </c>
      <c r="B667" t="s">
        <v>5553</v>
      </c>
      <c r="D667" s="1"/>
      <c r="E667" s="3"/>
      <c r="G667" s="3"/>
      <c r="J667" t="s">
        <v>554</v>
      </c>
      <c r="K667" t="s">
        <v>3257</v>
      </c>
      <c r="L667" t="s">
        <v>871</v>
      </c>
      <c r="M667" t="s">
        <v>326</v>
      </c>
      <c r="O667" s="3"/>
      <c r="P667" t="s">
        <v>3257</v>
      </c>
      <c r="Q667" t="s">
        <v>666</v>
      </c>
      <c r="R667" t="s">
        <v>763</v>
      </c>
      <c r="AG667" s="43"/>
      <c r="AJ667" s="18" t="s">
        <v>328</v>
      </c>
      <c r="AK667" s="1"/>
      <c r="AL667" s="18" t="s">
        <v>329</v>
      </c>
      <c r="AM667"/>
      <c r="AN667"/>
      <c r="AO667" t="s">
        <v>3258</v>
      </c>
      <c r="AP667" s="1" t="s">
        <v>258</v>
      </c>
      <c r="AQ667" s="18" t="s">
        <v>329</v>
      </c>
      <c r="AR667" t="s">
        <v>260</v>
      </c>
      <c r="AS667" s="10"/>
      <c r="AT667" s="10"/>
      <c r="AU667" s="10"/>
      <c r="AV667" s="10"/>
      <c r="AW667" s="10"/>
      <c r="AX667" s="1"/>
      <c r="AY667" s="1"/>
      <c r="AZ667" s="1"/>
      <c r="BA667" s="1"/>
      <c r="BB667" s="1"/>
      <c r="BC667" s="2"/>
      <c r="BD667" s="115">
        <v>45415</v>
      </c>
      <c r="BE667" s="144"/>
      <c r="BF667" s="2"/>
      <c r="BG667" s="2"/>
      <c r="BH667" s="2"/>
      <c r="BI667" s="2"/>
      <c r="BJ667" s="2"/>
      <c r="BK667" s="2"/>
      <c r="BL667" s="20">
        <f ca="1">SUM(EN667)+220</f>
        <v>704.23812499999997</v>
      </c>
      <c r="BM667" s="22">
        <f ca="1">PMT(10%/12,12,BL667,0,0)</f>
        <v>-61.913719580573392</v>
      </c>
      <c r="BN667" s="22">
        <f ca="1">SUM(BM667*-1)</f>
        <v>61.913719580573392</v>
      </c>
      <c r="BO667" s="14">
        <f>SUM(EV667*0.0052)/12</f>
        <v>24.223333333333333</v>
      </c>
      <c r="BP667" s="22">
        <f ca="1">SUM(BN667+BO667)</f>
        <v>86.137052913906729</v>
      </c>
      <c r="BQ667" s="14"/>
      <c r="BR667" s="14">
        <f>SUM(BQ667*0.1)</f>
        <v>0</v>
      </c>
      <c r="BS667" s="14">
        <f ca="1">SUM(BT667*BU667)</f>
        <v>0</v>
      </c>
      <c r="BT667" s="17">
        <f>SUM((BQ667+BR667)*0.00833333333333333)</f>
        <v>0</v>
      </c>
      <c r="BU667" s="23">
        <f ca="1">MONTH(TODAY())+61</f>
        <v>65</v>
      </c>
      <c r="BV667" s="14">
        <f ca="1">SUM(BQ667,BR667,BS667)</f>
        <v>0</v>
      </c>
      <c r="BW667" s="14"/>
      <c r="BX667" s="14">
        <f>SUM(BW667*0.1)</f>
        <v>0</v>
      </c>
      <c r="BY667" s="14">
        <f ca="1">SUM(BZ667*CA667)</f>
        <v>0</v>
      </c>
      <c r="BZ667" s="17">
        <f>SUM((BW667+BX667)*0.00833333333333333)</f>
        <v>0</v>
      </c>
      <c r="CA667" s="23">
        <f ca="1">MONTH(TODAY())+49</f>
        <v>53</v>
      </c>
      <c r="CB667" s="14">
        <f ca="1">SUM(BW667,BX667,BY667)</f>
        <v>0</v>
      </c>
      <c r="CC667" s="14">
        <v>0</v>
      </c>
      <c r="CD667" s="14">
        <f>SUM(CC667*0.1)</f>
        <v>0</v>
      </c>
      <c r="CE667" s="14">
        <f ca="1">SUM(CF667*CG667)</f>
        <v>0</v>
      </c>
      <c r="CF667" s="17">
        <f>SUM((CC667+CD667)*0.00833333333333333)</f>
        <v>0</v>
      </c>
      <c r="CG667" s="23">
        <f ca="1">MONTH(TODAY())+37</f>
        <v>41</v>
      </c>
      <c r="CH667" s="14">
        <f ca="1">SUM(CC667,CD667,CE667)</f>
        <v>0</v>
      </c>
      <c r="CI667" s="14">
        <v>0</v>
      </c>
      <c r="CJ667" s="14">
        <f>SUM(CI667*0.1)</f>
        <v>0</v>
      </c>
      <c r="CK667" s="14">
        <f ca="1">SUM(CL667*CM667)</f>
        <v>0</v>
      </c>
      <c r="CL667" s="17">
        <f>SUM((CI667+CJ667)*0.00833333333333333)</f>
        <v>0</v>
      </c>
      <c r="CM667" s="23">
        <f ca="1">MONTH(TODAY())+25</f>
        <v>29</v>
      </c>
      <c r="CN667" s="14">
        <f ca="1">SUM(CI667,CJ667,CK667)</f>
        <v>0</v>
      </c>
      <c r="CO667" s="14">
        <v>0</v>
      </c>
      <c r="CP667" s="14">
        <f>SUM(CO667*0.1)</f>
        <v>0</v>
      </c>
      <c r="CQ667" s="14">
        <f ca="1">SUM(CR667*CS667)</f>
        <v>0</v>
      </c>
      <c r="CR667" s="17">
        <f>SUM((CO667+CP667)*0.00833333333333333)</f>
        <v>0</v>
      </c>
      <c r="CS667" s="23">
        <f ca="1">MONTH(TODAY())+17</f>
        <v>21</v>
      </c>
      <c r="CT667" s="23">
        <f ca="1">SUM(CO667,CP667,CQ667)</f>
        <v>0</v>
      </c>
      <c r="CU667" s="14">
        <f>9.42</f>
        <v>9.42</v>
      </c>
      <c r="CV667" s="14">
        <f>SUM(CU667*0.1)</f>
        <v>0.94200000000000006</v>
      </c>
      <c r="CW667" s="14">
        <f ca="1">SUM(CX667*CY667)</f>
        <v>1.4679499999999994</v>
      </c>
      <c r="CX667" s="17">
        <f>SUM((CU667+CV667)*0.00833333333333333)</f>
        <v>8.6349999999999968E-2</v>
      </c>
      <c r="CY667" s="23">
        <f ca="1">MONTH(TODAY())+13</f>
        <v>17</v>
      </c>
      <c r="CZ667" s="23">
        <f ca="1">SUM(CU667,CV667,CW667)</f>
        <v>11.82995</v>
      </c>
      <c r="DA667" s="14">
        <f>8.16</f>
        <v>8.16</v>
      </c>
      <c r="DB667" s="14">
        <f>SUM(DA667*0.1)</f>
        <v>0.81600000000000006</v>
      </c>
      <c r="DC667" s="14">
        <f ca="1">SUM(DD667*DE667)</f>
        <v>0.82279999999999975</v>
      </c>
      <c r="DD667" s="17">
        <f>SUM((DA667+DB667)*0.00833333333333333)</f>
        <v>7.4799999999999978E-2</v>
      </c>
      <c r="DE667" s="23">
        <f ca="1">MONTH(TODAY())+7</f>
        <v>11</v>
      </c>
      <c r="DF667" s="23">
        <f ca="1">SUM(DA667,DB667,DC667)</f>
        <v>9.7988</v>
      </c>
      <c r="DG667" s="14">
        <f>8.15+235.24</f>
        <v>243.39000000000001</v>
      </c>
      <c r="DH667" s="14">
        <f>SUM(DG667*0.1)</f>
        <v>24.339000000000002</v>
      </c>
      <c r="DI667" s="14">
        <f ca="1">SUM(DJ667*DK667)</f>
        <v>11.155374999999996</v>
      </c>
      <c r="DJ667" s="17">
        <f>SUM((DG667+DH667)*0.00833333333333333)</f>
        <v>2.2310749999999993</v>
      </c>
      <c r="DK667" s="23">
        <f ca="1">MONTH(TODAY())+1</f>
        <v>5</v>
      </c>
      <c r="DL667" s="14">
        <f ca="1">SUM(DG667,DH667,DI667)</f>
        <v>278.88437500000003</v>
      </c>
      <c r="DM667" s="14">
        <f>SUM(EV667*0.0045)/2</f>
        <v>125.77499999999999</v>
      </c>
      <c r="DN667" s="14">
        <f>0</f>
        <v>0</v>
      </c>
      <c r="DO667" s="14">
        <f>0</f>
        <v>0</v>
      </c>
      <c r="DP667" s="17">
        <f>SUM((DM667+DN667)*0.00833333333333333)</f>
        <v>1.0481249999999995</v>
      </c>
      <c r="DQ667" s="23">
        <f ca="1">MONTH(TODAY())+7</f>
        <v>11</v>
      </c>
      <c r="DR667" s="23">
        <f>SUM(DM667,DN667,DO667)</f>
        <v>125.77499999999999</v>
      </c>
      <c r="DS667" s="14">
        <f>0</f>
        <v>0</v>
      </c>
      <c r="DT667" s="14">
        <f>0</f>
        <v>0</v>
      </c>
      <c r="DU667" s="14">
        <f ca="1">SUM(DV667*DW667)</f>
        <v>0</v>
      </c>
      <c r="DV667" s="17">
        <f>SUM((DS667+DT667)*0.00833333333333333)</f>
        <v>0</v>
      </c>
      <c r="DW667" s="23">
        <f ca="1">MONTH(TODAY())+1</f>
        <v>5</v>
      </c>
      <c r="DX667" s="14">
        <f ca="1">SUM(DS667,DT667,DU667)</f>
        <v>0</v>
      </c>
      <c r="DY667" s="14">
        <f>SUM( BQ667, BW667, CC667, CI667, CO667,CU667,DA667,DG667,DM667,DS667)</f>
        <v>386.745</v>
      </c>
      <c r="DZ667" s="14">
        <f>SUM(BR667,BX667,CD667,CJ667, CP667,CV667,DB667,DH667,DN667,DT667)</f>
        <v>26.097000000000001</v>
      </c>
      <c r="EA667" s="14">
        <f ca="1">SUM(BS667,BY667,CE667,CK667, CQ667,CW667,DC667,DI667,DO667,DU667)</f>
        <v>13.446124999999995</v>
      </c>
      <c r="EB667" s="25">
        <f ca="1">SUM(DY667:EA667)</f>
        <v>426.28812499999998</v>
      </c>
      <c r="EC667" s="47">
        <f ca="1">SUM(EB667/ES667)</f>
        <v>9.7548770022883296E-3</v>
      </c>
      <c r="ED667" s="14">
        <f>20+10</f>
        <v>30</v>
      </c>
      <c r="EE667" s="32">
        <f>COUNTIF(AO667, "*")+COUNTIF(AJ667, "*")+COUNTIF(AA667, "*")+COUNTIF(FG667, "*")+COUNTIF(FM667, "*")+COUNTIF(FS667, "*")+COUNTIF(FW667, "*")+COUNTIF(GD667, "*")+COUNTIF(AT667, "*")+COUNTIF(GM667, "*")+COUNTIF(GX667, "*")+COUNTIF(HI667, "*")+COUNTIF(HQ667, "*")+COUNTIF(HY667, "*")+COUNTIF(IG667, "*")</f>
        <v>2</v>
      </c>
      <c r="EF667" s="14">
        <f>EE667*0.64</f>
        <v>1.28</v>
      </c>
      <c r="EG667" s="4"/>
      <c r="EH667" s="4">
        <v>26.67</v>
      </c>
      <c r="EI667" s="4"/>
      <c r="EJ667" s="4"/>
      <c r="EL667" s="4"/>
      <c r="EM667" s="14">
        <f>SUM(EH667:EL667)</f>
        <v>26.67</v>
      </c>
      <c r="EN667" s="14">
        <f ca="1">SUM(EB667,ED667,EM667, EG667, EF667,GJ667)</f>
        <v>484.23812499999997</v>
      </c>
      <c r="EO667" s="24" t="s">
        <v>4935</v>
      </c>
      <c r="EP667" s="23">
        <v>12.08</v>
      </c>
      <c r="EQ667" s="14">
        <v>43700</v>
      </c>
      <c r="ER667" s="14">
        <v>0</v>
      </c>
      <c r="ES667" s="14">
        <f>SUM(EQ667+ER667)</f>
        <v>43700</v>
      </c>
      <c r="ET667" s="14">
        <v>55900</v>
      </c>
      <c r="EU667" s="14">
        <v>0</v>
      </c>
      <c r="EV667" s="14">
        <f>SUM(ET667+EU667)</f>
        <v>55900</v>
      </c>
      <c r="EW667" s="10"/>
      <c r="EX667" s="10"/>
      <c r="EY667" s="10"/>
      <c r="EZ667" s="10"/>
      <c r="FA667" s="10"/>
      <c r="FB667" s="10"/>
      <c r="FC667" s="10"/>
      <c r="FD667" s="10"/>
      <c r="GJ667" s="4"/>
      <c r="IK667" s="9"/>
      <c r="IV667" s="4"/>
      <c r="IW667" s="4"/>
      <c r="IX667" s="4"/>
      <c r="IY667" s="9"/>
      <c r="IZ667" s="9"/>
      <c r="JA667" s="9"/>
      <c r="JB667" s="9"/>
      <c r="JC667" s="9"/>
    </row>
    <row r="668" spans="1:263" ht="15" customHeight="1">
      <c r="A668" s="19">
        <v>102023154</v>
      </c>
      <c r="B668" s="18" t="s">
        <v>4980</v>
      </c>
      <c r="D668" s="1"/>
      <c r="E668" s="3"/>
      <c r="G668" s="3"/>
      <c r="J668" s="18" t="s">
        <v>554</v>
      </c>
      <c r="K668" s="18" t="s">
        <v>4981</v>
      </c>
      <c r="L668" s="18" t="s">
        <v>776</v>
      </c>
      <c r="M668" s="18" t="s">
        <v>326</v>
      </c>
      <c r="N668" s="18"/>
      <c r="O668" s="19"/>
      <c r="P668" s="18" t="s">
        <v>4981</v>
      </c>
      <c r="Q668" s="18" t="s">
        <v>4982</v>
      </c>
      <c r="R668" s="18" t="s">
        <v>401</v>
      </c>
      <c r="S668" s="18"/>
      <c r="AG668" s="43" t="s">
        <v>4983</v>
      </c>
      <c r="AK668" s="1"/>
      <c r="AM668"/>
      <c r="AN668"/>
      <c r="AO668" t="s">
        <v>4984</v>
      </c>
      <c r="AP668" s="1" t="s">
        <v>258</v>
      </c>
      <c r="AQ668" t="s">
        <v>329</v>
      </c>
      <c r="AR668" t="s">
        <v>260</v>
      </c>
      <c r="AS668" s="10"/>
      <c r="AT668" s="10"/>
      <c r="AU668" s="10"/>
      <c r="AV668" s="10"/>
      <c r="AW668" s="10"/>
      <c r="AX668" s="1"/>
      <c r="AY668" s="1"/>
      <c r="AZ668" s="1"/>
      <c r="BA668" s="1"/>
      <c r="BB668" s="1"/>
      <c r="BC668" s="2"/>
      <c r="BD668" s="115"/>
      <c r="BE668" s="115"/>
      <c r="BF668" s="2"/>
      <c r="BG668" s="2"/>
      <c r="BH668" s="2"/>
      <c r="BI668" s="2"/>
      <c r="BJ668" s="2"/>
      <c r="BK668" s="2"/>
      <c r="BL668" s="20">
        <f ca="1">SUM(EB668)+220</f>
        <v>2972.4319999999998</v>
      </c>
      <c r="BM668" s="22">
        <f ca="1">PMT(10%/12,12,BL668,0,0)</f>
        <v>-261.32399651087184</v>
      </c>
      <c r="BN668" s="22">
        <f ca="1">SUM(BM668*-1)</f>
        <v>261.32399651087184</v>
      </c>
      <c r="BO668" s="14">
        <f>SUM(EJ668*0.0052)/12</f>
        <v>69.63666666666667</v>
      </c>
      <c r="BP668" s="22">
        <f ca="1">SUM(BN668+BO668)</f>
        <v>330.96066317753849</v>
      </c>
      <c r="BQ668" s="14"/>
      <c r="BR668" s="14">
        <f>SUM(BQ668*0.1)</f>
        <v>0</v>
      </c>
      <c r="BS668" s="14">
        <f ca="1">SUM(BT668*BU668)</f>
        <v>0</v>
      </c>
      <c r="BT668" s="17">
        <f>SUM((BQ668+BR668)*0.00833333333333333)</f>
        <v>0</v>
      </c>
      <c r="BU668" s="23">
        <f ca="1">MONTH(TODAY())+61</f>
        <v>65</v>
      </c>
      <c r="BV668" s="14">
        <f ca="1">SUM(BQ668,BR668,BS668)</f>
        <v>0</v>
      </c>
      <c r="BW668" s="14"/>
      <c r="BX668" s="14">
        <f>SUM(BW668*0.1)</f>
        <v>0</v>
      </c>
      <c r="BY668" s="14">
        <f ca="1">SUM(BZ668*CA668)</f>
        <v>0</v>
      </c>
      <c r="BZ668" s="17">
        <f>SUM((BW668+BX668)*0.00833333333333333)</f>
        <v>0</v>
      </c>
      <c r="CA668" s="23">
        <f ca="1">MONTH(TODAY())+49</f>
        <v>53</v>
      </c>
      <c r="CB668" s="14">
        <f ca="1">SUM(BW668,BX668,BY668)</f>
        <v>0</v>
      </c>
      <c r="CC668" s="14">
        <v>0</v>
      </c>
      <c r="CD668" s="14">
        <f>SUM(CC668*0.1)</f>
        <v>0</v>
      </c>
      <c r="CE668" s="14">
        <f ca="1">SUM(CF668*CG668)</f>
        <v>0</v>
      </c>
      <c r="CF668" s="17">
        <f>SUM((CC668+CD668)*0.00833333333333333)</f>
        <v>0</v>
      </c>
      <c r="CG668" s="23">
        <f ca="1">MONTH(TODAY())+37</f>
        <v>41</v>
      </c>
      <c r="CH668" s="14">
        <f ca="1">SUM(CC668,CD668,CE668)</f>
        <v>0</v>
      </c>
      <c r="CI668" s="14">
        <f>SUM(EG668*0.0052)</f>
        <v>517.4</v>
      </c>
      <c r="CJ668" s="14">
        <f>SUM(CI668*0.1)</f>
        <v>51.74</v>
      </c>
      <c r="CK668" s="14">
        <f ca="1">SUM(CL668*CM668)</f>
        <v>137.54216666666659</v>
      </c>
      <c r="CL668" s="17">
        <f>SUM((CI668+CJ668)*0.00833333333333333)</f>
        <v>4.7428333333333308</v>
      </c>
      <c r="CM668" s="23">
        <f ca="1">MONTH(TODAY())+25</f>
        <v>29</v>
      </c>
      <c r="CN668" s="14">
        <f ca="1">SUM(CI668,CJ668,CK668)</f>
        <v>706.6821666666666</v>
      </c>
      <c r="CO668" s="14">
        <f>SUM(EG668*0.0052)/2</f>
        <v>258.7</v>
      </c>
      <c r="CP668" s="14">
        <f>SUM(CO668*0.1)</f>
        <v>25.87</v>
      </c>
      <c r="CQ668" s="14">
        <f ca="1">SUM(CR668*CS668)</f>
        <v>49.799749999999975</v>
      </c>
      <c r="CR668" s="17">
        <f>SUM((CO668+CP668)*0.00833333333333333)</f>
        <v>2.3714166666666654</v>
      </c>
      <c r="CS668" s="23">
        <f ca="1">MONTH(TODAY())+17</f>
        <v>21</v>
      </c>
      <c r="CT668" s="23">
        <f ca="1">SUM(CO668,CP668,CQ668)</f>
        <v>334.36974999999995</v>
      </c>
      <c r="CU668" s="14">
        <f>SUM(EG668*0.0052)/2</f>
        <v>258.7</v>
      </c>
      <c r="CV668" s="14">
        <f>SUM(CU668*0.1)</f>
        <v>25.87</v>
      </c>
      <c r="CW668" s="14">
        <f ca="1">SUM(CX668*CY668)</f>
        <v>40.314083333333315</v>
      </c>
      <c r="CX668" s="17">
        <f>SUM((CU668+CV668)*0.00833333333333333)</f>
        <v>2.3714166666666654</v>
      </c>
      <c r="CY668" s="23">
        <f ca="1">MONTH(TODAY())+13</f>
        <v>17</v>
      </c>
      <c r="CZ668" s="23">
        <f ca="1">SUM(CU668,CV668,CW668)</f>
        <v>324.88408333333331</v>
      </c>
      <c r="DA668" s="14">
        <f>SUM(EJ668*0.0045)/2</f>
        <v>361.57499999999999</v>
      </c>
      <c r="DB668" s="14">
        <f>SUM(DA668*0.1)</f>
        <v>36.157499999999999</v>
      </c>
      <c r="DC668" s="14">
        <f ca="1">SUM(DD668*DE668)</f>
        <v>36.458812499999979</v>
      </c>
      <c r="DD668" s="17">
        <f>SUM((DA668+DB668)*0.00833333333333333)</f>
        <v>3.3144374999999981</v>
      </c>
      <c r="DE668" s="23">
        <f ca="1">MONTH(TODAY())+7</f>
        <v>11</v>
      </c>
      <c r="DF668" s="23">
        <f ca="1">SUM(DA668,DB668,DC668)</f>
        <v>434.19131249999992</v>
      </c>
      <c r="DG668" s="14">
        <f>SUM(EJ668*0.0045)/2</f>
        <v>361.57499999999999</v>
      </c>
      <c r="DH668" s="14">
        <f>SUM(DG668*0.1)</f>
        <v>36.157499999999999</v>
      </c>
      <c r="DI668" s="14">
        <f ca="1">SUM(DJ668*DK668)</f>
        <v>16.572187499999991</v>
      </c>
      <c r="DJ668" s="17">
        <f>SUM((DG668+DH668)*0.00833333333333333)</f>
        <v>3.3144374999999981</v>
      </c>
      <c r="DK668" s="23">
        <f ca="1">MONTH(TODAY())+1</f>
        <v>5</v>
      </c>
      <c r="DL668" s="14">
        <f ca="1">SUM(DG668,DH668,DI668)</f>
        <v>414.30468749999994</v>
      </c>
      <c r="DM668" s="14">
        <f>SUM( BQ668, BW668, CC668, CI668, CO668,CU668,DA668,DG668)</f>
        <v>1757.95</v>
      </c>
      <c r="DN668" s="14">
        <f>SUM(BR668,BX668,CD668,CJ668, CP668,CV668,DB668,DH668)</f>
        <v>175.79499999999999</v>
      </c>
      <c r="DO668" s="14">
        <f ca="1">SUM(BS668,BY668,CE668,CK668, CQ668,CW668,DC668,DI668)</f>
        <v>280.68699999999984</v>
      </c>
      <c r="DP668" s="25">
        <f ca="1">SUM(DM668:DO668)</f>
        <v>2214.4319999999998</v>
      </c>
      <c r="DQ668" s="47">
        <f ca="1">SUM(DP668/EG668)</f>
        <v>2.2255597989949746E-2</v>
      </c>
      <c r="DR668" s="14">
        <f>20+60+200</f>
        <v>280</v>
      </c>
      <c r="DS668" s="32">
        <f>COUNTIF(AO668, "*")+COUNTIF(AJ668, "*")+COUNTIF(AA668, "*")+COUNTIF(EU668, "*")+COUNTIF(FA668, "*")+COUNTIF(FG668, "*")+COUNTIF(FK668, "*")+COUNTIF(FR668, "*")+COUNTIF(AT668, "*")+COUNTIF(GA668, "*")+COUNTIF(GL668, "*")+COUNTIF(GW668, "*")+COUNTIF(HE668, "*")+COUNTIF(HM668, "*")+COUNTIF(HU668, "*")</f>
        <v>1</v>
      </c>
      <c r="DT668" s="14">
        <f>DS668*8</f>
        <v>8</v>
      </c>
      <c r="DU668" s="4">
        <v>250</v>
      </c>
      <c r="DV668" s="4"/>
      <c r="DW668" s="4"/>
      <c r="DX668" s="4"/>
      <c r="DZ668" s="4"/>
      <c r="EA668" s="14">
        <f>SUM(DV668:DZ668)</f>
        <v>0</v>
      </c>
      <c r="EB668" s="14">
        <f ca="1">SUM(DP668,DR668,EA668, DU668, DT668,FX668)</f>
        <v>2752.4319999999998</v>
      </c>
      <c r="EC668" s="24" t="s">
        <v>3879</v>
      </c>
      <c r="ED668" s="130">
        <v>3.96</v>
      </c>
      <c r="EE668" s="14">
        <v>30800</v>
      </c>
      <c r="EF668" s="14">
        <v>68700</v>
      </c>
      <c r="EG668" s="14">
        <f>SUM(EE668+EF668)</f>
        <v>99500</v>
      </c>
      <c r="EH668" s="14">
        <v>30800</v>
      </c>
      <c r="EI668" s="14">
        <v>129900</v>
      </c>
      <c r="EJ668" s="14">
        <f>SUM(EH668+EI668)</f>
        <v>160700</v>
      </c>
      <c r="EK668" s="10"/>
      <c r="EL668" s="10"/>
      <c r="EM668" s="10"/>
      <c r="EN668" s="10"/>
      <c r="EO668" s="10"/>
      <c r="EP668" s="10"/>
      <c r="EQ668" s="10"/>
      <c r="ER668" s="10"/>
      <c r="FO668" s="9"/>
      <c r="FV668" s="9"/>
      <c r="FX668" s="4"/>
      <c r="HY668" s="9"/>
      <c r="IJ668" s="14">
        <f ca="1">SUM(HZ668-EB668-FX668-IH668)</f>
        <v>-2752.4319999999998</v>
      </c>
      <c r="IK668" s="14"/>
      <c r="IL668" s="14"/>
      <c r="IM668" s="9"/>
      <c r="IN668" s="9"/>
      <c r="IO668" s="9"/>
      <c r="IP668" s="9"/>
      <c r="IQ668" s="9"/>
    </row>
    <row r="669" spans="1:263" ht="15" customHeight="1">
      <c r="A669" s="2">
        <v>102018051</v>
      </c>
      <c r="B669" s="4" t="s">
        <v>1187</v>
      </c>
      <c r="C669" s="3"/>
      <c r="D669" s="3"/>
      <c r="E669" s="3"/>
      <c r="F669" s="3"/>
      <c r="J669" t="s">
        <v>311</v>
      </c>
      <c r="K669" t="s">
        <v>1186</v>
      </c>
      <c r="L669" t="s">
        <v>392</v>
      </c>
      <c r="M669" t="s">
        <v>1139</v>
      </c>
      <c r="O669" s="1"/>
      <c r="T669" s="1"/>
      <c r="AJ669" s="4"/>
      <c r="AK669" s="4"/>
      <c r="AO669" s="4"/>
      <c r="AP669" s="5"/>
      <c r="AQ669" s="34"/>
      <c r="AS669" s="5"/>
      <c r="AT669" s="5"/>
      <c r="AU669" s="1"/>
      <c r="AV669" s="1"/>
      <c r="AW669" s="1"/>
      <c r="AX669" s="1"/>
      <c r="AY669" s="1"/>
      <c r="AZ669" s="15"/>
      <c r="BA669" s="1"/>
      <c r="BB669" s="1"/>
      <c r="BC669" s="1"/>
      <c r="BD669" s="1"/>
      <c r="BE669" s="1"/>
      <c r="BF669" s="1"/>
      <c r="BG669" s="5"/>
      <c r="BH669" s="16"/>
      <c r="BI669" s="16"/>
      <c r="BK669" s="4"/>
      <c r="BL669" s="4"/>
      <c r="BM669" s="6"/>
      <c r="BN669" s="7"/>
      <c r="BO669" s="4"/>
      <c r="BQ669" s="4"/>
      <c r="BR669" s="4"/>
      <c r="BS669" s="6"/>
      <c r="BT669" s="7"/>
      <c r="BU669" s="4"/>
      <c r="BW669" s="4"/>
      <c r="BX669" s="4"/>
      <c r="BY669" s="6"/>
      <c r="BZ669" s="7"/>
      <c r="CA669" s="4"/>
      <c r="CB669" s="4"/>
      <c r="CC669" s="4"/>
      <c r="CD669" s="4"/>
      <c r="CE669" s="6"/>
      <c r="CF669" s="7"/>
      <c r="CG669" s="4"/>
      <c r="CH669" s="6"/>
      <c r="CI669" s="4"/>
      <c r="CJ669" s="4"/>
      <c r="CK669" s="6"/>
      <c r="CL669" s="7"/>
      <c r="CM669" s="4"/>
      <c r="CN669" s="4"/>
      <c r="CO669" s="4"/>
      <c r="CP669" s="4"/>
      <c r="CQ669" s="6"/>
      <c r="CR669" s="7"/>
      <c r="CS669" s="4"/>
      <c r="CT669" s="4"/>
      <c r="CU669" s="4"/>
      <c r="CV669" s="4"/>
      <c r="CW669" s="6"/>
      <c r="CX669" s="7"/>
      <c r="CY669" s="4"/>
      <c r="CZ669" s="4"/>
      <c r="DA669" s="4"/>
      <c r="DB669" s="4"/>
      <c r="DC669" s="6"/>
      <c r="DD669" s="7"/>
      <c r="DE669" s="4"/>
      <c r="DF669" s="4"/>
      <c r="DG669" s="4"/>
      <c r="DH669" s="4"/>
      <c r="DI669" s="6"/>
      <c r="DJ669" s="7"/>
      <c r="DK669" s="4"/>
      <c r="DL669" s="4"/>
      <c r="DM669" s="4"/>
      <c r="DN669" s="4"/>
      <c r="DO669" s="4"/>
      <c r="DP669" s="4"/>
      <c r="DR669" s="4"/>
      <c r="DS669" s="4"/>
      <c r="DT669" s="4"/>
      <c r="DU669" s="4"/>
      <c r="DV669" s="4"/>
      <c r="DW669" s="4"/>
      <c r="DX669" s="4"/>
      <c r="DY669" s="7"/>
      <c r="DZ669" s="4"/>
      <c r="EA669" s="4"/>
      <c r="EB669" s="34"/>
      <c r="EC669" s="4"/>
      <c r="ED669" s="4"/>
      <c r="EM669" s="11"/>
      <c r="ES669" s="11"/>
      <c r="ET669" s="11"/>
      <c r="EU669" s="4"/>
      <c r="EV669" s="4"/>
      <c r="EW669" s="4"/>
      <c r="EX669" s="4"/>
      <c r="EY669" s="4"/>
      <c r="EZ669" s="4"/>
      <c r="FA669" s="4"/>
      <c r="FB669" s="4"/>
      <c r="FC669" s="4"/>
      <c r="FD669" s="4"/>
      <c r="FE669" s="4"/>
      <c r="FF669" s="4"/>
      <c r="FG669" s="4"/>
      <c r="FH669" s="4"/>
      <c r="FL669" s="9"/>
      <c r="FU669" s="9"/>
      <c r="GE669" s="10"/>
      <c r="GO669" s="10"/>
      <c r="HD669" s="9"/>
    </row>
    <row r="670" spans="1:263" ht="15" customHeight="1">
      <c r="A670" s="19">
        <v>102022086</v>
      </c>
      <c r="B670" t="s">
        <v>1187</v>
      </c>
      <c r="D670" s="1"/>
      <c r="J670" t="s">
        <v>311</v>
      </c>
      <c r="K670" t="s">
        <v>1186</v>
      </c>
      <c r="L670" t="s">
        <v>3083</v>
      </c>
      <c r="AG670" s="248"/>
      <c r="AJ670" s="18" t="s">
        <v>328</v>
      </c>
      <c r="AL670" t="s">
        <v>329</v>
      </c>
      <c r="AO670" t="s">
        <v>773</v>
      </c>
      <c r="AP670" s="1" t="s">
        <v>258</v>
      </c>
      <c r="AQ670" s="3" t="s">
        <v>386</v>
      </c>
      <c r="AR670" s="3" t="s">
        <v>260</v>
      </c>
      <c r="AS670" s="1"/>
      <c r="AT670" s="1"/>
      <c r="AU670" s="1"/>
      <c r="AV670" s="1"/>
      <c r="AW670" s="1"/>
      <c r="AX670" s="2"/>
      <c r="AY670" s="116"/>
      <c r="AZ670" s="115"/>
      <c r="BA670" s="2"/>
      <c r="BB670" s="2"/>
      <c r="BC670" s="2"/>
      <c r="BD670" s="2"/>
      <c r="BE670" s="2"/>
      <c r="BF670" s="2"/>
      <c r="BG670" s="20"/>
      <c r="BH670" s="22"/>
      <c r="BI670" s="22"/>
      <c r="BJ670" s="14"/>
      <c r="BK670" s="22"/>
      <c r="BL670" s="14"/>
      <c r="BM670" s="14"/>
      <c r="BN670" s="14"/>
      <c r="BO670" s="17"/>
      <c r="BP670" s="23"/>
      <c r="BQ670" s="14"/>
      <c r="BR670" s="14"/>
      <c r="BS670" s="14"/>
      <c r="BT670" s="14"/>
      <c r="BU670" s="17"/>
      <c r="BV670" s="23"/>
      <c r="BW670" s="14"/>
      <c r="BX670" s="14"/>
      <c r="BY670" s="14"/>
      <c r="BZ670" s="14"/>
      <c r="CA670" s="17"/>
      <c r="CB670" s="23"/>
      <c r="CC670" s="14"/>
      <c r="CD670" s="14"/>
      <c r="CE670" s="14"/>
      <c r="CF670" s="14"/>
      <c r="CG670" s="17"/>
      <c r="CH670" s="23"/>
      <c r="CI670" s="14"/>
      <c r="CJ670" s="14"/>
      <c r="CK670" s="14"/>
      <c r="CL670" s="14"/>
      <c r="CM670" s="17"/>
      <c r="CN670" s="23"/>
      <c r="CO670" s="14"/>
      <c r="CP670" s="14"/>
      <c r="CQ670" s="14"/>
      <c r="CR670" s="14"/>
      <c r="CS670" s="14"/>
      <c r="CT670" s="47"/>
      <c r="CU670" s="14"/>
      <c r="CV670" s="32"/>
      <c r="CW670" s="14"/>
      <c r="CX670" s="4"/>
      <c r="CY670" s="14"/>
      <c r="CZ670" s="4"/>
      <c r="DE670" s="14"/>
      <c r="DF670" s="24"/>
      <c r="DG670" s="4"/>
      <c r="DH670" s="4"/>
      <c r="DI670" s="25"/>
      <c r="DJ670" s="35">
        <v>21.777000000000001</v>
      </c>
      <c r="IC670" s="4"/>
      <c r="JA670" s="18"/>
      <c r="JB670" s="18"/>
      <c r="JC670" s="18"/>
    </row>
    <row r="671" spans="1:263" ht="15" customHeight="1">
      <c r="A671" s="19">
        <v>102022087</v>
      </c>
      <c r="B671" t="s">
        <v>2830</v>
      </c>
      <c r="D671" s="1"/>
      <c r="J671" t="s">
        <v>311</v>
      </c>
      <c r="K671" t="s">
        <v>1186</v>
      </c>
      <c r="L671" t="s">
        <v>3083</v>
      </c>
      <c r="AG671" s="248"/>
      <c r="AJ671" s="18" t="s">
        <v>328</v>
      </c>
      <c r="AL671" t="s">
        <v>329</v>
      </c>
      <c r="AO671" t="s">
        <v>773</v>
      </c>
      <c r="AP671" s="1" t="s">
        <v>258</v>
      </c>
      <c r="AQ671" s="3" t="s">
        <v>386</v>
      </c>
      <c r="AR671" s="3" t="s">
        <v>260</v>
      </c>
      <c r="AS671" s="1"/>
      <c r="AT671" s="1"/>
      <c r="AU671" s="1"/>
      <c r="AV671" s="1"/>
      <c r="AW671" s="1"/>
      <c r="AX671" s="2"/>
      <c r="AY671" s="116"/>
      <c r="AZ671" s="115"/>
      <c r="BA671" s="2"/>
      <c r="BB671" s="2"/>
      <c r="BC671" s="2"/>
      <c r="BD671" s="2"/>
      <c r="BE671" s="2"/>
      <c r="BF671" s="2"/>
      <c r="BG671" s="20"/>
      <c r="BH671" s="22"/>
      <c r="BI671" s="22"/>
      <c r="BJ671" s="14"/>
      <c r="BK671" s="22"/>
      <c r="BL671" s="14"/>
      <c r="BM671" s="14"/>
      <c r="BN671" s="14"/>
      <c r="BO671" s="17"/>
      <c r="BP671" s="23"/>
      <c r="BQ671" s="14"/>
      <c r="BR671" s="14"/>
      <c r="BS671" s="14"/>
      <c r="BT671" s="14"/>
      <c r="BU671" s="17"/>
      <c r="BV671" s="23"/>
      <c r="BW671" s="14"/>
      <c r="BX671" s="14"/>
      <c r="BY671" s="14"/>
      <c r="BZ671" s="14"/>
      <c r="CA671" s="17"/>
      <c r="CB671" s="23"/>
      <c r="CC671" s="14"/>
      <c r="CD671" s="14"/>
      <c r="CE671" s="14"/>
      <c r="CF671" s="14"/>
      <c r="CG671" s="17"/>
      <c r="CH671" s="23"/>
      <c r="CI671" s="14"/>
      <c r="CJ671" s="14"/>
      <c r="CK671" s="14"/>
      <c r="CL671" s="14"/>
      <c r="CM671" s="17"/>
      <c r="CN671" s="23"/>
      <c r="CO671" s="14"/>
      <c r="CP671" s="14"/>
      <c r="CQ671" s="14"/>
      <c r="CR671" s="14"/>
      <c r="CS671" s="14"/>
      <c r="CT671" s="47"/>
      <c r="CU671" s="14"/>
      <c r="CV671" s="32"/>
      <c r="CW671" s="14"/>
      <c r="CX671" s="4"/>
      <c r="CY671" s="14"/>
      <c r="CZ671" s="4"/>
      <c r="DE671" s="14"/>
      <c r="DF671" s="24"/>
      <c r="DG671" s="4"/>
      <c r="DH671" s="4"/>
      <c r="DI671" s="25"/>
      <c r="DJ671" s="35">
        <v>57.12</v>
      </c>
      <c r="IC671" s="4"/>
      <c r="IL671" s="240"/>
      <c r="IM671" s="240"/>
      <c r="IN671" s="240"/>
      <c r="IO671" s="240"/>
      <c r="IP671" s="240"/>
      <c r="IQ671" s="240"/>
      <c r="IR671" s="240"/>
      <c r="IS671" s="240"/>
      <c r="IT671" s="240"/>
      <c r="IU671" s="240"/>
      <c r="IV671" s="240"/>
      <c r="IW671" s="240"/>
      <c r="IX671" s="240"/>
      <c r="IY671" s="240"/>
    </row>
    <row r="672" spans="1:263" ht="15" customHeight="1">
      <c r="A672" s="19">
        <v>102022088</v>
      </c>
      <c r="B672" t="s">
        <v>2831</v>
      </c>
      <c r="D672" s="1"/>
      <c r="J672" t="s">
        <v>311</v>
      </c>
      <c r="K672" t="s">
        <v>1186</v>
      </c>
      <c r="L672" t="s">
        <v>3083</v>
      </c>
      <c r="AG672" s="248"/>
      <c r="AJ672" s="18" t="s">
        <v>328</v>
      </c>
      <c r="AL672" t="s">
        <v>329</v>
      </c>
      <c r="AO672" t="s">
        <v>773</v>
      </c>
      <c r="AP672" s="1" t="s">
        <v>258</v>
      </c>
      <c r="AQ672" s="3" t="s">
        <v>386</v>
      </c>
      <c r="AR672" s="3" t="s">
        <v>260</v>
      </c>
      <c r="AS672" s="1"/>
      <c r="AT672" s="1"/>
      <c r="AU672" s="1"/>
      <c r="AV672" s="1"/>
      <c r="AW672" s="1"/>
      <c r="AX672" s="2"/>
      <c r="AY672" s="116"/>
      <c r="AZ672" s="115"/>
      <c r="BA672" s="2"/>
      <c r="BB672" s="2"/>
      <c r="BC672" s="2"/>
      <c r="BD672" s="2"/>
      <c r="BE672" s="2"/>
      <c r="BF672" s="2"/>
      <c r="BG672" s="20"/>
      <c r="BH672" s="22"/>
      <c r="BI672" s="22"/>
      <c r="BJ672" s="14"/>
      <c r="BK672" s="22"/>
      <c r="BL672" s="14"/>
      <c r="BM672" s="14"/>
      <c r="BN672" s="14"/>
      <c r="BO672" s="17"/>
      <c r="BP672" s="23"/>
      <c r="BQ672" s="14"/>
      <c r="BR672" s="14"/>
      <c r="BS672" s="14"/>
      <c r="BT672" s="14"/>
      <c r="BU672" s="17"/>
      <c r="BV672" s="23"/>
      <c r="BW672" s="14"/>
      <c r="BX672" s="14"/>
      <c r="BY672" s="14"/>
      <c r="BZ672" s="14"/>
      <c r="CA672" s="17"/>
      <c r="CB672" s="23"/>
      <c r="CC672" s="14"/>
      <c r="CD672" s="14"/>
      <c r="CE672" s="14"/>
      <c r="CF672" s="14"/>
      <c r="CG672" s="17"/>
      <c r="CH672" s="23"/>
      <c r="CI672" s="14"/>
      <c r="CJ672" s="14"/>
      <c r="CK672" s="14"/>
      <c r="CL672" s="14"/>
      <c r="CM672" s="17"/>
      <c r="CN672" s="23"/>
      <c r="CO672" s="14"/>
      <c r="CP672" s="14"/>
      <c r="CQ672" s="14"/>
      <c r="CR672" s="14"/>
      <c r="CS672" s="14"/>
      <c r="CT672" s="47"/>
      <c r="CU672" s="14"/>
      <c r="CV672" s="32"/>
      <c r="CW672" s="14"/>
      <c r="CX672" s="4"/>
      <c r="CY672" s="14"/>
      <c r="CZ672" s="4"/>
      <c r="DE672" s="14"/>
      <c r="DF672" s="24"/>
      <c r="DG672" s="4"/>
      <c r="DH672" s="4"/>
      <c r="DI672" s="25"/>
      <c r="DJ672" s="35">
        <v>190.45</v>
      </c>
      <c r="IC672" s="4"/>
    </row>
    <row r="673" spans="1:263" ht="15" customHeight="1">
      <c r="A673" s="19">
        <v>102022089</v>
      </c>
      <c r="B673" t="s">
        <v>2832</v>
      </c>
      <c r="D673" s="1"/>
      <c r="J673" t="s">
        <v>311</v>
      </c>
      <c r="K673" t="s">
        <v>1186</v>
      </c>
      <c r="L673" t="s">
        <v>3083</v>
      </c>
      <c r="AG673" s="248"/>
      <c r="AJ673" s="18" t="s">
        <v>3088</v>
      </c>
      <c r="AK673" t="s">
        <v>258</v>
      </c>
      <c r="AL673" t="s">
        <v>329</v>
      </c>
      <c r="AM673" s="3" t="s">
        <v>260</v>
      </c>
      <c r="AO673" t="s">
        <v>773</v>
      </c>
      <c r="AP673" s="1" t="s">
        <v>258</v>
      </c>
      <c r="AQ673" s="3" t="s">
        <v>386</v>
      </c>
      <c r="AR673" s="3" t="s">
        <v>260</v>
      </c>
      <c r="AS673" s="1"/>
      <c r="AT673" s="1"/>
      <c r="AU673" s="1"/>
      <c r="AV673" s="1"/>
      <c r="AW673" s="1"/>
      <c r="AX673" s="2"/>
      <c r="AY673" s="116"/>
      <c r="AZ673" s="115"/>
      <c r="BA673" s="2"/>
      <c r="BB673" s="2"/>
      <c r="BC673" s="2"/>
      <c r="BD673" s="2"/>
      <c r="BE673" s="2"/>
      <c r="BF673" s="2"/>
      <c r="BG673" s="20"/>
      <c r="BH673" s="22"/>
      <c r="BI673" s="22"/>
      <c r="BJ673" s="14"/>
      <c r="BK673" s="22"/>
      <c r="BL673" s="14"/>
      <c r="BM673" s="14"/>
      <c r="BN673" s="14"/>
      <c r="BO673" s="17"/>
      <c r="BP673" s="23"/>
      <c r="BQ673" s="14"/>
      <c r="BR673" s="14"/>
      <c r="BS673" s="14"/>
      <c r="BT673" s="14"/>
      <c r="BU673" s="17"/>
      <c r="BV673" s="23"/>
      <c r="BW673" s="14"/>
      <c r="BX673" s="14"/>
      <c r="BY673" s="14"/>
      <c r="BZ673" s="14"/>
      <c r="CA673" s="17"/>
      <c r="CB673" s="23"/>
      <c r="CC673" s="14"/>
      <c r="CD673" s="14"/>
      <c r="CE673" s="14"/>
      <c r="CF673" s="14"/>
      <c r="CG673" s="17"/>
      <c r="CH673" s="23"/>
      <c r="CI673" s="14"/>
      <c r="CJ673" s="14"/>
      <c r="CK673" s="14"/>
      <c r="CL673" s="14"/>
      <c r="CM673" s="17"/>
      <c r="CN673" s="23"/>
      <c r="CO673" s="14"/>
      <c r="CP673" s="14"/>
      <c r="CQ673" s="14"/>
      <c r="CR673" s="14"/>
      <c r="CS673" s="14"/>
      <c r="CT673" s="47"/>
      <c r="CU673" s="14"/>
      <c r="CV673" s="32"/>
      <c r="CW673" s="14"/>
      <c r="CX673" s="4"/>
      <c r="CY673" s="14"/>
      <c r="CZ673" s="4"/>
      <c r="DE673" s="14"/>
      <c r="DF673" s="24"/>
      <c r="DG673" s="4"/>
      <c r="DH673" s="4"/>
      <c r="DI673" s="25"/>
      <c r="DJ673" s="35">
        <v>20.66</v>
      </c>
      <c r="IC673" s="4"/>
      <c r="IZ673" s="18"/>
    </row>
    <row r="674" spans="1:263" ht="15" customHeight="1">
      <c r="A674" s="2">
        <v>102019107</v>
      </c>
      <c r="B674" t="s">
        <v>1509</v>
      </c>
      <c r="E674" s="3" t="s">
        <v>1510</v>
      </c>
      <c r="F674" s="3"/>
      <c r="G674" s="3"/>
      <c r="H674" s="2"/>
      <c r="J674" t="s">
        <v>311</v>
      </c>
      <c r="K674" t="s">
        <v>1511</v>
      </c>
      <c r="L674" t="s">
        <v>1355</v>
      </c>
      <c r="M674" t="s">
        <v>326</v>
      </c>
      <c r="O674" s="1"/>
      <c r="T674" s="1"/>
      <c r="X674" s="1"/>
      <c r="AK674" s="272"/>
      <c r="AN674" s="34"/>
      <c r="AO674" s="4"/>
      <c r="AS674" s="4"/>
      <c r="AT674" s="5"/>
      <c r="AV674" s="3"/>
      <c r="AW674" s="5"/>
      <c r="AX674" s="5"/>
      <c r="AY674" s="1"/>
      <c r="AZ674" s="1"/>
      <c r="BA674" s="1"/>
      <c r="BB674" s="1"/>
      <c r="BC674" s="15"/>
      <c r="BD674" s="1"/>
      <c r="BE674" s="1"/>
      <c r="BF674" s="1"/>
      <c r="BG674" s="1"/>
      <c r="BH674" s="1"/>
      <c r="BI674" s="1"/>
      <c r="BJ674" s="1"/>
      <c r="BK674" s="5"/>
      <c r="BL674" s="16"/>
      <c r="BM674" s="16"/>
      <c r="BN674" s="4"/>
      <c r="BO674" s="4"/>
      <c r="BP674" s="4"/>
      <c r="BQ674" s="6"/>
      <c r="BR674" s="7"/>
      <c r="BS674" s="4"/>
      <c r="BT674" s="4"/>
      <c r="BU674" s="4"/>
      <c r="BV674" s="4"/>
      <c r="BW674" s="6"/>
      <c r="BX674" s="7"/>
      <c r="BY674" s="4"/>
      <c r="BZ674" s="4"/>
      <c r="CA674" s="4"/>
      <c r="CB674" s="4"/>
      <c r="CC674" s="6"/>
      <c r="CD674" s="7"/>
      <c r="CE674" s="4"/>
      <c r="CF674" s="4"/>
      <c r="CG674" s="4"/>
      <c r="CH674" s="4"/>
      <c r="CI674" s="6"/>
      <c r="CJ674" s="7"/>
      <c r="CK674" s="4"/>
      <c r="CL674" s="4"/>
      <c r="CM674" s="4"/>
      <c r="CN674" s="4"/>
      <c r="CO674" s="6"/>
      <c r="CP674" s="7"/>
      <c r="CQ674" s="4"/>
      <c r="CR674" s="4"/>
      <c r="CS674" s="4"/>
      <c r="CT674" s="4"/>
      <c r="CU674" s="6"/>
      <c r="CV674" s="7"/>
      <c r="CW674" s="4"/>
      <c r="CX674" s="4"/>
      <c r="CY674" s="4"/>
      <c r="CZ674" s="4"/>
      <c r="DA674" s="6"/>
      <c r="DB674" s="7"/>
      <c r="DC674" s="4"/>
      <c r="DD674" s="4"/>
      <c r="DE674" s="4"/>
      <c r="DF674" s="4"/>
      <c r="DG674" s="4"/>
      <c r="DH674" s="3"/>
      <c r="DI674" s="4"/>
      <c r="DJ674" s="234"/>
      <c r="DK674" s="4"/>
      <c r="DL674" s="4"/>
      <c r="DM674" s="4"/>
      <c r="DN674" s="4"/>
      <c r="DO674" s="4"/>
      <c r="DP674" s="4"/>
      <c r="DQ674" s="7"/>
      <c r="DR674" s="8"/>
      <c r="DS674" s="4"/>
      <c r="DT674" s="8"/>
      <c r="DU674" s="8"/>
      <c r="DV674" s="8"/>
      <c r="DW674" s="35"/>
      <c r="EF674" s="11"/>
      <c r="EL674" s="11"/>
      <c r="EM674" s="11"/>
      <c r="EN674" s="4"/>
      <c r="EO674" s="4"/>
      <c r="EP674" s="4"/>
      <c r="EQ674" s="4"/>
      <c r="ER674" s="4"/>
      <c r="ES674" s="4"/>
      <c r="ET674" s="4"/>
      <c r="EU674" s="4"/>
      <c r="EV674" s="4"/>
      <c r="EW674" s="4"/>
      <c r="EX674" s="4"/>
      <c r="EY674" s="4"/>
      <c r="EZ674" s="4"/>
      <c r="FA674" s="4"/>
      <c r="FB674" s="4"/>
      <c r="FF674" s="9"/>
      <c r="FO674" s="9"/>
      <c r="FU674" s="4"/>
      <c r="FZ674" s="10"/>
      <c r="GJ674" s="10"/>
      <c r="GY674" s="9"/>
      <c r="IG674" s="4"/>
      <c r="IH674" s="4"/>
      <c r="II674" s="9"/>
    </row>
    <row r="675" spans="1:263" ht="15" customHeight="1">
      <c r="A675" s="19">
        <v>102022085</v>
      </c>
      <c r="B675" t="s">
        <v>2829</v>
      </c>
      <c r="D675" s="1"/>
      <c r="J675" t="s">
        <v>311</v>
      </c>
      <c r="K675" t="s">
        <v>1186</v>
      </c>
      <c r="L675" t="s">
        <v>3083</v>
      </c>
      <c r="AG675" s="248"/>
      <c r="AJ675" t="s">
        <v>3087</v>
      </c>
      <c r="AK675" t="s">
        <v>258</v>
      </c>
      <c r="AL675" t="s">
        <v>329</v>
      </c>
      <c r="AM675" s="3" t="s">
        <v>260</v>
      </c>
      <c r="AO675" t="s">
        <v>773</v>
      </c>
      <c r="AP675" s="1" t="s">
        <v>258</v>
      </c>
      <c r="AQ675" s="3" t="s">
        <v>386</v>
      </c>
      <c r="AR675" s="3" t="s">
        <v>260</v>
      </c>
      <c r="AS675" s="1"/>
      <c r="AT675" s="1"/>
      <c r="AU675" s="1"/>
      <c r="AV675" s="1"/>
      <c r="AW675" s="1"/>
      <c r="AX675" s="2"/>
      <c r="AY675" s="116"/>
      <c r="AZ675" s="115"/>
      <c r="BA675" s="2"/>
      <c r="BB675" s="2"/>
      <c r="BC675" s="2"/>
      <c r="BD675" s="2"/>
      <c r="BE675" s="2"/>
      <c r="BF675" s="2"/>
      <c r="BG675" s="20"/>
      <c r="BH675" s="22"/>
      <c r="BI675" s="22"/>
      <c r="BJ675" s="14"/>
      <c r="BK675" s="22"/>
      <c r="BL675" s="14"/>
      <c r="BM675" s="14"/>
      <c r="BN675" s="14"/>
      <c r="BO675" s="17"/>
      <c r="BP675" s="23"/>
      <c r="BQ675" s="14"/>
      <c r="BR675" s="14"/>
      <c r="BS675" s="14"/>
      <c r="BT675" s="14"/>
      <c r="BU675" s="17"/>
      <c r="BV675" s="23"/>
      <c r="BW675" s="14"/>
      <c r="BX675" s="14"/>
      <c r="BY675" s="14"/>
      <c r="BZ675" s="14"/>
      <c r="CA675" s="17"/>
      <c r="CB675" s="23"/>
      <c r="CC675" s="14"/>
      <c r="CD675" s="14"/>
      <c r="CE675" s="14"/>
      <c r="CF675" s="14"/>
      <c r="CG675" s="17"/>
      <c r="CH675" s="23"/>
      <c r="CI675" s="14"/>
      <c r="CJ675" s="14"/>
      <c r="CK675" s="14"/>
      <c r="CL675" s="14"/>
      <c r="CM675" s="17"/>
      <c r="CN675" s="23"/>
      <c r="CO675" s="14"/>
      <c r="CP675" s="14"/>
      <c r="CQ675" s="14"/>
      <c r="CR675" s="14"/>
      <c r="CS675" s="14"/>
      <c r="CT675" s="47"/>
      <c r="CU675" s="14"/>
      <c r="CV675" s="32"/>
      <c r="CW675" s="14"/>
      <c r="CX675" s="4"/>
      <c r="CY675" s="14"/>
      <c r="CZ675" s="4"/>
      <c r="DE675" s="14"/>
      <c r="DF675" s="24"/>
      <c r="DG675" s="4"/>
      <c r="DH675" s="4"/>
      <c r="DI675" s="25"/>
      <c r="DJ675" s="35">
        <v>145.6</v>
      </c>
      <c r="IC675" s="4"/>
      <c r="IL675" s="18"/>
      <c r="IM675" s="18"/>
      <c r="IN675" s="18"/>
      <c r="IO675" s="18"/>
      <c r="IP675" s="18"/>
      <c r="IQ675" s="18"/>
      <c r="IR675" s="18"/>
      <c r="IS675" s="18"/>
      <c r="IT675" s="18"/>
      <c r="IU675" s="18"/>
      <c r="IV675" s="18"/>
      <c r="IW675" s="18"/>
      <c r="IX675" s="18"/>
      <c r="IY675" s="18"/>
    </row>
    <row r="676" spans="1:263" ht="15" customHeight="1">
      <c r="A676">
        <v>102018090</v>
      </c>
      <c r="B676" t="s">
        <v>1273</v>
      </c>
      <c r="C676" s="10"/>
      <c r="D676" s="161"/>
      <c r="E676" s="147" t="s">
        <v>5876</v>
      </c>
      <c r="F676" s="160">
        <v>240003063</v>
      </c>
      <c r="G676" s="147"/>
      <c r="H676" s="147"/>
      <c r="I676" s="10"/>
      <c r="J676" s="10" t="s">
        <v>311</v>
      </c>
      <c r="K676" s="10" t="s">
        <v>1238</v>
      </c>
      <c r="L676" s="10" t="s">
        <v>1274</v>
      </c>
      <c r="M676" s="10" t="s">
        <v>256</v>
      </c>
      <c r="N676" s="10"/>
      <c r="O676" s="161"/>
      <c r="P676" s="10"/>
      <c r="Q676" s="10"/>
      <c r="R676" s="10"/>
      <c r="S676" s="10"/>
      <c r="T676" s="161"/>
      <c r="U676" s="10"/>
      <c r="V676" s="10"/>
      <c r="W676" s="10"/>
      <c r="X676" s="10"/>
      <c r="Y676" s="10"/>
      <c r="Z676" s="10"/>
      <c r="AA676" s="10"/>
      <c r="AB676" s="10"/>
      <c r="AC676" s="10"/>
      <c r="AD676" s="10"/>
      <c r="AE676" s="10"/>
      <c r="AF676" s="10"/>
      <c r="AG676" s="147"/>
      <c r="AH676" s="10"/>
      <c r="AI676" s="10"/>
      <c r="AJ676" t="s">
        <v>328</v>
      </c>
      <c r="AL676" s="3" t="s">
        <v>600</v>
      </c>
      <c r="AO676" t="s">
        <v>5345</v>
      </c>
      <c r="AP676" s="1" t="s">
        <v>258</v>
      </c>
      <c r="AQ676" s="3" t="s">
        <v>600</v>
      </c>
      <c r="AR676" s="3" t="s">
        <v>260</v>
      </c>
      <c r="AS676" s="1"/>
      <c r="AT676" s="1"/>
      <c r="AU676" s="1"/>
      <c r="AV676" s="1"/>
      <c r="AW676" s="1"/>
      <c r="AY676" s="1" t="s">
        <v>258</v>
      </c>
      <c r="AZ676" s="1"/>
      <c r="BA676" s="1" t="s">
        <v>258</v>
      </c>
      <c r="BB676" s="1" t="s">
        <v>258</v>
      </c>
      <c r="BC676" s="48">
        <v>45469</v>
      </c>
      <c r="BD676" s="115">
        <v>45408</v>
      </c>
      <c r="BE676" s="9">
        <v>45427</v>
      </c>
      <c r="BF676" s="70">
        <v>45534</v>
      </c>
      <c r="BG676" s="20" t="s">
        <v>319</v>
      </c>
      <c r="BH676" s="21">
        <v>45520</v>
      </c>
      <c r="BI676" s="21">
        <v>45527</v>
      </c>
      <c r="BJ676" s="70">
        <v>45548</v>
      </c>
      <c r="BK676" s="70" t="s">
        <v>319</v>
      </c>
      <c r="BL676" s="20">
        <f ca="1">SUM(EH676)+220</f>
        <v>4267.5284499999998</v>
      </c>
      <c r="BM676" s="22">
        <f ca="1">PMT(10%/12,12,BL676,0,0)</f>
        <v>-375.18354996105762</v>
      </c>
      <c r="BN676" s="22">
        <f ca="1">SUM(BM676*-1)</f>
        <v>375.18354996105762</v>
      </c>
      <c r="BO676" s="14">
        <f>SUM(EP676*0.0052)/12</f>
        <v>31.936666666666667</v>
      </c>
      <c r="BP676" s="22">
        <f ca="1">SUM(BN676+BO676)</f>
        <v>407.12021662772429</v>
      </c>
      <c r="BQ676" s="14"/>
      <c r="BR676" s="14">
        <f>SUM(BQ676*0.1)</f>
        <v>0</v>
      </c>
      <c r="BS676" s="14">
        <f ca="1">SUM(BT676*BU676)</f>
        <v>0</v>
      </c>
      <c r="BT676" s="17">
        <f>SUM((BQ676+BR676)*0.00833333333333333)</f>
        <v>0</v>
      </c>
      <c r="BU676" s="23">
        <f ca="1">MONTH(TODAY())+49</f>
        <v>53</v>
      </c>
      <c r="BV676" s="14">
        <f ca="1">SUM(BQ676,BR676,BS676)</f>
        <v>0</v>
      </c>
      <c r="BW676" s="14">
        <v>0</v>
      </c>
      <c r="BX676" s="14">
        <f>SUM(BW676*0.1)</f>
        <v>0</v>
      </c>
      <c r="BY676" s="14">
        <f ca="1">SUM(BZ676*CA676)</f>
        <v>0</v>
      </c>
      <c r="BZ676" s="17">
        <f>SUM((BW676+BX676)*0.00833333333333333)</f>
        <v>0</v>
      </c>
      <c r="CA676" s="23">
        <f ca="1">MONTH(TODAY())+37</f>
        <v>41</v>
      </c>
      <c r="CB676" s="14">
        <f ca="1">SUM(BW676,BX676,BY676)</f>
        <v>0</v>
      </c>
      <c r="CC676" s="14">
        <v>0</v>
      </c>
      <c r="CD676" s="14">
        <f>SUM(CC676*0.1)</f>
        <v>0</v>
      </c>
      <c r="CE676" s="14">
        <f>SUM(CF676*CG676)</f>
        <v>0</v>
      </c>
      <c r="CF676" s="17">
        <f>SUM((CC676+CD676)*0.00833333333333333)</f>
        <v>0</v>
      </c>
      <c r="CG676" s="23">
        <v>36</v>
      </c>
      <c r="CH676" s="14">
        <f>SUM(CC676,CD676,CE676)</f>
        <v>0</v>
      </c>
      <c r="CI676" s="14">
        <f>SUM(EM676*0.0052)/2</f>
        <v>147.16</v>
      </c>
      <c r="CJ676" s="14">
        <f>SUM(CI676*0.1)</f>
        <v>14.716000000000001</v>
      </c>
      <c r="CK676" s="14">
        <f>SUM(CL676*CM676)</f>
        <v>40.468999999999987</v>
      </c>
      <c r="CL676" s="17">
        <f>SUM((CI676+CJ676)*0.00833333333333333)</f>
        <v>1.3489666666666662</v>
      </c>
      <c r="CM676" s="23">
        <v>30</v>
      </c>
      <c r="CN676" s="23">
        <f>SUM(CI676,CJ676,CK676)</f>
        <v>202.345</v>
      </c>
      <c r="CO676" s="14">
        <f>SUM(EM676*0.0052)/2</f>
        <v>147.16</v>
      </c>
      <c r="CP676" s="14">
        <f>SUM(CO676*0.1)</f>
        <v>14.716000000000001</v>
      </c>
      <c r="CQ676" s="14">
        <f>SUM(CR676*CS676)</f>
        <v>32.375199999999992</v>
      </c>
      <c r="CR676" s="17">
        <f>SUM((CO676+CP676)*0.00833333333333333)</f>
        <v>1.3489666666666662</v>
      </c>
      <c r="CS676" s="23">
        <v>24</v>
      </c>
      <c r="CT676" s="14">
        <f>SUM(CO676,CP676,CQ676)</f>
        <v>194.25119999999998</v>
      </c>
      <c r="CU676" s="14">
        <f>SUM(EP676*0.0045)/2</f>
        <v>165.82499999999999</v>
      </c>
      <c r="CV676" s="14">
        <f>SUM(CU676*0.1)</f>
        <v>16.5825</v>
      </c>
      <c r="CW676" s="14">
        <f>SUM(CX676*CY676)</f>
        <v>27.361124999999991</v>
      </c>
      <c r="CX676" s="17">
        <f>SUM((CU676+CV676)*0.00833333333333333)</f>
        <v>1.5200624999999994</v>
      </c>
      <c r="CY676" s="23">
        <v>18</v>
      </c>
      <c r="CZ676" s="14">
        <f>SUM(CU676,CV676,CW676)</f>
        <v>209.76862499999999</v>
      </c>
      <c r="DA676" s="14">
        <f>SUM(EP676*0.0045)/2</f>
        <v>165.82499999999999</v>
      </c>
      <c r="DB676" s="14">
        <f>SUM(DA676*0.1)</f>
        <v>16.5825</v>
      </c>
      <c r="DC676" s="14">
        <f>SUM(DD676*DE676)</f>
        <v>18.240749999999991</v>
      </c>
      <c r="DD676" s="17">
        <f>SUM((DA676+DB676)*0.00833333333333333)</f>
        <v>1.5200624999999994</v>
      </c>
      <c r="DE676" s="23">
        <v>12</v>
      </c>
      <c r="DF676" s="14">
        <f>SUM(DA676,DB676,DC676)</f>
        <v>200.64824999999999</v>
      </c>
      <c r="DG676" s="14">
        <f>SUM(EP676*0.0045)/2</f>
        <v>165.82499999999999</v>
      </c>
      <c r="DH676" s="14">
        <f>SUM(DG676*0.1)</f>
        <v>16.5825</v>
      </c>
      <c r="DI676" s="14">
        <f>SUM(DJ676*DK676)</f>
        <v>9.1203749999999957</v>
      </c>
      <c r="DJ676" s="17">
        <f>SUM((DG676+DH676)*0.00833333333333333)</f>
        <v>1.5200624999999994</v>
      </c>
      <c r="DK676" s="23">
        <v>6</v>
      </c>
      <c r="DL676" s="14">
        <f>SUM(DG676,DH676,DI676)</f>
        <v>191.52787499999999</v>
      </c>
      <c r="DM676" s="14">
        <f>SUM(EP676*0.0045)/2</f>
        <v>165.82499999999999</v>
      </c>
      <c r="DN676" s="14">
        <f>SUM(DM676*0.1)</f>
        <v>16.5825</v>
      </c>
      <c r="DO676" s="14">
        <f>SUM(DP676*DQ676)</f>
        <v>0</v>
      </c>
      <c r="DP676" s="17">
        <f>SUM((DM676+DN676)*0.00833333333333333)</f>
        <v>1.5200624999999994</v>
      </c>
      <c r="DQ676" s="23">
        <v>0</v>
      </c>
      <c r="DR676" s="14">
        <f>SUM(DM676,DN676,DO676)</f>
        <v>182.4075</v>
      </c>
      <c r="DS676" s="14">
        <f>SUM(BQ676, BW676, CC676, CI676,CO676,CU676,DA676,DG676,DM676)</f>
        <v>957.62000000000012</v>
      </c>
      <c r="DT676" s="14">
        <f>SUM(BR676,BX676,CD676, CJ676,CP676,CV676,DB676,DH676,DN676)</f>
        <v>95.761999999999986</v>
      </c>
      <c r="DU676" s="14">
        <f ca="1">SUM(BS676,BY676,CE676, CK676,CQ676,CW676,DC676,DI676,DO676)</f>
        <v>127.56644999999995</v>
      </c>
      <c r="DV676" s="25">
        <f ca="1">SUM(DS676:DU676)</f>
        <v>1180.9484500000001</v>
      </c>
      <c r="DW676" s="47">
        <f ca="1">SUM(DV676/EM676)</f>
        <v>2.0864813604240286E-2</v>
      </c>
      <c r="DX676" s="14">
        <f>20+10+200+200+40+40+100+40</f>
        <v>650</v>
      </c>
      <c r="DY676" s="32">
        <v>6</v>
      </c>
      <c r="DZ676" s="14">
        <f>1.28+DY676*8</f>
        <v>49.28</v>
      </c>
      <c r="EA676" s="4">
        <f>32.53+807.92</f>
        <v>840.44999999999993</v>
      </c>
      <c r="EB676" s="4">
        <v>266.5</v>
      </c>
      <c r="EC676" s="4">
        <f>93.75+190</f>
        <v>283.75</v>
      </c>
      <c r="ED676" s="4">
        <v>197</v>
      </c>
      <c r="EE676" s="14">
        <f>IF(SUM(EK676*0.004)&lt;100, 100, SUM(EK676*0.004))</f>
        <v>119.60000000000001</v>
      </c>
      <c r="EF676" s="4">
        <v>460</v>
      </c>
      <c r="EG676" s="14">
        <f>SUM(EA676:EF676)</f>
        <v>2167.2999999999997</v>
      </c>
      <c r="EH676" s="14">
        <f ca="1">SUM(DV676,DX676,EG676,DZ676,GD676)</f>
        <v>4047.5284500000002</v>
      </c>
      <c r="EI676" s="24" t="s">
        <v>5914</v>
      </c>
      <c r="EJ676" s="7">
        <v>6.04</v>
      </c>
      <c r="EK676" s="4">
        <v>29900</v>
      </c>
      <c r="EL676" s="4">
        <v>26700</v>
      </c>
      <c r="EM676" s="14">
        <f>SUM(EK676+EL676)</f>
        <v>56600</v>
      </c>
      <c r="EN676" s="4">
        <v>37600</v>
      </c>
      <c r="EO676" s="4">
        <v>36100</v>
      </c>
      <c r="EP676" s="14">
        <f>SUM(EN676+EO676)</f>
        <v>73700</v>
      </c>
      <c r="EQ676" s="10" t="s">
        <v>5676</v>
      </c>
      <c r="ER676" s="10" t="s">
        <v>5897</v>
      </c>
      <c r="ES676" s="10" t="s">
        <v>5679</v>
      </c>
      <c r="ET676" s="10" t="s">
        <v>5678</v>
      </c>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9"/>
      <c r="FV676" s="10"/>
      <c r="FW676" s="10"/>
      <c r="FX676" s="10"/>
      <c r="FY676" s="10"/>
      <c r="FZ676" s="10"/>
      <c r="GA676" s="10"/>
      <c r="GB676" s="9"/>
      <c r="GC676" s="10"/>
      <c r="GD676" s="10"/>
      <c r="GE676" s="10"/>
      <c r="GF676" s="10"/>
      <c r="GG676" s="10"/>
      <c r="GH676" s="10"/>
      <c r="GI676" s="10"/>
      <c r="GJ676" s="10"/>
      <c r="GK676" s="9"/>
      <c r="GL676" s="10"/>
      <c r="GM676" s="10"/>
      <c r="GN676" s="10"/>
      <c r="GO676" s="10"/>
      <c r="GP676" s="10"/>
      <c r="GQ676" s="10"/>
      <c r="GR676" s="10"/>
      <c r="GS676" s="10"/>
      <c r="GT676" s="10"/>
      <c r="GU676" s="10"/>
      <c r="GV676" s="9"/>
      <c r="GW676" s="10"/>
      <c r="GX676" s="10"/>
      <c r="GY676" s="10"/>
      <c r="GZ676" s="10"/>
      <c r="HA676" s="10"/>
      <c r="HB676" s="10"/>
      <c r="HC676" s="10"/>
      <c r="HD676" s="10"/>
      <c r="HE676" s="10"/>
      <c r="HF676" s="10"/>
      <c r="HG676" s="9"/>
      <c r="HH676" s="10"/>
      <c r="HI676" s="10"/>
      <c r="HJ676" s="10"/>
      <c r="HK676" s="10"/>
      <c r="HL676" s="10"/>
      <c r="HM676" s="10"/>
      <c r="HN676" s="10"/>
      <c r="HO676" s="9"/>
      <c r="HP676" s="10"/>
      <c r="HQ676" s="10"/>
      <c r="HR676" s="10"/>
      <c r="HS676" s="10"/>
      <c r="HT676" s="10"/>
      <c r="HU676" s="10"/>
      <c r="HV676" s="10"/>
      <c r="HW676" s="9"/>
      <c r="HX676" s="10"/>
      <c r="HY676" s="10"/>
      <c r="HZ676" s="10"/>
      <c r="IA676" s="10"/>
      <c r="IB676" s="10"/>
      <c r="IC676" s="10"/>
      <c r="ID676" s="10"/>
      <c r="IE676" s="9"/>
      <c r="IF676" s="4"/>
      <c r="IG676" s="4"/>
      <c r="IH676" s="10"/>
      <c r="II676" s="10"/>
      <c r="IJ676" s="10"/>
      <c r="IK676" s="10"/>
      <c r="IL676" s="4"/>
      <c r="IM676" s="4"/>
      <c r="IN676" s="4"/>
      <c r="IO676" s="4"/>
      <c r="IP676" s="4"/>
      <c r="IQ676" s="9"/>
      <c r="IR676" s="9"/>
      <c r="IS676" s="9"/>
      <c r="IT676" s="9"/>
      <c r="IU676" s="9"/>
      <c r="IV676" t="s">
        <v>5913</v>
      </c>
    </row>
    <row r="677" spans="1:263" ht="15" customHeight="1">
      <c r="A677" s="19">
        <v>102021079</v>
      </c>
      <c r="B677" s="18" t="s">
        <v>2569</v>
      </c>
      <c r="C677" s="18"/>
      <c r="D677" s="13"/>
      <c r="E677" s="24" t="s">
        <v>3727</v>
      </c>
      <c r="F677" s="18">
        <v>220002140</v>
      </c>
      <c r="G677" s="24"/>
      <c r="H677" s="18"/>
      <c r="I677" s="18"/>
      <c r="J677" s="18" t="s">
        <v>311</v>
      </c>
      <c r="K677" s="18" t="s">
        <v>1126</v>
      </c>
      <c r="L677" s="18" t="s">
        <v>395</v>
      </c>
      <c r="M677" s="18" t="s">
        <v>469</v>
      </c>
      <c r="N677" s="18"/>
      <c r="O677" s="24"/>
      <c r="P677" s="18"/>
      <c r="Q677" s="18"/>
      <c r="R677" s="18"/>
      <c r="S677" s="18"/>
      <c r="T677" s="18"/>
      <c r="U677" s="18"/>
      <c r="V677" s="18"/>
      <c r="W677" s="18"/>
      <c r="X677" s="18"/>
      <c r="Y677" s="18"/>
      <c r="Z677" s="18"/>
      <c r="AA677" s="18"/>
      <c r="AB677" s="18"/>
      <c r="AC677" s="18"/>
      <c r="AD677" s="18"/>
      <c r="AE677" s="18"/>
      <c r="AF677" s="18"/>
      <c r="AG677" s="26"/>
      <c r="AH677" s="18"/>
      <c r="AI677" s="18"/>
      <c r="AJ677" s="18" t="s">
        <v>328</v>
      </c>
      <c r="AK677" s="18"/>
      <c r="AL677" s="18" t="s">
        <v>600</v>
      </c>
      <c r="AM677" s="18"/>
      <c r="AN677" s="18"/>
      <c r="AO677" s="18" t="s">
        <v>2570</v>
      </c>
      <c r="AP677" s="24" t="s">
        <v>258</v>
      </c>
      <c r="AQ677" s="18" t="s">
        <v>600</v>
      </c>
      <c r="AR677" s="18" t="s">
        <v>260</v>
      </c>
      <c r="AS677" s="18"/>
      <c r="AT677" s="18"/>
      <c r="AU677" s="18"/>
      <c r="AV677" s="18"/>
      <c r="AW677" s="18"/>
      <c r="AX677" s="13"/>
      <c r="AY677" s="13"/>
      <c r="AZ677" s="13" t="s">
        <v>258</v>
      </c>
      <c r="BA677" s="13" t="s">
        <v>258</v>
      </c>
      <c r="BB677" s="13" t="s">
        <v>258</v>
      </c>
      <c r="BC677" s="70">
        <v>44648</v>
      </c>
      <c r="BD677" s="115">
        <v>44598</v>
      </c>
      <c r="BE677" s="114">
        <v>44615</v>
      </c>
      <c r="BF677" s="48">
        <v>44673</v>
      </c>
      <c r="BG677" s="19" t="s">
        <v>318</v>
      </c>
      <c r="BH677" s="9">
        <v>44659</v>
      </c>
      <c r="BI677" s="48">
        <v>44666</v>
      </c>
      <c r="BJ677" s="21">
        <v>45163</v>
      </c>
      <c r="BK677" s="19" t="s">
        <v>319</v>
      </c>
      <c r="BL677" s="20">
        <f ca="1">SUM(EB677)+220</f>
        <v>5188.893633333334</v>
      </c>
      <c r="BM677" s="22">
        <f ca="1">PMT(10%/12,12,BL677,0,0)</f>
        <v>-456.18618751664815</v>
      </c>
      <c r="BN677" s="22">
        <f ca="1">SUM(BM677*-1)</f>
        <v>456.18618751664815</v>
      </c>
      <c r="BO677" s="14">
        <f>SUM(EJ677*0.0052)/12</f>
        <v>8.2766666666666655</v>
      </c>
      <c r="BP677" s="22">
        <f ca="1">SUM(BN677+BO677)</f>
        <v>464.46285418331479</v>
      </c>
      <c r="BQ677" s="14"/>
      <c r="BR677" s="14">
        <f>SUM(BQ677*0.1)</f>
        <v>0</v>
      </c>
      <c r="BS677" s="14">
        <f ca="1">SUM(BT677*BU677)</f>
        <v>0</v>
      </c>
      <c r="BT677" s="17">
        <f>SUM((BQ677+BR677)*0.00833333333333333)</f>
        <v>0</v>
      </c>
      <c r="BU677" s="23">
        <f ca="1">MONTH(TODAY())+61</f>
        <v>65</v>
      </c>
      <c r="BV677" s="14">
        <f ca="1">SUM(BQ677,BR677,BS677)</f>
        <v>0</v>
      </c>
      <c r="BW677" s="14">
        <v>9.36</v>
      </c>
      <c r="BX677" s="14">
        <f>SUM(BW677*0.1)</f>
        <v>0.93599999999999994</v>
      </c>
      <c r="BY677" s="14">
        <f ca="1">SUM(BZ677*CA677)</f>
        <v>4.5473999999999979</v>
      </c>
      <c r="BZ677" s="17">
        <f>SUM((BW677+BX677)*0.00833333333333333)</f>
        <v>8.579999999999996E-2</v>
      </c>
      <c r="CA677" s="23">
        <f ca="1">MONTH(TODAY())+49</f>
        <v>53</v>
      </c>
      <c r="CB677" s="14">
        <f ca="1">SUM(BW677,BX677,BY677)</f>
        <v>14.843399999999997</v>
      </c>
      <c r="CC677" s="14">
        <f>SUM(EG677*0.0052)</f>
        <v>94.11999999999999</v>
      </c>
      <c r="CD677" s="14">
        <f>SUM(CC677*0.1)</f>
        <v>9.411999999999999</v>
      </c>
      <c r="CE677" s="14">
        <f ca="1">SUM(CF677*CG677)</f>
        <v>35.37343333333331</v>
      </c>
      <c r="CF677" s="17">
        <f>SUM((CC677+CD677)*0.00833333333333333)</f>
        <v>0.86276666666666613</v>
      </c>
      <c r="CG677" s="23">
        <f ca="1">MONTH(TODAY())+37</f>
        <v>41</v>
      </c>
      <c r="CH677" s="14">
        <f ca="1">SUM(CC677,CD677,CE677)</f>
        <v>138.90543333333329</v>
      </c>
      <c r="CI677" s="14">
        <f>SUM(EG677*0.0052)</f>
        <v>94.11999999999999</v>
      </c>
      <c r="CJ677" s="14">
        <f>SUM(CI677*0.1)</f>
        <v>9.411999999999999</v>
      </c>
      <c r="CK677" s="14">
        <f ca="1">SUM(CL677*CM677)</f>
        <v>25.020233333333319</v>
      </c>
      <c r="CL677" s="17">
        <f>SUM((CI677+CJ677)*0.00833333333333333)</f>
        <v>0.86276666666666613</v>
      </c>
      <c r="CM677" s="23">
        <f ca="1">MONTH(TODAY())+25</f>
        <v>29</v>
      </c>
      <c r="CN677" s="14">
        <f ca="1">SUM(CI677,CJ677,CK677)</f>
        <v>128.55223333333331</v>
      </c>
      <c r="CO677" s="14">
        <f>SUM(EG677*0.0052)/2</f>
        <v>47.059999999999995</v>
      </c>
      <c r="CP677" s="14">
        <f>SUM(CO677*0.1)</f>
        <v>4.7059999999999995</v>
      </c>
      <c r="CQ677" s="14">
        <f ca="1">SUM(CR677*CS677)</f>
        <v>9.0590499999999938</v>
      </c>
      <c r="CR677" s="17">
        <f>SUM((CO677+CP677)*0.00833333333333333)</f>
        <v>0.43138333333333306</v>
      </c>
      <c r="CS677" s="23">
        <f ca="1">MONTH(TODAY())+17</f>
        <v>21</v>
      </c>
      <c r="CT677" s="23">
        <f ca="1">SUM(CO677,CP677,CQ677)</f>
        <v>60.825049999999983</v>
      </c>
      <c r="CU677" s="14">
        <f>SUM(EG677*0.0052)/2</f>
        <v>47.059999999999995</v>
      </c>
      <c r="CV677" s="14">
        <f>SUM(CU677*0.1)</f>
        <v>4.7059999999999995</v>
      </c>
      <c r="CW677" s="14">
        <f ca="1">SUM(CX677*CY677)</f>
        <v>7.3335166666666618</v>
      </c>
      <c r="CX677" s="17">
        <f>SUM((CU677+CV677)*0.00833333333333333)</f>
        <v>0.43138333333333306</v>
      </c>
      <c r="CY677" s="23">
        <f ca="1">MONTH(TODAY())+13</f>
        <v>17</v>
      </c>
      <c r="CZ677" s="23">
        <f ca="1">SUM(CU677,CV677,CW677)</f>
        <v>59.099516666666652</v>
      </c>
      <c r="DA677" s="14">
        <f>SUM(EJ677*0.0045)/2</f>
        <v>42.974999999999994</v>
      </c>
      <c r="DB677" s="14">
        <f>SUM(DA677*0.1)</f>
        <v>4.2974999999999994</v>
      </c>
      <c r="DC677" s="14">
        <f ca="1">SUM(DD677*DE677)</f>
        <v>4.3333124999999972</v>
      </c>
      <c r="DD677" s="17">
        <f>SUM((DA677+DB677)*0.00833333333333333)</f>
        <v>0.39393749999999977</v>
      </c>
      <c r="DE677" s="23">
        <f ca="1">MONTH(TODAY())+7</f>
        <v>11</v>
      </c>
      <c r="DF677" s="23">
        <f ca="1">SUM(DA677,DB677,DC677)</f>
        <v>51.605812499999992</v>
      </c>
      <c r="DG677" s="14">
        <f>SUM(EJ677*0.0045)/2</f>
        <v>42.974999999999994</v>
      </c>
      <c r="DH677" s="14">
        <f>SUM(DG677*0.1)</f>
        <v>4.2974999999999994</v>
      </c>
      <c r="DI677" s="14">
        <f ca="1">SUM(DJ677*DK677)</f>
        <v>1.9696874999999989</v>
      </c>
      <c r="DJ677" s="17">
        <f>SUM((DG677+DH677)*0.00833333333333333)</f>
        <v>0.39393749999999977</v>
      </c>
      <c r="DK677" s="23">
        <f ca="1">MONTH(TODAY())+1</f>
        <v>5</v>
      </c>
      <c r="DL677" s="14">
        <f ca="1">SUM(DG677,DH677,DI677)</f>
        <v>49.242187499999993</v>
      </c>
      <c r="DM677" s="14">
        <f>SUM( BQ677, BW677, CC677, CI677, CO677,CU677,DA677,DG677)</f>
        <v>377.66999999999996</v>
      </c>
      <c r="DN677" s="14">
        <f>SUM(BR677,BX677,CD677,CJ677, CP677,CV677,DB677,DH677)</f>
        <v>37.766999999999996</v>
      </c>
      <c r="DO677" s="14">
        <f ca="1">SUM(BS677,BY677,CE677,CK677, CQ677,CW677,DC677,DI677)</f>
        <v>87.636633333333279</v>
      </c>
      <c r="DP677" s="25">
        <f ca="1">SUM(DM677:DO677)</f>
        <v>503.07363333333325</v>
      </c>
      <c r="DQ677" s="47">
        <f ca="1">SUM(DP677/EG677)</f>
        <v>2.7794123388581948E-2</v>
      </c>
      <c r="DR677" s="14">
        <f>1344.5+100+80+160+100+200</f>
        <v>1984.5</v>
      </c>
      <c r="DS677" s="32">
        <f>COUNTIF(DX677, "*")+COUNTIF(AO677, "*")+COUNTIF(AJ677, "*")+COUNTIF(AA677, "*")+COUNTIF(EU677, "*")+COUNTIF(FA677, "*")+COUNTIF(FG677, "*")+COUNTIF(FK677, "*")+COUNTIF(FR677, "*")+COUNTIF(AT677, "*")+COUNTIF(GA677, "*")+COUNTIF(GL677, "*")+COUNTIF(GW677, "*")+COUNTIF(HE677, "*")+COUNTIF(HM677, "*")+COUNTIF(HU677, "*")</f>
        <v>4</v>
      </c>
      <c r="DT677" s="14">
        <f>1.06+13.32+30+55.17</f>
        <v>99.550000000000011</v>
      </c>
      <c r="DU677" s="14">
        <f>150+150+150</f>
        <v>450</v>
      </c>
      <c r="DV677" s="14">
        <f>50.23+725.8+246.49</f>
        <v>1022.52</v>
      </c>
      <c r="DW677" s="14">
        <f>93.75+247.5</f>
        <v>341.25</v>
      </c>
      <c r="DX677" s="4">
        <v>108</v>
      </c>
      <c r="DY677" s="14">
        <v>100</v>
      </c>
      <c r="DZ677" s="4">
        <v>360</v>
      </c>
      <c r="EA677" s="14">
        <f>SUM(DV677:DZ677)</f>
        <v>1931.77</v>
      </c>
      <c r="EB677" s="14">
        <f ca="1">SUM(DP677,DR677,EA677, DU677, DT677,FX677)</f>
        <v>4968.893633333334</v>
      </c>
      <c r="EC677" s="24" t="s">
        <v>4954</v>
      </c>
      <c r="ED677" s="23">
        <v>1</v>
      </c>
      <c r="EE677" s="14">
        <v>16000</v>
      </c>
      <c r="EF677" s="14">
        <v>2100</v>
      </c>
      <c r="EG677" s="14">
        <f>SUM(EE677+EF677)</f>
        <v>18100</v>
      </c>
      <c r="EH677" s="14">
        <v>16000</v>
      </c>
      <c r="EI677" s="14">
        <v>3100</v>
      </c>
      <c r="EJ677" s="14">
        <f>SUM(EH677+EI677)</f>
        <v>19100</v>
      </c>
      <c r="EK677" s="18" t="s">
        <v>3374</v>
      </c>
      <c r="EL677" s="18" t="s">
        <v>3375</v>
      </c>
      <c r="EM677" s="18" t="s">
        <v>3373</v>
      </c>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4"/>
      <c r="FY677" t="s">
        <v>421</v>
      </c>
      <c r="FZ677" s="18" t="s">
        <v>3975</v>
      </c>
      <c r="GA677" s="18" t="s">
        <v>3976</v>
      </c>
      <c r="GB677" s="18"/>
      <c r="GC677" s="18" t="s">
        <v>3977</v>
      </c>
      <c r="GD677" s="18" t="s">
        <v>3978</v>
      </c>
      <c r="GE677" s="27">
        <v>38593</v>
      </c>
      <c r="GF677" s="18" t="s">
        <v>3979</v>
      </c>
      <c r="GG677" s="18"/>
      <c r="GH677" s="18"/>
      <c r="GI677" s="18"/>
      <c r="GJ677" s="18" t="s">
        <v>3981</v>
      </c>
      <c r="GK677" s="18" t="s">
        <v>383</v>
      </c>
      <c r="GL677" s="18" t="s">
        <v>385</v>
      </c>
      <c r="GN677" s="18" t="s">
        <v>386</v>
      </c>
      <c r="GO677" s="18" t="s">
        <v>260</v>
      </c>
      <c r="GP677" s="27">
        <v>38357</v>
      </c>
      <c r="GQ677" s="18" t="s">
        <v>3980</v>
      </c>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9">
        <v>45227</v>
      </c>
      <c r="IB677" s="18"/>
      <c r="IC677" s="18"/>
      <c r="ID677" s="18"/>
      <c r="IE677" s="18"/>
      <c r="IF677" s="18"/>
      <c r="IG677" s="18"/>
      <c r="IH677" s="18"/>
      <c r="II677" s="18"/>
      <c r="IJ677" s="18"/>
      <c r="IK677" s="18"/>
      <c r="IL677" s="14">
        <f ca="1">SUM(IB677-EB677-FX677-IJ677)</f>
        <v>-4968.893633333334</v>
      </c>
      <c r="IM677" s="14"/>
      <c r="IN677" s="14"/>
      <c r="IO677" s="27">
        <v>45180</v>
      </c>
      <c r="IP677" s="27">
        <v>45204</v>
      </c>
      <c r="IQ677" s="27"/>
      <c r="IR677" s="27"/>
      <c r="IS677" s="27"/>
    </row>
    <row r="678" spans="1:263" ht="15" customHeight="1">
      <c r="A678" s="19">
        <v>102022204</v>
      </c>
      <c r="B678" t="s">
        <v>2919</v>
      </c>
      <c r="D678" s="1"/>
      <c r="E678" s="3" t="s">
        <v>3948</v>
      </c>
      <c r="F678">
        <v>220003480</v>
      </c>
      <c r="J678" t="s">
        <v>311</v>
      </c>
      <c r="K678" t="s">
        <v>3272</v>
      </c>
      <c r="L678" t="s">
        <v>857</v>
      </c>
      <c r="M678" t="s">
        <v>763</v>
      </c>
      <c r="AD678" t="s">
        <v>3857</v>
      </c>
      <c r="AE678" t="s">
        <v>311</v>
      </c>
      <c r="AF678" t="s">
        <v>3272</v>
      </c>
      <c r="AG678" s="43" t="s">
        <v>3856</v>
      </c>
      <c r="AH678" s="31" t="s">
        <v>3855</v>
      </c>
      <c r="AJ678" t="s">
        <v>328</v>
      </c>
      <c r="AL678" t="s">
        <v>600</v>
      </c>
      <c r="AM678"/>
      <c r="AN678"/>
      <c r="AO678" s="3" t="s">
        <v>3273</v>
      </c>
      <c r="AP678" s="3" t="s">
        <v>258</v>
      </c>
      <c r="AQ678" t="s">
        <v>1228</v>
      </c>
      <c r="AR678" t="s">
        <v>821</v>
      </c>
      <c r="AS678" s="1"/>
      <c r="AT678" s="1" t="s">
        <v>258</v>
      </c>
      <c r="AU678" s="1"/>
      <c r="AV678" s="1"/>
      <c r="AW678" s="1"/>
      <c r="AX678" s="70">
        <v>44693</v>
      </c>
      <c r="AY678" s="115">
        <v>44661</v>
      </c>
      <c r="AZ678" s="115">
        <v>44649</v>
      </c>
      <c r="BA678" s="70"/>
      <c r="BB678" s="2"/>
      <c r="BC678" s="2"/>
      <c r="BD678" s="2"/>
      <c r="BE678" s="2"/>
      <c r="BF678" s="2"/>
      <c r="BG678" s="20">
        <f ca="1">SUM(DK678)+214.5</f>
        <v>1353.1562999999999</v>
      </c>
      <c r="BH678" s="22">
        <f ca="1">PMT(10%/12,12,BG678,0,0)</f>
        <v>-118.96393667537703</v>
      </c>
      <c r="BI678" s="22">
        <f ca="1">SUM(BH678*-1)</f>
        <v>118.96393667537703</v>
      </c>
      <c r="BJ678" s="14">
        <f>SUM(DU678*0.0052)/12</f>
        <v>14.950000000000001</v>
      </c>
      <c r="BK678" s="22">
        <f ca="1">SUM(BI678+BJ678)</f>
        <v>133.91393667537702</v>
      </c>
      <c r="BL678" s="14"/>
      <c r="BM678" s="14">
        <f>SUM(BL678*0.1)</f>
        <v>0</v>
      </c>
      <c r="BN678" s="14">
        <f ca="1">SUM(BO678*BP678)</f>
        <v>0</v>
      </c>
      <c r="BO678" s="17">
        <f>SUM((BL678+BM678)*0.00833333333333333)</f>
        <v>0</v>
      </c>
      <c r="BP678" s="23">
        <f ca="1">MONTH(TODAY())+49</f>
        <v>53</v>
      </c>
      <c r="BQ678" s="14">
        <f ca="1">SUM(BL678,BM678,BN678)</f>
        <v>0</v>
      </c>
      <c r="BR678" s="14"/>
      <c r="BS678" s="14">
        <f>SUM(BR678*0.1)</f>
        <v>0</v>
      </c>
      <c r="BT678" s="14">
        <f ca="1">SUM(BU678*BV678)</f>
        <v>0</v>
      </c>
      <c r="BU678" s="17">
        <f>SUM((BR678+BS678)*0.00833333333333333)</f>
        <v>0</v>
      </c>
      <c r="BV678" s="23">
        <f ca="1">MONTH(TODAY())+37</f>
        <v>41</v>
      </c>
      <c r="BW678" s="14">
        <f ca="1">SUM(BR678,BS678,BT678)</f>
        <v>0</v>
      </c>
      <c r="BX678" s="14"/>
      <c r="BY678" s="14">
        <f>SUM(BX678*0.1)</f>
        <v>0</v>
      </c>
      <c r="BZ678" s="14">
        <f ca="1">SUM(CA678*CB678)</f>
        <v>0</v>
      </c>
      <c r="CA678" s="17">
        <f>SUM((BX678+BY678)*0.00833333333333333)</f>
        <v>0</v>
      </c>
      <c r="CB678" s="23">
        <f ca="1">MONTH(TODAY())+25</f>
        <v>29</v>
      </c>
      <c r="CC678" s="14">
        <f ca="1">SUM(BX678,BY678,BZ678)</f>
        <v>0</v>
      </c>
      <c r="CD678" s="14">
        <v>20.28</v>
      </c>
      <c r="CE678" s="14">
        <f>SUM(CD678*0.1)</f>
        <v>2.028</v>
      </c>
      <c r="CF678" s="14">
        <f ca="1">SUM(CG678*CH678)</f>
        <v>3.1602999999999986</v>
      </c>
      <c r="CG678" s="17">
        <f>SUM((CD678+CE678)*0.00833333333333333)</f>
        <v>0.18589999999999993</v>
      </c>
      <c r="CH678" s="23">
        <f ca="1">MONTH(TODAY())+13</f>
        <v>17</v>
      </c>
      <c r="CI678" s="14">
        <f ca="1">SUM(CD678,CE678,CF678)</f>
        <v>25.468299999999999</v>
      </c>
      <c r="CJ678" s="14">
        <f>SUM(DU678*0.0052)</f>
        <v>179.4</v>
      </c>
      <c r="CK678" s="14">
        <f>SUM(CJ678*0.1)</f>
        <v>17.940000000000001</v>
      </c>
      <c r="CL678" s="14">
        <f ca="1">SUM(CM678*CN678)</f>
        <v>8.2224999999999966</v>
      </c>
      <c r="CM678" s="17">
        <f>SUM((CJ678+CK678)*0.00833333333333333)</f>
        <v>1.6444999999999994</v>
      </c>
      <c r="CN678" s="23">
        <f ca="1">MONTH(TODAY())+1</f>
        <v>5</v>
      </c>
      <c r="CO678" s="14">
        <f ca="1">SUM(CJ678,CK678,CL678)</f>
        <v>205.5625</v>
      </c>
      <c r="CP678" s="14">
        <f>SUM(DU678*0.0052)/2</f>
        <v>89.7</v>
      </c>
      <c r="CQ678" s="14">
        <f>SUM(CP678*0.1)</f>
        <v>8.9700000000000006</v>
      </c>
      <c r="CR678" s="14">
        <f ca="1">SUM(CS678*CT678)</f>
        <v>-1.6444999999999994</v>
      </c>
      <c r="CS678" s="17">
        <f>SUM((CP678+CQ678)*0.00833333333333333)</f>
        <v>0.8222499999999997</v>
      </c>
      <c r="CT678" s="23">
        <f ca="1">MONTH(TODAY())-6</f>
        <v>-2</v>
      </c>
      <c r="CU678" s="23">
        <f ca="1">SUM(CP678,CQ678,CR678)</f>
        <v>97.025500000000008</v>
      </c>
      <c r="CV678" s="14">
        <f>SUM(DU678*0.0052)/2</f>
        <v>89.7</v>
      </c>
      <c r="CW678" s="14">
        <v>0</v>
      </c>
      <c r="CX678" s="14">
        <v>0</v>
      </c>
      <c r="CY678" s="17">
        <f>SUM((CV678+CW678)*0.00833333333333333)</f>
        <v>0.74749999999999972</v>
      </c>
      <c r="CZ678" s="23">
        <f ca="1">MONTH(TODAY())-6</f>
        <v>-2</v>
      </c>
      <c r="DA678" s="23">
        <f>SUM(CV678,CW678,CX678)</f>
        <v>89.7</v>
      </c>
      <c r="DB678" s="14">
        <f>SUM(BL678, BR678, BX678, CD678, CJ678, CP678,CV678)</f>
        <v>379.08</v>
      </c>
      <c r="DC678" s="14">
        <f>SUM(BM678, BS678,BY678,CE678,CK678, CQ678,CW678)</f>
        <v>28.938000000000002</v>
      </c>
      <c r="DD678" s="14">
        <f ca="1">SUM(BN678, BT678,BZ678,CF678,CL678, CR678,CX678)</f>
        <v>9.7382999999999971</v>
      </c>
      <c r="DE678" s="14">
        <f ca="1">SUM(DB678:DD678)</f>
        <v>417.75629999999995</v>
      </c>
      <c r="DF678" s="47">
        <f ca="1">SUM(DE678/DU678)</f>
        <v>1.2108878260869564E-2</v>
      </c>
      <c r="DG678" s="14">
        <f>19.5+19.5+195+195+58.5+39</f>
        <v>526.5</v>
      </c>
      <c r="DH678" s="32">
        <f>COUNTIF(DN678, "*")+COUNTIF(AO678, "*")+COUNTIF(AJ678, "*")+COUNTIF(AA678, "*")+COUNTIF(Paid!EM625, "*")+COUNTIF(EQ678, "*")+COUNTIF(EW678, "*")+COUNTIF(FA678, "*")+COUNTIF(FH678, "*")+COUNTIF(FO678, "*")+COUNTIF(FV678, "*")+COUNTIF(GG678, "*")+COUNTIF(GR678, "*")+COUNTIF(GZ678, "*")+COUNTIF(HH678, "*")+COUNTIF(HP678, "*")+COUNTIF(HX678, "*")</f>
        <v>2</v>
      </c>
      <c r="DI678" s="14">
        <f>DH678*0.5+DH678*6.66</f>
        <v>14.32</v>
      </c>
      <c r="DJ678" s="4">
        <v>150</v>
      </c>
      <c r="DK678" s="14">
        <f ca="1">SUM(DE678,DG678,DQ678, DJ678, DI678,FS678)</f>
        <v>1138.6562999999999</v>
      </c>
      <c r="DL678" s="14">
        <v>30.08</v>
      </c>
      <c r="DM678" s="4"/>
      <c r="DN678" s="4"/>
      <c r="DP678" s="4"/>
      <c r="DQ678" s="14">
        <f>SUM(DL678:DP678)</f>
        <v>30.08</v>
      </c>
      <c r="DR678" s="24" t="s">
        <v>2773</v>
      </c>
      <c r="DS678" s="4">
        <v>34500</v>
      </c>
      <c r="DT678" s="4">
        <v>0</v>
      </c>
      <c r="DU678" s="25">
        <f>SUM(DS678+DT678)</f>
        <v>34500</v>
      </c>
      <c r="DV678" s="35">
        <v>7.38</v>
      </c>
      <c r="DW678" t="s">
        <v>3713</v>
      </c>
      <c r="DX678" t="s">
        <v>3714</v>
      </c>
      <c r="IO678" s="4"/>
    </row>
    <row r="679" spans="1:263" ht="15" customHeight="1">
      <c r="A679" s="2">
        <v>102024073</v>
      </c>
      <c r="B679" t="s">
        <v>5357</v>
      </c>
      <c r="D679" s="1"/>
      <c r="E679" s="3"/>
      <c r="G679" s="3"/>
      <c r="J679" t="s">
        <v>311</v>
      </c>
      <c r="K679" s="18" t="s">
        <v>5358</v>
      </c>
      <c r="L679" s="18" t="s">
        <v>5359</v>
      </c>
      <c r="M679" t="s">
        <v>5360</v>
      </c>
      <c r="O679" s="3"/>
      <c r="AG679" s="43"/>
      <c r="AJ679" s="18" t="s">
        <v>328</v>
      </c>
      <c r="AK679" s="1"/>
      <c r="AL679" s="18" t="s">
        <v>600</v>
      </c>
      <c r="AM679"/>
      <c r="AN679"/>
      <c r="AO679" t="s">
        <v>5361</v>
      </c>
      <c r="AP679" s="1" t="s">
        <v>258</v>
      </c>
      <c r="AQ679" t="s">
        <v>567</v>
      </c>
      <c r="AR679" t="s">
        <v>821</v>
      </c>
      <c r="AS679" s="10"/>
      <c r="AT679" s="10"/>
      <c r="AU679" s="10"/>
      <c r="AV679" s="10"/>
      <c r="AW679" s="1"/>
      <c r="AY679" s="1"/>
      <c r="AZ679" s="1"/>
      <c r="BA679" s="1"/>
      <c r="BB679" s="1"/>
      <c r="BC679" s="2"/>
      <c r="BD679" s="116"/>
      <c r="BE679" s="115"/>
      <c r="BF679" s="2"/>
      <c r="BG679" s="2"/>
      <c r="BH679" s="2"/>
      <c r="BI679" s="2"/>
      <c r="BJ679" s="2"/>
      <c r="BK679" s="2"/>
      <c r="BL679" s="20">
        <f ca="1">SUM(EB679)+220</f>
        <v>348.94909999999999</v>
      </c>
      <c r="BM679" s="22">
        <f ca="1">PMT(10%/12,12,BL679,0,0)</f>
        <v>-30.67816972461334</v>
      </c>
      <c r="BN679" s="22">
        <f ca="1">SUM(BM679*-1)</f>
        <v>30.67816972461334</v>
      </c>
      <c r="BO679" s="14">
        <f>SUM(EJ679*0.0052)/12</f>
        <v>5.46</v>
      </c>
      <c r="BP679" s="22">
        <f ca="1">SUM(BN679+BO679)</f>
        <v>36.138169724613341</v>
      </c>
      <c r="BQ679" s="14"/>
      <c r="BR679" s="14">
        <f>SUM(BQ679*0.1)</f>
        <v>0</v>
      </c>
      <c r="BS679" s="14">
        <f ca="1">SUM(BT679*BU679)</f>
        <v>0</v>
      </c>
      <c r="BT679" s="17">
        <f>SUM((BQ679+BR679)*0.00833333333333333)</f>
        <v>0</v>
      </c>
      <c r="BU679" s="23">
        <f ca="1">MONTH(TODAY())+61</f>
        <v>65</v>
      </c>
      <c r="BV679" s="14">
        <f ca="1">SUM(BQ679,BR679,BS679)</f>
        <v>0</v>
      </c>
      <c r="BW679" s="14"/>
      <c r="BX679" s="14">
        <f>SUM(BW679*0.1)</f>
        <v>0</v>
      </c>
      <c r="BY679" s="14">
        <f ca="1">SUM(BZ679*CA679)</f>
        <v>0</v>
      </c>
      <c r="BZ679" s="17">
        <f>SUM((BW679+BX679)*0.00833333333333333)</f>
        <v>0</v>
      </c>
      <c r="CA679" s="23">
        <f ca="1">MONTH(TODAY())+49</f>
        <v>53</v>
      </c>
      <c r="CB679" s="14">
        <f ca="1">SUM(BW679,BX679,BY679)</f>
        <v>0</v>
      </c>
      <c r="CC679" s="14">
        <v>0</v>
      </c>
      <c r="CD679" s="14">
        <f>SUM(CC679*0.1)</f>
        <v>0</v>
      </c>
      <c r="CE679" s="14">
        <f ca="1">SUM(CF679*CG679)</f>
        <v>0</v>
      </c>
      <c r="CF679" s="17">
        <f>SUM((CC679+CD679)*0.00833333333333333)</f>
        <v>0</v>
      </c>
      <c r="CG679" s="23">
        <f ca="1">MONTH(TODAY())+37</f>
        <v>41</v>
      </c>
      <c r="CH679" s="14">
        <f ca="1">SUM(CC679,CD679,CE679)</f>
        <v>0</v>
      </c>
      <c r="CI679" s="14">
        <v>0</v>
      </c>
      <c r="CJ679" s="14">
        <f>SUM(CI679*0.1)</f>
        <v>0</v>
      </c>
      <c r="CK679" s="14">
        <f ca="1">SUM(CL679*CM679)</f>
        <v>0</v>
      </c>
      <c r="CL679" s="17">
        <f>SUM((CI679+CJ679)*0.00833333333333333)</f>
        <v>0</v>
      </c>
      <c r="CM679" s="23">
        <f ca="1">MONTH(TODAY())+25</f>
        <v>29</v>
      </c>
      <c r="CN679" s="14">
        <f ca="1">SUM(CI679,CJ679,CK679)</f>
        <v>0</v>
      </c>
      <c r="CO679" s="14">
        <v>0</v>
      </c>
      <c r="CP679" s="14">
        <f>SUM(CO679*0.1)</f>
        <v>0</v>
      </c>
      <c r="CQ679" s="14">
        <f ca="1">SUM(CR679*CS679)</f>
        <v>0</v>
      </c>
      <c r="CR679" s="17">
        <f>SUM((CO679+CP679)*0.00833333333333333)</f>
        <v>0</v>
      </c>
      <c r="CS679" s="23">
        <f ca="1">MONTH(TODAY())+17</f>
        <v>21</v>
      </c>
      <c r="CT679" s="23">
        <f ca="1">SUM(CO679,CP679,CQ679)</f>
        <v>0</v>
      </c>
      <c r="CU679" s="14">
        <f>SUM(EG679*0.0052)/2</f>
        <v>32.76</v>
      </c>
      <c r="CV679" s="14">
        <f>SUM(CU679*0.1)</f>
        <v>3.2759999999999998</v>
      </c>
      <c r="CW679" s="14">
        <f ca="1">SUM(CX679*CY679)</f>
        <v>5.1050999999999984</v>
      </c>
      <c r="CX679" s="17">
        <f>SUM((CU679+CV679)*0.00833333333333333)</f>
        <v>0.3002999999999999</v>
      </c>
      <c r="CY679" s="23">
        <f ca="1">MONTH(TODAY())+13</f>
        <v>17</v>
      </c>
      <c r="CZ679" s="23">
        <f ca="1">SUM(CU679,CV679,CW679)</f>
        <v>41.141100000000002</v>
      </c>
      <c r="DA679" s="14">
        <f>SUM(EJ679*0.0045)/2</f>
        <v>28.349999999999998</v>
      </c>
      <c r="DB679" s="14">
        <f>SUM(DA679*0.1)</f>
        <v>2.835</v>
      </c>
      <c r="DC679" s="14">
        <f ca="1">SUM(DD679*DE679)</f>
        <v>2.8586249999999982</v>
      </c>
      <c r="DD679" s="17">
        <f>SUM((DA679+DB679)*0.00833333333333333)</f>
        <v>0.25987499999999986</v>
      </c>
      <c r="DE679" s="23">
        <f ca="1">MONTH(TODAY())+7</f>
        <v>11</v>
      </c>
      <c r="DF679" s="23">
        <f ca="1">SUM(DA679,DB679,DC679)</f>
        <v>34.043624999999999</v>
      </c>
      <c r="DG679" s="14">
        <f>SUM(EJ679*0.0045)/2</f>
        <v>28.349999999999998</v>
      </c>
      <c r="DH679" s="14">
        <f>SUM(DG679*0.1)</f>
        <v>2.835</v>
      </c>
      <c r="DI679" s="14">
        <f ca="1">SUM(DJ679*DK679)</f>
        <v>1.2993749999999993</v>
      </c>
      <c r="DJ679" s="17">
        <f>SUM((DG679+DH679)*0.00833333333333333)</f>
        <v>0.25987499999999986</v>
      </c>
      <c r="DK679" s="23">
        <f ca="1">MONTH(TODAY())+1</f>
        <v>5</v>
      </c>
      <c r="DL679" s="14">
        <f ca="1">SUM(DG679,DH679,DI679)</f>
        <v>32.484375</v>
      </c>
      <c r="DM679" s="14">
        <f>SUM( BQ679, BW679, CC679, CI679, CO679,CU679,DA679,DG679)</f>
        <v>89.46</v>
      </c>
      <c r="DN679" s="14">
        <f>SUM(BR679,BX679,CD679,CJ679, CP679,CV679,DB679,DH679)</f>
        <v>8.9459999999999997</v>
      </c>
      <c r="DO679" s="14">
        <f ca="1">SUM(BS679,BY679,CE679,CK679, CQ679,CW679,DC679,DI679)</f>
        <v>9.2630999999999961</v>
      </c>
      <c r="DP679" s="25">
        <f ca="1">SUM(DM679:DO679)</f>
        <v>107.66909999999999</v>
      </c>
      <c r="DQ679" s="47">
        <f ca="1">SUM(DP679/EG679)</f>
        <v>8.5451666666666662E-3</v>
      </c>
      <c r="DR679" s="14">
        <f>20</f>
        <v>20</v>
      </c>
      <c r="DS679" s="32">
        <f>COUNTIF(AO679, "*")+COUNTIF(AJ679, "*")+COUNTIF(AA679, "*")+COUNTIF(EU679, "*")+COUNTIF(FA679, "*")+COUNTIF(FG679, "*")+COUNTIF(FK679, "*")+COUNTIF(FR679, "*")+COUNTIF(AS679, "*")+COUNTIF(GA679, "*")+COUNTIF(GL679, "*")+COUNTIF(GW679, "*")+COUNTIF(HE679, "*")+COUNTIF(HM679, "*")+COUNTIF(HU679, "*")</f>
        <v>2</v>
      </c>
      <c r="DT679" s="14">
        <f>DS679*0.64</f>
        <v>1.28</v>
      </c>
      <c r="DU679" s="4"/>
      <c r="DV679" s="4"/>
      <c r="DW679" s="4"/>
      <c r="DX679" s="4"/>
      <c r="DZ679" s="4"/>
      <c r="EA679" s="14">
        <f>SUM(DV679:DZ679)</f>
        <v>0</v>
      </c>
      <c r="EB679" s="14">
        <f ca="1">SUM(DP679,DR679,EA679, DU679, DT679,FX679)</f>
        <v>128.94909999999999</v>
      </c>
      <c r="EC679" s="24" t="s">
        <v>4935</v>
      </c>
      <c r="ED679" s="23">
        <v>0.79</v>
      </c>
      <c r="EE679" s="14">
        <v>12600</v>
      </c>
      <c r="EF679" s="14">
        <v>0</v>
      </c>
      <c r="EG679" s="14">
        <f>SUM(EE679+EF679)</f>
        <v>12600</v>
      </c>
      <c r="EH679" s="14">
        <v>12600</v>
      </c>
      <c r="EI679" s="14">
        <v>0</v>
      </c>
      <c r="EJ679" s="14">
        <f>SUM(EH679+EI679)</f>
        <v>12600</v>
      </c>
      <c r="EK679" s="10"/>
      <c r="EL679" s="10"/>
      <c r="EM679" s="10"/>
      <c r="EN679" s="10"/>
      <c r="EO679" s="10"/>
      <c r="EP679" s="10"/>
      <c r="EQ679" s="10"/>
      <c r="ER679" s="10"/>
      <c r="FX679" s="4"/>
      <c r="HY679" s="9"/>
      <c r="IJ679" s="4"/>
      <c r="IK679" s="4"/>
      <c r="IL679" s="4"/>
      <c r="IM679" s="9"/>
      <c r="IN679" s="9"/>
      <c r="IO679" s="9"/>
      <c r="IP679" s="9"/>
      <c r="IQ679" s="9"/>
    </row>
    <row r="680" spans="1:263" ht="15" customHeight="1">
      <c r="A680" s="19">
        <v>102021113</v>
      </c>
      <c r="B680" t="s">
        <v>2695</v>
      </c>
      <c r="D680" s="1"/>
      <c r="J680" t="s">
        <v>554</v>
      </c>
      <c r="K680" t="s">
        <v>2696</v>
      </c>
      <c r="L680" t="s">
        <v>424</v>
      </c>
      <c r="P680" t="s">
        <v>2696</v>
      </c>
      <c r="Q680" t="s">
        <v>797</v>
      </c>
      <c r="AG680" s="248"/>
      <c r="AO680" t="s">
        <v>2697</v>
      </c>
      <c r="AP680" s="1" t="s">
        <v>258</v>
      </c>
      <c r="AQ680" s="3" t="s">
        <v>600</v>
      </c>
      <c r="AR680" s="3" t="s">
        <v>260</v>
      </c>
      <c r="AS680" s="1"/>
      <c r="AT680" s="1"/>
      <c r="AU680" s="1"/>
      <c r="AV680" s="1"/>
      <c r="AW680" s="1"/>
      <c r="AX680" s="2"/>
      <c r="AY680" s="2"/>
      <c r="AZ680" s="70"/>
      <c r="BA680" s="2"/>
      <c r="BB680" s="2"/>
      <c r="BC680" s="2"/>
      <c r="BD680" s="2"/>
      <c r="BE680" s="2"/>
      <c r="BF680" s="2"/>
      <c r="BG680" s="20"/>
      <c r="BH680" s="22"/>
      <c r="BI680" s="22"/>
      <c r="BJ680" s="14"/>
      <c r="BK680" s="22"/>
      <c r="BL680" s="14"/>
      <c r="BM680" s="14"/>
      <c r="BN680" s="14"/>
      <c r="BO680" s="17"/>
      <c r="BP680" s="23"/>
      <c r="BQ680" s="14"/>
      <c r="BR680" s="14"/>
      <c r="BS680" s="14"/>
      <c r="BT680" s="14"/>
      <c r="BU680" s="17"/>
      <c r="BV680" s="23"/>
      <c r="BW680" s="14"/>
      <c r="BX680" s="14"/>
      <c r="BY680" s="14"/>
      <c r="BZ680" s="14"/>
      <c r="CA680" s="17"/>
      <c r="CB680" s="23"/>
      <c r="CC680" s="14"/>
      <c r="CD680" s="14"/>
      <c r="CE680" s="14"/>
      <c r="CF680" s="14"/>
      <c r="CG680" s="17"/>
      <c r="CH680" s="23"/>
      <c r="CI680" s="14"/>
      <c r="CJ680" s="14"/>
      <c r="CK680" s="14"/>
      <c r="CL680" s="14"/>
      <c r="CM680" s="17"/>
      <c r="CN680" s="23"/>
      <c r="CO680" s="14"/>
      <c r="CP680" s="14"/>
      <c r="CQ680" s="14"/>
      <c r="CR680" s="14"/>
      <c r="CS680" s="17"/>
      <c r="CT680" s="23"/>
      <c r="CU680" s="14"/>
      <c r="CV680" s="14"/>
      <c r="DA680" s="14"/>
      <c r="DB680" s="14"/>
      <c r="DC680" s="14"/>
      <c r="DD680" s="14"/>
      <c r="DE680" s="14"/>
      <c r="DF680" s="47"/>
      <c r="DG680" s="14"/>
      <c r="DH680" s="32"/>
      <c r="DI680" s="14"/>
      <c r="DK680" s="14">
        <f>SUM(DE680,DG680,DQ680, DJ680, DI680,FS680)</f>
        <v>0</v>
      </c>
      <c r="DQ680" s="14">
        <f>SUM(DL680:DP680)</f>
        <v>0</v>
      </c>
      <c r="DR680" s="24" t="s">
        <v>1944</v>
      </c>
      <c r="DS680" s="4">
        <v>8800</v>
      </c>
      <c r="DT680" s="4">
        <v>32400</v>
      </c>
      <c r="DU680" s="25">
        <f>SUM(DS680+DT680)</f>
        <v>41200</v>
      </c>
      <c r="DV680" s="35">
        <v>0.55000000000000004</v>
      </c>
    </row>
    <row r="681" spans="1:263" ht="15" customHeight="1">
      <c r="A681" s="19">
        <v>102019057</v>
      </c>
      <c r="B681" s="14" t="s">
        <v>655</v>
      </c>
      <c r="C681" s="13"/>
      <c r="D681" s="13"/>
      <c r="E681" s="24"/>
      <c r="F681" s="19"/>
      <c r="G681" s="18">
        <v>190003802</v>
      </c>
      <c r="H681" s="18"/>
      <c r="I681" s="18"/>
      <c r="J681" s="18" t="s">
        <v>253</v>
      </c>
      <c r="K681" s="18" t="s">
        <v>656</v>
      </c>
      <c r="L681" s="18" t="s">
        <v>657</v>
      </c>
      <c r="M681" s="18" t="s">
        <v>537</v>
      </c>
      <c r="N681" s="18"/>
      <c r="O681" s="13"/>
      <c r="P681" s="18"/>
      <c r="Q681" s="18"/>
      <c r="R681" s="18"/>
      <c r="S681" s="18"/>
      <c r="T681" s="13"/>
      <c r="U681" s="18"/>
      <c r="V681" s="18"/>
      <c r="W681" s="18"/>
      <c r="X681" s="18"/>
      <c r="Y681" s="18"/>
      <c r="Z681" s="18"/>
      <c r="AA681" s="18"/>
      <c r="AB681" s="18"/>
      <c r="AC681" s="18"/>
      <c r="AD681" s="18"/>
      <c r="AE681" s="18"/>
      <c r="AF681" s="18"/>
      <c r="AG681" s="231" t="s">
        <v>658</v>
      </c>
      <c r="AH681" s="18"/>
      <c r="AI681" s="18"/>
      <c r="AJ681" s="14"/>
      <c r="AK681" s="14"/>
      <c r="AL681" s="18"/>
      <c r="AM681" s="24"/>
      <c r="AN681" s="24"/>
      <c r="AO681" s="14" t="s">
        <v>659</v>
      </c>
      <c r="AP681" s="20" t="s">
        <v>258</v>
      </c>
      <c r="AQ681" s="24" t="s">
        <v>600</v>
      </c>
      <c r="AR681" s="24" t="s">
        <v>260</v>
      </c>
      <c r="AS681" s="20"/>
      <c r="AT681" s="20"/>
      <c r="AU681" s="13"/>
      <c r="AV681" s="13"/>
      <c r="AW681" s="13"/>
      <c r="AX681" s="19"/>
      <c r="AY681" s="19"/>
      <c r="AZ681" s="48"/>
      <c r="BA681" s="19"/>
      <c r="BB681" s="19"/>
      <c r="BC681" s="19"/>
      <c r="BD681" s="19"/>
      <c r="BE681" s="19"/>
      <c r="BF681" s="19"/>
      <c r="BG681" s="20"/>
      <c r="BH681" s="22"/>
      <c r="BI681" s="22"/>
      <c r="BJ681" s="14"/>
      <c r="BK681" s="22"/>
      <c r="BL681" s="14"/>
      <c r="BM681" s="14"/>
      <c r="BN681" s="14"/>
      <c r="BO681" s="17"/>
      <c r="BP681" s="23"/>
      <c r="BQ681" s="14"/>
      <c r="BR681" s="14"/>
      <c r="BS681" s="14"/>
      <c r="BT681" s="14"/>
      <c r="BU681" s="17"/>
      <c r="BV681" s="23"/>
      <c r="BW681" s="14"/>
      <c r="BX681" s="14"/>
      <c r="BY681" s="14"/>
      <c r="BZ681" s="14"/>
      <c r="CA681" s="17"/>
      <c r="CB681" s="23"/>
      <c r="CC681" s="14"/>
      <c r="CD681" s="14"/>
      <c r="CE681" s="14"/>
      <c r="CF681" s="14"/>
      <c r="CG681" s="17"/>
      <c r="CH681" s="23"/>
      <c r="CI681" s="14"/>
      <c r="CJ681" s="14"/>
      <c r="CK681" s="14"/>
      <c r="CL681" s="14"/>
      <c r="CM681" s="17"/>
      <c r="CN681" s="23"/>
      <c r="CO681" s="14"/>
      <c r="CP681" s="14"/>
      <c r="CQ681" s="14"/>
      <c r="CR681" s="14"/>
      <c r="CS681" s="17"/>
      <c r="CT681" s="23"/>
      <c r="CU681" s="14"/>
      <c r="CV681" s="14"/>
      <c r="CW681" s="14"/>
      <c r="CX681" s="14"/>
      <c r="CY681" s="14"/>
      <c r="CZ681" s="14"/>
      <c r="DA681" s="47"/>
      <c r="DB681" s="14"/>
      <c r="DC681" s="32"/>
      <c r="DD681" s="14"/>
      <c r="DE681" s="14"/>
      <c r="DF681" s="14"/>
      <c r="DG681" s="14"/>
      <c r="DH681" s="14"/>
      <c r="DI681" s="14"/>
      <c r="DJ681" s="23"/>
      <c r="DK681" s="25"/>
      <c r="DL681" s="14">
        <f>SUM(DG681:DK681)</f>
        <v>0</v>
      </c>
      <c r="DM681" s="24" t="s">
        <v>320</v>
      </c>
      <c r="DN681" s="25">
        <v>21700</v>
      </c>
      <c r="DO681" s="25">
        <v>6800</v>
      </c>
      <c r="DP681" s="25">
        <f>SUM(DN681+DO681)</f>
        <v>28500</v>
      </c>
      <c r="DQ681" s="36"/>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27"/>
      <c r="FA681" s="18"/>
      <c r="FB681" s="18"/>
      <c r="FC681" s="18"/>
      <c r="FD681" s="18"/>
      <c r="FE681" s="18"/>
      <c r="FF681" s="18"/>
      <c r="FG681" s="18"/>
      <c r="FH681" s="18"/>
      <c r="FI681" s="18"/>
      <c r="FJ681" s="18"/>
      <c r="FK681" s="18"/>
      <c r="FL681" s="18"/>
      <c r="FM681" s="18"/>
      <c r="FN681" s="14"/>
      <c r="FO681" s="18"/>
      <c r="FP681" s="18"/>
      <c r="FQ681" s="18"/>
      <c r="FR681" s="18"/>
      <c r="FS681" s="28"/>
      <c r="FT681" s="18"/>
      <c r="FU681" s="18"/>
      <c r="FV681" s="18"/>
      <c r="FW681" s="18"/>
      <c r="FX681" s="18"/>
      <c r="FY681" s="18"/>
      <c r="FZ681" s="18"/>
      <c r="GA681" s="18"/>
      <c r="GB681" s="18"/>
      <c r="GC681" s="28"/>
      <c r="GD681" s="18"/>
      <c r="GE681" s="18"/>
      <c r="GF681" s="18"/>
      <c r="GG681" s="18"/>
      <c r="GH681" s="18"/>
      <c r="GI681" s="18"/>
      <c r="GJ681" s="18"/>
      <c r="GK681" s="18"/>
      <c r="GL681" s="18"/>
      <c r="GM681" s="18"/>
      <c r="GN681" s="18"/>
      <c r="GO681" s="18"/>
      <c r="GP681" s="18"/>
      <c r="GQ681" s="18"/>
      <c r="GR681" s="27"/>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4"/>
      <c r="IA681" s="14"/>
      <c r="IB681" s="27"/>
      <c r="IC681" s="18"/>
      <c r="ID681" s="18"/>
      <c r="IE681" s="18"/>
      <c r="IF681" s="18"/>
      <c r="IG681" s="18"/>
      <c r="IH681" s="18"/>
      <c r="II681" s="14"/>
      <c r="IJ681" s="14"/>
      <c r="IK681" s="18"/>
      <c r="IN681" t="s">
        <v>772</v>
      </c>
      <c r="IO681" t="s">
        <v>773</v>
      </c>
      <c r="IP681" t="s">
        <v>386</v>
      </c>
      <c r="IS681" s="66">
        <v>121</v>
      </c>
      <c r="IT681" s="66">
        <v>10767.05</v>
      </c>
      <c r="IU681" s="9">
        <v>43643</v>
      </c>
      <c r="IV681" s="9">
        <v>43661</v>
      </c>
      <c r="IW681" s="9">
        <v>43699</v>
      </c>
      <c r="IX681" s="9">
        <v>43711</v>
      </c>
    </row>
    <row r="682" spans="1:263" ht="15" customHeight="1">
      <c r="A682" s="19">
        <v>102019057</v>
      </c>
      <c r="B682" s="18" t="s">
        <v>655</v>
      </c>
      <c r="C682" s="10"/>
      <c r="D682" s="161"/>
      <c r="E682" s="147"/>
      <c r="F682" s="160"/>
      <c r="G682" s="147">
        <v>230001651</v>
      </c>
      <c r="H682" s="10"/>
      <c r="I682" s="10"/>
      <c r="J682" s="28" t="s">
        <v>253</v>
      </c>
      <c r="K682" s="28" t="s">
        <v>656</v>
      </c>
      <c r="L682" s="28" t="s">
        <v>657</v>
      </c>
      <c r="M682" s="28" t="s">
        <v>537</v>
      </c>
      <c r="N682" s="28"/>
      <c r="O682" s="150"/>
      <c r="P682" s="28"/>
      <c r="Q682" s="28"/>
      <c r="R682" s="28"/>
      <c r="S682" s="28"/>
      <c r="T682" s="10"/>
      <c r="U682" s="10"/>
      <c r="V682" s="10"/>
      <c r="W682" s="10"/>
      <c r="X682" s="10"/>
      <c r="Y682" s="10"/>
      <c r="Z682" s="10"/>
      <c r="AA682" s="10"/>
      <c r="AB682" s="10"/>
      <c r="AC682" s="10"/>
      <c r="AD682" s="10" t="s">
        <v>4548</v>
      </c>
      <c r="AE682" s="10" t="s">
        <v>253</v>
      </c>
      <c r="AF682" s="10" t="s">
        <v>862</v>
      </c>
      <c r="AG682" s="141" t="s">
        <v>658</v>
      </c>
      <c r="AH682" s="28" t="s">
        <v>4129</v>
      </c>
      <c r="AI682" s="28" t="s">
        <v>600</v>
      </c>
      <c r="AJ682" s="18"/>
      <c r="AK682" s="13"/>
      <c r="AL682" s="18"/>
      <c r="AM682" s="18"/>
      <c r="AN682" s="18"/>
      <c r="AO682" s="18" t="s">
        <v>4129</v>
      </c>
      <c r="AP682" s="13" t="s">
        <v>258</v>
      </c>
      <c r="AQ682" s="18" t="s">
        <v>600</v>
      </c>
      <c r="AR682" s="18" t="s">
        <v>260</v>
      </c>
      <c r="AX682" s="1"/>
      <c r="AY682" s="1"/>
      <c r="AZ682" s="1"/>
      <c r="BA682" s="1"/>
      <c r="BB682" s="1"/>
      <c r="BC682" s="70"/>
      <c r="BD682" s="115"/>
      <c r="BE682" s="144"/>
      <c r="BF682" s="70"/>
      <c r="BG682" s="2"/>
      <c r="BH682" s="70"/>
      <c r="BI682" s="70"/>
      <c r="BJ682" s="70"/>
      <c r="BK682" s="70"/>
      <c r="BL682" s="20">
        <f ca="1">SUM(EB682)+220</f>
        <v>536.27</v>
      </c>
      <c r="BM682" s="22">
        <f ca="1">PMT(10%/12,12,BL682,0,0)</f>
        <v>-47.146652844837249</v>
      </c>
      <c r="BN682" s="22">
        <f ca="1">SUM(BM682*-1)</f>
        <v>47.146652844837249</v>
      </c>
      <c r="BO682" s="14">
        <f>SUM(EJ682*0.0052)/12</f>
        <v>13.563333333333333</v>
      </c>
      <c r="BP682" s="22">
        <f ca="1">SUM(BN682+BO682)</f>
        <v>60.709986178170581</v>
      </c>
      <c r="BQ682" s="14">
        <v>0</v>
      </c>
      <c r="BR682" s="14">
        <f>SUM(BQ682*0.1)</f>
        <v>0</v>
      </c>
      <c r="BS682" s="14">
        <f ca="1">SUM(BT682*BU682)</f>
        <v>0</v>
      </c>
      <c r="BT682" s="17">
        <f>SUM((BQ682+BR682)*0.00833333333333333)</f>
        <v>0</v>
      </c>
      <c r="BU682" s="23">
        <f ca="1">MONTH(TODAY())+37</f>
        <v>41</v>
      </c>
      <c r="BV682" s="14">
        <f ca="1">SUM(BQ682,BR682,BS682)</f>
        <v>0</v>
      </c>
      <c r="BW682" s="14">
        <v>0</v>
      </c>
      <c r="BX682" s="14">
        <f>SUM(BW682*0.1)</f>
        <v>0</v>
      </c>
      <c r="BY682" s="14">
        <f ca="1">SUM(BZ682*CA682)</f>
        <v>0</v>
      </c>
      <c r="BZ682" s="17">
        <f>SUM((BW682+BX682)*0.00833333333333333)</f>
        <v>0</v>
      </c>
      <c r="CA682" s="23">
        <f ca="1">MONTH(TODAY())+37</f>
        <v>41</v>
      </c>
      <c r="CB682" s="14">
        <f ca="1">SUM(BW682,BX682,BY682)</f>
        <v>0</v>
      </c>
      <c r="CC682" s="14">
        <v>0</v>
      </c>
      <c r="CD682" s="14">
        <f>SUM(CC682*0.1)</f>
        <v>0</v>
      </c>
      <c r="CE682" s="14">
        <f ca="1">SUM(CF682*CG682)</f>
        <v>0</v>
      </c>
      <c r="CF682" s="17">
        <f>SUM((CC682+CD682)*0.00833333333333333)</f>
        <v>0</v>
      </c>
      <c r="CG682" s="23">
        <f ca="1">MONTH(TODAY())+29</f>
        <v>33</v>
      </c>
      <c r="CH682" s="23">
        <f ca="1">SUM(CC682,CD682,CE682)</f>
        <v>0</v>
      </c>
      <c r="CI682" s="14">
        <v>0</v>
      </c>
      <c r="CJ682" s="14">
        <f>SUM(CI682*0.1)</f>
        <v>0</v>
      </c>
      <c r="CK682" s="14">
        <f ca="1">SUM(CL682*CM682)</f>
        <v>0</v>
      </c>
      <c r="CL682" s="17">
        <f>SUM((CI682+CJ682)*0.00833333333333333)</f>
        <v>0</v>
      </c>
      <c r="CM682" s="23">
        <f ca="1">MONTH(TODAY())+25</f>
        <v>29</v>
      </c>
      <c r="CN682" s="14">
        <f ca="1">SUM(CI682,CJ682,CK682)</f>
        <v>0</v>
      </c>
      <c r="CO682" s="14">
        <v>0</v>
      </c>
      <c r="CP682" s="14">
        <f>SUM(CO682*0.1)</f>
        <v>0</v>
      </c>
      <c r="CQ682" s="14">
        <f ca="1">SUM(CR682*CS682)</f>
        <v>0</v>
      </c>
      <c r="CR682" s="17">
        <f>SUM((CO682+CP682)*0.00833333333333333)</f>
        <v>0</v>
      </c>
      <c r="CS682" s="23">
        <f ca="1">MONTH(TODAY())+19</f>
        <v>23</v>
      </c>
      <c r="CT682" s="14">
        <f ca="1">SUM(CO682,CP682,CQ682)</f>
        <v>0</v>
      </c>
      <c r="CU682" s="14">
        <v>0</v>
      </c>
      <c r="CV682" s="14">
        <f>SUM(CU682*0.1)</f>
        <v>0</v>
      </c>
      <c r="CW682" s="14">
        <f ca="1">SUM(CX682*CY682)</f>
        <v>0</v>
      </c>
      <c r="CX682" s="17">
        <f>SUM((CU682+CV682)*0.00833333333333333)</f>
        <v>0</v>
      </c>
      <c r="CY682" s="23">
        <f ca="1">MONTH(TODAY())+13</f>
        <v>17</v>
      </c>
      <c r="CZ682" s="14">
        <f ca="1">SUM(CU682,CV682,CW682)</f>
        <v>0</v>
      </c>
      <c r="DA682" s="14">
        <v>0</v>
      </c>
      <c r="DB682" s="14">
        <f>SUM(DA682*0.1)</f>
        <v>0</v>
      </c>
      <c r="DC682" s="14">
        <f ca="1">SUM(DD682*DE682)</f>
        <v>0</v>
      </c>
      <c r="DD682" s="17">
        <f>SUM((DA682+DB682)*0.00833333333333333)</f>
        <v>0</v>
      </c>
      <c r="DE682" s="23">
        <f ca="1">MONTH(TODAY())+7</f>
        <v>11</v>
      </c>
      <c r="DF682" s="14">
        <f ca="1">SUM(DA682,DB682,DC682)</f>
        <v>0</v>
      </c>
      <c r="DG682" s="14">
        <v>0</v>
      </c>
      <c r="DH682" s="14">
        <f>SUM(DG682*0.1)</f>
        <v>0</v>
      </c>
      <c r="DI682" s="14">
        <f ca="1">SUM(DJ682*DK682)</f>
        <v>0</v>
      </c>
      <c r="DJ682" s="17">
        <f>SUM((DG682+DH682)*0.00833333333333333)</f>
        <v>0</v>
      </c>
      <c r="DK682" s="23">
        <f ca="1">MONTH(TODAY())+1</f>
        <v>5</v>
      </c>
      <c r="DL682" s="14">
        <f ca="1">SUM(DG682,DH682,DI682)</f>
        <v>0</v>
      </c>
      <c r="DM682" s="14">
        <f>SUM(BQ682, BW682, CC682,CI682,CO682,CU682,DA682,DG682)</f>
        <v>0</v>
      </c>
      <c r="DN682" s="14">
        <f>SUM(BR682,BX682, CD682,CJ682,CP682,CV682,DB682,DH682)</f>
        <v>0</v>
      </c>
      <c r="DO682" s="14">
        <f ca="1">SUM(BS682,BY682, CE682,CK682,CQ682,CW682,DC682,DI682)</f>
        <v>0</v>
      </c>
      <c r="DP682" s="25">
        <f ca="1">SUM(DM682:DO682)</f>
        <v>0</v>
      </c>
      <c r="DQ682" s="47">
        <f ca="1">SUM(DP682/EG682)</f>
        <v>0</v>
      </c>
      <c r="DR682" s="14">
        <f>20+60+160+60+60-61.18</f>
        <v>298.82</v>
      </c>
      <c r="DS682" s="32">
        <f>COUNTIF(AO682, "*")+COUNTIF(AJ682, "*")+COUNTIF(AA682, "*")+COUNTIF(EU682, "*")+COUNTIF(FA682, "*")+COUNTIF(FG682, "*")+COUNTIF(FK682, "*")+COUNTIF(FR682, "*")+COUNTIF(AT682, "*")+COUNTIF(GA682, "*")+COUNTIF(GL682, "*")+COUNTIF(GW682, "*")+COUNTIF(HE682, "*")+COUNTIF(HM682, "*")+COUNTIF(HU682, "*")</f>
        <v>1</v>
      </c>
      <c r="DT682" s="14">
        <f>DS682*0.6+8+8.85</f>
        <v>17.45</v>
      </c>
      <c r="DU682" s="4"/>
      <c r="DV682" s="4"/>
      <c r="DW682" s="4"/>
      <c r="DX682" s="4"/>
      <c r="DY682" s="4"/>
      <c r="DZ682" s="4"/>
      <c r="EA682" s="14">
        <f>SUM(DU682:DZ682)</f>
        <v>0</v>
      </c>
      <c r="EB682" s="14">
        <f ca="1">SUM(DP682,DR682,EA682,DT682,FX682)</f>
        <v>316.27</v>
      </c>
      <c r="EC682" s="24" t="s">
        <v>4935</v>
      </c>
      <c r="ED682" s="23">
        <v>3.12</v>
      </c>
      <c r="EE682" s="14">
        <v>21700</v>
      </c>
      <c r="EF682" s="14">
        <v>6800</v>
      </c>
      <c r="EG682" s="14">
        <f>SUM(EE682+EF682)</f>
        <v>28500</v>
      </c>
      <c r="EH682" s="14">
        <v>23900</v>
      </c>
      <c r="EI682" s="14">
        <v>7400</v>
      </c>
      <c r="EJ682" s="14">
        <f>SUM(EH682+EI682)</f>
        <v>31300</v>
      </c>
      <c r="EK682" s="10"/>
      <c r="EL682" s="10"/>
      <c r="EM682" s="10"/>
      <c r="EN682" s="10"/>
      <c r="EO682" s="10"/>
      <c r="EP682" s="10"/>
      <c r="EQ682" s="10"/>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9"/>
      <c r="FP682" s="10"/>
      <c r="FQ682" s="10"/>
      <c r="FR682" s="10"/>
      <c r="FS682" s="10"/>
      <c r="FT682" s="10"/>
      <c r="FU682" s="10"/>
      <c r="FV682" s="9"/>
      <c r="FW682" s="10"/>
      <c r="FX682" s="10"/>
      <c r="FY682" s="10"/>
      <c r="FZ682" s="10"/>
      <c r="GA682" s="10"/>
      <c r="GB682" s="10"/>
      <c r="GC682" s="10"/>
      <c r="GD682" s="10"/>
      <c r="GE682" s="9"/>
      <c r="GF682" s="10"/>
      <c r="GG682" s="10"/>
      <c r="GH682" s="10"/>
      <c r="GI682" s="10"/>
      <c r="GJ682" s="10"/>
      <c r="GK682" s="10"/>
      <c r="GL682" s="10"/>
      <c r="GM682" s="10"/>
      <c r="GN682" s="10"/>
      <c r="GO682" s="10"/>
      <c r="GP682" s="9"/>
      <c r="GQ682" s="10"/>
      <c r="GR682" s="10"/>
      <c r="GS682" s="10"/>
      <c r="GT682" s="10"/>
      <c r="GU682" s="10"/>
      <c r="GV682" s="10"/>
      <c r="GW682" s="10"/>
      <c r="GX682" s="10"/>
      <c r="GY682" s="10"/>
      <c r="GZ682" s="10"/>
      <c r="HA682" s="9"/>
      <c r="HB682" s="10"/>
      <c r="HC682" s="10"/>
      <c r="HD682" s="10"/>
      <c r="HE682" s="10"/>
      <c r="HF682" s="10"/>
      <c r="HG682" s="10"/>
      <c r="HH682" s="10"/>
      <c r="HI682" s="9"/>
      <c r="HJ682" s="10"/>
      <c r="HK682" s="10"/>
      <c r="HL682" s="10"/>
      <c r="HM682" s="10"/>
      <c r="HN682" s="10"/>
      <c r="HO682" s="10"/>
      <c r="HP682" s="10"/>
      <c r="HQ682" s="9"/>
      <c r="HR682" s="10"/>
      <c r="HS682" s="10"/>
      <c r="HT682" s="10"/>
      <c r="HU682" s="10"/>
      <c r="HV682" s="10"/>
      <c r="HW682" s="10"/>
      <c r="HX682" s="10"/>
      <c r="HY682" s="9"/>
      <c r="HZ682" s="4"/>
      <c r="IA682" s="4"/>
      <c r="IB682" s="10"/>
      <c r="IC682" s="10"/>
      <c r="ID682" s="10"/>
      <c r="IE682" s="10"/>
      <c r="IF682" s="4"/>
      <c r="IG682" s="4"/>
      <c r="IH682" s="4"/>
      <c r="II682" s="4"/>
      <c r="IJ682" s="4"/>
      <c r="IK682" s="9"/>
      <c r="IL682" s="9"/>
      <c r="IM682" s="9"/>
      <c r="IN682" s="9"/>
      <c r="IO682" s="9"/>
      <c r="IP682" t="s">
        <v>5913</v>
      </c>
    </row>
    <row r="683" spans="1:263" ht="15" customHeight="1">
      <c r="A683" s="19">
        <v>102021050</v>
      </c>
      <c r="B683" s="18" t="s">
        <v>2071</v>
      </c>
      <c r="C683" s="18"/>
      <c r="D683" s="18"/>
      <c r="E683" s="18" t="s">
        <v>2472</v>
      </c>
      <c r="F683" s="18">
        <v>210002738</v>
      </c>
      <c r="G683" s="18"/>
      <c r="H683" s="18"/>
      <c r="I683" s="18"/>
      <c r="J683" s="18" t="s">
        <v>311</v>
      </c>
      <c r="K683" s="18" t="s">
        <v>664</v>
      </c>
      <c r="L683" s="18" t="s">
        <v>1289</v>
      </c>
      <c r="M683" s="18" t="s">
        <v>256</v>
      </c>
      <c r="N683" s="18"/>
      <c r="O683" s="18"/>
      <c r="P683" s="18"/>
      <c r="Q683" s="18"/>
      <c r="R683" s="18"/>
      <c r="S683" s="18"/>
      <c r="T683" s="18"/>
      <c r="U683" s="18"/>
      <c r="V683" s="18"/>
      <c r="W683" s="18"/>
      <c r="X683" s="18"/>
      <c r="Y683" s="18"/>
      <c r="Z683" s="18"/>
      <c r="AA683" s="18"/>
      <c r="AB683" s="18"/>
      <c r="AC683" s="18"/>
      <c r="AD683" s="18"/>
      <c r="AE683" s="18"/>
      <c r="AF683" s="18"/>
      <c r="AG683" s="231" t="s">
        <v>2484</v>
      </c>
      <c r="AH683" s="18"/>
      <c r="AI683" s="18"/>
      <c r="AJ683" s="18" t="s">
        <v>328</v>
      </c>
      <c r="AK683" s="18"/>
      <c r="AL683" s="18" t="s">
        <v>600</v>
      </c>
      <c r="AM683" s="24"/>
      <c r="AN683" s="24"/>
      <c r="AO683" s="18" t="s">
        <v>2485</v>
      </c>
      <c r="AP683" s="13" t="s">
        <v>258</v>
      </c>
      <c r="AQ683" s="24" t="s">
        <v>2486</v>
      </c>
      <c r="AR683" s="24"/>
      <c r="AS683" s="13"/>
      <c r="AT683" s="13"/>
      <c r="AU683" s="13"/>
      <c r="AV683" s="13"/>
      <c r="AW683" s="13"/>
      <c r="AX683" s="48"/>
      <c r="AY683" s="48"/>
      <c r="AZ683" s="48"/>
      <c r="BA683" s="48"/>
      <c r="BB683" s="19"/>
      <c r="BC683" s="48"/>
      <c r="BD683" s="48"/>
      <c r="BE683" s="19"/>
      <c r="BF683" s="19"/>
      <c r="BG683" s="20"/>
      <c r="BH683" s="22"/>
      <c r="BI683" s="22"/>
      <c r="BJ683" s="14"/>
      <c r="BK683" s="22"/>
      <c r="BL683" s="14"/>
      <c r="BM683" s="14"/>
      <c r="BN683" s="14"/>
      <c r="BO683" s="17"/>
      <c r="BP683" s="23"/>
      <c r="BQ683" s="14"/>
      <c r="BR683" s="14"/>
      <c r="BS683" s="14"/>
      <c r="BT683" s="14"/>
      <c r="BU683" s="17"/>
      <c r="BV683" s="23"/>
      <c r="BW683" s="14"/>
      <c r="BX683" s="14"/>
      <c r="BY683" s="14"/>
      <c r="BZ683" s="14"/>
      <c r="CA683" s="17"/>
      <c r="CB683" s="23"/>
      <c r="CC683" s="14"/>
      <c r="CD683" s="14"/>
      <c r="CE683" s="14"/>
      <c r="CF683" s="14"/>
      <c r="CG683" s="17"/>
      <c r="CH683" s="23"/>
      <c r="CI683" s="14"/>
      <c r="CJ683" s="14"/>
      <c r="CK683" s="14"/>
      <c r="CL683" s="14"/>
      <c r="CM683" s="17"/>
      <c r="CN683" s="23"/>
      <c r="CO683" s="14"/>
      <c r="CP683" s="14"/>
      <c r="CQ683" s="14"/>
      <c r="CR683" s="14"/>
      <c r="CS683" s="17"/>
      <c r="CT683" s="23"/>
      <c r="CU683" s="14"/>
      <c r="CV683" s="14"/>
      <c r="CW683" s="14"/>
      <c r="CX683" s="14"/>
      <c r="CY683" s="14"/>
      <c r="CZ683" s="47"/>
      <c r="DA683" s="14"/>
      <c r="DB683" s="32"/>
      <c r="DC683" s="14"/>
      <c r="DD683" s="14"/>
      <c r="DE683" s="14"/>
      <c r="DF683" s="14"/>
      <c r="DG683" s="14"/>
      <c r="DH683" s="14"/>
      <c r="DI683" s="23"/>
      <c r="DJ683" s="25"/>
      <c r="DK683" s="14">
        <f>SUM(DF683:DJ683)</f>
        <v>0</v>
      </c>
      <c r="DL683" s="24" t="s">
        <v>1997</v>
      </c>
      <c r="DM683" s="25">
        <v>21400</v>
      </c>
      <c r="DN683" s="25">
        <v>0</v>
      </c>
      <c r="DO683" s="25">
        <f>SUM(DM683+DN683)</f>
        <v>21400</v>
      </c>
      <c r="DP683" s="36">
        <v>3.05</v>
      </c>
      <c r="DQ683" s="18" t="s">
        <v>2368</v>
      </c>
      <c r="DR683" s="18" t="s">
        <v>2369</v>
      </c>
      <c r="DS683" s="18"/>
      <c r="DT683" s="18"/>
      <c r="DU683" s="18"/>
      <c r="DV683" s="18"/>
      <c r="DW683" s="18"/>
      <c r="DX683" s="18"/>
      <c r="DY683" s="18"/>
      <c r="DZ683" s="18"/>
      <c r="EA683" s="18"/>
      <c r="EB683" s="18"/>
      <c r="EC683" s="18" t="s">
        <v>2366</v>
      </c>
      <c r="ED683" s="18"/>
      <c r="EE683" s="18" t="s">
        <v>2367</v>
      </c>
      <c r="EF683" s="18"/>
      <c r="EG683" s="18" t="s">
        <v>2174</v>
      </c>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4"/>
      <c r="IO683" s="27">
        <v>44333</v>
      </c>
      <c r="IP683" s="18"/>
      <c r="IQ683" s="18"/>
      <c r="IR683" s="18"/>
      <c r="IS683" s="18"/>
      <c r="IT683" s="18"/>
      <c r="IU683" s="18"/>
      <c r="IV683" s="18"/>
      <c r="IW683" s="18"/>
      <c r="IX683" s="18"/>
      <c r="IY683" s="18"/>
      <c r="IZ683" s="18"/>
      <c r="JA683" s="18"/>
      <c r="JB683" s="18"/>
      <c r="JC683" s="18"/>
    </row>
    <row r="684" spans="1:263" ht="15" customHeight="1">
      <c r="A684" s="19">
        <v>102021067</v>
      </c>
      <c r="B684" t="s">
        <v>2100</v>
      </c>
      <c r="J684" t="s">
        <v>253</v>
      </c>
      <c r="K684" t="s">
        <v>2101</v>
      </c>
      <c r="L684" t="s">
        <v>2102</v>
      </c>
      <c r="M684" t="s">
        <v>256</v>
      </c>
      <c r="AF684" s="3"/>
      <c r="AG684" s="272"/>
      <c r="AL684" s="3"/>
      <c r="AM684"/>
      <c r="AN684" s="1" t="s">
        <v>2193</v>
      </c>
      <c r="AO684" s="1" t="s">
        <v>258</v>
      </c>
      <c r="AP684" s="3" t="s">
        <v>1598</v>
      </c>
      <c r="AQ684"/>
      <c r="AR684"/>
      <c r="AW684" s="2"/>
      <c r="AX684" s="2"/>
      <c r="AY684" s="70"/>
      <c r="AZ684" s="2"/>
      <c r="BA684" s="2"/>
      <c r="BB684" s="2"/>
      <c r="BC684" s="2"/>
      <c r="BD684" s="2"/>
      <c r="BE684" s="2"/>
      <c r="BF684" s="20"/>
      <c r="BG684" s="22"/>
      <c r="BH684" s="22"/>
      <c r="BI684" s="14"/>
      <c r="BJ684" s="14"/>
      <c r="BK684" s="14"/>
      <c r="BL684" s="17"/>
      <c r="BM684" s="23"/>
      <c r="BN684" s="14"/>
      <c r="BO684" s="14"/>
      <c r="BP684" s="14"/>
      <c r="BQ684" s="14"/>
      <c r="BR684" s="17"/>
      <c r="BS684" s="23"/>
      <c r="BT684" s="14"/>
      <c r="BU684" s="14"/>
      <c r="BV684" s="14"/>
      <c r="BW684" s="14"/>
      <c r="BX684" s="17"/>
      <c r="BY684" s="23"/>
      <c r="BZ684" s="14"/>
      <c r="CA684" s="14"/>
      <c r="CB684" s="14"/>
      <c r="CC684" s="14"/>
      <c r="CD684" s="17"/>
      <c r="CE684" s="23"/>
      <c r="CF684" s="14"/>
      <c r="CG684" s="14"/>
      <c r="CH684" s="14"/>
      <c r="CI684" s="14"/>
      <c r="CJ684" s="17"/>
      <c r="CK684" s="23"/>
      <c r="CL684" s="14"/>
      <c r="CM684" s="14"/>
      <c r="CN684" s="14"/>
      <c r="CO684" s="14"/>
      <c r="CP684" s="17"/>
      <c r="CQ684" s="23"/>
      <c r="CR684" s="14"/>
      <c r="CS684" s="14"/>
      <c r="CT684" s="14"/>
      <c r="CU684" s="14"/>
      <c r="CV684" s="17"/>
      <c r="CW684" s="23"/>
      <c r="CX684" s="14"/>
      <c r="CY684" s="14"/>
      <c r="CZ684" s="14"/>
      <c r="DA684" s="14"/>
      <c r="DB684" s="17"/>
      <c r="DC684" s="23"/>
      <c r="DD684" s="14"/>
      <c r="DE684" s="14"/>
      <c r="DF684" s="14"/>
      <c r="DG684" s="14"/>
      <c r="DH684" s="14">
        <f>SUM(DE684:DG684)</f>
        <v>0</v>
      </c>
      <c r="DI684" s="47">
        <f>SUM(DH684/DX684)</f>
        <v>0</v>
      </c>
      <c r="DJ684" s="14">
        <f>39+195</f>
        <v>234</v>
      </c>
      <c r="DK684" s="32">
        <f>COUNTIF(DQ684, "*")+COUNTIF(AN684, "*")+COUNTIF(AJ684, "*")+COUNTIF(AA684, "*")+COUNTIF(EN684, "*")+COUNTIF(ET684, "*")+COUNTIF(EZ684, "*")+COUNTIF(FD684, "*")+COUNTIF(FK684, "*")+COUNTIF(FS684, "*")+COUNTIF(FZ684, "*")+COUNTIF(GK684, "*")+COUNTIF(GV684, "*")+COUNTIF(HD684, "*")+COUNTIF(HL684, "*")+COUNTIF(HT684, "*")+COUNTIF(IB684, "*")</f>
        <v>2</v>
      </c>
      <c r="DL684" s="14">
        <f>DK684*0.5+DK684*6.36</f>
        <v>13.72</v>
      </c>
      <c r="DM684" s="14"/>
      <c r="DN684" s="14">
        <f>SUM(DH684,DJ684,DT684, DM684, DL684,FW684)</f>
        <v>247.72</v>
      </c>
      <c r="DO684" s="14"/>
      <c r="DP684" s="14"/>
      <c r="DQ684" s="14"/>
      <c r="DR684" s="14"/>
      <c r="DS684" s="25"/>
      <c r="DT684" s="14">
        <f>SUM(DO684:DS684)</f>
        <v>0</v>
      </c>
      <c r="DU684" s="24" t="s">
        <v>1997</v>
      </c>
      <c r="DV684" s="25">
        <v>23600</v>
      </c>
      <c r="DW684" s="25">
        <v>9900</v>
      </c>
      <c r="DX684" s="25">
        <f>SUM(DV684+DW684)</f>
        <v>33500</v>
      </c>
      <c r="DY684" s="36">
        <v>3</v>
      </c>
      <c r="DZ684" s="18" t="s">
        <v>2353</v>
      </c>
      <c r="EA684" t="s">
        <v>2354</v>
      </c>
      <c r="FX684" t="s">
        <v>833</v>
      </c>
      <c r="FY684" t="s">
        <v>834</v>
      </c>
      <c r="FZ684" t="s">
        <v>266</v>
      </c>
      <c r="GB684" t="s">
        <v>267</v>
      </c>
      <c r="GC684" t="s">
        <v>268</v>
      </c>
      <c r="GD684" s="9">
        <v>40815</v>
      </c>
      <c r="GE684" t="s">
        <v>2355</v>
      </c>
      <c r="IJ684" s="18"/>
      <c r="IK684" s="18"/>
      <c r="IL684" s="18"/>
      <c r="IM684" s="18"/>
      <c r="IN684" s="14"/>
      <c r="IO684" s="27">
        <v>44434</v>
      </c>
      <c r="IP684" s="18"/>
      <c r="IQ684" s="18"/>
      <c r="IR684" s="18"/>
      <c r="IS684" s="18"/>
    </row>
    <row r="685" spans="1:263" ht="15" customHeight="1">
      <c r="A685" s="2">
        <v>102020014</v>
      </c>
      <c r="B685" t="s">
        <v>1577</v>
      </c>
      <c r="D685" s="1"/>
      <c r="J685" t="s">
        <v>554</v>
      </c>
      <c r="K685" t="s">
        <v>1578</v>
      </c>
      <c r="L685" t="s">
        <v>574</v>
      </c>
      <c r="M685" t="s">
        <v>357</v>
      </c>
      <c r="P685" t="s">
        <v>1578</v>
      </c>
      <c r="Q685" t="s">
        <v>657</v>
      </c>
      <c r="R685" t="s">
        <v>598</v>
      </c>
      <c r="AG685" s="248"/>
      <c r="BG685" s="5"/>
      <c r="BH685" s="16"/>
      <c r="BI685" s="16"/>
      <c r="BJ685" s="4"/>
      <c r="BK685" s="4"/>
      <c r="BL685" s="4"/>
      <c r="BM685" s="6"/>
      <c r="BN685" s="7"/>
      <c r="BO685" s="4"/>
      <c r="BP685" s="4"/>
      <c r="BQ685" s="4"/>
      <c r="BR685" s="4"/>
      <c r="BS685" s="6"/>
      <c r="BT685" s="7"/>
      <c r="BU685" s="4"/>
      <c r="BV685" s="4"/>
      <c r="BW685" s="4"/>
      <c r="BX685" s="4"/>
      <c r="BY685" s="6"/>
      <c r="BZ685" s="7"/>
      <c r="CA685" s="4"/>
      <c r="CB685" s="4"/>
      <c r="CC685" s="4"/>
      <c r="CD685" s="4"/>
      <c r="CE685" s="6"/>
      <c r="CF685" s="7"/>
      <c r="CG685" s="4"/>
      <c r="CH685" s="4"/>
      <c r="CI685" s="4"/>
      <c r="CJ685" s="4"/>
      <c r="CK685" s="6"/>
      <c r="CL685" s="7"/>
      <c r="CM685" s="4"/>
      <c r="CN685" s="4"/>
      <c r="CO685" s="4"/>
      <c r="CP685" s="4"/>
      <c r="CQ685" s="6"/>
      <c r="CR685" s="7"/>
      <c r="CS685" s="4"/>
      <c r="CT685" s="4"/>
      <c r="CU685" s="4"/>
      <c r="CV685" s="4"/>
      <c r="CW685" s="6"/>
      <c r="CX685" s="7"/>
      <c r="CY685" s="4"/>
      <c r="CZ685" s="4"/>
      <c r="DA685" s="4"/>
      <c r="DB685" s="4"/>
      <c r="DC685" s="4"/>
      <c r="DD685" s="3"/>
      <c r="DE685" s="4"/>
      <c r="DF685" s="234"/>
      <c r="DG685" s="4"/>
      <c r="DH685" s="4"/>
      <c r="DI685" s="4"/>
      <c r="DJ685" s="4"/>
      <c r="DK685" s="4"/>
      <c r="DL685" s="4"/>
      <c r="DM685" s="7"/>
      <c r="DN685" s="8"/>
      <c r="DO685" s="4"/>
      <c r="DP685" s="8"/>
      <c r="DQ685" s="8"/>
      <c r="DR685" s="8"/>
      <c r="DS685" s="2"/>
      <c r="IW685" s="243"/>
      <c r="IX685" s="243"/>
      <c r="IY685" s="243"/>
    </row>
    <row r="686" spans="1:263" ht="15" customHeight="1">
      <c r="A686" s="19">
        <v>102023073</v>
      </c>
      <c r="B686" s="18" t="s">
        <v>4165</v>
      </c>
      <c r="D686" s="1"/>
      <c r="E686" s="3"/>
      <c r="F686" s="3"/>
      <c r="J686" s="18" t="s">
        <v>311</v>
      </c>
      <c r="K686" s="18" t="s">
        <v>3341</v>
      </c>
      <c r="L686" s="18" t="s">
        <v>4164</v>
      </c>
      <c r="M686" s="18"/>
      <c r="N686" s="18"/>
      <c r="O686" s="24"/>
      <c r="P686" s="18"/>
      <c r="Q686" s="18"/>
      <c r="R686" s="18"/>
      <c r="S686" s="18"/>
      <c r="AG686" s="43"/>
      <c r="AJ686" s="18" t="s">
        <v>4163</v>
      </c>
      <c r="AK686" s="18" t="s">
        <v>258</v>
      </c>
      <c r="AL686" s="18" t="s">
        <v>344</v>
      </c>
      <c r="AM686" s="18" t="s">
        <v>260</v>
      </c>
      <c r="AN686" s="18"/>
      <c r="AO686" s="18" t="s">
        <v>4162</v>
      </c>
      <c r="AP686" s="18" t="s">
        <v>258</v>
      </c>
      <c r="AQ686" s="18" t="s">
        <v>344</v>
      </c>
      <c r="AR686" s="18" t="s">
        <v>260</v>
      </c>
      <c r="AX686" s="1"/>
      <c r="AY686" s="1"/>
      <c r="AZ686" s="1"/>
      <c r="BA686" s="1"/>
      <c r="BB686" s="1"/>
      <c r="BC686" s="2"/>
      <c r="BD686" s="116"/>
      <c r="BE686" s="115"/>
      <c r="BF686" s="2"/>
      <c r="BG686" s="2"/>
      <c r="BH686" s="2"/>
      <c r="BI686" s="2"/>
      <c r="BJ686" s="2"/>
      <c r="BK686" s="2"/>
      <c r="BL686" s="20">
        <f ca="1">SUM(EB686)+220</f>
        <v>573.1225833333333</v>
      </c>
      <c r="BM686" s="22">
        <f ca="1">PMT(10%/12,12,BL686,0,0)</f>
        <v>-50.386580405305111</v>
      </c>
      <c r="BN686" s="22">
        <f ca="1">SUM(BM686*-1)</f>
        <v>50.386580405305111</v>
      </c>
      <c r="BO686" s="14">
        <f>SUM(EJ686*0.0052)/12</f>
        <v>13.953333333333333</v>
      </c>
      <c r="BP686" s="22">
        <f ca="1">SUM(BN686+BO686)</f>
        <v>64.339913738638444</v>
      </c>
      <c r="BQ686" s="14"/>
      <c r="BR686" s="14">
        <f>SUM(BQ686*0.1)</f>
        <v>0</v>
      </c>
      <c r="BS686" s="14">
        <f ca="1">SUM(BT686*BU686)</f>
        <v>0</v>
      </c>
      <c r="BT686" s="17">
        <f>SUM((BQ686+BR686)*0.00833333333333333)</f>
        <v>0</v>
      </c>
      <c r="BU686" s="23">
        <f ca="1">MONTH(TODAY())+49</f>
        <v>53</v>
      </c>
      <c r="BV686" s="14">
        <f ca="1">SUM(BQ686,BR686,BS686)</f>
        <v>0</v>
      </c>
      <c r="BW686" s="14"/>
      <c r="BX686" s="14">
        <f>SUM(BW686*0.1)</f>
        <v>0</v>
      </c>
      <c r="BY686" s="14">
        <f ca="1">SUM(BZ686*CA686)</f>
        <v>0</v>
      </c>
      <c r="BZ686" s="17">
        <f>SUM((BW686+BX686)*0.00833333333333333)</f>
        <v>0</v>
      </c>
      <c r="CA686" s="23">
        <f ca="1">MONTH(TODAY())+37</f>
        <v>41</v>
      </c>
      <c r="CB686" s="14">
        <f ca="1">SUM(BW686,BX686,BY686)</f>
        <v>0</v>
      </c>
      <c r="CC686" s="14">
        <v>0</v>
      </c>
      <c r="CD686" s="14">
        <f>SUM(CC686*0.1)</f>
        <v>0</v>
      </c>
      <c r="CE686" s="14">
        <f ca="1">SUM(CF686*CG686)</f>
        <v>0</v>
      </c>
      <c r="CF686" s="17">
        <f>SUM((CC686+CD686)*0.00833333333333333)</f>
        <v>0</v>
      </c>
      <c r="CG686" s="23">
        <f ca="1">MONTH(TODAY())+25</f>
        <v>29</v>
      </c>
      <c r="CH686" s="14">
        <f ca="1">SUM(CC686,CD686,CE686)</f>
        <v>0</v>
      </c>
      <c r="CI686" s="14">
        <f>SUM(EG686*0.0052)-64.94</f>
        <v>75.97999999999999</v>
      </c>
      <c r="CJ686" s="14">
        <f>SUM(CI686*0.1)</f>
        <v>7.597999999999999</v>
      </c>
      <c r="CK686" s="14">
        <f ca="1">SUM(CL686*CM686)</f>
        <v>11.84021666666666</v>
      </c>
      <c r="CL686" s="17">
        <f>SUM((CI686+CJ686)*0.00833333333333333)</f>
        <v>0.6964833333333329</v>
      </c>
      <c r="CM686" s="23">
        <f ca="1">MONTH(TODAY())+13</f>
        <v>17</v>
      </c>
      <c r="CN686" s="14">
        <f ca="1">SUM(CI686,CJ686,CK686)</f>
        <v>95.418216666666652</v>
      </c>
      <c r="CO686" s="14">
        <f>SUM(EG686*0.0052)/2</f>
        <v>70.459999999999994</v>
      </c>
      <c r="CP686" s="14">
        <f>SUM(CO686*0.1)</f>
        <v>7.0459999999999994</v>
      </c>
      <c r="CQ686" s="14">
        <f ca="1">SUM(CR686*CS686)</f>
        <v>5.8129499999999972</v>
      </c>
      <c r="CR686" s="17">
        <f>SUM((CO686+CP686)*0.00833333333333333)</f>
        <v>0.64588333333333303</v>
      </c>
      <c r="CS686" s="23">
        <f ca="1">MONTH(TODAY())+5</f>
        <v>9</v>
      </c>
      <c r="CT686" s="23">
        <f ca="1">SUM(CO686,CP686,CQ686)</f>
        <v>83.318950000000001</v>
      </c>
      <c r="CU686" s="14">
        <f>SUM(EG686*0.0052)/2</f>
        <v>70.459999999999994</v>
      </c>
      <c r="CV686" s="14">
        <f>SUM(CU686*0.1)</f>
        <v>7.0459999999999994</v>
      </c>
      <c r="CW686" s="14">
        <f ca="1">SUM(CX686*CY686)</f>
        <v>3.229416666666665</v>
      </c>
      <c r="CX686" s="17">
        <f>SUM((CU686+CV686)*0.00833333333333333)</f>
        <v>0.64588333333333303</v>
      </c>
      <c r="CY686" s="23">
        <f ca="1">MONTH(TODAY())+1</f>
        <v>5</v>
      </c>
      <c r="CZ686" s="23">
        <f ca="1">SUM(CU686,CV686,CW686)</f>
        <v>80.735416666666666</v>
      </c>
      <c r="DA686" s="14">
        <f>SUM(EJ686*0.0045)/2</f>
        <v>72.449999999999989</v>
      </c>
      <c r="DB686" s="14">
        <v>0</v>
      </c>
      <c r="DC686" s="14">
        <v>0</v>
      </c>
      <c r="DD686" s="17">
        <f>SUM((DA686+DB686)*0.00833333333333333)</f>
        <v>0.60374999999999968</v>
      </c>
      <c r="DE686" s="23">
        <f ca="1">MONTH(TODAY())-5</f>
        <v>-1</v>
      </c>
      <c r="DF686" s="23">
        <f>SUM(DA686,DB686,DC686)</f>
        <v>72.449999999999989</v>
      </c>
      <c r="DG686" s="14">
        <v>0</v>
      </c>
      <c r="DH686" s="14">
        <v>0</v>
      </c>
      <c r="DI686" s="14">
        <v>0</v>
      </c>
      <c r="DJ686" s="17">
        <f>SUM((DG686+DH686)*0.00833333333333333)</f>
        <v>0</v>
      </c>
      <c r="DK686" s="23">
        <f ca="1">MONTH(TODAY())+1</f>
        <v>5</v>
      </c>
      <c r="DL686" s="23">
        <f>SUM(DG686,DH686,DI686)</f>
        <v>0</v>
      </c>
      <c r="DM686" s="14">
        <f>SUM( BQ686, BW686, CC686, CI686, CO686,CU686,DA686,DG686)</f>
        <v>289.34999999999997</v>
      </c>
      <c r="DN686" s="14">
        <f>SUM(BR686,BX686,CD686,CJ686, CP686,CV686,DB686,DH686)</f>
        <v>21.689999999999998</v>
      </c>
      <c r="DO686" s="14">
        <f ca="1">SUM(BS686,BY686,CE686,CK686, CQ686,CW686,DC686,DI686)</f>
        <v>20.882583333333322</v>
      </c>
      <c r="DP686" s="25">
        <f ca="1">SUM(DM686:DO686)</f>
        <v>331.92258333333331</v>
      </c>
      <c r="DQ686" s="47">
        <f ca="1">SUM(DP686/EG686)</f>
        <v>1.2248065805658055E-2</v>
      </c>
      <c r="DR686" s="14">
        <v>20</v>
      </c>
      <c r="DS686" s="32">
        <f>COUNTIF(DX686, "*")+COUNTIF(AO686, "*")+COUNTIF(AJ686, "*")+COUNTIF(AA686, "*")+COUNTIF(EY686, "*")+COUNTIF(FE686, "*")+COUNTIF(FK686, "*")+COUNTIF(FO686, "*")+COUNTIF(FV686, "*")+COUNTIF(AT686, "*")+COUNTIF(GE686, "*")+COUNTIF(GP686, "*")+COUNTIF(HA686, "*")+COUNTIF(HI686, "*")+COUNTIF(HQ686, "*")+COUNTIF(HY686, "*")+COUNTIF(IG686, "*")</f>
        <v>2</v>
      </c>
      <c r="DT686" s="14">
        <f>DS686*0.6</f>
        <v>1.2</v>
      </c>
      <c r="DU686" s="4"/>
      <c r="DV686" s="4"/>
      <c r="DW686" s="4"/>
      <c r="DX686" s="4"/>
      <c r="DZ686" s="4"/>
      <c r="EA686" s="14">
        <f>SUM(DV686:DZ686)</f>
        <v>0</v>
      </c>
      <c r="EB686" s="14">
        <f ca="1">SUM(DP686,DR686,EA686, DU686, DT686,GB686)</f>
        <v>353.1225833333333</v>
      </c>
      <c r="EC686" s="24" t="s">
        <v>3879</v>
      </c>
      <c r="ED686" s="130">
        <v>8</v>
      </c>
      <c r="EE686" s="14">
        <v>26100</v>
      </c>
      <c r="EF686" s="14">
        <v>1000</v>
      </c>
      <c r="EG686" s="14">
        <v>27100</v>
      </c>
      <c r="EH686" s="14">
        <v>31200</v>
      </c>
      <c r="EI686" s="14">
        <v>1000</v>
      </c>
      <c r="EJ686" s="14">
        <f>SUM(EH686+EI686)</f>
        <v>32200</v>
      </c>
      <c r="IM686" s="9"/>
      <c r="IX686" s="14">
        <f ca="1">SUM(IN686-EB686-GB686-IV686)</f>
        <v>-353.1225833333333</v>
      </c>
      <c r="IY686" s="9"/>
      <c r="IZ686" s="9"/>
      <c r="JA686" s="9"/>
      <c r="JB686" s="9"/>
      <c r="JC686" s="9"/>
    </row>
    <row r="687" spans="1:263" ht="15" customHeight="1">
      <c r="A687" s="19">
        <v>102019037</v>
      </c>
      <c r="B687" s="14" t="s">
        <v>628</v>
      </c>
      <c r="C687" s="20"/>
      <c r="D687" s="20"/>
      <c r="E687" s="20"/>
      <c r="F687" s="24"/>
      <c r="G687" s="19"/>
      <c r="H687" s="18"/>
      <c r="I687" s="18"/>
      <c r="J687" s="18" t="s">
        <v>253</v>
      </c>
      <c r="K687" s="18" t="s">
        <v>629</v>
      </c>
      <c r="L687" s="18" t="s">
        <v>502</v>
      </c>
      <c r="M687" s="18"/>
      <c r="N687" s="18"/>
      <c r="O687" s="13"/>
      <c r="P687" s="18"/>
      <c r="Q687" s="18"/>
      <c r="R687" s="18"/>
      <c r="S687" s="18"/>
      <c r="T687" s="13"/>
      <c r="U687" s="18"/>
      <c r="V687" s="18"/>
      <c r="W687" s="18"/>
      <c r="X687" s="18"/>
      <c r="Y687" s="18"/>
      <c r="Z687" s="18"/>
      <c r="AA687" s="18"/>
      <c r="AB687" s="18"/>
      <c r="AC687" s="18"/>
      <c r="AD687" s="18"/>
      <c r="AE687" s="18"/>
      <c r="AF687" s="18"/>
      <c r="AG687" s="231"/>
      <c r="AH687" s="18"/>
      <c r="AI687" s="18"/>
      <c r="AJ687" s="14"/>
      <c r="AK687" s="14"/>
      <c r="AL687" s="18"/>
      <c r="AM687" s="24"/>
      <c r="AN687" s="24"/>
      <c r="AO687" s="14"/>
      <c r="AP687" s="20"/>
      <c r="AQ687" s="24"/>
      <c r="AR687" s="24"/>
      <c r="AS687" s="20"/>
      <c r="AT687" s="20"/>
      <c r="AU687" s="13"/>
      <c r="AV687" s="13"/>
      <c r="AW687" s="13"/>
      <c r="AX687" s="13"/>
      <c r="AY687" s="21"/>
      <c r="AZ687" s="13"/>
      <c r="BA687" s="13"/>
      <c r="BB687" s="13"/>
      <c r="BC687" s="13"/>
      <c r="BD687" s="13"/>
      <c r="BE687" s="13"/>
      <c r="BF687" s="13"/>
      <c r="BG687" s="20"/>
      <c r="BH687" s="22"/>
      <c r="BI687" s="22"/>
      <c r="BJ687" s="14"/>
      <c r="BK687" s="14"/>
      <c r="BL687" s="14"/>
      <c r="BM687" s="17"/>
      <c r="BN687" s="23"/>
      <c r="BO687" s="14"/>
      <c r="BP687" s="14"/>
      <c r="BQ687" s="14"/>
      <c r="BR687" s="14"/>
      <c r="BS687" s="17"/>
      <c r="BT687" s="23"/>
      <c r="BU687" s="14"/>
      <c r="BV687" s="14"/>
      <c r="BW687" s="14"/>
      <c r="BX687" s="14"/>
      <c r="BY687" s="17"/>
      <c r="BZ687" s="23"/>
      <c r="CA687" s="14"/>
      <c r="CB687" s="14"/>
      <c r="CC687" s="14"/>
      <c r="CD687" s="14"/>
      <c r="CE687" s="17"/>
      <c r="CF687" s="23"/>
      <c r="CG687" s="14"/>
      <c r="CH687" s="14"/>
      <c r="CI687" s="14"/>
      <c r="CJ687" s="14"/>
      <c r="CK687" s="17"/>
      <c r="CL687" s="23"/>
      <c r="CM687" s="14"/>
      <c r="CN687" s="14"/>
      <c r="CO687" s="14"/>
      <c r="CP687" s="14"/>
      <c r="CQ687" s="17"/>
      <c r="CR687" s="23"/>
      <c r="CS687" s="14"/>
      <c r="CT687" s="14"/>
      <c r="CU687" s="14"/>
      <c r="CV687" s="14"/>
      <c r="CW687" s="17"/>
      <c r="CX687" s="23"/>
      <c r="CY687" s="14"/>
      <c r="CZ687" s="14"/>
      <c r="DA687" s="14"/>
      <c r="DB687" s="14"/>
      <c r="DC687" s="14"/>
      <c r="DD687" s="14"/>
      <c r="DE687" s="47"/>
      <c r="DF687" s="24"/>
      <c r="DG687" s="14"/>
      <c r="DH687" s="32"/>
      <c r="DI687" s="14"/>
      <c r="DJ687" s="14"/>
      <c r="DK687" s="14"/>
      <c r="DL687" s="14"/>
      <c r="DM687" s="14"/>
      <c r="DN687" s="14"/>
      <c r="DO687" s="23"/>
      <c r="DP687" s="25"/>
      <c r="DQ687" s="14"/>
      <c r="DR687" s="25"/>
      <c r="DS687" s="25"/>
      <c r="DT687" s="25"/>
      <c r="DU687" s="36"/>
      <c r="DV687" s="18"/>
      <c r="DW687" s="18"/>
      <c r="DX687" s="18"/>
      <c r="DY687" s="18"/>
      <c r="DZ687" s="18"/>
      <c r="EA687" s="18"/>
      <c r="EB687" s="18"/>
      <c r="EC687" s="18"/>
      <c r="ED687" s="30"/>
      <c r="EE687" s="18"/>
      <c r="EF687" s="18"/>
      <c r="EG687" s="18"/>
      <c r="EH687" s="18"/>
      <c r="EI687" s="18"/>
      <c r="EJ687" s="30"/>
      <c r="EK687" s="30"/>
      <c r="EL687" s="14"/>
      <c r="EM687" s="14"/>
      <c r="EN687" s="14"/>
      <c r="EO687" s="14"/>
      <c r="EP687" s="14"/>
      <c r="EQ687" s="14"/>
      <c r="ER687" s="14"/>
      <c r="ES687" s="14"/>
      <c r="ET687" s="14"/>
      <c r="EU687" s="14"/>
      <c r="EV687" s="14"/>
      <c r="EW687" s="14"/>
      <c r="EX687" s="14"/>
      <c r="EY687" s="14"/>
      <c r="EZ687" s="14"/>
      <c r="FA687" s="18"/>
      <c r="FB687" s="18"/>
      <c r="FC687" s="18"/>
      <c r="FD687" s="27"/>
      <c r="FE687" s="18"/>
      <c r="FF687" s="18"/>
      <c r="FG687" s="18"/>
      <c r="FH687" s="18"/>
      <c r="FI687" s="18"/>
      <c r="FJ687" s="18"/>
      <c r="FK687" s="18"/>
      <c r="FL687" s="18"/>
      <c r="FM687" s="27"/>
      <c r="FN687" s="18"/>
      <c r="FO687" s="18"/>
      <c r="FP687" s="18"/>
      <c r="FQ687" s="18"/>
      <c r="FR687" s="18"/>
      <c r="FS687" s="14"/>
      <c r="FT687" s="18"/>
      <c r="FU687" s="18"/>
      <c r="FV687" s="18"/>
      <c r="FW687" s="18"/>
      <c r="FX687" s="28"/>
      <c r="FY687" s="18"/>
      <c r="FZ687" s="18"/>
      <c r="GA687" s="18"/>
      <c r="GB687" s="18"/>
      <c r="GC687" s="18"/>
      <c r="GD687" s="18"/>
      <c r="GE687" s="18"/>
      <c r="GF687" s="18"/>
      <c r="GG687" s="18"/>
      <c r="GH687" s="28"/>
      <c r="GI687" s="18"/>
      <c r="GJ687" s="18"/>
      <c r="GK687" s="18"/>
      <c r="GL687" s="18"/>
      <c r="GM687" s="18"/>
      <c r="GN687" s="18"/>
      <c r="GO687" s="18"/>
      <c r="GP687" s="18"/>
      <c r="GQ687" s="18"/>
      <c r="GR687" s="18"/>
      <c r="GS687" s="18"/>
      <c r="GT687" s="18"/>
      <c r="GU687" s="18"/>
      <c r="GV687" s="18"/>
      <c r="GW687" s="27"/>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4"/>
      <c r="IF687" s="14"/>
      <c r="IG687" s="27"/>
      <c r="IH687" s="18"/>
      <c r="II687" s="18"/>
      <c r="IJ687" s="18"/>
      <c r="IK687" s="18"/>
      <c r="IL687" s="9"/>
      <c r="IS687" s="4"/>
      <c r="IT687" s="4"/>
    </row>
    <row r="688" spans="1:263" ht="15" customHeight="1">
      <c r="A688" s="2">
        <v>102017087</v>
      </c>
      <c r="B688" t="s">
        <v>1027</v>
      </c>
      <c r="F688" s="2"/>
      <c r="G688">
        <v>180000523</v>
      </c>
      <c r="J688" t="s">
        <v>253</v>
      </c>
      <c r="K688" t="s">
        <v>1028</v>
      </c>
      <c r="L688" t="s">
        <v>1029</v>
      </c>
      <c r="M688" t="s">
        <v>403</v>
      </c>
      <c r="O688" s="1"/>
      <c r="T688" s="1"/>
      <c r="W688" s="18"/>
      <c r="AE688" s="1"/>
      <c r="AJ688" s="4"/>
      <c r="AK688" s="4"/>
      <c r="AL688" s="4"/>
      <c r="AM688" s="34"/>
      <c r="AP688" s="13"/>
      <c r="AQ688" s="34"/>
      <c r="AR688" s="34"/>
      <c r="AS688" s="5"/>
      <c r="AT688" s="13"/>
      <c r="AU688" s="1"/>
      <c r="AV688" s="1"/>
      <c r="AW688" s="1"/>
      <c r="AX688" s="1"/>
      <c r="AY688" s="1"/>
      <c r="AZ688" s="15"/>
      <c r="BA688" s="1"/>
      <c r="BB688" s="1"/>
      <c r="BC688" s="1"/>
      <c r="BD688" s="1"/>
      <c r="BE688" s="1"/>
      <c r="BF688" s="1"/>
      <c r="BG688" s="5"/>
      <c r="BH688" s="16"/>
      <c r="BI688" s="16"/>
      <c r="BJ688" s="4"/>
      <c r="BK688" s="4"/>
      <c r="BL688" s="4"/>
      <c r="BM688" s="6"/>
      <c r="BN688" s="7"/>
      <c r="BO688" s="4"/>
      <c r="BQ688" s="4"/>
      <c r="BR688" s="4"/>
      <c r="BS688" s="6"/>
      <c r="BT688" s="7"/>
      <c r="BU688" s="4"/>
      <c r="BV688" s="4"/>
      <c r="BW688" s="4"/>
      <c r="BX688" s="4"/>
      <c r="BY688" s="6"/>
      <c r="BZ688" s="7"/>
      <c r="CA688" s="4"/>
      <c r="CB688" s="4"/>
      <c r="CC688" s="4"/>
      <c r="CD688" s="4"/>
      <c r="CE688" s="6"/>
      <c r="CF688" s="7"/>
      <c r="CG688" s="4"/>
      <c r="CH688" s="4"/>
      <c r="CI688" s="4"/>
      <c r="CJ688" s="4"/>
      <c r="CK688" s="6"/>
      <c r="CL688" s="7"/>
      <c r="CM688" s="4"/>
      <c r="CN688" s="4"/>
      <c r="CO688" s="4"/>
      <c r="CP688" s="4"/>
      <c r="CQ688" s="6"/>
      <c r="CR688" s="7"/>
      <c r="CS688" s="4"/>
      <c r="CT688" s="4"/>
      <c r="CU688" s="4"/>
      <c r="CV688" s="4"/>
      <c r="CW688" s="6"/>
      <c r="CX688" s="7"/>
      <c r="CY688" s="4"/>
      <c r="CZ688" s="4"/>
      <c r="DA688" s="4"/>
      <c r="DB688" s="4"/>
      <c r="DC688" s="6"/>
      <c r="DD688" s="7"/>
      <c r="DE688" s="4"/>
      <c r="DF688" s="4"/>
      <c r="DG688" s="4"/>
      <c r="DH688" s="14"/>
      <c r="DI688" s="14"/>
      <c r="DJ688" s="4"/>
      <c r="DK688" s="3"/>
      <c r="DL688" s="4"/>
      <c r="DM688" s="234"/>
      <c r="DN688" s="4"/>
      <c r="DO688" s="4"/>
      <c r="DP688" s="4"/>
      <c r="DQ688" s="4"/>
      <c r="DR688" s="4"/>
      <c r="DS688" s="4"/>
      <c r="DT688" s="4"/>
      <c r="DU688" s="8"/>
      <c r="DV688" s="4"/>
      <c r="DW688" s="8"/>
      <c r="DX688" s="4"/>
      <c r="DY688" s="4"/>
      <c r="DZ688" s="7"/>
      <c r="FI688" s="9"/>
      <c r="FJ688" s="10"/>
      <c r="FQ688" s="10"/>
      <c r="FR688" s="9"/>
      <c r="FX688" s="4"/>
      <c r="GE688" s="9"/>
      <c r="II688" s="27"/>
      <c r="IJ688" s="4"/>
      <c r="IK688" s="4"/>
      <c r="IP688" s="4"/>
    </row>
    <row r="689" spans="1:263" ht="15" customHeight="1">
      <c r="A689" s="19">
        <v>102017087</v>
      </c>
      <c r="B689" t="s">
        <v>1027</v>
      </c>
      <c r="C689" s="10"/>
      <c r="D689" s="159"/>
      <c r="E689" s="147"/>
      <c r="F689" s="160"/>
      <c r="G689" s="147">
        <v>220001519</v>
      </c>
      <c r="H689" s="10"/>
      <c r="I689" s="10"/>
      <c r="J689" s="10" t="s">
        <v>253</v>
      </c>
      <c r="K689" s="10" t="s">
        <v>1028</v>
      </c>
      <c r="L689" s="10" t="s">
        <v>1029</v>
      </c>
      <c r="M689" s="10" t="s">
        <v>403</v>
      </c>
      <c r="N689" s="10"/>
      <c r="O689" s="147"/>
      <c r="P689" s="10"/>
      <c r="Q689" s="10"/>
      <c r="R689" s="10"/>
      <c r="S689" s="10"/>
      <c r="T689" s="10"/>
      <c r="U689" s="10"/>
      <c r="V689" s="10"/>
      <c r="W689" s="10"/>
      <c r="X689" s="10"/>
      <c r="Y689" s="10"/>
      <c r="Z689" s="10"/>
      <c r="AA689" s="10"/>
      <c r="AB689" s="10"/>
      <c r="AC689" s="10"/>
      <c r="AD689" s="10" t="s">
        <v>3366</v>
      </c>
      <c r="AE689" s="10" t="s">
        <v>253</v>
      </c>
      <c r="AF689" s="10" t="s">
        <v>1516</v>
      </c>
      <c r="AG689" s="141" t="s">
        <v>3365</v>
      </c>
      <c r="AH689" s="147" t="s">
        <v>2935</v>
      </c>
      <c r="AI689" s="150" t="s">
        <v>344</v>
      </c>
      <c r="AJ689" s="18"/>
      <c r="AK689" s="1"/>
      <c r="AL689" s="18"/>
      <c r="AM689"/>
      <c r="AN689"/>
      <c r="AO689" t="s">
        <v>2935</v>
      </c>
      <c r="AP689" s="1" t="s">
        <v>258</v>
      </c>
      <c r="AQ689" t="s">
        <v>344</v>
      </c>
      <c r="AR689" t="s">
        <v>260</v>
      </c>
      <c r="AX689" s="1"/>
      <c r="AY689" s="1"/>
      <c r="AZ689" s="1"/>
      <c r="BA689" s="1"/>
      <c r="BB689" s="1"/>
      <c r="BC689" s="70"/>
      <c r="BD689" s="114">
        <v>44605</v>
      </c>
      <c r="BE689" s="144"/>
      <c r="BF689" s="70"/>
      <c r="BG689" s="2"/>
      <c r="BH689" s="70"/>
      <c r="BI689" s="70"/>
      <c r="BJ689" s="70"/>
      <c r="BK689" s="70"/>
      <c r="BL689" s="20">
        <f ca="1">SUM(EB689)+220</f>
        <v>2603.4204999999997</v>
      </c>
      <c r="BM689" s="22">
        <f ca="1">PMT(10%/12,12,BL689,0,0)</f>
        <v>-228.88202309029518</v>
      </c>
      <c r="BN689" s="22">
        <f ca="1">SUM(BM689*-1)</f>
        <v>228.88202309029518</v>
      </c>
      <c r="BO689" s="14">
        <f>SUM(EJ689*0.0052)/12</f>
        <v>89.743333333333325</v>
      </c>
      <c r="BP689" s="22">
        <f ca="1">SUM(BN689+BO689)</f>
        <v>318.62535642362849</v>
      </c>
      <c r="BQ689" s="14">
        <v>0</v>
      </c>
      <c r="BR689" s="14">
        <f>SUM(BQ689*0.1)</f>
        <v>0</v>
      </c>
      <c r="BS689" s="14">
        <f ca="1">SUM(BT689*BU689)</f>
        <v>0</v>
      </c>
      <c r="BT689" s="17">
        <f>SUM((BQ689+BR689)*0.00833333333333333)</f>
        <v>0</v>
      </c>
      <c r="BU689" s="23">
        <f ca="1">MONTH(TODAY())+55</f>
        <v>59</v>
      </c>
      <c r="BV689" s="14">
        <f ca="1">SUM(BQ689,BR689,BS689)</f>
        <v>0</v>
      </c>
      <c r="BW689" s="14">
        <v>0</v>
      </c>
      <c r="BX689" s="14">
        <f>SUM(BW689*0.1)</f>
        <v>0</v>
      </c>
      <c r="BY689" s="14">
        <f ca="1">SUM(BZ689*CA689)</f>
        <v>0</v>
      </c>
      <c r="BZ689" s="17">
        <f>SUM((BW689+BX689)*0.00833333333333333)</f>
        <v>0</v>
      </c>
      <c r="CA689" s="23">
        <f ca="1">MONTH(TODAY())+37</f>
        <v>41</v>
      </c>
      <c r="CB689" s="14">
        <f ca="1">SUM(BW689,BX689,BY689)</f>
        <v>0</v>
      </c>
      <c r="CC689" s="14">
        <v>0</v>
      </c>
      <c r="CD689" s="14">
        <f>SUM(CC689*0.1)</f>
        <v>0</v>
      </c>
      <c r="CE689" s="14">
        <f ca="1">SUM(CF689*CG689)</f>
        <v>0</v>
      </c>
      <c r="CF689" s="17">
        <f>SUM((CC689+CD689)*0.00833333333333333)</f>
        <v>0</v>
      </c>
      <c r="CG689" s="23">
        <f ca="1">MONTH(TODAY())+29</f>
        <v>33</v>
      </c>
      <c r="CH689" s="23">
        <f ca="1">SUM(CC689,CD689,CE689)</f>
        <v>0</v>
      </c>
      <c r="CI689" s="14">
        <v>0</v>
      </c>
      <c r="CJ689" s="14">
        <f>SUM(CI689*0.1)</f>
        <v>0</v>
      </c>
      <c r="CK689" s="14">
        <f ca="1">SUM(CL689*CM689)</f>
        <v>0</v>
      </c>
      <c r="CL689" s="17">
        <f>SUM((CI689+CJ689)*0.00833333333333333)</f>
        <v>0</v>
      </c>
      <c r="CM689" s="23">
        <f ca="1">MONTH(TODAY())+25</f>
        <v>29</v>
      </c>
      <c r="CN689" s="14">
        <f ca="1">SUM(CI689,CJ689,CK689)</f>
        <v>0</v>
      </c>
      <c r="CO689" s="14">
        <f>SUM(EJ689*0.0045)/2</f>
        <v>465.97499999999997</v>
      </c>
      <c r="CP689" s="14">
        <f>SUM(CO689*0.1)</f>
        <v>46.597499999999997</v>
      </c>
      <c r="CQ689" s="14">
        <f ca="1">SUM(CR689*CS689)</f>
        <v>98.243062499999965</v>
      </c>
      <c r="CR689" s="17">
        <f>SUM((CO689+CP689)*0.00833333333333333)</f>
        <v>4.2714374999999984</v>
      </c>
      <c r="CS689" s="23">
        <f ca="1">MONTH(TODAY())+19</f>
        <v>23</v>
      </c>
      <c r="CT689" s="14">
        <f ca="1">SUM(CO689,CP689,CQ689)</f>
        <v>610.81556249999994</v>
      </c>
      <c r="CU689" s="14">
        <f>SUM(EJ689*0.0045)/2</f>
        <v>465.97499999999997</v>
      </c>
      <c r="CV689" s="14">
        <f>SUM(CU689*0.1)</f>
        <v>46.597499999999997</v>
      </c>
      <c r="CW689" s="14">
        <f ca="1">SUM(CX689*CY689)</f>
        <v>72.61443749999998</v>
      </c>
      <c r="CX689" s="17">
        <f>SUM((CU689+CV689)*0.00833333333333333)</f>
        <v>4.2714374999999984</v>
      </c>
      <c r="CY689" s="23">
        <f ca="1">MONTH(TODAY())+13</f>
        <v>17</v>
      </c>
      <c r="CZ689" s="14">
        <f ca="1">SUM(CU689,CV689,CW689)</f>
        <v>585.1869375</v>
      </c>
      <c r="DA689" s="14">
        <f>SUM(EJ689*0.0045)/2</f>
        <v>465.97499999999997</v>
      </c>
      <c r="DB689" s="14">
        <f>SUM(DA689*0.1)</f>
        <v>46.597499999999997</v>
      </c>
      <c r="DC689" s="14">
        <f ca="1">SUM(DD689*DE689)</f>
        <v>46.98581249999998</v>
      </c>
      <c r="DD689" s="17">
        <f>SUM((DA689+DB689)*0.00833333333333333)</f>
        <v>4.2714374999999984</v>
      </c>
      <c r="DE689" s="23">
        <f ca="1">MONTH(TODAY())+7</f>
        <v>11</v>
      </c>
      <c r="DF689" s="14">
        <f ca="1">SUM(DA689,DB689,DC689)</f>
        <v>559.55831249999994</v>
      </c>
      <c r="DG689" s="14">
        <f>SUM(EJ689*0.0045)/2</f>
        <v>465.97499999999997</v>
      </c>
      <c r="DH689" s="14">
        <f>SUM(DG689*0.1)</f>
        <v>46.597499999999997</v>
      </c>
      <c r="DI689" s="14">
        <f ca="1">SUM(DJ689*DK689)</f>
        <v>21.357187499999991</v>
      </c>
      <c r="DJ689" s="17">
        <f>SUM((DG689+DH689)*0.00833333333333333)</f>
        <v>4.2714374999999984</v>
      </c>
      <c r="DK689" s="23">
        <f ca="1">MONTH(TODAY())+1</f>
        <v>5</v>
      </c>
      <c r="DL689" s="14">
        <f ca="1">SUM(DG689,DH689,DI689)</f>
        <v>533.9296875</v>
      </c>
      <c r="DM689" s="14">
        <f>SUM(BQ689, BW689, CC689,CI689,CO689,CU689,DA689,DG689)</f>
        <v>1863.8999999999999</v>
      </c>
      <c r="DN689" s="14">
        <f>SUM(BR689,BX689, CD689,CJ689,CP689,CV689,DB689,DH689)</f>
        <v>186.39</v>
      </c>
      <c r="DO689" s="14">
        <f ca="1">SUM(BS689,BY689, CE689,CK689,CQ689,CW689,DC689,DI689)</f>
        <v>239.20049999999992</v>
      </c>
      <c r="DP689" s="25">
        <f ca="1">SUM(DM689:DO689)</f>
        <v>2289.4904999999999</v>
      </c>
      <c r="DQ689" s="47">
        <f ca="1">SUM(DP689/EG689)</f>
        <v>1.5062437499999999E-2</v>
      </c>
      <c r="DR689" s="14">
        <f>19.5+19.5</f>
        <v>39</v>
      </c>
      <c r="DS689" s="32">
        <f>COUNTIF(AO689, "*")+COUNTIF(AJ689, "*")+COUNTIF(AA689, "*")+COUNTIF(EU689, "*")+COUNTIF(FA689, "*")+COUNTIF(FG689, "*")+COUNTIF(FK689, "*")+COUNTIF(FR689, "*")+COUNTIF(AT689, "*")+COUNTIF(GA689, "*")+COUNTIF(GL689, "*")+COUNTIF(GW689, "*")+COUNTIF(HE689, "*")+COUNTIF(HM689, "*")+COUNTIF(HU689, "*")</f>
        <v>1</v>
      </c>
      <c r="DT689" s="14">
        <f>DS689*0.5</f>
        <v>0.5</v>
      </c>
      <c r="DU689" s="4">
        <v>54.43</v>
      </c>
      <c r="DV689" s="4"/>
      <c r="DW689" s="4"/>
      <c r="DX689" s="4"/>
      <c r="DY689" s="4"/>
      <c r="DZ689" s="4"/>
      <c r="EA689" s="14">
        <f>SUM(DU689:DZ689)</f>
        <v>54.43</v>
      </c>
      <c r="EB689" s="14">
        <f ca="1">SUM(DP689,DR689,EA689,DT689,FX689)</f>
        <v>2383.4204999999997</v>
      </c>
      <c r="EC689" s="24" t="s">
        <v>2770</v>
      </c>
      <c r="ED689" s="7">
        <v>1</v>
      </c>
      <c r="EE689" s="4">
        <v>13000</v>
      </c>
      <c r="EF689" s="4">
        <v>139000</v>
      </c>
      <c r="EG689" s="14">
        <f>SUM(EE689+EF689)</f>
        <v>152000</v>
      </c>
      <c r="EH689" s="14">
        <v>18000</v>
      </c>
      <c r="EI689" s="14">
        <v>189100</v>
      </c>
      <c r="EJ689" s="14">
        <f>SUM(EH689+EI689)</f>
        <v>207100</v>
      </c>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9"/>
      <c r="FP689" s="10"/>
      <c r="FQ689" s="10"/>
      <c r="FR689" s="10"/>
      <c r="FS689" s="10"/>
      <c r="FT689" s="10"/>
      <c r="FU689" s="10"/>
      <c r="FV689" s="9"/>
      <c r="FW689" s="10"/>
      <c r="FX689" s="10"/>
      <c r="FY689" s="10"/>
      <c r="FZ689" s="10"/>
      <c r="GA689" s="10"/>
      <c r="GB689" s="10"/>
      <c r="GC689" s="10"/>
      <c r="GD689" s="10"/>
      <c r="GE689" s="9"/>
      <c r="GF689" s="10"/>
      <c r="GG689" s="10"/>
      <c r="GH689" s="10"/>
      <c r="GI689" s="10"/>
      <c r="GJ689" s="10"/>
      <c r="GK689" s="10"/>
      <c r="GL689" s="10"/>
      <c r="GM689" s="10"/>
      <c r="GN689" s="10"/>
      <c r="GO689" s="10"/>
      <c r="GP689" s="9"/>
      <c r="GQ689" s="10"/>
      <c r="GR689" s="10"/>
      <c r="GS689" s="10"/>
      <c r="GT689" s="10"/>
      <c r="GU689" s="10"/>
      <c r="GV689" s="10"/>
      <c r="GW689" s="10"/>
      <c r="GX689" s="10"/>
      <c r="GY689" s="10"/>
      <c r="GZ689" s="10"/>
      <c r="HA689" s="9"/>
      <c r="HB689" s="10"/>
      <c r="HC689" s="10"/>
      <c r="HD689" s="10"/>
      <c r="HE689" s="10"/>
      <c r="HF689" s="10"/>
      <c r="HG689" s="10"/>
      <c r="HH689" s="10"/>
      <c r="HI689" s="9"/>
      <c r="HJ689" s="10"/>
      <c r="HK689" s="10"/>
      <c r="HL689" s="10"/>
      <c r="HM689" s="10"/>
      <c r="HN689" s="10"/>
      <c r="HO689" s="10"/>
      <c r="HP689" s="10"/>
      <c r="HQ689" s="9"/>
      <c r="HR689" s="10"/>
      <c r="HS689" s="10"/>
      <c r="HT689" s="10"/>
      <c r="HU689" s="10"/>
      <c r="HV689" s="10"/>
      <c r="HW689" s="10"/>
      <c r="HX689" s="10"/>
      <c r="HY689" s="9"/>
      <c r="HZ689" s="4"/>
      <c r="IA689" s="4"/>
      <c r="IB689" s="10"/>
      <c r="IC689" s="10"/>
      <c r="ID689" s="10"/>
      <c r="IE689" s="10"/>
      <c r="IF689" s="4"/>
      <c r="IG689" s="4"/>
      <c r="IH689" s="14">
        <f ca="1">SUM(HZ689-EB689-FX689-IF689)</f>
        <v>-2383.4204999999997</v>
      </c>
      <c r="II689" s="14"/>
      <c r="IJ689" s="14"/>
      <c r="IK689" s="9"/>
      <c r="IL689" s="9"/>
      <c r="IM689" s="9"/>
      <c r="IN689" s="9"/>
      <c r="IO689" s="9"/>
      <c r="IP689" t="s">
        <v>5913</v>
      </c>
    </row>
    <row r="690" spans="1:263" ht="15" customHeight="1">
      <c r="A690" s="19">
        <v>102020011</v>
      </c>
      <c r="B690" s="18" t="s">
        <v>1566</v>
      </c>
      <c r="C690" s="18"/>
      <c r="D690" s="13"/>
      <c r="E690" s="18"/>
      <c r="F690" s="18"/>
      <c r="G690" s="18">
        <v>200002143</v>
      </c>
      <c r="H690" s="18"/>
      <c r="I690" s="18"/>
      <c r="J690" s="18" t="s">
        <v>311</v>
      </c>
      <c r="K690" s="18" t="s">
        <v>1567</v>
      </c>
      <c r="L690" s="18" t="s">
        <v>1096</v>
      </c>
      <c r="M690" s="18" t="s">
        <v>396</v>
      </c>
      <c r="N690" s="18"/>
      <c r="O690" s="18"/>
      <c r="P690" s="18"/>
      <c r="Q690" s="18"/>
      <c r="R690" s="18"/>
      <c r="S690" s="18"/>
      <c r="T690" s="18"/>
      <c r="U690" s="18"/>
      <c r="V690" s="18"/>
      <c r="W690" s="18"/>
      <c r="X690" s="18"/>
      <c r="Y690" s="18"/>
      <c r="Z690" s="18"/>
      <c r="AA690" s="18"/>
      <c r="AB690" s="18"/>
      <c r="AC690" s="18"/>
      <c r="AD690" s="18" t="s">
        <v>1746</v>
      </c>
      <c r="AE690" s="18" t="s">
        <v>253</v>
      </c>
      <c r="AF690" s="18" t="s">
        <v>1745</v>
      </c>
      <c r="AG690" s="231" t="s">
        <v>1743</v>
      </c>
      <c r="AH690" s="18" t="s">
        <v>1744</v>
      </c>
      <c r="AI690" s="18" t="s">
        <v>349</v>
      </c>
      <c r="AJ690" s="18" t="s">
        <v>1568</v>
      </c>
      <c r="AK690" s="18" t="s">
        <v>258</v>
      </c>
      <c r="AL690" s="18" t="s">
        <v>344</v>
      </c>
      <c r="AM690" s="24" t="s">
        <v>260</v>
      </c>
      <c r="AN690" s="24"/>
      <c r="AO690" s="14" t="s">
        <v>1569</v>
      </c>
      <c r="AP690" s="13" t="s">
        <v>258</v>
      </c>
      <c r="AQ690" s="24" t="s">
        <v>349</v>
      </c>
      <c r="AR690" s="24" t="s">
        <v>260</v>
      </c>
      <c r="AS690" s="13"/>
      <c r="AT690" s="13"/>
      <c r="AU690" s="13"/>
      <c r="AV690" s="13"/>
      <c r="AW690" s="13"/>
      <c r="AX690" s="19"/>
      <c r="AY690" s="19"/>
      <c r="AZ690" s="48"/>
      <c r="BA690" s="19"/>
      <c r="BB690" s="19"/>
      <c r="BC690" s="19"/>
      <c r="BD690" s="19"/>
      <c r="BE690" s="19"/>
      <c r="BF690" s="19"/>
      <c r="BG690" s="20"/>
      <c r="BH690" s="22"/>
      <c r="BI690" s="22"/>
      <c r="BJ690" s="14"/>
      <c r="BK690" s="22"/>
      <c r="BL690" s="14"/>
      <c r="BM690" s="14"/>
      <c r="BN690" s="14"/>
      <c r="BO690" s="17"/>
      <c r="BP690" s="23"/>
      <c r="BQ690" s="14"/>
      <c r="BR690" s="14"/>
      <c r="BS690" s="14"/>
      <c r="BT690" s="14"/>
      <c r="BU690" s="17"/>
      <c r="BV690" s="23"/>
      <c r="BW690" s="14"/>
      <c r="BX690" s="14"/>
      <c r="BY690" s="14"/>
      <c r="BZ690" s="14"/>
      <c r="CA690" s="17"/>
      <c r="CB690" s="23"/>
      <c r="CC690" s="14"/>
      <c r="CD690" s="14"/>
      <c r="CE690" s="14"/>
      <c r="CF690" s="14"/>
      <c r="CG690" s="17"/>
      <c r="CH690" s="23"/>
      <c r="CI690" s="14"/>
      <c r="CJ690" s="14"/>
      <c r="CK690" s="14"/>
      <c r="CL690" s="14"/>
      <c r="CM690" s="17"/>
      <c r="CN690" s="23"/>
      <c r="CO690" s="14"/>
      <c r="CP690" s="14"/>
      <c r="CQ690" s="14"/>
      <c r="CR690" s="14"/>
      <c r="CS690" s="17"/>
      <c r="CT690" s="23"/>
      <c r="CU690" s="14"/>
      <c r="CV690" s="14"/>
      <c r="CW690" s="14"/>
      <c r="CX690" s="14"/>
      <c r="CY690" s="14"/>
      <c r="CZ690" s="14"/>
      <c r="DA690" s="47"/>
      <c r="DB690" s="14"/>
      <c r="DC690" s="32"/>
      <c r="DD690" s="14"/>
      <c r="DE690" s="14"/>
      <c r="DF690" s="14"/>
      <c r="DG690" s="14"/>
      <c r="DH690" s="14"/>
      <c r="DI690" s="14"/>
      <c r="DJ690" s="14"/>
      <c r="DK690" s="25"/>
      <c r="DL690" s="14">
        <f>SUM(DG690:DK690)</f>
        <v>0</v>
      </c>
      <c r="DM690" s="24" t="s">
        <v>418</v>
      </c>
      <c r="DN690" s="25">
        <v>54600</v>
      </c>
      <c r="DO690" s="25">
        <v>8800</v>
      </c>
      <c r="DP690" s="25">
        <f>SUM(DN690+DO690)</f>
        <v>63400</v>
      </c>
      <c r="DQ690" s="36">
        <v>25</v>
      </c>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4"/>
      <c r="IK690" s="18"/>
      <c r="IL690" s="18"/>
      <c r="IM690" s="18"/>
      <c r="IN690" s="18"/>
      <c r="IO690" s="18"/>
      <c r="IP690" s="18"/>
      <c r="IQ690" s="18"/>
      <c r="IR690" s="18"/>
      <c r="IS690" s="18"/>
      <c r="IT690" s="18"/>
    </row>
    <row r="691" spans="1:263" ht="15" customHeight="1">
      <c r="A691" s="19">
        <v>102020011</v>
      </c>
      <c r="B691" t="s">
        <v>1566</v>
      </c>
      <c r="D691" s="13"/>
      <c r="E691" s="3"/>
      <c r="F691" s="3"/>
      <c r="G691" s="24">
        <v>220002281</v>
      </c>
      <c r="J691" t="s">
        <v>311</v>
      </c>
      <c r="K691" t="s">
        <v>1567</v>
      </c>
      <c r="L691" t="s">
        <v>1096</v>
      </c>
      <c r="M691" t="s">
        <v>396</v>
      </c>
      <c r="O691" s="3"/>
      <c r="AD691" t="s">
        <v>1746</v>
      </c>
      <c r="AE691" t="s">
        <v>253</v>
      </c>
      <c r="AF691" t="s">
        <v>1745</v>
      </c>
      <c r="AG691" s="43" t="s">
        <v>1743</v>
      </c>
      <c r="AH691" t="s">
        <v>1744</v>
      </c>
      <c r="AI691" t="s">
        <v>349</v>
      </c>
      <c r="AJ691" s="18" t="s">
        <v>1568</v>
      </c>
      <c r="AK691" t="s">
        <v>258</v>
      </c>
      <c r="AL691" s="18" t="s">
        <v>344</v>
      </c>
      <c r="AM691" t="s">
        <v>260</v>
      </c>
      <c r="AN691"/>
      <c r="AO691" t="s">
        <v>1569</v>
      </c>
      <c r="AP691" s="3" t="s">
        <v>258</v>
      </c>
      <c r="AQ691" t="s">
        <v>349</v>
      </c>
      <c r="AR691" t="s">
        <v>260</v>
      </c>
      <c r="AX691" s="1"/>
      <c r="AY691" s="1"/>
      <c r="AZ691" s="1"/>
      <c r="BA691" s="1"/>
      <c r="BB691" s="1"/>
      <c r="BC691" s="2"/>
      <c r="BD691" s="116"/>
      <c r="BE691" s="115"/>
      <c r="BF691" s="2"/>
      <c r="BG691" s="2"/>
      <c r="BH691" s="2"/>
      <c r="BI691" s="2"/>
      <c r="BJ691" s="2"/>
      <c r="BK691" s="2"/>
      <c r="BL691" s="20">
        <f ca="1">SUM(EB691)+220</f>
        <v>1672.2007833333332</v>
      </c>
      <c r="BM691" s="22">
        <f ca="1">PMT(10%/12,12,BL691,0,0)</f>
        <v>-147.01301549346701</v>
      </c>
      <c r="BN691" s="22">
        <f ca="1">SUM(BM691*-1)</f>
        <v>147.01301549346701</v>
      </c>
      <c r="BO691" s="14">
        <f>SUM(EJ691*0.0052)/12</f>
        <v>32.413333333333334</v>
      </c>
      <c r="BP691" s="22">
        <f ca="1">SUM(BN691+BO691)</f>
        <v>179.42634882680034</v>
      </c>
      <c r="BQ691" s="14"/>
      <c r="BR691" s="14">
        <f>SUM(BQ691*0.1)</f>
        <v>0</v>
      </c>
      <c r="BS691" s="14">
        <f ca="1">SUM(BT691*BU691)</f>
        <v>0</v>
      </c>
      <c r="BT691" s="17">
        <f>SUM((BQ691+BR691)*0.00833333333333333)</f>
        <v>0</v>
      </c>
      <c r="BU691" s="23">
        <f ca="1">MONTH(TODAY())+49</f>
        <v>53</v>
      </c>
      <c r="BV691" s="14">
        <f ca="1">SUM(BQ691,BR691,BS691)</f>
        <v>0</v>
      </c>
      <c r="BW691" s="14"/>
      <c r="BX691" s="14">
        <f>SUM(BW691*0.1)</f>
        <v>0</v>
      </c>
      <c r="BY691" s="14">
        <f ca="1">SUM(BZ691*CA691)</f>
        <v>0</v>
      </c>
      <c r="BZ691" s="17">
        <f>SUM((BW691+BX691)*0.00833333333333333)</f>
        <v>0</v>
      </c>
      <c r="CA691" s="23">
        <f ca="1">MONTH(TODAY())+37</f>
        <v>41</v>
      </c>
      <c r="CB691" s="14">
        <f ca="1">SUM(BW691,BX691,BY691)</f>
        <v>0</v>
      </c>
      <c r="CC691" s="14">
        <f>SUM(EG691*0.0052)</f>
        <v>329.68</v>
      </c>
      <c r="CD691" s="14">
        <f>SUM(CC691*0.1)</f>
        <v>32.968000000000004</v>
      </c>
      <c r="CE691" s="14">
        <f ca="1">SUM(CF691*CG691)</f>
        <v>87.639933333333303</v>
      </c>
      <c r="CF691" s="17">
        <f>SUM((CC691+CD691)*0.00833333333333333)</f>
        <v>3.0220666666666656</v>
      </c>
      <c r="CG691" s="23">
        <f ca="1">MONTH(TODAY())+25</f>
        <v>29</v>
      </c>
      <c r="CH691" s="14">
        <f ca="1">SUM(CC691,CD691,CE691)</f>
        <v>450.28793333333334</v>
      </c>
      <c r="CI691" s="14">
        <f>SUM(EG691*0.0052)</f>
        <v>329.68</v>
      </c>
      <c r="CJ691" s="14">
        <f>SUM(CI691*0.1)</f>
        <v>32.968000000000004</v>
      </c>
      <c r="CK691" s="14">
        <f ca="1">SUM(CL691*CM691)</f>
        <v>51.375133333333316</v>
      </c>
      <c r="CL691" s="17">
        <f>SUM((CI691+CJ691)*0.00833333333333333)</f>
        <v>3.0220666666666656</v>
      </c>
      <c r="CM691" s="23">
        <f ca="1">MONTH(TODAY())+13</f>
        <v>17</v>
      </c>
      <c r="CN691" s="14">
        <f ca="1">SUM(CI691,CJ691,CK691)</f>
        <v>414.02313333333336</v>
      </c>
      <c r="CO691" s="14">
        <f>SUM(EG691*0.0052)/2</f>
        <v>164.84</v>
      </c>
      <c r="CP691" s="14">
        <f>SUM(CO691*0.1)</f>
        <v>16.484000000000002</v>
      </c>
      <c r="CQ691" s="14">
        <f ca="1">SUM(CR691*CS691)</f>
        <v>13.599299999999996</v>
      </c>
      <c r="CR691" s="17">
        <f>SUM((CO691+CP691)*0.00833333333333333)</f>
        <v>1.5110333333333328</v>
      </c>
      <c r="CS691" s="23">
        <f ca="1">MONTH(TODAY())+5</f>
        <v>9</v>
      </c>
      <c r="CT691" s="23">
        <f ca="1">SUM(CO691,CP691,CQ691)</f>
        <v>194.92330000000001</v>
      </c>
      <c r="CU691" s="14">
        <f>SUM(EG691*0.0052)/2</f>
        <v>164.84</v>
      </c>
      <c r="CV691" s="14">
        <f>SUM(CU691*0.1)</f>
        <v>16.484000000000002</v>
      </c>
      <c r="CW691" s="14">
        <f ca="1">SUM(CX691*CY691)</f>
        <v>7.5551666666666639</v>
      </c>
      <c r="CX691" s="17">
        <f>SUM((CU691+CV691)*0.00833333333333333)</f>
        <v>1.5110333333333328</v>
      </c>
      <c r="CY691" s="23">
        <f ca="1">MONTH(TODAY())+1</f>
        <v>5</v>
      </c>
      <c r="CZ691" s="23">
        <f ca="1">SUM(CU691,CV691,CW691)</f>
        <v>188.87916666666666</v>
      </c>
      <c r="DA691" s="14">
        <f>SUM(EJ691*0.0045)/2</f>
        <v>168.29999999999998</v>
      </c>
      <c r="DB691" s="14">
        <f>SUM(DA691*0.1)</f>
        <v>16.829999999999998</v>
      </c>
      <c r="DC691" s="14">
        <f ca="1">SUM(DD691*DE691)</f>
        <v>-1.5427499999999994</v>
      </c>
      <c r="DD691" s="17">
        <f>SUM((DA691+DB691)*0.00833333333333333)</f>
        <v>1.5427499999999994</v>
      </c>
      <c r="DE691" s="23">
        <f ca="1">MONTH(TODAY())-5</f>
        <v>-1</v>
      </c>
      <c r="DF691" s="23">
        <f ca="1">SUM(DA691,DB691,DC691)</f>
        <v>183.58724999999998</v>
      </c>
      <c r="DG691" s="14">
        <v>0</v>
      </c>
      <c r="DH691" s="14">
        <v>0</v>
      </c>
      <c r="DI691" s="14">
        <v>0</v>
      </c>
      <c r="DJ691" s="17">
        <f>SUM((DG691+DH691)*0.00833333333333333)</f>
        <v>0</v>
      </c>
      <c r="DK691" s="23">
        <f ca="1">MONTH(TODAY())+1</f>
        <v>5</v>
      </c>
      <c r="DL691" s="23">
        <f>SUM(DG691,DH691,DI691)</f>
        <v>0</v>
      </c>
      <c r="DM691" s="14">
        <f>SUM( BQ691, BW691, CC691, CI691, CO691,CU691,DA691,DG691)</f>
        <v>1157.3400000000001</v>
      </c>
      <c r="DN691" s="14">
        <f>SUM(BR691,BX691,CD691,CJ691, CP691,CV691,DB691,DH691)</f>
        <v>115.73400000000002</v>
      </c>
      <c r="DO691" s="14">
        <f ca="1">SUM(BS691,BY691,CE691,CK691, CQ691,CW691,DC691,DI691)</f>
        <v>158.62678333333326</v>
      </c>
      <c r="DP691" s="25">
        <f ca="1">SUM(DM691:DO691)</f>
        <v>1431.7007833333332</v>
      </c>
      <c r="DQ691" s="47">
        <f ca="1">SUM(DP691/EG691)</f>
        <v>2.2582031282860144E-2</v>
      </c>
      <c r="DR691" s="14">
        <v>19.5</v>
      </c>
      <c r="DS691" s="32">
        <f>COUNTIF(DX691, "*")+COUNTIF(AO691, "*")+COUNTIF(AJ691, "*")+COUNTIF(AA691, "*")+COUNTIF(EY691, "*")+COUNTIF(FE691, "*")+COUNTIF(FK691, "*")+COUNTIF(FO691, "*")+COUNTIF(FV691, "*")+COUNTIF(AT691, "*")+COUNTIF(GE691, "*")+COUNTIF(GP691, "*")+COUNTIF(HA691, "*")+COUNTIF(HI691, "*")+COUNTIF(HQ691, "*")+COUNTIF(HY691, "*")+COUNTIF(IG691, "*")</f>
        <v>2</v>
      </c>
      <c r="DT691" s="14">
        <f>DS691*0.5</f>
        <v>1</v>
      </c>
      <c r="DU691" s="4"/>
      <c r="DV691" s="4"/>
      <c r="DW691" s="4"/>
      <c r="DX691" s="4"/>
      <c r="DZ691" s="4"/>
      <c r="EA691" s="14">
        <f>SUM(DV691:DZ691)</f>
        <v>0</v>
      </c>
      <c r="EB691" s="14">
        <f ca="1">SUM(DP691,DR691,EA691, DU691, DT691,GB691)</f>
        <v>1452.2007833333332</v>
      </c>
      <c r="EC691" s="24" t="s">
        <v>2773</v>
      </c>
      <c r="ED691" s="7">
        <v>25</v>
      </c>
      <c r="EE691" s="4">
        <v>54600</v>
      </c>
      <c r="EF691" s="4">
        <v>8800</v>
      </c>
      <c r="EG691" s="14">
        <f>SUM(EE691+EF691)</f>
        <v>63400</v>
      </c>
      <c r="EH691" s="14">
        <v>62400</v>
      </c>
      <c r="EI691" s="14">
        <v>12400</v>
      </c>
      <c r="EJ691" s="14">
        <f>SUM(EH691+EI691)</f>
        <v>74800</v>
      </c>
      <c r="IM691" s="9"/>
      <c r="IX691" s="14">
        <f ca="1">SUM(IN691-EB691-GB691-IV691)</f>
        <v>-1452.2007833333332</v>
      </c>
      <c r="IY691" s="9"/>
      <c r="IZ691" s="9"/>
      <c r="JA691" s="9"/>
      <c r="JB691" s="9"/>
      <c r="JC691" s="9"/>
    </row>
    <row r="692" spans="1:263" ht="15" customHeight="1">
      <c r="A692" s="2">
        <v>102020018</v>
      </c>
      <c r="B692" t="s">
        <v>1586</v>
      </c>
      <c r="J692" t="s">
        <v>253</v>
      </c>
      <c r="K692" t="s">
        <v>399</v>
      </c>
      <c r="L692" t="s">
        <v>1587</v>
      </c>
      <c r="AG692" s="248"/>
      <c r="BG692" s="5"/>
      <c r="BH692" s="16"/>
      <c r="BI692" s="16"/>
      <c r="BJ692" s="4"/>
      <c r="BK692" s="4"/>
      <c r="BL692" s="4"/>
      <c r="BM692" s="6"/>
      <c r="BN692" s="7"/>
      <c r="BO692" s="4"/>
      <c r="BP692" s="4"/>
      <c r="BQ692" s="4"/>
      <c r="BR692" s="4"/>
      <c r="BS692" s="6"/>
      <c r="BT692" s="7"/>
      <c r="BU692" s="4"/>
      <c r="BV692" s="4"/>
      <c r="BW692" s="4"/>
      <c r="BX692" s="4"/>
      <c r="BY692" s="6"/>
      <c r="BZ692" s="7"/>
      <c r="CA692" s="4"/>
      <c r="CB692" s="4"/>
      <c r="CC692" s="4"/>
      <c r="CD692" s="4"/>
      <c r="CE692" s="6"/>
      <c r="CF692" s="7"/>
      <c r="CG692" s="4"/>
      <c r="CH692" s="4"/>
      <c r="CI692" s="4"/>
      <c r="CJ692" s="4"/>
      <c r="CK692" s="6"/>
      <c r="CL692" s="7"/>
      <c r="CM692" s="4"/>
      <c r="CN692" s="4"/>
      <c r="CO692" s="4"/>
      <c r="CP692" s="4"/>
      <c r="CQ692" s="6"/>
      <c r="CR692" s="7"/>
      <c r="CS692" s="4"/>
      <c r="CT692" s="4"/>
      <c r="CU692" s="4"/>
      <c r="CV692" s="4"/>
      <c r="CW692" s="6"/>
      <c r="CX692" s="7"/>
      <c r="CY692" s="4"/>
      <c r="CZ692" s="4"/>
      <c r="DA692" s="4"/>
      <c r="DB692" s="4"/>
      <c r="DC692" s="4"/>
      <c r="DD692" s="3"/>
      <c r="DE692" s="4"/>
      <c r="DF692" s="234"/>
      <c r="DG692" s="4"/>
      <c r="DH692" s="4"/>
      <c r="DI692" s="4"/>
      <c r="DJ692" s="4"/>
      <c r="DK692" s="4"/>
      <c r="DL692" s="4"/>
      <c r="DM692" s="7"/>
      <c r="DN692" s="8"/>
      <c r="DO692" s="4"/>
      <c r="DP692" s="8"/>
      <c r="DQ692" s="8"/>
      <c r="DR692" s="8"/>
      <c r="DS692" s="2"/>
      <c r="IL692" s="18"/>
      <c r="IM692" s="18"/>
      <c r="IN692" s="18"/>
      <c r="IO692" s="18"/>
      <c r="IP692" s="18"/>
      <c r="IQ692" s="18"/>
      <c r="IR692" s="18"/>
      <c r="IS692" s="18"/>
      <c r="IT692" s="18"/>
      <c r="IU692" s="18"/>
      <c r="IV692" s="18"/>
    </row>
    <row r="693" spans="1:263" ht="15" customHeight="1">
      <c r="A693" s="19">
        <v>102022053</v>
      </c>
      <c r="B693" t="s">
        <v>1586</v>
      </c>
      <c r="C693" s="10"/>
      <c r="D693" s="161"/>
      <c r="E693" s="147"/>
      <c r="F693" s="160"/>
      <c r="G693" s="147">
        <v>220003104</v>
      </c>
      <c r="H693" s="10"/>
      <c r="I693" s="10"/>
      <c r="J693" s="10" t="s">
        <v>253</v>
      </c>
      <c r="K693" s="10" t="s">
        <v>399</v>
      </c>
      <c r="L693" s="10" t="s">
        <v>1587</v>
      </c>
      <c r="M693" s="10" t="s">
        <v>448</v>
      </c>
      <c r="N693" s="10"/>
      <c r="O693" s="147"/>
      <c r="P693" s="10"/>
      <c r="Q693" s="10"/>
      <c r="R693" s="10"/>
      <c r="S693" s="10"/>
      <c r="T693" s="10"/>
      <c r="U693" s="10"/>
      <c r="V693" s="10"/>
      <c r="W693" s="10"/>
      <c r="X693" s="10"/>
      <c r="Y693" s="10"/>
      <c r="Z693" s="10"/>
      <c r="AA693" s="10"/>
      <c r="AB693" s="10"/>
      <c r="AC693" s="10"/>
      <c r="AD693" s="10" t="s">
        <v>3811</v>
      </c>
      <c r="AE693" s="10" t="s">
        <v>253</v>
      </c>
      <c r="AF693" s="10" t="s">
        <v>399</v>
      </c>
      <c r="AG693" s="141" t="s">
        <v>3812</v>
      </c>
      <c r="AH693" s="147" t="s">
        <v>1588</v>
      </c>
      <c r="AI693" s="10" t="s">
        <v>344</v>
      </c>
      <c r="AK693" s="1"/>
      <c r="AM693"/>
      <c r="AN693"/>
      <c r="AO693" t="s">
        <v>1588</v>
      </c>
      <c r="AP693" s="1" t="s">
        <v>258</v>
      </c>
      <c r="AQ693" t="s">
        <v>344</v>
      </c>
      <c r="AR693" t="s">
        <v>260</v>
      </c>
      <c r="AX693" s="1"/>
      <c r="AY693" s="1"/>
      <c r="AZ693" s="1"/>
      <c r="BA693" s="1"/>
      <c r="BB693" s="1"/>
      <c r="BC693" s="70"/>
      <c r="BD693" s="115"/>
      <c r="BE693" s="144">
        <v>44655</v>
      </c>
      <c r="BF693" s="70"/>
      <c r="BG693" s="2"/>
      <c r="BH693" s="70"/>
      <c r="BI693" s="70"/>
      <c r="BJ693" s="70"/>
      <c r="BK693" s="70"/>
      <c r="BL693" s="20">
        <f ca="1">SUM(EH693)+220</f>
        <v>1524.6911833333334</v>
      </c>
      <c r="BM693" s="22">
        <f ca="1">PMT(10%/12,12,BL693,0,0)</f>
        <v>-134.04457813452322</v>
      </c>
      <c r="BN693" s="22">
        <f ca="1">SUM(BM693*-1)</f>
        <v>134.04457813452322</v>
      </c>
      <c r="BO693" s="14">
        <f>SUM(EP693*0.0052)/12</f>
        <v>16.12</v>
      </c>
      <c r="BP693" s="22">
        <f ca="1">SUM(BN693+BO693)</f>
        <v>150.16457813452323</v>
      </c>
      <c r="BQ693" s="14"/>
      <c r="BR693" s="14">
        <f>SUM(BQ693*0.1)</f>
        <v>0</v>
      </c>
      <c r="BS693" s="14">
        <f ca="1">SUM(BT693*BU693)</f>
        <v>0</v>
      </c>
      <c r="BT693" s="17">
        <f>SUM((BQ693+BR693)*0.00833333333333333)</f>
        <v>0</v>
      </c>
      <c r="BU693" s="23">
        <f ca="1">MONTH(TODAY())+49</f>
        <v>53</v>
      </c>
      <c r="BV693" s="14">
        <f ca="1">SUM(BQ693,BR693,BS693)</f>
        <v>0</v>
      </c>
      <c r="BW693" s="14">
        <v>72.16</v>
      </c>
      <c r="BX693" s="14">
        <f>SUM(BW693*0.1)</f>
        <v>7.2160000000000002</v>
      </c>
      <c r="BY693" s="14">
        <f ca="1">SUM(BZ693*CA693)</f>
        <v>27.120133333333317</v>
      </c>
      <c r="BZ693" s="17">
        <f>SUM((BW693+BX693)*0.00833333333333333)</f>
        <v>0.66146666666666631</v>
      </c>
      <c r="CA693" s="23">
        <f ca="1">MONTH(TODAY())+37</f>
        <v>41</v>
      </c>
      <c r="CB693" s="14">
        <f ca="1">SUM(BW693,BX693,BY693)</f>
        <v>106.4961333333333</v>
      </c>
      <c r="CC693" s="14">
        <f>SUM(EM693*0.0052)</f>
        <v>148.72</v>
      </c>
      <c r="CD693" s="14">
        <f>SUM(CC693*0.1)</f>
        <v>14.872</v>
      </c>
      <c r="CE693" s="14">
        <f ca="1">SUM(CF693*CG693)</f>
        <v>39.534733333333314</v>
      </c>
      <c r="CF693" s="17">
        <f>SUM((CC693+CD693)*0.00833333333333333)</f>
        <v>1.363266666666666</v>
      </c>
      <c r="CG693" s="23">
        <f ca="1">MONTH(TODAY())+25</f>
        <v>29</v>
      </c>
      <c r="CH693" s="14">
        <f ca="1">SUM(CC693,CD693,CE693)</f>
        <v>203.12673333333331</v>
      </c>
      <c r="CI693" s="14">
        <f>SUM(EM693*0.0052)/2</f>
        <v>74.36</v>
      </c>
      <c r="CJ693" s="14">
        <f>SUM(CI693*0.1)</f>
        <v>7.4359999999999999</v>
      </c>
      <c r="CK693" s="14">
        <f ca="1">SUM(CL693*CM693)</f>
        <v>14.314299999999992</v>
      </c>
      <c r="CL693" s="17">
        <f>SUM((CI693+CJ693)*0.00833333333333333)</f>
        <v>0.68163333333333298</v>
      </c>
      <c r="CM693" s="23">
        <f ca="1">MONTH(TODAY())+17</f>
        <v>21</v>
      </c>
      <c r="CN693" s="23">
        <f ca="1">SUM(CI693,CJ693,CK693)</f>
        <v>96.110299999999981</v>
      </c>
      <c r="CO693" s="14">
        <f>SUM(EM693*0.0052)/2</f>
        <v>74.36</v>
      </c>
      <c r="CP693" s="14">
        <f>SUM(CO693*0.1)</f>
        <v>7.4359999999999999</v>
      </c>
      <c r="CQ693" s="14">
        <f ca="1">SUM(CR693*CS693)</f>
        <v>11.58776666666666</v>
      </c>
      <c r="CR693" s="17">
        <f>SUM((CO693+CP693)*0.00833333333333333)</f>
        <v>0.68163333333333298</v>
      </c>
      <c r="CS693" s="23">
        <f ca="1">MONTH(TODAY())+13</f>
        <v>17</v>
      </c>
      <c r="CT693" s="14">
        <f ca="1">SUM(CO693,CP693,CQ693)</f>
        <v>93.383766666666645</v>
      </c>
      <c r="CU693" s="14">
        <f>SUM(EP693*0.0045)/2</f>
        <v>83.699999999999989</v>
      </c>
      <c r="CV693" s="14">
        <f>SUM(CU693*0.1)</f>
        <v>8.3699999999999992</v>
      </c>
      <c r="CW693" s="14">
        <f ca="1">SUM(CX693*CY693)</f>
        <v>8.4397499999999965</v>
      </c>
      <c r="CX693" s="17">
        <f>SUM((CU693+CV693)*0.00833333333333333)</f>
        <v>0.76724999999999965</v>
      </c>
      <c r="CY693" s="23">
        <f ca="1">MONTH(TODAY())+7</f>
        <v>11</v>
      </c>
      <c r="CZ693" s="14">
        <f ca="1">SUM(CU693,CV693,CW693)</f>
        <v>100.50975</v>
      </c>
      <c r="DA693" s="14">
        <f>SUM(EP693*0.0045)/2</f>
        <v>83.699999999999989</v>
      </c>
      <c r="DB693" s="14">
        <f>SUM(DA693*0.1)</f>
        <v>8.3699999999999992</v>
      </c>
      <c r="DC693" s="14">
        <f ca="1">SUM(DD693*DE693)</f>
        <v>3.8362499999999984</v>
      </c>
      <c r="DD693" s="17">
        <f>SUM((DA693+DB693)*0.00833333333333333)</f>
        <v>0.76724999999999965</v>
      </c>
      <c r="DE693" s="23">
        <f ca="1">MONTH(TODAY())+1</f>
        <v>5</v>
      </c>
      <c r="DF693" s="14">
        <f ca="1">SUM(DA693,DB693,DC693)</f>
        <v>95.906249999999986</v>
      </c>
      <c r="DG693" s="14">
        <f>SUM(EP693*0.0045)/2</f>
        <v>83.699999999999989</v>
      </c>
      <c r="DH693" s="14">
        <f>SUM(DG693*0.1)</f>
        <v>8.3699999999999992</v>
      </c>
      <c r="DI693" s="14">
        <f ca="1">SUM(DJ693*DK693)</f>
        <v>-2.3017499999999989</v>
      </c>
      <c r="DJ693" s="17">
        <f>SUM((DG693+DH693)*0.00833333333333333)</f>
        <v>0.76724999999999965</v>
      </c>
      <c r="DK693" s="23">
        <f ca="1">MONTH(TODAY())-7</f>
        <v>-3</v>
      </c>
      <c r="DL693" s="14">
        <f ca="1">SUM(DG693,DH693,DI693)</f>
        <v>89.768249999999995</v>
      </c>
      <c r="DM693" s="14">
        <f>SUM(EP693*0.0045)/2</f>
        <v>83.699999999999989</v>
      </c>
      <c r="DN693" s="14">
        <f>0</f>
        <v>0</v>
      </c>
      <c r="DO693" s="14">
        <f>SUM(DP693*DQ693)</f>
        <v>0</v>
      </c>
      <c r="DP693" s="17">
        <f>SUM((DM693+DN693)*0.00833333333333333)</f>
        <v>0.69749999999999956</v>
      </c>
      <c r="DQ693" s="23">
        <v>0</v>
      </c>
      <c r="DR693" s="14">
        <f>SUM(DM693,DN693,DO693)</f>
        <v>83.699999999999989</v>
      </c>
      <c r="DS693" s="14">
        <f>SUM(BQ693, BW693, CC693, CI693,CO693,CU693,DA693,DG693,DM693)</f>
        <v>704.40000000000009</v>
      </c>
      <c r="DT693" s="14">
        <f>SUM(BR693,BX693,CD693, CJ693,CP693,CV693,DB693,DH693,DN693)</f>
        <v>62.069999999999993</v>
      </c>
      <c r="DU693" s="14">
        <f ca="1">SUM(BS693,BY693,CE693, CK693,CQ693,CW693,DC693,DI693,DO693)</f>
        <v>102.53118333333329</v>
      </c>
      <c r="DV693" s="25">
        <f ca="1">SUM(DS693:DU693)</f>
        <v>869.0011833333333</v>
      </c>
      <c r="DW693" s="47">
        <f ca="1">SUM(DV693/EM693)</f>
        <v>3.0384656759906759E-2</v>
      </c>
      <c r="DX693" s="14">
        <f>19.5+19.5+195</f>
        <v>234</v>
      </c>
      <c r="DY693" s="32">
        <f>COUNTIF(AO693, "*")+COUNTIF(AJ693, "*")+COUNTIF(AA693, "*")+COUNTIF(FA693, "*")+COUNTIF(FG693, "*")+COUNTIF(FM693, "*")+COUNTIF(FQ693, "*")+COUNTIF(FX693, "*")+COUNTIF(AT693, "*")+COUNTIF(GG693, "*")+COUNTIF(GR693, "*")+COUNTIF(HC693, "*")+COUNTIF(HK693, "*")+COUNTIF(HS693, "*")+COUNTIF(IA693, "*")</f>
        <v>1</v>
      </c>
      <c r="DZ693" s="14">
        <f>DY693*0.5+DY693*6.66</f>
        <v>7.16</v>
      </c>
      <c r="EA693" s="4">
        <v>44.53</v>
      </c>
      <c r="EB693" s="4">
        <v>150</v>
      </c>
      <c r="EC693" s="4"/>
      <c r="ED693" s="4"/>
      <c r="EE693" s="4"/>
      <c r="EF693" s="4"/>
      <c r="EG693" s="14">
        <f>SUM(EA693:EF693)</f>
        <v>194.53</v>
      </c>
      <c r="EH693" s="14">
        <f ca="1">SUM(DV693,DX693,EG693,DZ693,GD693)</f>
        <v>1304.6911833333334</v>
      </c>
      <c r="EI693" s="24" t="s">
        <v>2773</v>
      </c>
      <c r="EJ693" s="7">
        <v>3.72</v>
      </c>
      <c r="EK693" s="4">
        <v>22500</v>
      </c>
      <c r="EL693" s="4">
        <v>6100</v>
      </c>
      <c r="EM693" s="14">
        <f>SUM(EK693+EL693)</f>
        <v>28600</v>
      </c>
      <c r="EN693" s="14">
        <v>28900</v>
      </c>
      <c r="EO693" s="14">
        <v>8300</v>
      </c>
      <c r="EP693" s="14">
        <f>SUM(EN693+EO693)</f>
        <v>37200</v>
      </c>
      <c r="EQ693" s="10" t="s">
        <v>3738</v>
      </c>
      <c r="ER693" s="10" t="s">
        <v>3739</v>
      </c>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9"/>
      <c r="FV693" s="10"/>
      <c r="FW693" s="10"/>
      <c r="FX693" s="10"/>
      <c r="FY693" s="10"/>
      <c r="FZ693" s="10"/>
      <c r="GA693" s="10"/>
      <c r="GB693" s="9"/>
      <c r="GC693" s="10"/>
      <c r="GD693" s="10"/>
      <c r="GE693" s="10"/>
      <c r="GF693" s="10"/>
      <c r="GG693" s="10"/>
      <c r="GH693" s="10"/>
      <c r="GI693" s="10"/>
      <c r="GJ693" s="10"/>
      <c r="GK693" s="9"/>
      <c r="GL693" s="10"/>
      <c r="GM693" s="10"/>
      <c r="GN693" s="10"/>
      <c r="GO693" s="10"/>
      <c r="GP693" s="10"/>
      <c r="GQ693" s="10"/>
      <c r="GR693" s="10"/>
      <c r="GS693" s="10"/>
      <c r="GT693" s="10"/>
      <c r="GU693" s="10"/>
      <c r="GV693" s="9"/>
      <c r="GW693" s="10"/>
      <c r="GX693" s="10"/>
      <c r="GY693" s="10"/>
      <c r="GZ693" s="10"/>
      <c r="HA693" s="10"/>
      <c r="HB693" s="10"/>
      <c r="HC693" s="10"/>
      <c r="HD693" s="10"/>
      <c r="HE693" s="10"/>
      <c r="HF693" s="10"/>
      <c r="HG693" s="9"/>
      <c r="HH693" s="10"/>
      <c r="HI693" s="10"/>
      <c r="HJ693" s="10"/>
      <c r="HK693" s="10"/>
      <c r="HL693" s="10"/>
      <c r="HM693" s="10"/>
      <c r="HN693" s="10"/>
      <c r="HO693" s="9"/>
      <c r="HP693" s="10"/>
      <c r="HQ693" s="10"/>
      <c r="HR693" s="10"/>
      <c r="HS693" s="10"/>
      <c r="HT693" s="10"/>
      <c r="HU693" s="10"/>
      <c r="HV693" s="10"/>
      <c r="HW693" s="9"/>
      <c r="HX693" s="10"/>
      <c r="HY693" s="10"/>
      <c r="HZ693" s="10"/>
      <c r="IA693" s="10"/>
      <c r="IB693" s="10"/>
      <c r="IC693" s="10"/>
      <c r="ID693" s="10"/>
      <c r="IE693" s="9"/>
      <c r="IF693" s="4"/>
      <c r="IG693" s="4"/>
      <c r="IH693" s="10"/>
      <c r="II693" s="10"/>
      <c r="IJ693" s="10"/>
      <c r="IK693" s="10"/>
      <c r="IL693" s="4"/>
      <c r="IM693" s="4"/>
      <c r="IN693" s="14">
        <f ca="1">SUM(IF693-EH693-GD693-IL693)</f>
        <v>-1304.6911833333334</v>
      </c>
      <c r="IO693" s="14"/>
      <c r="IP693" s="14"/>
      <c r="IQ693" s="9"/>
      <c r="IR693" s="9"/>
      <c r="IS693" s="9"/>
      <c r="IT693" s="9"/>
      <c r="IU693" s="9"/>
      <c r="IV693" s="27" t="s">
        <v>5913</v>
      </c>
    </row>
    <row r="694" spans="1:263" ht="15" customHeight="1">
      <c r="A694" s="19">
        <v>102021007</v>
      </c>
      <c r="B694" t="s">
        <v>2006</v>
      </c>
      <c r="J694" t="s">
        <v>311</v>
      </c>
      <c r="K694" t="s">
        <v>1567</v>
      </c>
      <c r="L694" t="s">
        <v>2133</v>
      </c>
      <c r="M694" t="s">
        <v>357</v>
      </c>
      <c r="U694" s="18"/>
      <c r="V694" s="18"/>
      <c r="W694" s="18"/>
      <c r="X694" s="18"/>
      <c r="Y694" s="18"/>
      <c r="Z694" s="18"/>
      <c r="AA694" s="18"/>
      <c r="AB694" s="18"/>
      <c r="AC694" s="18"/>
      <c r="AD694" s="18"/>
      <c r="AE694" s="18"/>
      <c r="AF694" s="18"/>
      <c r="AG694" s="231"/>
      <c r="AH694" s="18"/>
      <c r="AI694" s="18"/>
      <c r="AJ694" s="18" t="s">
        <v>328</v>
      </c>
      <c r="AK694" s="18"/>
      <c r="AL694" s="18" t="s">
        <v>344</v>
      </c>
      <c r="AM694" s="24"/>
      <c r="AN694" s="24"/>
      <c r="AO694" s="18" t="s">
        <v>2134</v>
      </c>
      <c r="AP694" s="13" t="s">
        <v>258</v>
      </c>
      <c r="AQ694" s="24" t="s">
        <v>2135</v>
      </c>
      <c r="AR694" s="24"/>
      <c r="AS694" s="18"/>
      <c r="AT694" s="18"/>
      <c r="AU694" s="18"/>
      <c r="AV694" s="18"/>
      <c r="AW694" s="18"/>
      <c r="AX694" s="19"/>
      <c r="AY694" s="19"/>
      <c r="AZ694" s="19"/>
      <c r="BA694" s="19"/>
      <c r="BB694" s="19"/>
      <c r="BC694" s="19"/>
      <c r="BD694" s="19"/>
      <c r="BE694" s="19"/>
      <c r="BF694" s="19"/>
      <c r="BG694" s="20"/>
      <c r="BH694" s="22"/>
      <c r="BI694" s="22"/>
      <c r="BJ694" s="14"/>
      <c r="BK694" s="14"/>
      <c r="BL694" s="14"/>
      <c r="BM694" s="17"/>
      <c r="BN694" s="23"/>
      <c r="BO694" s="14"/>
      <c r="BP694" s="14"/>
      <c r="BQ694" s="14"/>
      <c r="BR694" s="14"/>
      <c r="BS694" s="17"/>
      <c r="BT694" s="23"/>
      <c r="BU694" s="14"/>
      <c r="BV694" s="14"/>
      <c r="BW694" s="14"/>
      <c r="BX694" s="14"/>
      <c r="BY694" s="17"/>
      <c r="BZ694" s="23"/>
      <c r="CA694" s="14"/>
      <c r="CB694" s="14"/>
      <c r="CC694" s="14"/>
      <c r="CD694" s="14"/>
      <c r="CE694" s="17"/>
      <c r="CF694" s="23"/>
      <c r="CG694" s="14"/>
      <c r="CH694" s="14"/>
      <c r="CI694" s="14"/>
      <c r="CJ694" s="14"/>
      <c r="CK694" s="17"/>
      <c r="CL694" s="23"/>
      <c r="CM694" s="14"/>
      <c r="CN694" s="14"/>
      <c r="CO694" s="14"/>
      <c r="CP694" s="14"/>
      <c r="CQ694" s="17"/>
      <c r="CR694" s="23"/>
      <c r="CS694" s="14"/>
      <c r="CT694" s="14"/>
      <c r="CU694" s="14"/>
      <c r="CV694" s="14"/>
      <c r="CW694" s="17"/>
      <c r="CX694" s="23"/>
      <c r="CY694" s="14"/>
      <c r="CZ694" s="14"/>
      <c r="DA694" s="14"/>
      <c r="DB694" s="14"/>
      <c r="DC694" s="17"/>
      <c r="DD694" s="23"/>
      <c r="DE694" s="14"/>
      <c r="DF694" s="14"/>
      <c r="DG694" s="14"/>
      <c r="DH694" s="14"/>
      <c r="DI694" s="14"/>
      <c r="DJ694" s="47">
        <f>SUM(DI694/DY694)</f>
        <v>0</v>
      </c>
      <c r="DK694" s="14">
        <v>39</v>
      </c>
      <c r="DL694" s="32">
        <f>COUNTIF(DR694, "*")+COUNTIF(AO694, "*")+COUNTIF(AJ694, "*")+COUNTIF(AA694, "*")+COUNTIF(EO694, "*")+COUNTIF(EU694, "*")+COUNTIF(FA694, "*")+COUNTIF(FE694, "*")+COUNTIF(FL694, "*")+COUNTIF(FT694, "*")+COUNTIF(GA694, "*")+COUNTIF(GL694, "*")+COUNTIF(GW694, "*")+COUNTIF(HE694, "*")+COUNTIF(HM694, "*")+COUNTIF(HU694, "*")+COUNTIF(IC694, "*")</f>
        <v>2</v>
      </c>
      <c r="DM694" s="14">
        <f>DL694*0.5</f>
        <v>1</v>
      </c>
      <c r="DN694" s="14"/>
      <c r="DO694" s="14">
        <f>SUM(DI694,DK694,DU694, DN694, DM694,FX694)</f>
        <v>40</v>
      </c>
      <c r="DP694" s="14"/>
      <c r="DQ694" s="14"/>
      <c r="DR694" s="14"/>
      <c r="DS694" s="23"/>
      <c r="DT694" s="25"/>
      <c r="DU694" s="14">
        <f>SUM(DP694:DT694)</f>
        <v>0</v>
      </c>
      <c r="DV694" s="24" t="s">
        <v>1997</v>
      </c>
      <c r="DW694" s="25">
        <v>16500</v>
      </c>
      <c r="DX694" s="25">
        <v>0</v>
      </c>
      <c r="DY694" s="25">
        <f>SUM(DW694+DX694)</f>
        <v>16500</v>
      </c>
      <c r="DZ694" s="36">
        <v>2.17</v>
      </c>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27">
        <v>43711</v>
      </c>
      <c r="IO694" s="27">
        <v>43803</v>
      </c>
    </row>
    <row r="695" spans="1:263" ht="15" customHeight="1">
      <c r="A695">
        <v>102024075</v>
      </c>
      <c r="B695" t="s">
        <v>5362</v>
      </c>
      <c r="D695" s="1"/>
      <c r="E695" s="3" t="s">
        <v>5888</v>
      </c>
      <c r="F695" s="2">
        <v>240003191</v>
      </c>
      <c r="G695" s="3"/>
      <c r="J695" t="s">
        <v>554</v>
      </c>
      <c r="K695" s="18" t="s">
        <v>886</v>
      </c>
      <c r="L695" s="18" t="s">
        <v>1163</v>
      </c>
      <c r="M695" t="s">
        <v>354</v>
      </c>
      <c r="N695" t="s">
        <v>5363</v>
      </c>
      <c r="O695" s="3"/>
      <c r="P695" t="s">
        <v>886</v>
      </c>
      <c r="Q695" t="s">
        <v>5364</v>
      </c>
      <c r="R695" t="s">
        <v>326</v>
      </c>
      <c r="AG695" s="43"/>
      <c r="AJ695" s="18" t="s">
        <v>5365</v>
      </c>
      <c r="AK695" s="1" t="s">
        <v>258</v>
      </c>
      <c r="AL695" s="18" t="s">
        <v>344</v>
      </c>
      <c r="AM695" t="s">
        <v>260</v>
      </c>
      <c r="AN695"/>
      <c r="AO695" t="s">
        <v>5366</v>
      </c>
      <c r="AP695" s="1" t="s">
        <v>258</v>
      </c>
      <c r="AQ695" t="s">
        <v>290</v>
      </c>
      <c r="AR695" t="s">
        <v>268</v>
      </c>
      <c r="AS695" s="10"/>
      <c r="AT695" s="10"/>
      <c r="AU695" s="10"/>
      <c r="AV695" s="10"/>
      <c r="AW695" s="1"/>
      <c r="AX695" t="s">
        <v>258</v>
      </c>
      <c r="AY695" s="1" t="s">
        <v>258</v>
      </c>
      <c r="AZ695" s="1"/>
      <c r="BA695" s="1"/>
      <c r="BB695" s="1"/>
      <c r="BC695" s="70">
        <v>45474</v>
      </c>
      <c r="BD695" s="115">
        <v>45408</v>
      </c>
      <c r="BE695" s="144">
        <v>45432</v>
      </c>
      <c r="BF695" s="2"/>
      <c r="BG695" s="2"/>
      <c r="BH695" s="2"/>
      <c r="BI695" s="2"/>
      <c r="BJ695" s="70">
        <v>45545</v>
      </c>
      <c r="BK695" s="70" t="s">
        <v>5895</v>
      </c>
      <c r="BL695" s="20">
        <f ca="1">SUM(EH695)+220</f>
        <v>1529.1398333333332</v>
      </c>
      <c r="BM695" s="22">
        <f ca="1">PMT(10%/12,12,BL695,0,0)</f>
        <v>-134.435685146249</v>
      </c>
      <c r="BN695" s="22">
        <f ca="1">SUM(BM695*-1)</f>
        <v>134.435685146249</v>
      </c>
      <c r="BO695" s="14">
        <f>SUM(EP695*0.0052)/12</f>
        <v>25.176666666666666</v>
      </c>
      <c r="BP695" s="22">
        <f ca="1">SUM(BN695+BO695)</f>
        <v>159.61235181291568</v>
      </c>
      <c r="BQ695" s="14"/>
      <c r="BR695" s="14">
        <f>SUM(BQ695*0.1)</f>
        <v>0</v>
      </c>
      <c r="BS695" s="14">
        <f ca="1">SUM(BT695*BU695)</f>
        <v>0</v>
      </c>
      <c r="BT695" s="17">
        <f>SUM((BQ695+BR695)*0.00833333333333333)</f>
        <v>0</v>
      </c>
      <c r="BU695" s="23">
        <f ca="1">MONTH(TODAY())+49</f>
        <v>53</v>
      </c>
      <c r="BV695" s="14">
        <f ca="1">SUM(BQ695,BR695,BS695)</f>
        <v>0</v>
      </c>
      <c r="BW695" s="14">
        <v>0</v>
      </c>
      <c r="BX695" s="14">
        <f>SUM(BW695*0.1)</f>
        <v>0</v>
      </c>
      <c r="BY695" s="14">
        <f ca="1">SUM(BZ695*CA695)</f>
        <v>0</v>
      </c>
      <c r="BZ695" s="17">
        <f>SUM((BW695+BX695)*0.00833333333333333)</f>
        <v>0</v>
      </c>
      <c r="CA695" s="23">
        <f ca="1">MONTH(TODAY())+37</f>
        <v>41</v>
      </c>
      <c r="CB695" s="14">
        <f ca="1">SUM(BW695,BX695,BY695)</f>
        <v>0</v>
      </c>
      <c r="CC695" s="14">
        <v>0</v>
      </c>
      <c r="CD695" s="14">
        <f>SUM(CC695*0.1)</f>
        <v>0</v>
      </c>
      <c r="CE695" s="14">
        <f ca="1">SUM(CF695*CG695)</f>
        <v>0</v>
      </c>
      <c r="CF695" s="17">
        <f>SUM((CC695+CD695)*0.00833333333333333)</f>
        <v>0</v>
      </c>
      <c r="CG695" s="23">
        <f ca="1">MONTH(TODAY())+25</f>
        <v>29</v>
      </c>
      <c r="CH695" s="14">
        <f ca="1">SUM(CC695,CD695,CE695)</f>
        <v>0</v>
      </c>
      <c r="CI695" s="14">
        <f>SUM(EM695*0.0052)/2</f>
        <v>94.899999999999991</v>
      </c>
      <c r="CJ695" s="14">
        <f>SUM(CI695*0.1)</f>
        <v>9.49</v>
      </c>
      <c r="CK695" s="14">
        <f ca="1">SUM(CL695*CM695)</f>
        <v>18.268249999999991</v>
      </c>
      <c r="CL695" s="17">
        <f>SUM((CI695+CJ695)*0.00833333333333333)</f>
        <v>0.86991666666666623</v>
      </c>
      <c r="CM695" s="23">
        <f ca="1">MONTH(TODAY())+17</f>
        <v>21</v>
      </c>
      <c r="CN695" s="23">
        <f ca="1">SUM(CI695,CJ695,CK695)</f>
        <v>122.65824999999998</v>
      </c>
      <c r="CO695" s="14">
        <f>SUM(EM695*0.0052)/2</f>
        <v>94.899999999999991</v>
      </c>
      <c r="CP695" s="14">
        <f>SUM(CO695*0.1)</f>
        <v>9.49</v>
      </c>
      <c r="CQ695" s="14">
        <f ca="1">SUM(CR695*CS695)</f>
        <v>14.788583333333326</v>
      </c>
      <c r="CR695" s="17">
        <f>SUM((CO695+CP695)*0.00833333333333333)</f>
        <v>0.86991666666666623</v>
      </c>
      <c r="CS695" s="23">
        <f ca="1">MONTH(TODAY())+13</f>
        <v>17</v>
      </c>
      <c r="CT695" s="23">
        <f ca="1">SUM(CO695,CP695,CQ695)</f>
        <v>119.17858333333331</v>
      </c>
      <c r="CU695" s="14">
        <f>SUM(EP695*0.0045)/2</f>
        <v>130.72499999999999</v>
      </c>
      <c r="CV695" s="14">
        <f>SUM(CU695*0.1)</f>
        <v>13.0725</v>
      </c>
      <c r="CW695" s="14">
        <f ca="1">SUM(CX695*CY695)</f>
        <v>13.181437499999994</v>
      </c>
      <c r="CX695" s="17">
        <f>SUM((CU695+CV695)*0.00833333333333333)</f>
        <v>1.1983124999999994</v>
      </c>
      <c r="CY695" s="23">
        <f ca="1">MONTH(TODAY())+7</f>
        <v>11</v>
      </c>
      <c r="CZ695" s="23">
        <f ca="1">SUM(CU695,CV695,CW695)</f>
        <v>156.97893749999997</v>
      </c>
      <c r="DA695" s="14">
        <f>SUM(EP695*0.0045)/2</f>
        <v>130.72499999999999</v>
      </c>
      <c r="DB695" s="14">
        <f>SUM(DA695*0.1)</f>
        <v>13.0725</v>
      </c>
      <c r="DC695" s="14">
        <f ca="1">SUM(DD695*DE695)</f>
        <v>5.991562499999997</v>
      </c>
      <c r="DD695" s="17">
        <f>SUM((DA695+DB695)*0.00833333333333333)</f>
        <v>1.1983124999999994</v>
      </c>
      <c r="DE695" s="23">
        <f ca="1">MONTH(TODAY())+1</f>
        <v>5</v>
      </c>
      <c r="DF695" s="14">
        <f ca="1">SUM(DA695,DB695,DC695)</f>
        <v>149.78906249999997</v>
      </c>
      <c r="DG695" s="14">
        <f>SUM(EP695*0.0045)/2</f>
        <v>130.72499999999999</v>
      </c>
      <c r="DH695" s="14">
        <f>0</f>
        <v>0</v>
      </c>
      <c r="DI695" s="14">
        <f>0</f>
        <v>0</v>
      </c>
      <c r="DJ695" s="17">
        <f>SUM((DG695+DH695)*0.00833333333333333)</f>
        <v>1.0893749999999995</v>
      </c>
      <c r="DK695" s="23">
        <f ca="1">MONTH(TODAY())+7</f>
        <v>11</v>
      </c>
      <c r="DL695" s="23">
        <f>SUM(DG695,DH695,DI695)</f>
        <v>130.72499999999999</v>
      </c>
      <c r="DM695" s="14">
        <f>0</f>
        <v>0</v>
      </c>
      <c r="DN695" s="14">
        <f>0</f>
        <v>0</v>
      </c>
      <c r="DO695" s="14">
        <f ca="1">SUM(DP695*DQ695)</f>
        <v>0</v>
      </c>
      <c r="DP695" s="17">
        <f>SUM((DM695+DN695)*0.00833333333333333)</f>
        <v>0</v>
      </c>
      <c r="DQ695" s="23">
        <f ca="1">MONTH(TODAY())+1</f>
        <v>5</v>
      </c>
      <c r="DR695" s="14">
        <f ca="1">SUM(DM695,DN695,DO695)</f>
        <v>0</v>
      </c>
      <c r="DS695" s="14">
        <f>SUM(BQ695, BW695, CC695, CI695,CO695,CU695,DA695,DG695,DM695)</f>
        <v>581.97500000000002</v>
      </c>
      <c r="DT695" s="14">
        <f>SUM(BR695,BX695,CD695, CJ695,CP695,CV695,DB695,DH695,DN695)</f>
        <v>45.125</v>
      </c>
      <c r="DU695" s="14">
        <f ca="1">SUM(BS695,BY695,CE695, CK695,CQ695,CW695,DC695,DI695,DO695)</f>
        <v>52.229833333333303</v>
      </c>
      <c r="DV695" s="25">
        <f ca="1">SUM(DS695:DU695)</f>
        <v>679.32983333333334</v>
      </c>
      <c r="DW695" s="47">
        <f ca="1">SUM(DV695/EM695)</f>
        <v>1.8611776255707764E-2</v>
      </c>
      <c r="DX695" s="14">
        <f>20+10+200+200</f>
        <v>430</v>
      </c>
      <c r="DY695" s="32">
        <f>COUNTIF(AO695, "*")+COUNTIF(AJ695, "*")+COUNTIF(AA695, "*")+COUNTIF(FA695, "*")+COUNTIF(FG695, "*")+COUNTIF(FM695, "*")+COUNTIF(FQ695, "*")+COUNTIF(FX695, "*")+COUNTIF(AT695, "*")+COUNTIF(GG695, "*")+COUNTIF(GR695, "*")+COUNTIF(HC695, "*")+COUNTIF(HK695, "*")+COUNTIF(HS695, "*")+COUNTIF(IA695, "*")</f>
        <v>2</v>
      </c>
      <c r="DZ695" s="14">
        <f>1.28+DY695*8</f>
        <v>17.28</v>
      </c>
      <c r="EA695" s="4">
        <v>150</v>
      </c>
      <c r="EB695" s="4">
        <v>32.53</v>
      </c>
      <c r="EC695" s="4"/>
      <c r="ED695" s="4"/>
      <c r="EF695" s="4"/>
      <c r="EG695" s="14">
        <f>SUM(EB695:EF695)</f>
        <v>32.53</v>
      </c>
      <c r="EH695" s="14">
        <f ca="1">SUM(DV695,DX695,EG695, EA695, DZ695,GD695)</f>
        <v>1309.1398333333332</v>
      </c>
      <c r="EI695" s="24" t="s">
        <v>4935</v>
      </c>
      <c r="EJ695" s="23">
        <v>0.5</v>
      </c>
      <c r="EK695" s="14">
        <v>6500</v>
      </c>
      <c r="EL695" s="14">
        <v>30000</v>
      </c>
      <c r="EM695" s="14">
        <f>SUM(EK695+EL695)</f>
        <v>36500</v>
      </c>
      <c r="EN695" s="14">
        <v>6500</v>
      </c>
      <c r="EO695" s="14">
        <v>51600</v>
      </c>
      <c r="EP695" s="14">
        <f>SUM(EN695+EO695)</f>
        <v>58100</v>
      </c>
      <c r="EQ695" s="10" t="s">
        <v>5698</v>
      </c>
      <c r="ER695" s="10" t="s">
        <v>5699</v>
      </c>
      <c r="ES695" s="10" t="s">
        <v>5700</v>
      </c>
      <c r="ET695" s="10"/>
      <c r="EU695" s="10"/>
      <c r="EV695" s="10"/>
      <c r="EW695" s="10"/>
      <c r="EX695" s="10"/>
      <c r="GD695" s="4"/>
      <c r="IE695" s="9"/>
      <c r="IN695" s="4"/>
      <c r="IO695" s="4"/>
      <c r="IP695" s="4"/>
      <c r="IQ695" s="9"/>
      <c r="IR695" s="9"/>
      <c r="IS695" s="9"/>
      <c r="IT695" s="9"/>
      <c r="IU695" s="9"/>
    </row>
    <row r="696" spans="1:263" ht="15" customHeight="1">
      <c r="A696" s="2">
        <v>102019019</v>
      </c>
      <c r="B696" s="4" t="s">
        <v>1328</v>
      </c>
      <c r="C696" s="5"/>
      <c r="D696" s="5"/>
      <c r="E696" s="3"/>
      <c r="F696" s="2"/>
      <c r="G696" s="2"/>
      <c r="H696" s="2"/>
      <c r="J696" t="s">
        <v>554</v>
      </c>
      <c r="K696" t="s">
        <v>886</v>
      </c>
      <c r="L696" t="s">
        <v>1329</v>
      </c>
      <c r="M696" t="s">
        <v>326</v>
      </c>
      <c r="O696" s="1"/>
      <c r="P696" t="s">
        <v>886</v>
      </c>
      <c r="Q696" t="s">
        <v>1163</v>
      </c>
      <c r="S696" t="s">
        <v>341</v>
      </c>
      <c r="T696" s="1"/>
      <c r="W696" s="18"/>
      <c r="X696" s="18"/>
      <c r="Y696" s="18"/>
      <c r="Z696" s="18"/>
      <c r="AA696" s="18"/>
      <c r="AB696" s="18"/>
      <c r="AC696" s="18"/>
      <c r="AD696" s="13"/>
      <c r="AE696" s="18"/>
      <c r="AF696" s="18"/>
      <c r="AG696" s="24"/>
      <c r="AH696" s="24"/>
      <c r="AI696" s="18"/>
      <c r="AJ696" s="14"/>
      <c r="AK696" s="14"/>
      <c r="AL696" s="14"/>
      <c r="AM696" s="24"/>
      <c r="AN696" s="24"/>
      <c r="AO696" s="18"/>
      <c r="AP696" s="13"/>
      <c r="AQ696" s="63"/>
      <c r="AR696" s="63"/>
      <c r="AS696" s="20"/>
      <c r="AT696" s="13"/>
      <c r="AU696" s="13"/>
      <c r="AV696" s="13"/>
      <c r="AW696" s="13"/>
      <c r="AX696" s="13"/>
      <c r="AY696" s="21"/>
      <c r="AZ696" s="21"/>
      <c r="BA696" s="21"/>
      <c r="BB696" s="13"/>
      <c r="BC696" s="21"/>
      <c r="BD696" s="21"/>
      <c r="BE696" s="21"/>
      <c r="BF696" s="21"/>
      <c r="BG696" s="20"/>
      <c r="BH696" s="22"/>
      <c r="BI696" s="22"/>
      <c r="BJ696" s="14"/>
      <c r="BK696" s="14"/>
      <c r="BL696" s="14"/>
      <c r="BM696" s="17"/>
      <c r="BN696" s="23"/>
      <c r="BO696" s="14"/>
      <c r="BP696" s="18"/>
      <c r="BQ696" s="14"/>
      <c r="BR696" s="14"/>
      <c r="BS696" s="17"/>
      <c r="BT696" s="23"/>
      <c r="BU696" s="14"/>
      <c r="BV696" s="14"/>
      <c r="BW696" s="14"/>
      <c r="BX696" s="14"/>
      <c r="BY696" s="17"/>
      <c r="BZ696" s="23"/>
      <c r="CA696" s="14"/>
      <c r="CB696" s="14"/>
      <c r="CC696" s="14"/>
      <c r="CD696" s="14"/>
      <c r="CE696" s="17"/>
      <c r="CF696" s="7"/>
      <c r="CG696" s="14"/>
      <c r="CH696" s="14"/>
      <c r="CI696" s="14"/>
      <c r="CJ696" s="14"/>
      <c r="CK696" s="17"/>
      <c r="CL696" s="23"/>
      <c r="CM696" s="14"/>
      <c r="CN696" s="14"/>
      <c r="CO696" s="14"/>
      <c r="CP696" s="14"/>
      <c r="CQ696" s="17"/>
      <c r="CR696" s="7"/>
      <c r="CS696" s="14"/>
      <c r="CT696" s="14"/>
      <c r="CU696" s="14"/>
      <c r="CV696" s="14"/>
      <c r="CW696" s="17"/>
      <c r="CX696" s="23"/>
      <c r="CY696" s="14"/>
      <c r="CZ696" s="14"/>
      <c r="DA696" s="14"/>
      <c r="DB696" s="14"/>
      <c r="DC696" s="17"/>
      <c r="DD696" s="7"/>
      <c r="DE696" s="14"/>
      <c r="DF696" s="4"/>
      <c r="DG696" s="4"/>
      <c r="DH696" s="14"/>
      <c r="DI696" s="14"/>
      <c r="DJ696" s="14"/>
      <c r="DK696" s="24"/>
      <c r="DL696" s="14"/>
      <c r="DM696" s="32"/>
      <c r="DN696" s="14"/>
      <c r="DO696" s="14"/>
      <c r="DP696" s="4"/>
      <c r="DQ696" s="14"/>
      <c r="DR696" s="14"/>
      <c r="DS696" s="14"/>
      <c r="DT696" s="14"/>
      <c r="DU696" s="25"/>
      <c r="DV696" s="14"/>
      <c r="DW696" s="25"/>
      <c r="DX696" s="14"/>
      <c r="DY696" s="14"/>
      <c r="DZ696" s="23"/>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27"/>
      <c r="FJ696" s="28"/>
      <c r="FK696" s="18"/>
      <c r="FL696" s="18"/>
      <c r="FM696" s="18"/>
      <c r="FN696" s="18"/>
      <c r="FO696" s="18"/>
      <c r="FP696" s="18"/>
      <c r="FQ696" s="28"/>
      <c r="FR696" s="27"/>
      <c r="FS696" s="18"/>
      <c r="FT696" s="18"/>
      <c r="FU696" s="18"/>
      <c r="FV696" s="18"/>
      <c r="FW696" s="18"/>
      <c r="FX696" s="14"/>
      <c r="FY696" s="18"/>
      <c r="FZ696" s="18"/>
      <c r="GA696" s="18"/>
      <c r="GB696" s="18"/>
      <c r="GC696" s="18"/>
      <c r="GD696" s="18"/>
      <c r="GE696" s="27"/>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27"/>
      <c r="IJ696" s="14"/>
      <c r="IK696" s="14"/>
      <c r="IL696" s="27"/>
      <c r="IM696" s="18"/>
      <c r="IN696" t="s">
        <v>772</v>
      </c>
      <c r="IO696" t="s">
        <v>773</v>
      </c>
      <c r="IP696" t="s">
        <v>386</v>
      </c>
      <c r="IS696" s="4">
        <v>155.66999999999999</v>
      </c>
      <c r="IT696" s="14">
        <f>SUM(IJ696-DP696-IR696)</f>
        <v>0</v>
      </c>
      <c r="IU696" s="27">
        <v>43549</v>
      </c>
      <c r="IV696" s="27">
        <v>43565</v>
      </c>
      <c r="IW696" s="27">
        <v>43699</v>
      </c>
      <c r="IX696" s="27">
        <v>43711</v>
      </c>
      <c r="IY696" s="18"/>
    </row>
    <row r="697" spans="1:263" ht="15" customHeight="1">
      <c r="A697" s="2">
        <v>102019020</v>
      </c>
      <c r="B697" s="4" t="s">
        <v>1330</v>
      </c>
      <c r="C697" s="5"/>
      <c r="D697" s="5"/>
      <c r="E697" s="3"/>
      <c r="F697" s="2"/>
      <c r="G697" s="2"/>
      <c r="H697" s="2"/>
      <c r="J697" t="s">
        <v>554</v>
      </c>
      <c r="K697" t="s">
        <v>886</v>
      </c>
      <c r="L697" t="s">
        <v>1329</v>
      </c>
      <c r="M697" t="s">
        <v>326</v>
      </c>
      <c r="O697" s="1"/>
      <c r="P697" t="s">
        <v>886</v>
      </c>
      <c r="Q697" t="s">
        <v>1163</v>
      </c>
      <c r="S697" t="s">
        <v>341</v>
      </c>
      <c r="T697" s="1"/>
      <c r="W697" s="18"/>
      <c r="X697" s="18"/>
      <c r="Y697" s="18"/>
      <c r="Z697" s="18"/>
      <c r="AA697" s="18"/>
      <c r="AB697" s="18"/>
      <c r="AC697" s="18"/>
      <c r="AD697" s="18"/>
      <c r="AE697" s="13"/>
      <c r="AF697" s="18"/>
      <c r="AG697" s="18"/>
      <c r="AH697" s="24"/>
      <c r="AI697" s="18"/>
      <c r="AJ697" s="14"/>
      <c r="AK697" s="14"/>
      <c r="AL697" s="14"/>
      <c r="AM697" s="63"/>
      <c r="AN697" s="24"/>
      <c r="AO697" s="18"/>
      <c r="AP697" s="13"/>
      <c r="AQ697" s="24"/>
      <c r="AR697" s="63"/>
      <c r="AS697" s="20"/>
      <c r="AT697" s="13"/>
      <c r="AU697" s="13"/>
      <c r="AV697" s="13"/>
      <c r="AW697" s="13"/>
      <c r="AX697" s="21"/>
      <c r="AY697" s="21"/>
      <c r="AZ697" s="21"/>
      <c r="BA697" s="21"/>
      <c r="BB697" s="13"/>
      <c r="BC697" s="21"/>
      <c r="BD697" s="21"/>
      <c r="BE697" s="21"/>
      <c r="BF697" s="21"/>
      <c r="BG697" s="20"/>
      <c r="BH697" s="22"/>
      <c r="BI697" s="22"/>
      <c r="BJ697" s="14"/>
      <c r="BK697" s="14"/>
      <c r="BL697" s="14"/>
      <c r="BM697" s="17"/>
      <c r="BN697" s="23"/>
      <c r="BO697" s="14"/>
      <c r="BP697" s="18"/>
      <c r="BQ697" s="14"/>
      <c r="BR697" s="14"/>
      <c r="BS697" s="17"/>
      <c r="BT697" s="23"/>
      <c r="BU697" s="14"/>
      <c r="BV697" s="14"/>
      <c r="BW697" s="14"/>
      <c r="BX697" s="14"/>
      <c r="BY697" s="17"/>
      <c r="BZ697" s="23"/>
      <c r="CA697" s="14"/>
      <c r="CB697" s="14"/>
      <c r="CC697" s="14"/>
      <c r="CD697" s="14"/>
      <c r="CE697" s="17"/>
      <c r="CF697" s="7"/>
      <c r="CG697" s="14"/>
      <c r="CH697" s="14"/>
      <c r="CI697" s="14"/>
      <c r="CJ697" s="14"/>
      <c r="CK697" s="17"/>
      <c r="CL697" s="23"/>
      <c r="CM697" s="14"/>
      <c r="CN697" s="14"/>
      <c r="CO697" s="14"/>
      <c r="CP697" s="14"/>
      <c r="CQ697" s="17"/>
      <c r="CR697" s="7"/>
      <c r="CS697" s="14"/>
      <c r="CT697" s="14"/>
      <c r="CU697" s="14"/>
      <c r="CV697" s="14"/>
      <c r="CW697" s="17"/>
      <c r="CX697" s="23"/>
      <c r="CY697" s="14"/>
      <c r="CZ697" s="14"/>
      <c r="DA697" s="14"/>
      <c r="DB697" s="14"/>
      <c r="DC697" s="17"/>
      <c r="DD697" s="7"/>
      <c r="DE697" s="14"/>
      <c r="DF697" s="4"/>
      <c r="DG697" s="4"/>
      <c r="DH697" s="14"/>
      <c r="DI697" s="14"/>
      <c r="DJ697" s="14"/>
      <c r="DK697" s="24"/>
      <c r="DL697" s="14"/>
      <c r="DM697" s="234"/>
      <c r="DN697" s="14"/>
      <c r="DO697" s="14"/>
      <c r="DP697" s="4"/>
      <c r="DQ697" s="14"/>
      <c r="DR697" s="14"/>
      <c r="DS697" s="14"/>
      <c r="DT697" s="14"/>
      <c r="DU697" s="25"/>
      <c r="DV697" s="14"/>
      <c r="DW697" s="25"/>
      <c r="DX697" s="14"/>
      <c r="DY697" s="14"/>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27"/>
      <c r="FJ697" s="28"/>
      <c r="FK697" s="18"/>
      <c r="FL697" s="18"/>
      <c r="FM697" s="18"/>
      <c r="FN697" s="18"/>
      <c r="FO697" s="18"/>
      <c r="FP697" s="18"/>
      <c r="FQ697" s="28"/>
      <c r="FR697" s="27"/>
      <c r="FS697" s="18"/>
      <c r="FT697" s="18"/>
      <c r="FU697" s="18"/>
      <c r="FV697" s="18"/>
      <c r="FW697" s="18"/>
      <c r="FX697" s="14"/>
      <c r="FY697" s="18"/>
      <c r="FZ697" s="18"/>
      <c r="GA697" s="18"/>
      <c r="GB697" s="18"/>
      <c r="GC697" s="18"/>
      <c r="GD697" s="18"/>
      <c r="GE697" s="27"/>
      <c r="GF697" s="18"/>
      <c r="GG697" s="18"/>
      <c r="GH697" s="18"/>
      <c r="GI697" s="18"/>
      <c r="GJ697" s="18"/>
      <c r="GK697" s="18"/>
      <c r="GL697" s="18"/>
      <c r="GM697" s="18"/>
      <c r="GN697" s="18"/>
      <c r="GO697" s="18"/>
      <c r="GP697" s="27"/>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27"/>
      <c r="IJ697" s="4"/>
      <c r="IK697" s="4"/>
      <c r="IL697" s="9"/>
      <c r="IN697" s="18" t="s">
        <v>1410</v>
      </c>
      <c r="IO697" s="18" t="s">
        <v>846</v>
      </c>
      <c r="IP697" s="18" t="s">
        <v>386</v>
      </c>
      <c r="IQ697" s="18"/>
      <c r="IR697" s="18"/>
      <c r="IS697" s="14">
        <v>42.5</v>
      </c>
      <c r="IT697" s="14">
        <f>SUM(IJ697-DP697-IR697)</f>
        <v>0</v>
      </c>
      <c r="IU697" s="27">
        <v>43549</v>
      </c>
      <c r="IV697" s="27">
        <v>43565</v>
      </c>
      <c r="IW697" s="27">
        <v>43699</v>
      </c>
      <c r="IX697" s="27">
        <v>43711</v>
      </c>
      <c r="IY697" s="18"/>
    </row>
    <row r="698" spans="1:263" ht="15" customHeight="1">
      <c r="A698">
        <v>102024021</v>
      </c>
      <c r="B698" t="s">
        <v>5070</v>
      </c>
      <c r="D698" s="1"/>
      <c r="E698" s="3" t="s">
        <v>5794</v>
      </c>
      <c r="F698" s="2">
        <v>240002152</v>
      </c>
      <c r="G698" s="3"/>
      <c r="J698" t="s">
        <v>311</v>
      </c>
      <c r="K698" t="s">
        <v>1707</v>
      </c>
      <c r="L698" t="s">
        <v>2638</v>
      </c>
      <c r="M698" t="s">
        <v>357</v>
      </c>
      <c r="O698" s="3"/>
      <c r="AG698" s="43"/>
      <c r="AJ698" t="s">
        <v>5134</v>
      </c>
      <c r="AK698" s="1" t="s">
        <v>258</v>
      </c>
      <c r="AL698" t="s">
        <v>344</v>
      </c>
      <c r="AM698" t="s">
        <v>260</v>
      </c>
      <c r="AN698"/>
      <c r="AO698" t="s">
        <v>5311</v>
      </c>
      <c r="AP698" s="1" t="s">
        <v>258</v>
      </c>
      <c r="AQ698" t="s">
        <v>756</v>
      </c>
      <c r="AR698" t="s">
        <v>757</v>
      </c>
      <c r="AS698" s="10"/>
      <c r="AT698" s="10"/>
      <c r="AU698" s="10"/>
      <c r="AV698" s="10"/>
      <c r="AW698" s="10"/>
      <c r="AX698" s="1" t="s">
        <v>258</v>
      </c>
      <c r="AY698" s="1" t="s">
        <v>258</v>
      </c>
      <c r="AZ698" s="1"/>
      <c r="BA698" s="1"/>
      <c r="BB698" s="1"/>
      <c r="BC698" s="9">
        <v>45419</v>
      </c>
      <c r="BD698" s="144">
        <v>45382</v>
      </c>
      <c r="BE698" s="144">
        <v>45387</v>
      </c>
      <c r="BF698" s="2"/>
      <c r="BG698" s="2"/>
      <c r="BH698" s="2"/>
      <c r="BI698" s="2"/>
      <c r="BJ698" s="70">
        <v>45533</v>
      </c>
      <c r="BK698" s="70" t="s">
        <v>5895</v>
      </c>
      <c r="BL698" s="20">
        <f ca="1">SUM(EH698)+220</f>
        <v>1785.4536833333334</v>
      </c>
      <c r="BM698" s="22">
        <f ca="1">PMT(10%/12,12,BL698,0,0)</f>
        <v>-156.9697446783386</v>
      </c>
      <c r="BN698" s="22">
        <f ca="1">SUM(BM698*-1)</f>
        <v>156.9697446783386</v>
      </c>
      <c r="BO698" s="14">
        <f>SUM(EP698*0.0052)/12</f>
        <v>23.183333333333334</v>
      </c>
      <c r="BP698" s="22">
        <f ca="1">SUM(BN698+BO698)</f>
        <v>180.15307801167194</v>
      </c>
      <c r="BQ698" s="14"/>
      <c r="BR698" s="14">
        <f>SUM(BQ698*0.1)</f>
        <v>0</v>
      </c>
      <c r="BS698" s="14">
        <f ca="1">SUM(BT698*BU698)</f>
        <v>0</v>
      </c>
      <c r="BT698" s="17">
        <f>SUM((BQ698+BR698)*0.00833333333333333)</f>
        <v>0</v>
      </c>
      <c r="BU698" s="23">
        <f ca="1">MONTH(TODAY())+49</f>
        <v>53</v>
      </c>
      <c r="BV698" s="14">
        <f ca="1">SUM(BQ698,BR698,BS698)</f>
        <v>0</v>
      </c>
      <c r="BW698" s="14">
        <v>0</v>
      </c>
      <c r="BX698" s="14">
        <f>SUM(BW698*0.1)</f>
        <v>0</v>
      </c>
      <c r="BY698" s="14">
        <f ca="1">SUM(BZ698*CA698)</f>
        <v>0</v>
      </c>
      <c r="BZ698" s="17">
        <f>SUM((BW698+BX698)*0.00833333333333333)</f>
        <v>0</v>
      </c>
      <c r="CA698" s="23">
        <f ca="1">MONTH(TODAY())+37</f>
        <v>41</v>
      </c>
      <c r="CB698" s="14">
        <f ca="1">SUM(BW698,BX698,BY698)</f>
        <v>0</v>
      </c>
      <c r="CC698" s="14">
        <f>SUM(EM698*0.0052)</f>
        <v>121.16</v>
      </c>
      <c r="CD698" s="14">
        <f>SUM(CC698*0.1)</f>
        <v>12.116</v>
      </c>
      <c r="CE698" s="14">
        <f>SUM(CF698*CG698)</f>
        <v>34.429633333333321</v>
      </c>
      <c r="CF698" s="17">
        <f>SUM((CC698+CD698)*0.00833333333333333)</f>
        <v>1.1106333333333329</v>
      </c>
      <c r="CG698" s="23">
        <v>31</v>
      </c>
      <c r="CH698" s="14">
        <f>SUM(CC698,CD698,CE698)</f>
        <v>167.70563333333334</v>
      </c>
      <c r="CI698" s="14">
        <f>SUM(EM698*0.0052)/2</f>
        <v>60.58</v>
      </c>
      <c r="CJ698" s="14">
        <f>SUM(CI698*0.1)</f>
        <v>6.0579999999999998</v>
      </c>
      <c r="CK698" s="14">
        <f>SUM(CL698*CM698)</f>
        <v>12.772283333333329</v>
      </c>
      <c r="CL698" s="17">
        <f>SUM((CI698+CJ698)*0.00833333333333333)</f>
        <v>0.55531666666666646</v>
      </c>
      <c r="CM698" s="23">
        <v>23</v>
      </c>
      <c r="CN698" s="23">
        <f>SUM(CI698,CJ698,CK698)</f>
        <v>79.410283333333339</v>
      </c>
      <c r="CO698" s="14">
        <f>SUM(EM698*0.0052)/2</f>
        <v>60.58</v>
      </c>
      <c r="CP698" s="14">
        <f>SUM(CO698*0.1)</f>
        <v>6.0579999999999998</v>
      </c>
      <c r="CQ698" s="14">
        <f>SUM(CR698*CS698)</f>
        <v>10.551016666666662</v>
      </c>
      <c r="CR698" s="17">
        <f>SUM((CO698+CP698)*0.00833333333333333)</f>
        <v>0.55531666666666646</v>
      </c>
      <c r="CS698" s="23">
        <v>19</v>
      </c>
      <c r="CT698" s="23">
        <f>SUM(CO698,CP698,CQ698)</f>
        <v>77.189016666666674</v>
      </c>
      <c r="CU698" s="14">
        <f>SUM(EP698*0.0045)/2</f>
        <v>120.37499999999999</v>
      </c>
      <c r="CV698" s="14">
        <f>SUM(CU698*0.1)</f>
        <v>12.0375</v>
      </c>
      <c r="CW698" s="14">
        <f>SUM(CX698*CY698)</f>
        <v>14.344687499999992</v>
      </c>
      <c r="CX698" s="17">
        <f>SUM((CU698+CV698)*0.00833333333333333)</f>
        <v>1.1034374999999994</v>
      </c>
      <c r="CY698" s="23">
        <v>13</v>
      </c>
      <c r="CZ698" s="23">
        <f>SUM(CU698,CV698,CW698)</f>
        <v>146.75718749999999</v>
      </c>
      <c r="DA698" s="14">
        <f>SUM(EP698*0.0045)/2</f>
        <v>120.37499999999999</v>
      </c>
      <c r="DB698" s="14">
        <f>SUM(DA698*0.1)</f>
        <v>12.0375</v>
      </c>
      <c r="DC698" s="14">
        <f>SUM(DD698*DE698)</f>
        <v>7.7240624999999961</v>
      </c>
      <c r="DD698" s="17">
        <f>SUM((DA698+DB698)*0.00833333333333333)</f>
        <v>1.1034374999999994</v>
      </c>
      <c r="DE698" s="23">
        <v>7</v>
      </c>
      <c r="DF698" s="14">
        <f>SUM(DA698,DB698,DC698)</f>
        <v>140.1365625</v>
      </c>
      <c r="DG698" s="14">
        <f>SUM(EP698*0.0045)/2</f>
        <v>120.37499999999999</v>
      </c>
      <c r="DH698" s="14">
        <f>0</f>
        <v>0</v>
      </c>
      <c r="DI698" s="14">
        <f>0</f>
        <v>0</v>
      </c>
      <c r="DJ698" s="17">
        <f>SUM((DG698+DH698)*0.00833333333333333)</f>
        <v>1.0031249999999994</v>
      </c>
      <c r="DK698" s="23">
        <f ca="1">MONTH(TODAY())+7</f>
        <v>11</v>
      </c>
      <c r="DL698" s="23">
        <f>SUM(DG698,DH698,DI698)</f>
        <v>120.37499999999999</v>
      </c>
      <c r="DM698" s="14">
        <f>0</f>
        <v>0</v>
      </c>
      <c r="DN698" s="14">
        <f>0</f>
        <v>0</v>
      </c>
      <c r="DO698" s="14">
        <f ca="1">SUM(DP698*DQ698)</f>
        <v>0</v>
      </c>
      <c r="DP698" s="17">
        <f>SUM((DM698+DN698)*0.00833333333333333)</f>
        <v>0</v>
      </c>
      <c r="DQ698" s="23">
        <f ca="1">MONTH(TODAY())+1</f>
        <v>5</v>
      </c>
      <c r="DR698" s="14">
        <f ca="1">SUM(DM698,DN698,DO698)</f>
        <v>0</v>
      </c>
      <c r="DS698" s="14">
        <f>SUM(BQ698, BW698, CC698, CI698,CO698,CU698,DA698,DG698,DM698)</f>
        <v>603.44499999999994</v>
      </c>
      <c r="DT698" s="14">
        <f>SUM(BR698,BX698,CD698, CJ698,CP698,CV698,DB698,DH698,DN698)</f>
        <v>48.307000000000002</v>
      </c>
      <c r="DU698" s="14">
        <f ca="1">SUM(BS698,BY698,CE698, CK698,CQ698,CW698,DC698,DI698,DO698)</f>
        <v>79.821683333333311</v>
      </c>
      <c r="DV698" s="25">
        <f ca="1">SUM(DS698:DU698)</f>
        <v>731.57368333333329</v>
      </c>
      <c r="DW698" s="47">
        <f ca="1">SUM(DV698/EM698)</f>
        <v>3.1398012160228896E-2</v>
      </c>
      <c r="DX698" s="14">
        <f>40+10+200+200+40+40</f>
        <v>530</v>
      </c>
      <c r="DY698" s="32">
        <f>COUNTIF(AO698, "*")+COUNTIF(AJ698, "*")+COUNTIF(AA698, "*")+COUNTIF(FA698, "*")+COUNTIF(FG698, "*")+COUNTIF(FM698, "*")+COUNTIF(FQ698, "*")+COUNTIF(FX698, "*")+COUNTIF(AT698, "*")+COUNTIF(GG698, "*")+COUNTIF(GR698, "*")+COUNTIF(HC698, "*")+COUNTIF(HK698, "*")+COUNTIF(HS698, "*")+COUNTIF(IA698, "*")</f>
        <v>3</v>
      </c>
      <c r="DZ698" s="14">
        <f>DY698*0.64+DY698*8</f>
        <v>25.92</v>
      </c>
      <c r="EA698" s="4">
        <v>250</v>
      </c>
      <c r="EB698" s="4">
        <v>27.96</v>
      </c>
      <c r="EC698" s="4"/>
      <c r="ED698" s="4"/>
      <c r="EF698" s="4"/>
      <c r="EG698" s="14">
        <f>SUM(EB698:EF698)</f>
        <v>27.96</v>
      </c>
      <c r="EH698" s="14">
        <f ca="1">SUM(DV698,DX698,EG698, EA698, DZ698,GD698)</f>
        <v>1565.4536833333334</v>
      </c>
      <c r="EI698" s="24" t="s">
        <v>4944</v>
      </c>
      <c r="EJ698" s="130">
        <v>0.46</v>
      </c>
      <c r="EK698" s="14">
        <v>7200</v>
      </c>
      <c r="EL698" s="14">
        <v>16100</v>
      </c>
      <c r="EM698" s="14">
        <f>SUM(EK698+EL698)</f>
        <v>23300</v>
      </c>
      <c r="EN698" s="14">
        <v>12000</v>
      </c>
      <c r="EO698" s="14">
        <v>41500</v>
      </c>
      <c r="EP698" s="14">
        <f>SUM(EN698+EO698)</f>
        <v>53500</v>
      </c>
      <c r="EQ698" s="10" t="s">
        <v>5313</v>
      </c>
      <c r="ER698" s="28" t="s">
        <v>5314</v>
      </c>
      <c r="ES698" s="10"/>
      <c r="ET698" s="10"/>
      <c r="EU698" s="10"/>
      <c r="EV698" s="10"/>
      <c r="EW698" s="10"/>
      <c r="EX698" s="10"/>
      <c r="GD698" s="4"/>
      <c r="GE698" t="s">
        <v>3762</v>
      </c>
      <c r="GF698" t="s">
        <v>5312</v>
      </c>
      <c r="GG698" t="s">
        <v>3764</v>
      </c>
      <c r="GI698" t="s">
        <v>438</v>
      </c>
      <c r="GJ698" t="s">
        <v>260</v>
      </c>
      <c r="GK698" s="9">
        <v>44487</v>
      </c>
      <c r="GL698" t="s">
        <v>5325</v>
      </c>
      <c r="IE698" s="9"/>
      <c r="IN698" s="4"/>
      <c r="IO698" s="4"/>
      <c r="IP698" s="4"/>
      <c r="IQ698" s="9"/>
      <c r="IR698" s="9"/>
      <c r="IS698" s="9"/>
      <c r="IT698" s="9"/>
      <c r="IU698" s="9"/>
      <c r="JB698" s="240"/>
      <c r="JC698" s="240"/>
    </row>
    <row r="699" spans="1:263" ht="15" customHeight="1">
      <c r="A699" s="19">
        <v>102023132</v>
      </c>
      <c r="B699" s="18" t="s">
        <v>4361</v>
      </c>
      <c r="D699" s="1"/>
      <c r="E699" s="3"/>
      <c r="F699" s="3"/>
      <c r="G699" s="18" t="s">
        <v>4546</v>
      </c>
      <c r="J699" s="18" t="s">
        <v>554</v>
      </c>
      <c r="K699" s="18" t="s">
        <v>1050</v>
      </c>
      <c r="L699" s="130" t="s">
        <v>577</v>
      </c>
      <c r="M699" s="130" t="s">
        <v>354</v>
      </c>
      <c r="N699" s="130"/>
      <c r="O699" s="288"/>
      <c r="P699" s="130" t="s">
        <v>1050</v>
      </c>
      <c r="Q699" s="130" t="s">
        <v>4470</v>
      </c>
      <c r="R699" s="130"/>
      <c r="S699" s="130"/>
      <c r="AG699" s="43"/>
      <c r="AJ699" s="18" t="s">
        <v>4473</v>
      </c>
      <c r="AK699" t="s">
        <v>258</v>
      </c>
      <c r="AL699" s="18" t="s">
        <v>344</v>
      </c>
      <c r="AM699" t="s">
        <v>260</v>
      </c>
      <c r="AN699"/>
      <c r="AO699" s="18" t="s">
        <v>4472</v>
      </c>
      <c r="AP699" s="3" t="s">
        <v>258</v>
      </c>
      <c r="AQ699" s="18" t="s">
        <v>344</v>
      </c>
      <c r="AR699" t="s">
        <v>260</v>
      </c>
      <c r="AX699" s="1"/>
      <c r="AY699" s="1"/>
      <c r="AZ699" s="1"/>
      <c r="BA699" s="1"/>
      <c r="BB699" s="1"/>
      <c r="BC699" s="2"/>
      <c r="BD699" s="116"/>
      <c r="BE699" s="115"/>
      <c r="BF699" s="2"/>
      <c r="BG699" s="2"/>
      <c r="BH699" s="2"/>
      <c r="BI699" s="2"/>
      <c r="BJ699" s="2"/>
      <c r="BK699" s="2"/>
      <c r="BL699" s="20">
        <f ca="1">SUM(DP699)+220</f>
        <v>699.25759999999991</v>
      </c>
      <c r="BM699" s="22">
        <f ca="1">PMT(10%/12,12,BL699,0,0)</f>
        <v>-61.475852306327148</v>
      </c>
      <c r="BN699" s="22">
        <f ca="1">SUM(BM699*-1)</f>
        <v>61.475852306327148</v>
      </c>
      <c r="BO699" s="14">
        <f>SUM(DX699*0.0052)/12</f>
        <v>30.939999999999998</v>
      </c>
      <c r="BP699" s="22">
        <f ca="1">SUM(BN699+BO699)</f>
        <v>92.415852306327139</v>
      </c>
      <c r="BQ699" s="14"/>
      <c r="BR699" s="14">
        <f>SUM(BQ699*0.1)</f>
        <v>0</v>
      </c>
      <c r="BS699" s="14">
        <f ca="1">SUM(BT699*BU699)</f>
        <v>0</v>
      </c>
      <c r="BT699" s="17">
        <f>SUM((BQ699+BR699)*0.00833333333333333)</f>
        <v>0</v>
      </c>
      <c r="BU699" s="23">
        <f ca="1">MONTH(TODAY())+49</f>
        <v>53</v>
      </c>
      <c r="BV699" s="14">
        <f ca="1">SUM(BQ699,BR699,BS699)</f>
        <v>0</v>
      </c>
      <c r="BW699" s="14"/>
      <c r="BX699" s="14">
        <f>SUM(BW699*0.1)</f>
        <v>0</v>
      </c>
      <c r="BY699" s="14">
        <f ca="1">SUM(BZ699*CA699)</f>
        <v>0</v>
      </c>
      <c r="BZ699" s="17">
        <f>SUM((BW699+BX699)*0.00833333333333333)</f>
        <v>0</v>
      </c>
      <c r="CA699" s="23">
        <f ca="1">MONTH(TODAY())+37</f>
        <v>41</v>
      </c>
      <c r="CB699" s="14">
        <f ca="1">SUM(BW699,BX699,BY699)</f>
        <v>0</v>
      </c>
      <c r="CC699" s="14">
        <v>0</v>
      </c>
      <c r="CD699" s="14">
        <f>SUM(CC699*0.1)</f>
        <v>0</v>
      </c>
      <c r="CE699" s="14">
        <f ca="1">SUM(CF699*CG699)</f>
        <v>0</v>
      </c>
      <c r="CF699" s="17">
        <f>SUM((CC699+CD699)*0.00833333333333333)</f>
        <v>0</v>
      </c>
      <c r="CG699" s="23">
        <f ca="1">MONTH(TODAY())+25</f>
        <v>29</v>
      </c>
      <c r="CH699" s="14">
        <f ca="1">SUM(CC699,CD699,CE699)</f>
        <v>0</v>
      </c>
      <c r="CI699" s="14">
        <f>SUM(DU699*0.0052)</f>
        <v>189.28</v>
      </c>
      <c r="CJ699" s="14">
        <f>SUM(CI699*0.1)</f>
        <v>18.928000000000001</v>
      </c>
      <c r="CK699" s="14">
        <f ca="1">SUM(CL699*CM699)</f>
        <v>29.496133333333319</v>
      </c>
      <c r="CL699" s="17">
        <f>SUM((CI699+CJ699)*0.00833333333333333)</f>
        <v>1.7350666666666659</v>
      </c>
      <c r="CM699" s="23">
        <f ca="1">MONTH(TODAY())+13</f>
        <v>17</v>
      </c>
      <c r="CN699" s="14">
        <f ca="1">SUM(CI699,CJ699,CK699)</f>
        <v>237.70413333333332</v>
      </c>
      <c r="CO699" s="14">
        <f>SUM(DU699*0.0052)/2</f>
        <v>94.64</v>
      </c>
      <c r="CP699" s="14">
        <f>SUM(CO699*0.1)</f>
        <v>9.4640000000000004</v>
      </c>
      <c r="CQ699" s="14">
        <f ca="1">SUM(CR699*CS699)</f>
        <v>7.8077999999999967</v>
      </c>
      <c r="CR699" s="17">
        <f>SUM((CO699+CP699)*0.00833333333333333)</f>
        <v>0.86753333333333293</v>
      </c>
      <c r="CS699" s="23">
        <f ca="1">MONTH(TODAY())+5</f>
        <v>9</v>
      </c>
      <c r="CT699" s="23">
        <f ca="1">SUM(CO699,CP699,CQ699)</f>
        <v>111.9118</v>
      </c>
      <c r="CU699" s="14">
        <f>SUM(DU699*0.0052)/2</f>
        <v>94.64</v>
      </c>
      <c r="CV699" s="14">
        <f>SUM(CU699*0.1)</f>
        <v>9.4640000000000004</v>
      </c>
      <c r="CW699" s="14">
        <f ca="1">SUM(CX699*CY699)</f>
        <v>4.3376666666666646</v>
      </c>
      <c r="CX699" s="17">
        <f>SUM((CU699+CV699)*0.00833333333333333)</f>
        <v>0.86753333333333293</v>
      </c>
      <c r="CY699" s="23">
        <f ca="1">MONTH(TODAY())+1</f>
        <v>5</v>
      </c>
      <c r="CZ699" s="23">
        <f ca="1">SUM(CU699,CV699,CW699)</f>
        <v>108.44166666666666</v>
      </c>
      <c r="DA699" s="14">
        <f>SUM( BQ699, BW699, CC699, CI699, CO699,CU699)</f>
        <v>378.56</v>
      </c>
      <c r="DB699" s="14">
        <f>SUM(BR699,BX699,CD699,CJ699, CP699,CV699)</f>
        <v>37.856000000000002</v>
      </c>
      <c r="DC699" s="14">
        <f ca="1">SUM(BS699,BY699,CE699,CK699, CQ699,CW699)</f>
        <v>41.641599999999983</v>
      </c>
      <c r="DD699" s="25">
        <f ca="1">SUM(DA699:DC699)</f>
        <v>458.05759999999998</v>
      </c>
      <c r="DE699" s="47">
        <f ca="1">SUM(DD699/DU699)</f>
        <v>1.2584E-2</v>
      </c>
      <c r="DF699" s="14">
        <v>20</v>
      </c>
      <c r="DG699" s="32">
        <f>COUNTIF(DL699, "*")+COUNTIF(AO699, "*")+COUNTIF(AJ699, "*")+COUNTIF(AA699, "*")+COUNTIF(EM699, "*")+COUNTIF(ES699, "*")+COUNTIF(EY699, "*")+COUNTIF(FC699, "*")+COUNTIF(FJ699, "*")+COUNTIF(AT699, "*")+COUNTIF(FS699, "*")+COUNTIF(GD699, "*")+COUNTIF(GO699, "*")+COUNTIF(GW699, "*")+COUNTIF(HE699, "*")+COUNTIF(HM699, "*")+COUNTIF(HU699, "*")</f>
        <v>2</v>
      </c>
      <c r="DH699" s="14">
        <f>DG699*0.6</f>
        <v>1.2</v>
      </c>
      <c r="DI699" s="4"/>
      <c r="DJ699" s="4"/>
      <c r="DK699" s="4"/>
      <c r="DL699" s="4"/>
      <c r="DN699" s="4"/>
      <c r="DO699" s="14">
        <f>SUM(DJ699:DN699)</f>
        <v>0</v>
      </c>
      <c r="DP699" s="14">
        <f ca="1">SUM(DD699,DF699,DO699, DI699, DH699,FP699)</f>
        <v>479.25759999999997</v>
      </c>
      <c r="DQ699" s="24" t="s">
        <v>3879</v>
      </c>
      <c r="DR699" s="130">
        <v>0.64</v>
      </c>
      <c r="DS699" s="14">
        <v>10000</v>
      </c>
      <c r="DT699" s="14">
        <v>26400</v>
      </c>
      <c r="DU699" s="14">
        <v>36400</v>
      </c>
      <c r="DV699" s="14">
        <v>25000</v>
      </c>
      <c r="DW699" s="14">
        <v>46400</v>
      </c>
      <c r="DX699" s="14">
        <f>SUM(DV699+DW699)</f>
        <v>71400</v>
      </c>
      <c r="IA699" s="9"/>
      <c r="IL699" s="14">
        <f ca="1">SUM(IB699-DP699-FP699-IJ699)</f>
        <v>-479.25759999999997</v>
      </c>
      <c r="IM699" s="9"/>
      <c r="IN699" s="9"/>
      <c r="IO699" s="9"/>
      <c r="IP699" s="9"/>
      <c r="IQ699" s="9"/>
    </row>
    <row r="700" spans="1:263" ht="15" customHeight="1">
      <c r="A700" s="2">
        <v>102018039</v>
      </c>
      <c r="B700" s="4" t="s">
        <v>1160</v>
      </c>
      <c r="G700">
        <v>180001168</v>
      </c>
      <c r="J700" t="s">
        <v>311</v>
      </c>
      <c r="K700" t="s">
        <v>254</v>
      </c>
      <c r="L700" t="s">
        <v>692</v>
      </c>
      <c r="M700" t="s">
        <v>650</v>
      </c>
      <c r="O700" s="1"/>
      <c r="T700" s="1"/>
      <c r="AJ700" s="4"/>
      <c r="AK700" s="4"/>
      <c r="AO700" s="4"/>
      <c r="AP700" s="5"/>
      <c r="AQ700" s="34"/>
      <c r="AS700" s="1"/>
      <c r="AT700" s="1"/>
      <c r="AU700" s="29"/>
      <c r="AV700" s="1"/>
      <c r="AW700" s="1"/>
      <c r="AX700" s="1"/>
      <c r="AY700" s="1"/>
      <c r="AZ700" s="1"/>
      <c r="BA700" s="1"/>
      <c r="BB700" s="1"/>
      <c r="BC700" s="1"/>
      <c r="BD700" s="1"/>
      <c r="BE700" s="5"/>
      <c r="BF700" s="16"/>
      <c r="BG700" s="16"/>
      <c r="BI700" s="4"/>
      <c r="BJ700" s="4"/>
      <c r="BK700" s="6"/>
      <c r="BL700" s="7"/>
      <c r="BM700" s="4"/>
      <c r="BO700" s="4"/>
      <c r="BP700" s="4"/>
      <c r="BQ700" s="6"/>
      <c r="BR700" s="7"/>
      <c r="BS700" s="4"/>
      <c r="BT700" s="4"/>
      <c r="BU700" s="4"/>
      <c r="BV700" s="4"/>
      <c r="BW700" s="6"/>
      <c r="BX700" s="7"/>
      <c r="BY700" s="4"/>
      <c r="BZ700" s="6"/>
      <c r="CA700" s="4"/>
      <c r="CB700" s="4"/>
      <c r="CC700" s="6"/>
      <c r="CD700" s="7"/>
      <c r="CE700" s="4"/>
      <c r="CF700" s="6"/>
      <c r="CG700" s="4"/>
      <c r="CH700" s="4"/>
      <c r="CI700" s="6"/>
      <c r="CJ700" s="7"/>
      <c r="CK700" s="4"/>
      <c r="CL700" s="4"/>
      <c r="CM700" s="4"/>
      <c r="CN700" s="4"/>
      <c r="CO700" s="6"/>
      <c r="CP700" s="7"/>
      <c r="CQ700" s="4"/>
      <c r="CR700" s="4"/>
      <c r="CS700" s="4"/>
      <c r="CT700" s="4"/>
      <c r="CU700" s="6"/>
      <c r="CV700" s="7"/>
      <c r="CW700" s="4"/>
      <c r="CX700" s="4"/>
      <c r="CY700" s="4"/>
      <c r="CZ700" s="4"/>
      <c r="DA700" s="6"/>
      <c r="DB700" s="7"/>
      <c r="DC700" s="4"/>
      <c r="DD700" s="4"/>
      <c r="DE700" s="4"/>
      <c r="DF700" s="4"/>
      <c r="DG700" s="6"/>
      <c r="DH700" s="7"/>
      <c r="DI700" s="4"/>
      <c r="DJ700" s="4"/>
      <c r="DK700" s="4"/>
      <c r="DL700" s="4"/>
      <c r="DM700" s="4"/>
      <c r="DO700" s="4"/>
      <c r="DP700" s="4"/>
      <c r="DQ700" s="4"/>
      <c r="DR700" s="7"/>
      <c r="DS700" s="4"/>
      <c r="DT700" s="4"/>
      <c r="DU700" s="4"/>
      <c r="DV700" s="4"/>
      <c r="DW700" s="4"/>
      <c r="DX700" s="4"/>
      <c r="DY700" s="7"/>
      <c r="DZ700" s="4"/>
      <c r="EA700" s="4"/>
      <c r="EB700" s="4"/>
      <c r="EC700" s="4"/>
      <c r="ED700" s="11"/>
      <c r="EM700" s="11"/>
      <c r="ES700" s="11"/>
      <c r="ET700" s="4"/>
      <c r="EU700" s="4"/>
      <c r="EV700" s="4"/>
      <c r="EW700" s="4"/>
      <c r="EX700" s="4"/>
      <c r="EY700" s="4"/>
      <c r="EZ700" s="4"/>
      <c r="FA700" s="4"/>
      <c r="FB700" s="4"/>
      <c r="FC700" s="4"/>
      <c r="FD700" s="4"/>
      <c r="FE700" s="4"/>
      <c r="FF700" s="4"/>
      <c r="FG700" s="4"/>
      <c r="FM700" s="9"/>
      <c r="GC700" s="10"/>
      <c r="GM700" s="10"/>
      <c r="HB700" s="9"/>
    </row>
    <row r="701" spans="1:263" ht="15" customHeight="1">
      <c r="A701" s="2">
        <v>102024020</v>
      </c>
      <c r="B701" t="s">
        <v>1160</v>
      </c>
      <c r="D701" s="1"/>
      <c r="E701" s="3"/>
      <c r="G701" s="3"/>
      <c r="J701" t="s">
        <v>311</v>
      </c>
      <c r="K701" t="s">
        <v>254</v>
      </c>
      <c r="L701" t="s">
        <v>692</v>
      </c>
      <c r="M701" t="s">
        <v>650</v>
      </c>
      <c r="O701" s="3"/>
      <c r="AG701" s="43"/>
      <c r="AK701" s="1"/>
      <c r="AM701"/>
      <c r="AN701"/>
      <c r="AO701" t="s">
        <v>5133</v>
      </c>
      <c r="AP701" s="1" t="s">
        <v>258</v>
      </c>
      <c r="AQ701" t="s">
        <v>344</v>
      </c>
      <c r="AR701" t="s">
        <v>260</v>
      </c>
      <c r="AX701" s="1"/>
      <c r="AY701" s="1"/>
      <c r="AZ701" s="1"/>
      <c r="BA701" s="1"/>
      <c r="BB701" s="1"/>
      <c r="BC701" s="2"/>
      <c r="BD701" s="115">
        <v>45382</v>
      </c>
      <c r="BE701" s="115"/>
      <c r="BF701" s="2"/>
      <c r="BG701" s="2"/>
      <c r="BH701" s="2"/>
      <c r="BI701" s="2"/>
      <c r="BJ701" s="2"/>
      <c r="BK701" s="2"/>
      <c r="BL701" s="20">
        <f ca="1">SUM(EB701)+220</f>
        <v>2315.7711999999997</v>
      </c>
      <c r="BM701" s="22">
        <f ca="1">PMT(10%/12,12,BL701,0,0)</f>
        <v>-203.59307966970397</v>
      </c>
      <c r="BN701" s="22">
        <f ca="1">SUM(BM701*-1)</f>
        <v>203.59307966970397</v>
      </c>
      <c r="BO701" s="14">
        <f>SUM(EJ701*0.0052)/12</f>
        <v>55.25</v>
      </c>
      <c r="BP701" s="22">
        <f ca="1">SUM(BN701+BO701)</f>
        <v>258.84307966970397</v>
      </c>
      <c r="BQ701" s="14"/>
      <c r="BR701" s="14">
        <f>SUM(BQ701*0.1)</f>
        <v>0</v>
      </c>
      <c r="BS701" s="14">
        <f ca="1">SUM(BT701*BU701)</f>
        <v>0</v>
      </c>
      <c r="BT701" s="17">
        <f>SUM((BQ701+BR701)*0.00833333333333333)</f>
        <v>0</v>
      </c>
      <c r="BU701" s="23">
        <f ca="1">MONTH(TODAY())+61</f>
        <v>65</v>
      </c>
      <c r="BV701" s="14">
        <f ca="1">SUM(BQ701,BR701,BS701)</f>
        <v>0</v>
      </c>
      <c r="BW701" s="14"/>
      <c r="BX701" s="14">
        <f>SUM(BW701*0.1)</f>
        <v>0</v>
      </c>
      <c r="BY701" s="14">
        <f ca="1">SUM(BZ701*CA701)</f>
        <v>0</v>
      </c>
      <c r="BZ701" s="17">
        <f>SUM((BW701+BX701)*0.00833333333333333)</f>
        <v>0</v>
      </c>
      <c r="CA701" s="23">
        <f ca="1">MONTH(TODAY())+49</f>
        <v>53</v>
      </c>
      <c r="CB701" s="14">
        <f ca="1">SUM(BW701,BX701,BY701)</f>
        <v>0</v>
      </c>
      <c r="CC701" s="14">
        <v>0</v>
      </c>
      <c r="CD701" s="14">
        <f>SUM(CC701*0.1)</f>
        <v>0</v>
      </c>
      <c r="CE701" s="14">
        <f ca="1">SUM(CF701*CG701)</f>
        <v>0</v>
      </c>
      <c r="CF701" s="17">
        <f>SUM((CC701+CD701)*0.00833333333333333)</f>
        <v>0</v>
      </c>
      <c r="CG701" s="23">
        <f ca="1">MONTH(TODAY())+37</f>
        <v>41</v>
      </c>
      <c r="CH701" s="14">
        <f ca="1">SUM(CC701,CD701,CE701)</f>
        <v>0</v>
      </c>
      <c r="CI701" s="14">
        <f>SUM(EG701*0.0052)</f>
        <v>509.08</v>
      </c>
      <c r="CJ701" s="14">
        <f>SUM(CI701*0.1)</f>
        <v>50.908000000000001</v>
      </c>
      <c r="CK701" s="14">
        <f ca="1">SUM(CL701*CM701)</f>
        <v>135.33043333333327</v>
      </c>
      <c r="CL701" s="17">
        <f>SUM((CI701+CJ701)*0.00833333333333333)</f>
        <v>4.6665666666666645</v>
      </c>
      <c r="CM701" s="23">
        <f ca="1">MONTH(TODAY())+25</f>
        <v>29</v>
      </c>
      <c r="CN701" s="14">
        <f ca="1">SUM(CI701,CJ701,CK701)</f>
        <v>695.31843333333325</v>
      </c>
      <c r="CO701" s="14">
        <f>SUM(EG701*0.0052)/2</f>
        <v>254.54</v>
      </c>
      <c r="CP701" s="14">
        <f>SUM(CO701*0.1)</f>
        <v>25.454000000000001</v>
      </c>
      <c r="CQ701" s="14">
        <f ca="1">SUM(CR701*CS701)</f>
        <v>48.998949999999979</v>
      </c>
      <c r="CR701" s="17">
        <f>SUM((CO701+CP701)*0.00833333333333333)</f>
        <v>2.3332833333333323</v>
      </c>
      <c r="CS701" s="23">
        <f ca="1">MONTH(TODAY())+17</f>
        <v>21</v>
      </c>
      <c r="CT701" s="23">
        <f ca="1">SUM(CO701,CP701,CQ701)</f>
        <v>328.99294999999995</v>
      </c>
      <c r="CU701" s="14">
        <f>SUM(EG701*0.0052)/2</f>
        <v>254.54</v>
      </c>
      <c r="CV701" s="14">
        <f>SUM(CU701*0.1)</f>
        <v>25.454000000000001</v>
      </c>
      <c r="CW701" s="14">
        <f ca="1">SUM(CX701*CY701)</f>
        <v>39.66581666666665</v>
      </c>
      <c r="CX701" s="17">
        <f>SUM((CU701+CV701)*0.00833333333333333)</f>
        <v>2.3332833333333323</v>
      </c>
      <c r="CY701" s="23">
        <f ca="1">MONTH(TODAY())+13</f>
        <v>17</v>
      </c>
      <c r="CZ701" s="23">
        <f ca="1">SUM(CU701,CV701,CW701)</f>
        <v>319.65981666666664</v>
      </c>
      <c r="DA701" s="14">
        <f>SUM(EJ701*0.0045)/2</f>
        <v>286.875</v>
      </c>
      <c r="DB701" s="14">
        <f>SUM(DA701*0.1)</f>
        <v>28.6875</v>
      </c>
      <c r="DC701" s="14">
        <f ca="1">SUM(DD701*DE701)</f>
        <v>28.926562499999989</v>
      </c>
      <c r="DD701" s="17">
        <f>SUM((DA701+DB701)*0.00833333333333333)</f>
        <v>2.6296874999999988</v>
      </c>
      <c r="DE701" s="23">
        <f ca="1">MONTH(TODAY())+7</f>
        <v>11</v>
      </c>
      <c r="DF701" s="23">
        <f ca="1">SUM(DA701,DB701,DC701)</f>
        <v>344.48906249999999</v>
      </c>
      <c r="DG701" s="14">
        <f>SUM(EJ701*0.0045)/2</f>
        <v>286.875</v>
      </c>
      <c r="DH701" s="14">
        <f>SUM(DG701*0.1)</f>
        <v>28.6875</v>
      </c>
      <c r="DI701" s="14">
        <f ca="1">SUM(DJ701*DK701)</f>
        <v>13.148437499999995</v>
      </c>
      <c r="DJ701" s="17">
        <f>SUM((DG701+DH701)*0.00833333333333333)</f>
        <v>2.6296874999999988</v>
      </c>
      <c r="DK701" s="23">
        <f ca="1">MONTH(TODAY())+1</f>
        <v>5</v>
      </c>
      <c r="DL701" s="14">
        <f ca="1">SUM(DG701,DH701,DI701)</f>
        <v>328.7109375</v>
      </c>
      <c r="DM701" s="14">
        <f>SUM( BQ701, BW701, CC701, CI701, CO701,CU701,DA701,DG701)</f>
        <v>1591.9099999999999</v>
      </c>
      <c r="DN701" s="14">
        <f>SUM(BR701,BX701,CD701,CJ701, CP701,CV701,DB701,DH701)</f>
        <v>159.191</v>
      </c>
      <c r="DO701" s="14">
        <f ca="1">SUM(BS701,BY701,CE701,CK701, CQ701,CW701,DC701,DI701)</f>
        <v>266.07019999999989</v>
      </c>
      <c r="DP701" s="25">
        <f ca="1">SUM(DM701:DO701)</f>
        <v>2017.1711999999998</v>
      </c>
      <c r="DQ701" s="47">
        <f ca="1">SUM(DP701/EG701)</f>
        <v>2.0604404494382021E-2</v>
      </c>
      <c r="DR701" s="14">
        <f>40+10</f>
        <v>50</v>
      </c>
      <c r="DS701" s="32">
        <f>COUNTIF(AO701, "*")+COUNTIF(AJ701, "*")+COUNTIF(AA701, "*")+COUNTIF(EU701, "*")+COUNTIF(FA701, "*")+COUNTIF(FG701, "*")+COUNTIF(FK701, "*")+COUNTIF(FR701, "*")+COUNTIF(AT701, "*")+COUNTIF(GA701, "*")+COUNTIF(GL701, "*")+COUNTIF(GW701, "*")+COUNTIF(HE701, "*")+COUNTIF(HM701, "*")+COUNTIF(HU701, "*")</f>
        <v>1</v>
      </c>
      <c r="DT701" s="14">
        <f>DS701*0.64</f>
        <v>0.64</v>
      </c>
      <c r="DU701" s="4"/>
      <c r="DV701" s="4">
        <v>27.96</v>
      </c>
      <c r="DW701" s="4"/>
      <c r="DX701" s="4"/>
      <c r="DZ701" s="4"/>
      <c r="EA701" s="14">
        <f>SUM(DV701:DZ701)</f>
        <v>27.96</v>
      </c>
      <c r="EB701" s="14">
        <f ca="1">SUM(DP701,DR701,EA701, DU701, DT701,FX701)</f>
        <v>2095.7711999999997</v>
      </c>
      <c r="EC701" s="24" t="s">
        <v>4944</v>
      </c>
      <c r="ED701" s="130">
        <v>6.25</v>
      </c>
      <c r="EE701" s="14">
        <v>30400</v>
      </c>
      <c r="EF701" s="14">
        <v>67500</v>
      </c>
      <c r="EG701" s="14">
        <f>SUM(EE701+EF701)</f>
        <v>97900</v>
      </c>
      <c r="EH701" s="14">
        <v>33800</v>
      </c>
      <c r="EI701" s="14">
        <v>93700</v>
      </c>
      <c r="EJ701" s="14">
        <f>SUM(EH701+EI701)</f>
        <v>127500</v>
      </c>
      <c r="FX701" s="4"/>
      <c r="HY701" s="9"/>
      <c r="IJ701" s="4"/>
      <c r="IK701" s="4"/>
      <c r="IL701" s="4"/>
      <c r="IM701" s="9"/>
      <c r="IN701" s="9"/>
      <c r="IO701" s="9"/>
      <c r="IP701" s="9"/>
      <c r="IQ701" s="9"/>
    </row>
    <row r="702" spans="1:263" s="18" customFormat="1" ht="15" customHeight="1">
      <c r="A702" s="19">
        <v>102023048</v>
      </c>
      <c r="B702" s="18" t="s">
        <v>4237</v>
      </c>
      <c r="C702"/>
      <c r="D702" s="1"/>
      <c r="E702" s="3"/>
      <c r="F702" s="3"/>
      <c r="G702"/>
      <c r="H702"/>
      <c r="I702"/>
      <c r="J702" s="18" t="s">
        <v>554</v>
      </c>
      <c r="K702" s="18" t="s">
        <v>4232</v>
      </c>
      <c r="L702" s="130" t="s">
        <v>4236</v>
      </c>
      <c r="M702" s="130" t="s">
        <v>850</v>
      </c>
      <c r="O702" s="252"/>
      <c r="P702" s="130" t="s">
        <v>4232</v>
      </c>
      <c r="Q702" s="130" t="s">
        <v>4235</v>
      </c>
      <c r="R702" s="130" t="s">
        <v>403</v>
      </c>
      <c r="S702" s="130"/>
      <c r="T702"/>
      <c r="U702"/>
      <c r="V702"/>
      <c r="W702"/>
      <c r="X702"/>
      <c r="Y702"/>
      <c r="Z702"/>
      <c r="AA702"/>
      <c r="AB702"/>
      <c r="AC702"/>
      <c r="AD702"/>
      <c r="AE702"/>
      <c r="AF702"/>
      <c r="AG702" s="43"/>
      <c r="AH702"/>
      <c r="AI702"/>
      <c r="AJ702" s="18" t="s">
        <v>4234</v>
      </c>
      <c r="AK702" s="18" t="s">
        <v>258</v>
      </c>
      <c r="AL702" s="18" t="s">
        <v>344</v>
      </c>
      <c r="AM702" s="18" t="s">
        <v>260</v>
      </c>
      <c r="AO702" s="18" t="s">
        <v>4233</v>
      </c>
      <c r="AP702" s="18" t="s">
        <v>258</v>
      </c>
      <c r="AQ702" s="18" t="s">
        <v>344</v>
      </c>
      <c r="AR702" s="18" t="s">
        <v>260</v>
      </c>
      <c r="AS702"/>
      <c r="AT702"/>
      <c r="AU702"/>
      <c r="AV702"/>
      <c r="AW702"/>
      <c r="AX702" s="1"/>
      <c r="AY702" s="1"/>
      <c r="AZ702" s="1"/>
      <c r="BA702" s="1"/>
      <c r="BB702" s="1"/>
      <c r="BC702" s="2"/>
      <c r="BD702" s="115"/>
      <c r="BE702" s="115"/>
      <c r="BF702" s="2"/>
      <c r="BG702" s="2"/>
      <c r="BH702" s="2"/>
      <c r="BI702" s="2"/>
      <c r="BJ702" s="2"/>
      <c r="BK702" s="2"/>
      <c r="BL702" s="20">
        <f ca="1">SUM(DP702)+220</f>
        <v>353.19759999999997</v>
      </c>
      <c r="BM702" s="22">
        <f ca="1">PMT(10%/12,12,BL702,0,0)</f>
        <v>-31.051680371510034</v>
      </c>
      <c r="BN702" s="22">
        <f ca="1">SUM(BM702*-1)</f>
        <v>31.051680371510034</v>
      </c>
      <c r="BO702" s="14">
        <f>SUM(DX702*0.0052)/12</f>
        <v>4.376666666666666</v>
      </c>
      <c r="BP702" s="22">
        <f ca="1">SUM(BN702+BO702)</f>
        <v>35.428347038176703</v>
      </c>
      <c r="BQ702" s="14"/>
      <c r="BR702" s="14">
        <f>SUM(BQ702*0.1)</f>
        <v>0</v>
      </c>
      <c r="BS702" s="14">
        <f ca="1">SUM(BT702*BU702)</f>
        <v>0</v>
      </c>
      <c r="BT702" s="17">
        <f>SUM((BQ702+BR702)*0.00833333333333333)</f>
        <v>0</v>
      </c>
      <c r="BU702" s="23">
        <f ca="1">MONTH(TODAY())+49</f>
        <v>53</v>
      </c>
      <c r="BV702" s="14">
        <f ca="1">SUM(BQ702,BR702,BS702)</f>
        <v>0</v>
      </c>
      <c r="BW702" s="14"/>
      <c r="BX702" s="14">
        <f>SUM(BW702*0.1)</f>
        <v>0</v>
      </c>
      <c r="BY702" s="14">
        <f ca="1">SUM(BZ702*CA702)</f>
        <v>0</v>
      </c>
      <c r="BZ702" s="17">
        <f>SUM((BW702+BX702)*0.00833333333333333)</f>
        <v>0</v>
      </c>
      <c r="CA702" s="23">
        <f ca="1">MONTH(TODAY())+37</f>
        <v>41</v>
      </c>
      <c r="CB702" s="14">
        <f ca="1">SUM(BW702,BX702,BY702)</f>
        <v>0</v>
      </c>
      <c r="CC702" s="14">
        <v>0</v>
      </c>
      <c r="CD702" s="14">
        <f>SUM(CC702*0.1)</f>
        <v>0</v>
      </c>
      <c r="CE702" s="14">
        <f ca="1">SUM(CF702*CG702)</f>
        <v>0</v>
      </c>
      <c r="CF702" s="17">
        <f>SUM((CC702+CD702)*0.00833333333333333)</f>
        <v>0</v>
      </c>
      <c r="CG702" s="23">
        <f ca="1">MONTH(TODAY())+25</f>
        <v>29</v>
      </c>
      <c r="CH702" s="14">
        <f ca="1">SUM(CC702,CD702,CE702)</f>
        <v>0</v>
      </c>
      <c r="CI702" s="14">
        <f>SUM(DU702*0.0052)</f>
        <v>46.28</v>
      </c>
      <c r="CJ702" s="14">
        <f>SUM(CI702*0.1)</f>
        <v>4.6280000000000001</v>
      </c>
      <c r="CK702" s="14">
        <f ca="1">SUM(CL702*CM702)</f>
        <v>7.2119666666666644</v>
      </c>
      <c r="CL702" s="17">
        <f>SUM((CI702+CJ702)*0.00833333333333333)</f>
        <v>0.42423333333333318</v>
      </c>
      <c r="CM702" s="23">
        <f ca="1">MONTH(TODAY())+13</f>
        <v>17</v>
      </c>
      <c r="CN702" s="14">
        <f ca="1">SUM(CI702,CJ702,CK702)</f>
        <v>58.119966666666663</v>
      </c>
      <c r="CO702" s="14">
        <f>SUM(DU702*0.0052)/2</f>
        <v>23.14</v>
      </c>
      <c r="CP702" s="14">
        <f>SUM(CO702*0.1)</f>
        <v>2.3140000000000001</v>
      </c>
      <c r="CQ702" s="14">
        <f ca="1">SUM(CR702*CS702)</f>
        <v>1.9090499999999992</v>
      </c>
      <c r="CR702" s="17">
        <f>SUM((CO702+CP702)*0.00833333333333333)</f>
        <v>0.21211666666666659</v>
      </c>
      <c r="CS702" s="23">
        <f ca="1">MONTH(TODAY())+5</f>
        <v>9</v>
      </c>
      <c r="CT702" s="23">
        <f ca="1">SUM(CO702,CP702,CQ702)</f>
        <v>27.363050000000001</v>
      </c>
      <c r="CU702" s="14">
        <f>SUM(DU702*0.0052)/2</f>
        <v>23.14</v>
      </c>
      <c r="CV702" s="14">
        <f>SUM(CU702*0.1)</f>
        <v>2.3140000000000001</v>
      </c>
      <c r="CW702" s="14">
        <f ca="1">SUM(CX702*CY702)</f>
        <v>1.060583333333333</v>
      </c>
      <c r="CX702" s="17">
        <f>SUM((CU702+CV702)*0.00833333333333333)</f>
        <v>0.21211666666666659</v>
      </c>
      <c r="CY702" s="23">
        <f ca="1">MONTH(TODAY())+1</f>
        <v>5</v>
      </c>
      <c r="CZ702" s="23">
        <f ca="1">SUM(CU702,CV702,CW702)</f>
        <v>26.514583333333334</v>
      </c>
      <c r="DA702" s="14">
        <f>SUM( BQ702, BW702, CC702, CI702, CO702,CU702)</f>
        <v>92.56</v>
      </c>
      <c r="DB702" s="14">
        <f>SUM(BR702,BX702,CD702,CJ702, CP702,CV702)</f>
        <v>9.2560000000000002</v>
      </c>
      <c r="DC702" s="14">
        <f ca="1">SUM(BS702,BY702,CE702,CK702, CQ702,CW702)</f>
        <v>10.181599999999998</v>
      </c>
      <c r="DD702" s="25">
        <f ca="1">SUM(DA702:DC702)</f>
        <v>111.99760000000001</v>
      </c>
      <c r="DE702" s="47">
        <f ca="1">SUM(DD702/DU702)</f>
        <v>1.2584000000000001E-2</v>
      </c>
      <c r="DF702" s="14">
        <v>20</v>
      </c>
      <c r="DG702" s="32">
        <f>COUNTIF(DL702, "*")+COUNTIF(AO702, "*")+COUNTIF(AJ702, "*")+COUNTIF(AA702, "*")+COUNTIF(EM702, "*")+COUNTIF(ES702, "*")+COUNTIF(EY702, "*")+COUNTIF(FC702, "*")+COUNTIF(FJ702, "*")+COUNTIF(AT702, "*")+COUNTIF(FS702, "*")+COUNTIF(GD702, "*")+COUNTIF(GO702, "*")+COUNTIF(GW702, "*")+COUNTIF(HE702, "*")+COUNTIF(HM702, "*")+COUNTIF(HU702, "*")</f>
        <v>2</v>
      </c>
      <c r="DH702" s="14">
        <f>DG702*0.6</f>
        <v>1.2</v>
      </c>
      <c r="DI702" s="4"/>
      <c r="DJ702" s="4"/>
      <c r="DK702" s="4"/>
      <c r="DL702" s="4"/>
      <c r="DM702"/>
      <c r="DN702" s="4"/>
      <c r="DO702" s="14">
        <f>SUM(DJ702:DN702)</f>
        <v>0</v>
      </c>
      <c r="DP702" s="14">
        <f ca="1">SUM(DD702,DF702,DO702, DI702, DH702,FP702)</f>
        <v>133.19759999999999</v>
      </c>
      <c r="DQ702" s="24" t="s">
        <v>3879</v>
      </c>
      <c r="DR702" s="130">
        <v>1.1200000000000001</v>
      </c>
      <c r="DS702" s="14">
        <v>8900</v>
      </c>
      <c r="DT702" s="14">
        <v>0</v>
      </c>
      <c r="DU702" s="14">
        <v>8900</v>
      </c>
      <c r="DV702" s="14">
        <v>10100</v>
      </c>
      <c r="DW702" s="14">
        <v>0</v>
      </c>
      <c r="DX702" s="14">
        <f>SUM(DV702+DW702)</f>
        <v>10100</v>
      </c>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s="9"/>
      <c r="FH702"/>
      <c r="FI702"/>
      <c r="FJ702"/>
      <c r="FK702"/>
      <c r="FL702"/>
      <c r="FM702"/>
      <c r="FN702" s="9"/>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s="9"/>
      <c r="IB702"/>
      <c r="IC702"/>
      <c r="ID702"/>
      <c r="IE702"/>
      <c r="IF702"/>
      <c r="IG702"/>
      <c r="IH702"/>
      <c r="II702"/>
      <c r="IJ702"/>
      <c r="IK702"/>
      <c r="IL702" s="14">
        <f ca="1">SUM(IB702-DP702-FP702-IJ702)</f>
        <v>-133.19759999999999</v>
      </c>
      <c r="IM702" s="9"/>
      <c r="IN702" s="9"/>
      <c r="IO702" s="9"/>
      <c r="IP702" s="9"/>
      <c r="IQ702" s="9"/>
      <c r="IR702"/>
      <c r="IS702"/>
      <c r="IT702"/>
      <c r="IU702"/>
      <c r="IV702"/>
      <c r="IW702"/>
      <c r="IX702"/>
      <c r="IY702"/>
      <c r="IZ702"/>
      <c r="JA702"/>
      <c r="JB702"/>
      <c r="JC702"/>
    </row>
    <row r="703" spans="1:263" ht="15" customHeight="1">
      <c r="A703" s="19">
        <v>102021103</v>
      </c>
      <c r="B703" t="s">
        <v>2658</v>
      </c>
      <c r="D703" s="1"/>
      <c r="J703" t="s">
        <v>554</v>
      </c>
      <c r="K703" t="s">
        <v>2659</v>
      </c>
      <c r="L703" t="s">
        <v>1236</v>
      </c>
      <c r="M703" t="s">
        <v>1584</v>
      </c>
      <c r="P703" t="s">
        <v>2659</v>
      </c>
      <c r="Q703" t="s">
        <v>2660</v>
      </c>
      <c r="R703" t="s">
        <v>326</v>
      </c>
      <c r="AG703" s="248"/>
      <c r="AJ703" t="s">
        <v>2661</v>
      </c>
      <c r="AK703" t="s">
        <v>258</v>
      </c>
      <c r="AL703" s="4" t="s">
        <v>344</v>
      </c>
      <c r="AO703" t="s">
        <v>2662</v>
      </c>
      <c r="AQ703" s="3" t="s">
        <v>344</v>
      </c>
      <c r="AS703" s="1"/>
      <c r="AT703" s="1"/>
      <c r="AU703" s="1"/>
      <c r="AV703" s="1"/>
      <c r="AW703" s="1"/>
      <c r="AX703" s="2"/>
      <c r="AY703" s="2"/>
      <c r="AZ703" s="70"/>
      <c r="BA703" s="2"/>
      <c r="BB703" s="2"/>
      <c r="BC703" s="2"/>
      <c r="BD703" s="2"/>
      <c r="BE703" s="2"/>
      <c r="BF703" s="2"/>
      <c r="BG703" s="20"/>
      <c r="BH703" s="22"/>
      <c r="BI703" s="22"/>
      <c r="BJ703" s="14"/>
      <c r="BK703" s="22"/>
      <c r="BL703" s="14"/>
      <c r="BM703" s="14"/>
      <c r="BN703" s="14"/>
      <c r="BO703" s="17"/>
      <c r="BP703" s="23"/>
      <c r="BQ703" s="14"/>
      <c r="BR703" s="14"/>
      <c r="BS703" s="14"/>
      <c r="BT703" s="14"/>
      <c r="BU703" s="17"/>
      <c r="BV703" s="23"/>
      <c r="BW703" s="14"/>
      <c r="BX703" s="14"/>
      <c r="BY703" s="14"/>
      <c r="BZ703" s="14"/>
      <c r="CA703" s="17"/>
      <c r="CB703" s="23"/>
      <c r="CC703" s="14"/>
      <c r="CD703" s="14"/>
      <c r="CE703" s="14"/>
      <c r="CF703" s="14"/>
      <c r="CG703" s="17"/>
      <c r="CH703" s="23"/>
      <c r="CI703" s="14"/>
      <c r="CJ703" s="14"/>
      <c r="CK703" s="14"/>
      <c r="CL703" s="14"/>
      <c r="CM703" s="17"/>
      <c r="CN703" s="23"/>
      <c r="CO703" s="14"/>
      <c r="CP703" s="14"/>
      <c r="CQ703" s="14"/>
      <c r="CR703" s="14"/>
      <c r="CS703" s="17"/>
      <c r="CT703" s="23"/>
      <c r="CU703" s="14"/>
      <c r="CV703" s="14"/>
      <c r="DA703" s="14"/>
      <c r="DB703" s="14"/>
      <c r="DC703" s="14"/>
      <c r="DD703" s="14"/>
      <c r="DE703" s="14"/>
      <c r="DF703" s="47"/>
      <c r="DG703" s="14"/>
      <c r="DH703" s="32"/>
      <c r="DI703" s="14"/>
      <c r="DK703" s="14">
        <f>SUM(DE703,DG703,DQ703, DJ703, DI703,FS703)</f>
        <v>0</v>
      </c>
      <c r="DQ703" s="14">
        <f>SUM(DL703:DP703)</f>
        <v>0</v>
      </c>
      <c r="DR703" s="4" t="s">
        <v>1944</v>
      </c>
      <c r="DS703" s="4">
        <v>5800</v>
      </c>
      <c r="DT703" s="4">
        <v>6900</v>
      </c>
      <c r="DU703" s="25">
        <f>SUM(DS703+DT703)</f>
        <v>12700</v>
      </c>
      <c r="DV703" s="35">
        <v>0.48</v>
      </c>
      <c r="IZ703" s="243"/>
      <c r="JA703" s="243"/>
      <c r="JB703" s="243"/>
      <c r="JC703" s="243"/>
    </row>
    <row r="704" spans="1:263" ht="15" customHeight="1">
      <c r="A704" s="19">
        <v>102019083</v>
      </c>
      <c r="B704" s="14" t="s">
        <v>739</v>
      </c>
      <c r="C704" s="13"/>
      <c r="D704" s="13"/>
      <c r="E704" s="24" t="s">
        <v>1895</v>
      </c>
      <c r="F704" s="24"/>
      <c r="G704" s="24">
        <v>190005886</v>
      </c>
      <c r="H704" s="18"/>
      <c r="I704" s="18"/>
      <c r="J704" s="18" t="s">
        <v>311</v>
      </c>
      <c r="K704" s="18" t="s">
        <v>740</v>
      </c>
      <c r="L704" s="18" t="s">
        <v>741</v>
      </c>
      <c r="M704" s="18" t="s">
        <v>256</v>
      </c>
      <c r="N704" s="18"/>
      <c r="O704" s="24"/>
      <c r="P704" s="18"/>
      <c r="Q704" s="18"/>
      <c r="R704" s="18"/>
      <c r="S704" s="18"/>
      <c r="T704" s="13"/>
      <c r="U704" s="18"/>
      <c r="V704" s="18"/>
      <c r="W704" s="18"/>
      <c r="X704" s="18"/>
      <c r="Y704" s="18"/>
      <c r="Z704" s="18"/>
      <c r="AA704" s="18"/>
      <c r="AB704" s="18"/>
      <c r="AC704" s="18"/>
      <c r="AD704" s="18" t="s">
        <v>1894</v>
      </c>
      <c r="AE704" s="18" t="s">
        <v>311</v>
      </c>
      <c r="AF704" s="18" t="s">
        <v>740</v>
      </c>
      <c r="AG704" s="26" t="s">
        <v>742</v>
      </c>
      <c r="AH704" s="14" t="s">
        <v>743</v>
      </c>
      <c r="AI704" s="18" t="s">
        <v>344</v>
      </c>
      <c r="AJ704" s="14" t="s">
        <v>743</v>
      </c>
      <c r="AK704" s="14" t="s">
        <v>258</v>
      </c>
      <c r="AL704" s="18" t="s">
        <v>344</v>
      </c>
      <c r="AM704" s="18" t="s">
        <v>260</v>
      </c>
      <c r="AN704" s="18"/>
      <c r="AO704" s="18"/>
      <c r="AP704" s="24"/>
      <c r="AQ704" s="18"/>
      <c r="AR704" s="18"/>
      <c r="AS704" s="18"/>
      <c r="AT704" s="18"/>
      <c r="AU704" s="18"/>
      <c r="AV704" s="18"/>
      <c r="AW704" s="18"/>
      <c r="AX704" s="20" t="s">
        <v>258</v>
      </c>
      <c r="AY704" s="20" t="s">
        <v>258</v>
      </c>
      <c r="AZ704" s="13"/>
      <c r="BA704" s="13"/>
      <c r="BB704" s="13"/>
      <c r="BC704" s="48">
        <v>43762</v>
      </c>
      <c r="BD704" s="114">
        <v>43730</v>
      </c>
      <c r="BE704" s="114">
        <v>43731</v>
      </c>
      <c r="BF704" s="19"/>
      <c r="BG704" s="19"/>
      <c r="BH704" s="19"/>
      <c r="BI704" s="19"/>
      <c r="BJ704" s="19"/>
      <c r="BK704" s="19"/>
      <c r="BL704" s="20">
        <f ca="1">SUM(EB704)+220</f>
        <v>4292.1282666666657</v>
      </c>
      <c r="BM704" s="22">
        <f ca="1">PMT(10%/12,12,BL704,0,0)</f>
        <v>-377.34626466900312</v>
      </c>
      <c r="BN704" s="22">
        <f ca="1">SUM(BM704*-1)</f>
        <v>377.34626466900312</v>
      </c>
      <c r="BO704" s="14">
        <f>SUM(EJ704*0.0052)/12</f>
        <v>82.679999999999993</v>
      </c>
      <c r="BP704" s="22">
        <f ca="1">SUM(BN704+BO704)</f>
        <v>460.02626466900313</v>
      </c>
      <c r="BQ704" s="14">
        <v>0</v>
      </c>
      <c r="BR704" s="14">
        <f>SUM(BQ704*0.1)</f>
        <v>0</v>
      </c>
      <c r="BS704" s="14">
        <f ca="1">SUM(BT704*BU704)</f>
        <v>0</v>
      </c>
      <c r="BT704" s="17">
        <f>SUM((BQ704+BR704)*0.00833333333333333)</f>
        <v>0</v>
      </c>
      <c r="BU704" s="23">
        <f ca="1">MONTH(TODAY())+49</f>
        <v>53</v>
      </c>
      <c r="BV704" s="14">
        <f ca="1">SUM(BQ704,BR704,BS704)</f>
        <v>0</v>
      </c>
      <c r="BW704" s="14">
        <v>0</v>
      </c>
      <c r="BX704" s="14">
        <f>SUM(BW704*0.1)</f>
        <v>0</v>
      </c>
      <c r="BY704" s="14">
        <f ca="1">SUM(BZ704*CA704)</f>
        <v>0</v>
      </c>
      <c r="BZ704" s="17">
        <f>SUM((BW704+BX704)*0.00833333333333333)</f>
        <v>0</v>
      </c>
      <c r="CA704" s="23">
        <f ca="1">MONTH(TODAY())+37</f>
        <v>41</v>
      </c>
      <c r="CB704" s="14">
        <f ca="1">SUM(BW704,BX704,BY704)</f>
        <v>0</v>
      </c>
      <c r="CC704" s="14">
        <v>27.2</v>
      </c>
      <c r="CD704" s="14">
        <f>SUM(CC704*0.1)</f>
        <v>2.72</v>
      </c>
      <c r="CE704" s="14">
        <f ca="1">SUM(CF704*CG704)</f>
        <v>7.2306666666666635</v>
      </c>
      <c r="CF704" s="17">
        <f>SUM((CC704+CD704)*0.00833333333333333)</f>
        <v>0.24933333333333321</v>
      </c>
      <c r="CG704" s="23">
        <f ca="1">MONTH(TODAY())+25</f>
        <v>29</v>
      </c>
      <c r="CH704" s="14">
        <f ca="1">SUM(CC704,CD704,CE704)</f>
        <v>37.150666666666659</v>
      </c>
      <c r="CI704" s="14">
        <f>SUM(EG704*0.0052)</f>
        <v>800.28</v>
      </c>
      <c r="CJ704" s="14">
        <f>SUM(CI704*0.1)</f>
        <v>80.028000000000006</v>
      </c>
      <c r="CK704" s="14">
        <f ca="1">SUM(CL704*CM704)</f>
        <v>124.71029999999995</v>
      </c>
      <c r="CL704" s="17">
        <f>SUM((CI704+CJ704)*0.00833333333333333)</f>
        <v>7.335899999999997</v>
      </c>
      <c r="CM704" s="23">
        <f ca="1">MONTH(TODAY())+13</f>
        <v>17</v>
      </c>
      <c r="CN704" s="14">
        <f ca="1">SUM(CI704,CJ704,CK704)</f>
        <v>1005.0183</v>
      </c>
      <c r="CO704" s="14">
        <f>SUM(EG704*0.0052)/2</f>
        <v>400.14</v>
      </c>
      <c r="CP704" s="14">
        <f>SUM(CO704*0.1)</f>
        <v>40.014000000000003</v>
      </c>
      <c r="CQ704" s="14">
        <f ca="1">SUM(CR704*CS704)</f>
        <v>33.011549999999986</v>
      </c>
      <c r="CR704" s="17">
        <f>SUM((CO704+CP704)*0.00833333333333333)</f>
        <v>3.6679499999999985</v>
      </c>
      <c r="CS704" s="23">
        <f ca="1">MONTH(TODAY())+5</f>
        <v>9</v>
      </c>
      <c r="CT704" s="23">
        <f ca="1">SUM(CO704,CP704,CQ704)</f>
        <v>473.16555</v>
      </c>
      <c r="CU704" s="14">
        <f>SUM(EG704*0.0052)/2</f>
        <v>400.14</v>
      </c>
      <c r="CV704" s="14">
        <f>SUM(CU704*0.1)</f>
        <v>40.014000000000003</v>
      </c>
      <c r="CW704" s="14">
        <f ca="1">SUM(CX704*CY704)</f>
        <v>18.339749999999992</v>
      </c>
      <c r="CX704" s="17">
        <f>SUM((CU704+CV704)*0.00833333333333333)</f>
        <v>3.6679499999999985</v>
      </c>
      <c r="CY704" s="23">
        <f ca="1">MONTH(TODAY())+1</f>
        <v>5</v>
      </c>
      <c r="CZ704" s="23">
        <f ca="1">SUM(CU704,CV704,CW704)</f>
        <v>458.49374999999998</v>
      </c>
      <c r="DA704" s="14">
        <f>SUM(EJ704*0.0045)/2</f>
        <v>429.29999999999995</v>
      </c>
      <c r="DB704" s="14">
        <v>0</v>
      </c>
      <c r="DC704" s="14">
        <v>0</v>
      </c>
      <c r="DD704" s="17">
        <f>SUM((DA704+DB704)*0.00833333333333333)</f>
        <v>3.5774999999999979</v>
      </c>
      <c r="DE704" s="23">
        <f ca="1">MONTH(TODAY())-5</f>
        <v>-1</v>
      </c>
      <c r="DF704" s="23">
        <f>SUM(DA704,DB704,DC704)</f>
        <v>429.29999999999995</v>
      </c>
      <c r="DG704" s="14">
        <v>0</v>
      </c>
      <c r="DH704" s="14">
        <v>0</v>
      </c>
      <c r="DI704" s="14">
        <v>0</v>
      </c>
      <c r="DJ704" s="17">
        <f>SUM((DG704+DH704)*0.00833333333333333)</f>
        <v>0</v>
      </c>
      <c r="DK704" s="23">
        <f ca="1">MONTH(TODAY())+1</f>
        <v>5</v>
      </c>
      <c r="DL704" s="23">
        <f>SUM(DG704,DH704,DI704)</f>
        <v>0</v>
      </c>
      <c r="DM704" s="14">
        <f>SUM( BQ704, BW704, CC704, CI704, CO704,CU704,DA704,DG704)</f>
        <v>2057.0599999999995</v>
      </c>
      <c r="DN704" s="14">
        <f t="shared" ref="DN704:DO706" si="267">SUM(BR704,BX704,CD704,CJ704, CP704,CV704,DB704,DH704)</f>
        <v>162.77600000000001</v>
      </c>
      <c r="DO704" s="14">
        <f t="shared" ca="1" si="267"/>
        <v>183.29226666666659</v>
      </c>
      <c r="DP704" s="25">
        <f ca="1">SUM(DM704:DO704)</f>
        <v>2403.1282666666657</v>
      </c>
      <c r="DQ704" s="47">
        <f ca="1">SUM(DP704/EG704)</f>
        <v>1.5614868529348055E-2</v>
      </c>
      <c r="DR704" s="14">
        <f>999+58.5+55.5+58.5+148+58.5+60</f>
        <v>1438</v>
      </c>
      <c r="DS704" s="32">
        <f>COUNTIF(DX704, "*")+COUNTIF(AO704, "*")+COUNTIF(AJ704, "*")+COUNTIF(AA704, "*")+COUNTIF(EY704, "*")+COUNTIF(FE704, "*")+COUNTIF(FK704, "*")+COUNTIF(FO704, "*")+COUNTIF(FV704, "*")+COUNTIF(AT704, "*")+COUNTIF(GE704, "*")+COUNTIF(GP704, "*")+COUNTIF(HA704, "*")+COUNTIF(HI704, "*")+COUNTIF(HQ704, "*")+COUNTIF(HY704, "*")+COUNTIF(IG704, "*")</f>
        <v>2</v>
      </c>
      <c r="DT704" s="14">
        <f>18.8+6.25+7.45</f>
        <v>32.5</v>
      </c>
      <c r="DU704" s="14">
        <v>150</v>
      </c>
      <c r="DV704" s="14">
        <v>48.5</v>
      </c>
      <c r="DW704" s="14"/>
      <c r="DX704" s="14"/>
      <c r="DY704" s="14"/>
      <c r="DZ704" s="25"/>
      <c r="EA704" s="14">
        <f>SUM(DV704:DZ704)</f>
        <v>48.5</v>
      </c>
      <c r="EB704" s="14">
        <f ca="1">SUM(DP704,DR704,EA704, DU704, DT704,GB704)</f>
        <v>4072.1282666666657</v>
      </c>
      <c r="EC704" s="24" t="s">
        <v>320</v>
      </c>
      <c r="ED704" s="23">
        <v>7.6</v>
      </c>
      <c r="EE704" s="14">
        <v>35100</v>
      </c>
      <c r="EF704" s="14">
        <v>118800</v>
      </c>
      <c r="EG704" s="14">
        <f>SUM(EE704+EF704)</f>
        <v>153900</v>
      </c>
      <c r="EH704" s="14">
        <v>37800</v>
      </c>
      <c r="EI704" s="14">
        <v>153000</v>
      </c>
      <c r="EJ704" s="14">
        <f>SUM(EH704+EI704)</f>
        <v>190800</v>
      </c>
      <c r="EK704" s="18" t="s">
        <v>744</v>
      </c>
      <c r="EL704" s="18" t="s">
        <v>745</v>
      </c>
      <c r="EM704" s="18" t="s">
        <v>746</v>
      </c>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27"/>
      <c r="FT704" s="18"/>
      <c r="FU704" s="18"/>
      <c r="FV704" s="18"/>
      <c r="FW704" s="18"/>
      <c r="FX704" s="18"/>
      <c r="FY704" s="18"/>
      <c r="FZ704" s="18"/>
      <c r="GA704" s="18"/>
      <c r="GB704" s="14"/>
      <c r="GC704" s="18"/>
      <c r="GD704" s="18" t="s">
        <v>747</v>
      </c>
      <c r="GE704" s="18" t="s">
        <v>748</v>
      </c>
      <c r="GF704" s="18"/>
      <c r="GG704" s="18" t="s">
        <v>749</v>
      </c>
      <c r="GH704" s="28" t="s">
        <v>750</v>
      </c>
      <c r="GI704" s="27">
        <v>43178</v>
      </c>
      <c r="GJ704" s="18" t="s">
        <v>751</v>
      </c>
      <c r="GK704" s="18"/>
      <c r="GL704" s="18"/>
      <c r="GM704" s="18"/>
      <c r="GN704" s="18"/>
      <c r="GO704" s="18"/>
      <c r="GP704" s="18"/>
      <c r="GQ704" s="28"/>
      <c r="GR704" s="18"/>
      <c r="GS704" s="18"/>
      <c r="GT704" s="18"/>
      <c r="GU704" s="18"/>
      <c r="GV704" s="18"/>
      <c r="GW704" s="18"/>
      <c r="GX704" s="18"/>
      <c r="GY704" s="18"/>
      <c r="GZ704" s="18"/>
      <c r="HA704" s="18"/>
      <c r="HB704" s="18"/>
      <c r="HC704" s="18"/>
      <c r="HD704" s="18"/>
      <c r="HE704" s="18"/>
      <c r="HF704" s="27"/>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27"/>
      <c r="IN704" s="14"/>
      <c r="IO704" s="14"/>
      <c r="IP704" s="27"/>
      <c r="IQ704" s="18"/>
      <c r="IR704" s="18"/>
      <c r="IS704" s="18"/>
      <c r="IT704" s="18"/>
      <c r="IU704" s="18"/>
      <c r="IV704" s="18"/>
      <c r="IW704" s="14"/>
      <c r="IX704" s="14">
        <f ca="1">SUM(IN704-EB704-GB704-IV704)</f>
        <v>-4072.1282666666657</v>
      </c>
      <c r="IY704" s="27"/>
      <c r="IZ704" s="27"/>
      <c r="JA704" s="27"/>
      <c r="JB704" s="27"/>
      <c r="JC704" s="27"/>
    </row>
    <row r="705" spans="1:274" ht="15" customHeight="1">
      <c r="A705" s="19">
        <v>102023076</v>
      </c>
      <c r="B705" s="18" t="s">
        <v>4154</v>
      </c>
      <c r="D705" s="1"/>
      <c r="E705" s="3"/>
      <c r="F705" s="3"/>
      <c r="G705" s="24" t="s">
        <v>4778</v>
      </c>
      <c r="J705" s="18" t="s">
        <v>554</v>
      </c>
      <c r="K705" s="18" t="s">
        <v>4153</v>
      </c>
      <c r="L705" s="18" t="s">
        <v>741</v>
      </c>
      <c r="M705" s="18" t="s">
        <v>650</v>
      </c>
      <c r="N705" s="18"/>
      <c r="O705" s="24"/>
      <c r="P705" s="18" t="s">
        <v>4153</v>
      </c>
      <c r="Q705" s="18" t="s">
        <v>4152</v>
      </c>
      <c r="R705" s="18" t="s">
        <v>650</v>
      </c>
      <c r="S705" s="18"/>
      <c r="AG705" s="43"/>
      <c r="AJ705" s="18" t="s">
        <v>4151</v>
      </c>
      <c r="AK705" s="18" t="s">
        <v>258</v>
      </c>
      <c r="AL705" s="18" t="s">
        <v>344</v>
      </c>
      <c r="AM705" s="18" t="s">
        <v>260</v>
      </c>
      <c r="AN705" s="18"/>
      <c r="AO705" s="18" t="s">
        <v>4150</v>
      </c>
      <c r="AP705" s="18" t="s">
        <v>258</v>
      </c>
      <c r="AQ705" s="18" t="s">
        <v>344</v>
      </c>
      <c r="AR705" s="18" t="s">
        <v>260</v>
      </c>
      <c r="AX705" s="1"/>
      <c r="AY705" s="1"/>
      <c r="AZ705" s="1"/>
      <c r="BA705" s="1"/>
      <c r="BB705" s="1"/>
      <c r="BC705" s="2"/>
      <c r="BD705" s="116"/>
      <c r="BE705" s="115"/>
      <c r="BF705" s="2"/>
      <c r="BG705" s="2"/>
      <c r="BH705" s="2"/>
      <c r="BI705" s="2"/>
      <c r="BJ705" s="2"/>
      <c r="BK705" s="2"/>
      <c r="BL705" s="20">
        <f ca="1">SUM(EB705)+220</f>
        <v>1018.8164</v>
      </c>
      <c r="BM705" s="22">
        <f ca="1">PMT(10%/12,12,BL705,0,0)</f>
        <v>-89.570147730484365</v>
      </c>
      <c r="BN705" s="22">
        <f ca="1">SUM(BM705*-1)</f>
        <v>89.570147730484365</v>
      </c>
      <c r="BO705" s="14">
        <f>SUM(EJ705*0.0052)/12</f>
        <v>29.553333333333331</v>
      </c>
      <c r="BP705" s="22">
        <f ca="1">SUM(BN705+BO705)</f>
        <v>119.12348106381769</v>
      </c>
      <c r="BQ705" s="14"/>
      <c r="BR705" s="14">
        <f>SUM(BQ705*0.1)</f>
        <v>0</v>
      </c>
      <c r="BS705" s="14">
        <f ca="1">SUM(BT705*BU705)</f>
        <v>0</v>
      </c>
      <c r="BT705" s="17">
        <f>SUM((BQ705+BR705)*0.00833333333333333)</f>
        <v>0</v>
      </c>
      <c r="BU705" s="23">
        <f ca="1">MONTH(TODAY())+49</f>
        <v>53</v>
      </c>
      <c r="BV705" s="14">
        <f ca="1">SUM(BQ705,BR705,BS705)</f>
        <v>0</v>
      </c>
      <c r="BW705" s="14"/>
      <c r="BX705" s="14">
        <f>SUM(BW705*0.1)</f>
        <v>0</v>
      </c>
      <c r="BY705" s="14">
        <f ca="1">SUM(BZ705*CA705)</f>
        <v>0</v>
      </c>
      <c r="BZ705" s="17">
        <f>SUM((BW705+BX705)*0.00833333333333333)</f>
        <v>0</v>
      </c>
      <c r="CA705" s="23">
        <f ca="1">MONTH(TODAY())+37</f>
        <v>41</v>
      </c>
      <c r="CB705" s="14">
        <f ca="1">SUM(BW705,BX705,BY705)</f>
        <v>0</v>
      </c>
      <c r="CC705" s="14">
        <v>0</v>
      </c>
      <c r="CD705" s="14">
        <f>SUM(CC705*0.1)</f>
        <v>0</v>
      </c>
      <c r="CE705" s="14">
        <f ca="1">SUM(CF705*CG705)</f>
        <v>0</v>
      </c>
      <c r="CF705" s="17">
        <f>SUM((CC705+CD705)*0.00833333333333333)</f>
        <v>0</v>
      </c>
      <c r="CG705" s="23">
        <f ca="1">MONTH(TODAY())+25</f>
        <v>29</v>
      </c>
      <c r="CH705" s="14">
        <f ca="1">SUM(CC705,CD705,CE705)</f>
        <v>0</v>
      </c>
      <c r="CI705" s="14">
        <f>SUM(EG705*0.0052)</f>
        <v>257.92</v>
      </c>
      <c r="CJ705" s="14">
        <f>SUM(CI705*0.1)</f>
        <v>25.792000000000002</v>
      </c>
      <c r="CK705" s="14">
        <f ca="1">SUM(CL705*CM705)</f>
        <v>40.192533333333316</v>
      </c>
      <c r="CL705" s="17">
        <f>SUM((CI705+CJ705)*0.00833333333333333)</f>
        <v>2.3642666666666656</v>
      </c>
      <c r="CM705" s="23">
        <f ca="1">MONTH(TODAY())+13</f>
        <v>17</v>
      </c>
      <c r="CN705" s="14">
        <f ca="1">SUM(CI705,CJ705,CK705)</f>
        <v>323.90453333333329</v>
      </c>
      <c r="CO705" s="14">
        <f>SUM(EG705*0.0052)/2</f>
        <v>128.96</v>
      </c>
      <c r="CP705" s="14">
        <f>SUM(CO705*0.1)</f>
        <v>12.896000000000001</v>
      </c>
      <c r="CQ705" s="14">
        <f ca="1">SUM(CR705*CS705)</f>
        <v>10.639199999999995</v>
      </c>
      <c r="CR705" s="17">
        <f>SUM((CO705+CP705)*0.00833333333333333)</f>
        <v>1.1821333333333328</v>
      </c>
      <c r="CS705" s="23">
        <f ca="1">MONTH(TODAY())+5</f>
        <v>9</v>
      </c>
      <c r="CT705" s="23">
        <f ca="1">SUM(CO705,CP705,CQ705)</f>
        <v>152.49519999999998</v>
      </c>
      <c r="CU705" s="14">
        <f>SUM(EG705*0.0052)/2</f>
        <v>128.96</v>
      </c>
      <c r="CV705" s="14">
        <f>SUM(CU705*0.1)</f>
        <v>12.896000000000001</v>
      </c>
      <c r="CW705" s="14">
        <f ca="1">SUM(CX705*CY705)</f>
        <v>5.9106666666666641</v>
      </c>
      <c r="CX705" s="17">
        <f>SUM((CU705+CV705)*0.00833333333333333)</f>
        <v>1.1821333333333328</v>
      </c>
      <c r="CY705" s="23">
        <f ca="1">MONTH(TODAY())+1</f>
        <v>5</v>
      </c>
      <c r="CZ705" s="23">
        <f ca="1">SUM(CU705,CV705,CW705)</f>
        <v>147.76666666666665</v>
      </c>
      <c r="DA705" s="14">
        <f>SUM(EJ705*0.0045)/2</f>
        <v>153.44999999999999</v>
      </c>
      <c r="DB705" s="14">
        <v>0</v>
      </c>
      <c r="DC705" s="14">
        <v>0</v>
      </c>
      <c r="DD705" s="17">
        <f>SUM((DA705+DB705)*0.00833333333333333)</f>
        <v>1.2787499999999994</v>
      </c>
      <c r="DE705" s="23">
        <f ca="1">MONTH(TODAY())-5</f>
        <v>-1</v>
      </c>
      <c r="DF705" s="23">
        <f>SUM(DA705,DB705,DC705)</f>
        <v>153.44999999999999</v>
      </c>
      <c r="DG705" s="14">
        <v>0</v>
      </c>
      <c r="DH705" s="14">
        <v>0</v>
      </c>
      <c r="DI705" s="14">
        <v>0</v>
      </c>
      <c r="DJ705" s="17">
        <f>SUM((DG705+DH705)*0.00833333333333333)</f>
        <v>0</v>
      </c>
      <c r="DK705" s="23">
        <f ca="1">MONTH(TODAY())+1</f>
        <v>5</v>
      </c>
      <c r="DL705" s="23">
        <f>SUM(DG705,DH705,DI705)</f>
        <v>0</v>
      </c>
      <c r="DM705" s="14">
        <f>SUM( BQ705, BW705, CC705, CI705, CO705,CU705,DA705,DG705)</f>
        <v>669.29</v>
      </c>
      <c r="DN705" s="14">
        <f t="shared" si="267"/>
        <v>51.584000000000003</v>
      </c>
      <c r="DO705" s="14">
        <f t="shared" ca="1" si="267"/>
        <v>56.742399999999975</v>
      </c>
      <c r="DP705" s="25">
        <f ca="1">SUM(DM705:DO705)</f>
        <v>777.6164</v>
      </c>
      <c r="DQ705" s="47">
        <f ca="1">SUM(DP705/EG705)</f>
        <v>1.5677750000000001E-2</v>
      </c>
      <c r="DR705" s="14">
        <v>20</v>
      </c>
      <c r="DS705" s="32">
        <f>COUNTIF(DX705, "*")+COUNTIF(AO705, "*")+COUNTIF(AJ705, "*")+COUNTIF(AA705, "*")+COUNTIF(EY705, "*")+COUNTIF(FE705, "*")+COUNTIF(FK705, "*")+COUNTIF(FO705, "*")+COUNTIF(FV705, "*")+COUNTIF(AT705, "*")+COUNTIF(GE705, "*")+COUNTIF(GP705, "*")+COUNTIF(HA705, "*")+COUNTIF(HI705, "*")+COUNTIF(HQ705, "*")+COUNTIF(HY705, "*")+COUNTIF(IG705, "*")</f>
        <v>2</v>
      </c>
      <c r="DT705" s="14">
        <f>DS705*0.6</f>
        <v>1.2</v>
      </c>
      <c r="DU705" s="4"/>
      <c r="DV705" s="4"/>
      <c r="DW705" s="4"/>
      <c r="DX705" s="4"/>
      <c r="DZ705" s="4"/>
      <c r="EA705" s="14">
        <f>SUM(DV705:DZ705)</f>
        <v>0</v>
      </c>
      <c r="EB705" s="14">
        <f ca="1">SUM(DP705,DR705,EA705, DU705, DT705,GB705)</f>
        <v>798.81640000000004</v>
      </c>
      <c r="EC705" s="24" t="s">
        <v>3879</v>
      </c>
      <c r="ED705" s="130">
        <v>1.08</v>
      </c>
      <c r="EE705" s="14">
        <v>11100</v>
      </c>
      <c r="EF705" s="14">
        <v>38500</v>
      </c>
      <c r="EG705" s="14">
        <v>49600</v>
      </c>
      <c r="EH705" s="14">
        <v>16500</v>
      </c>
      <c r="EI705" s="14">
        <v>51700</v>
      </c>
      <c r="EJ705" s="14">
        <f>SUM(EH705+EI705)</f>
        <v>68200</v>
      </c>
      <c r="IM705" s="9"/>
      <c r="IX705" s="14">
        <f ca="1">SUM(IN705-EB705-GB705-IV705)</f>
        <v>-798.81640000000004</v>
      </c>
      <c r="IY705" s="9"/>
      <c r="IZ705" s="9"/>
      <c r="JA705" s="9"/>
      <c r="JB705" s="9"/>
      <c r="JC705" s="9"/>
    </row>
    <row r="706" spans="1:274" ht="15" customHeight="1">
      <c r="A706" s="19">
        <v>102023040</v>
      </c>
      <c r="B706" s="18" t="s">
        <v>4260</v>
      </c>
      <c r="D706" s="1"/>
      <c r="E706" t="s">
        <v>4930</v>
      </c>
      <c r="F706">
        <v>230003195</v>
      </c>
      <c r="G706" s="3"/>
      <c r="J706" s="18" t="s">
        <v>253</v>
      </c>
      <c r="K706" s="18" t="s">
        <v>1567</v>
      </c>
      <c r="L706" s="18" t="s">
        <v>502</v>
      </c>
      <c r="M706" s="18" t="s">
        <v>326</v>
      </c>
      <c r="N706" s="18"/>
      <c r="O706" s="24"/>
      <c r="P706" s="18"/>
      <c r="Q706" s="18"/>
      <c r="R706" s="18"/>
      <c r="S706" s="18"/>
      <c r="AG706" s="43"/>
      <c r="AH706" s="3"/>
      <c r="AI706" s="3"/>
      <c r="AJ706" s="18" t="s">
        <v>328</v>
      </c>
      <c r="AK706" s="18"/>
      <c r="AL706" s="18" t="s">
        <v>344</v>
      </c>
      <c r="AM706" s="18"/>
      <c r="AN706" s="18"/>
      <c r="AO706" s="18" t="s">
        <v>4259</v>
      </c>
      <c r="AP706" s="18" t="s">
        <v>258</v>
      </c>
      <c r="AQ706" s="18" t="s">
        <v>4904</v>
      </c>
      <c r="AR706" s="18"/>
      <c r="AY706" s="1"/>
      <c r="AZ706" s="1" t="s">
        <v>258</v>
      </c>
      <c r="BA706" s="1" t="s">
        <v>258</v>
      </c>
      <c r="BB706" s="1" t="s">
        <v>258</v>
      </c>
      <c r="BC706" s="9">
        <v>45096</v>
      </c>
      <c r="BD706" s="115">
        <v>45060</v>
      </c>
      <c r="BE706" s="115">
        <v>45055</v>
      </c>
      <c r="BF706" s="70">
        <v>45156</v>
      </c>
      <c r="BG706" t="s">
        <v>4902</v>
      </c>
      <c r="BH706" s="9">
        <v>45149</v>
      </c>
      <c r="BI706" s="9">
        <v>45149</v>
      </c>
      <c r="BJ706" s="70">
        <v>45181</v>
      </c>
      <c r="BK706" s="2" t="s">
        <v>319</v>
      </c>
      <c r="BL706" s="20">
        <f ca="1">SUM(EB706)+220</f>
        <v>4453.2508000000007</v>
      </c>
      <c r="BM706" s="22">
        <f ca="1">PMT(10%/12,12,BL706,0,0)</f>
        <v>-391.51149513975008</v>
      </c>
      <c r="BN706" s="22">
        <f ca="1">SUM(BM706*-1)</f>
        <v>391.51149513975008</v>
      </c>
      <c r="BO706" s="25">
        <f>SUM(EJ706*0.0052)/12</f>
        <v>15.816666666666665</v>
      </c>
      <c r="BP706" s="22">
        <f ca="1">SUM(BN706+BO706)</f>
        <v>407.32816180641674</v>
      </c>
      <c r="BQ706" s="14"/>
      <c r="BR706" s="14">
        <f>SUM(BQ706*0.1)</f>
        <v>0</v>
      </c>
      <c r="BS706" s="14">
        <f ca="1">SUM(BT706*BU706)</f>
        <v>0</v>
      </c>
      <c r="BT706" s="17">
        <f>SUM((BQ706+BR706)*0.00833333333333333)</f>
        <v>0</v>
      </c>
      <c r="BU706" s="23">
        <f ca="1">MONTH(TODAY())+61</f>
        <v>65</v>
      </c>
      <c r="BV706" s="14">
        <f ca="1">SUM(BQ706,BR706,BS706)</f>
        <v>0</v>
      </c>
      <c r="BW706" s="14"/>
      <c r="BX706" s="14">
        <f>SUM(BW706*0.1)</f>
        <v>0</v>
      </c>
      <c r="BY706" s="14">
        <f ca="1">SUM(BZ706*CA706)</f>
        <v>0</v>
      </c>
      <c r="BZ706" s="17">
        <f>SUM((BW706+BX706)*0.00833333333333333)</f>
        <v>0</v>
      </c>
      <c r="CA706" s="23">
        <f ca="1">MONTH(TODAY())+49</f>
        <v>53</v>
      </c>
      <c r="CB706" s="14">
        <f ca="1">SUM(BW706,BX706,BY706)</f>
        <v>0</v>
      </c>
      <c r="CC706" s="14">
        <v>0</v>
      </c>
      <c r="CD706" s="14">
        <f>SUM(CC706*0.1)</f>
        <v>0</v>
      </c>
      <c r="CE706" s="14">
        <f ca="1">SUM(CF706*CG706)</f>
        <v>0</v>
      </c>
      <c r="CF706" s="17">
        <f>SUM((CC706+CD706)*0.00833333333333333)</f>
        <v>0</v>
      </c>
      <c r="CG706" s="23">
        <f ca="1">MONTH(TODAY())+37</f>
        <v>41</v>
      </c>
      <c r="CH706" s="14">
        <f ca="1">SUM(CC706,CD706,CE706)</f>
        <v>0</v>
      </c>
      <c r="CI706" s="14">
        <f>SUM(EG706*0.0052)</f>
        <v>174.72</v>
      </c>
      <c r="CJ706" s="14">
        <f>SUM(CI706*0.1)</f>
        <v>17.472000000000001</v>
      </c>
      <c r="CK706" s="14">
        <f ca="1">SUM(CL706*CM706)</f>
        <v>46.446399999999983</v>
      </c>
      <c r="CL706" s="17">
        <f>SUM((CI706+CJ706)*0.00833333333333333)</f>
        <v>1.6015999999999995</v>
      </c>
      <c r="CM706" s="23">
        <f ca="1">MONTH(TODAY())+25</f>
        <v>29</v>
      </c>
      <c r="CN706" s="14">
        <f ca="1">SUM(CI706,CJ706,CK706)</f>
        <v>238.63839999999999</v>
      </c>
      <c r="CO706" s="14">
        <f>SUM(EG706*0.0052)/2</f>
        <v>87.36</v>
      </c>
      <c r="CP706" s="14">
        <f>SUM(CO706*0.1)</f>
        <v>8.7360000000000007</v>
      </c>
      <c r="CQ706" s="14">
        <f ca="1">SUM(CR706*CS706)</f>
        <v>16.816799999999994</v>
      </c>
      <c r="CR706" s="17">
        <f>SUM((CO706+CP706)*0.00833333333333333)</f>
        <v>0.80079999999999973</v>
      </c>
      <c r="CS706" s="23">
        <f ca="1">MONTH(TODAY())+17</f>
        <v>21</v>
      </c>
      <c r="CT706" s="23">
        <f ca="1">SUM(CO706,CP706,CQ706)</f>
        <v>112.9128</v>
      </c>
      <c r="CU706" s="14">
        <f>SUM(EG706*0.0052)/2</f>
        <v>87.36</v>
      </c>
      <c r="CV706" s="14">
        <f>SUM(CU706*0.1)</f>
        <v>8.7360000000000007</v>
      </c>
      <c r="CW706" s="14">
        <f ca="1">SUM(CX706*CY706)</f>
        <v>13.613599999999995</v>
      </c>
      <c r="CX706" s="17">
        <f>SUM((CU706+CV706)*0.00833333333333333)</f>
        <v>0.80079999999999973</v>
      </c>
      <c r="CY706" s="23">
        <f ca="1">MONTH(TODAY())+13</f>
        <v>17</v>
      </c>
      <c r="CZ706" s="23">
        <f ca="1">SUM(CU706,CV706,CW706)</f>
        <v>109.70959999999999</v>
      </c>
      <c r="DA706" s="14">
        <f>SUM(EJ706*0.0045)/2</f>
        <v>82.125</v>
      </c>
      <c r="DB706" s="14">
        <f>SUM(DA706*0.1)</f>
        <v>8.2125000000000004</v>
      </c>
      <c r="DC706" s="14">
        <f ca="1">SUM(DD706*DE706)</f>
        <v>8.2809374999999967</v>
      </c>
      <c r="DD706" s="17">
        <f>SUM((DA706+DB706)*0.00833333333333333)</f>
        <v>0.75281249999999977</v>
      </c>
      <c r="DE706" s="23">
        <f ca="1">MONTH(TODAY())+7</f>
        <v>11</v>
      </c>
      <c r="DF706" s="23">
        <f ca="1">SUM(DA706,DB706,DC706)</f>
        <v>98.618437499999999</v>
      </c>
      <c r="DG706" s="14">
        <f>SUM(EJ706*0.0045)/2</f>
        <v>82.125</v>
      </c>
      <c r="DH706" s="14">
        <f>SUM(DG706*0.1)</f>
        <v>8.2125000000000004</v>
      </c>
      <c r="DI706" s="14">
        <f ca="1">SUM(DJ706*DK706)</f>
        <v>3.7640624999999988</v>
      </c>
      <c r="DJ706" s="17">
        <f>SUM((DG706+DH706)*0.00833333333333333)</f>
        <v>0.75281249999999977</v>
      </c>
      <c r="DK706" s="23">
        <f ca="1">MONTH(TODAY())+1</f>
        <v>5</v>
      </c>
      <c r="DL706" s="14">
        <f ca="1">SUM(DG706,DH706,DI706)</f>
        <v>94.1015625</v>
      </c>
      <c r="DM706" s="14">
        <f>SUM( BQ706, BW706, CC706, CI706, CO706,CU706,DA706,DG706)</f>
        <v>513.69000000000005</v>
      </c>
      <c r="DN706" s="14">
        <f t="shared" si="267"/>
        <v>51.369</v>
      </c>
      <c r="DO706" s="14">
        <f t="shared" ca="1" si="267"/>
        <v>88.921799999999962</v>
      </c>
      <c r="DP706" s="25">
        <f ca="1">SUM(DM706:DO706)</f>
        <v>653.98080000000004</v>
      </c>
      <c r="DQ706" s="47">
        <f ca="1">SUM(DP706/EG706)</f>
        <v>1.9463714285714286E-2</v>
      </c>
      <c r="DR706" s="14">
        <f>970+100+80+160+100+200</f>
        <v>1610</v>
      </c>
      <c r="DS706" s="32">
        <f>COUNTIF(DX706, "*")+COUNTIF(AO706, "*")+COUNTIF(AJ706, "*")+COUNTIF(AA706, "*")+COUNTIF(EU706, "*")+COUNTIF(FA706, "*")+COUNTIF(FG706, "*")+COUNTIF(FK706, "*")+COUNTIF(FR706, "*")+COUNTIF(AT706, "*")+COUNTIF(GA706, "*")+COUNTIF(GL706, "*")+COUNTIF(GW706, "*")+COUNTIF(HE706, "*")+COUNTIF(HM706, "*")+COUNTIF(HU706, "*")</f>
        <v>2</v>
      </c>
      <c r="DT706" s="14">
        <f>1.2+14.9+28+55.17</f>
        <v>99.27000000000001</v>
      </c>
      <c r="DU706" s="4">
        <v>200</v>
      </c>
      <c r="DV706" s="4">
        <f>36.76+414.6+246.49</f>
        <v>697.85</v>
      </c>
      <c r="DW706" s="4">
        <f>93.75+202.5</f>
        <v>296.25</v>
      </c>
      <c r="DX706" s="4">
        <v>131.5</v>
      </c>
      <c r="DY706" s="14">
        <f>SUM(EE706*0.004)</f>
        <v>134.4</v>
      </c>
      <c r="DZ706" s="4">
        <v>410</v>
      </c>
      <c r="EA706" s="14">
        <f>SUM(DV706:DZ706)</f>
        <v>1670</v>
      </c>
      <c r="EB706" s="14">
        <f ca="1">SUM(DP706,DR706,EA706, DU706, DT706,FX706)</f>
        <v>4233.2508000000007</v>
      </c>
      <c r="EC706" s="18" t="s">
        <v>4944</v>
      </c>
      <c r="ED706" s="130">
        <v>19.809999999999999</v>
      </c>
      <c r="EE706" s="14">
        <v>33600</v>
      </c>
      <c r="EF706" s="14">
        <v>0</v>
      </c>
      <c r="EG706" s="14">
        <v>33600</v>
      </c>
      <c r="EH706" s="14">
        <v>36500</v>
      </c>
      <c r="EI706" s="14">
        <v>0</v>
      </c>
      <c r="EJ706" s="14">
        <f>SUM(EH706+EI706)</f>
        <v>36500</v>
      </c>
      <c r="EK706" t="s">
        <v>4807</v>
      </c>
      <c r="EL706" t="s">
        <v>4991</v>
      </c>
      <c r="EM706" t="s">
        <v>4808</v>
      </c>
      <c r="FX706" s="4"/>
      <c r="IA706" s="9">
        <v>45227</v>
      </c>
      <c r="IL706" s="14">
        <f ca="1">SUM(IB706-EB706-FX706-IJ706)</f>
        <v>-4233.2508000000007</v>
      </c>
      <c r="IM706" s="14"/>
      <c r="IN706" s="14"/>
      <c r="IO706" s="9">
        <v>45187</v>
      </c>
      <c r="IP706" s="9">
        <v>45204</v>
      </c>
      <c r="IQ706" s="9"/>
      <c r="IR706" s="9"/>
      <c r="IS706" s="9"/>
    </row>
    <row r="707" spans="1:274" ht="15" customHeight="1">
      <c r="A707" s="19">
        <v>102017076</v>
      </c>
      <c r="B707" s="30" t="s">
        <v>997</v>
      </c>
      <c r="C707" s="30"/>
      <c r="D707" s="30"/>
      <c r="E707" s="18" t="s">
        <v>998</v>
      </c>
      <c r="F707" s="19">
        <v>180002376</v>
      </c>
      <c r="G707" s="19"/>
      <c r="H707" s="19"/>
      <c r="I707" s="18"/>
      <c r="J707" s="18" t="s">
        <v>434</v>
      </c>
      <c r="K707" s="18" t="s">
        <v>999</v>
      </c>
      <c r="L707" s="18" t="s">
        <v>1000</v>
      </c>
      <c r="M707" s="18" t="s">
        <v>598</v>
      </c>
      <c r="N707" s="18"/>
      <c r="O707" s="13"/>
      <c r="P707" s="18" t="s">
        <v>1001</v>
      </c>
      <c r="Q707" s="18" t="s">
        <v>1002</v>
      </c>
      <c r="R707" s="18" t="s">
        <v>469</v>
      </c>
      <c r="S707" s="18"/>
      <c r="T707" s="13"/>
      <c r="U707" s="18"/>
      <c r="V707" s="18"/>
      <c r="X707" s="18"/>
      <c r="Y707" s="18"/>
      <c r="Z707" s="18"/>
      <c r="AA707" s="18"/>
      <c r="AB707" s="18"/>
      <c r="AC707" s="18"/>
      <c r="AD707" s="18"/>
      <c r="AE707" s="13"/>
      <c r="AF707" s="18"/>
      <c r="AG707" s="24"/>
      <c r="AH707" s="14"/>
      <c r="AI707" s="18"/>
      <c r="AJ707" s="14"/>
      <c r="AK707" s="14"/>
      <c r="AL707" s="14"/>
      <c r="AM707" s="24"/>
      <c r="AN707" s="24"/>
      <c r="AO707" s="14"/>
      <c r="AP707" s="13"/>
      <c r="AQ707" s="63"/>
      <c r="AR707" s="63"/>
      <c r="AS707" s="20"/>
      <c r="AT707" s="13"/>
      <c r="AU707" s="13"/>
      <c r="AV707" s="13"/>
      <c r="AW707" s="13"/>
      <c r="AX707" s="13"/>
      <c r="AY707" s="21"/>
      <c r="AZ707" s="21"/>
      <c r="BA707" s="21"/>
      <c r="BB707" s="13"/>
      <c r="BC707" s="27"/>
      <c r="BD707" s="21"/>
      <c r="BE707" s="15"/>
      <c r="BF707" s="21"/>
      <c r="BG707" s="20"/>
      <c r="BH707" s="22"/>
      <c r="BI707" s="22"/>
      <c r="BJ707" s="14"/>
      <c r="BK707" s="14"/>
      <c r="BL707" s="14"/>
      <c r="BM707" s="17"/>
      <c r="BN707" s="23"/>
      <c r="BO707" s="14"/>
      <c r="BP707" s="18"/>
      <c r="BQ707" s="14"/>
      <c r="BR707" s="14"/>
      <c r="BS707" s="17"/>
      <c r="BT707" s="23"/>
      <c r="BU707" s="14"/>
      <c r="BV707" s="14"/>
      <c r="BW707" s="14"/>
      <c r="BX707" s="14"/>
      <c r="BY707" s="17"/>
      <c r="BZ707" s="23"/>
      <c r="CA707" s="14"/>
      <c r="CB707" s="14"/>
      <c r="CC707" s="14"/>
      <c r="CD707" s="14"/>
      <c r="CE707" s="17"/>
      <c r="CF707" s="7"/>
      <c r="CG707" s="14"/>
      <c r="CH707" s="14"/>
      <c r="CI707" s="14"/>
      <c r="CJ707" s="14"/>
      <c r="CK707" s="17"/>
      <c r="CL707" s="7"/>
      <c r="CM707" s="14"/>
      <c r="CN707" s="14"/>
      <c r="CO707" s="14"/>
      <c r="CP707" s="14"/>
      <c r="CQ707" s="17"/>
      <c r="CR707" s="7"/>
      <c r="CS707" s="14"/>
      <c r="CT707" s="14"/>
      <c r="CU707" s="14"/>
      <c r="CV707" s="14"/>
      <c r="CW707" s="17"/>
      <c r="CX707" s="7"/>
      <c r="CY707" s="14"/>
      <c r="CZ707" s="14"/>
      <c r="DA707" s="14"/>
      <c r="DB707" s="14"/>
      <c r="DC707" s="17"/>
      <c r="DD707" s="7"/>
      <c r="DE707" s="14"/>
      <c r="DF707" s="14"/>
      <c r="DG707" s="14"/>
      <c r="DH707" s="14"/>
      <c r="DI707" s="14"/>
      <c r="DJ707" s="24"/>
      <c r="DK707" s="14"/>
      <c r="DL707" s="234"/>
      <c r="DM707" s="14"/>
      <c r="DN707" s="14"/>
      <c r="DO707" s="14"/>
      <c r="DP707" s="14"/>
      <c r="DQ707" s="14"/>
      <c r="DR707" s="14"/>
      <c r="DS707" s="14"/>
      <c r="DT707" s="25"/>
      <c r="DU707" s="14"/>
      <c r="DV707" s="25"/>
      <c r="DW707" s="14"/>
      <c r="DX707" s="14"/>
      <c r="DY707" s="18"/>
      <c r="DZ707" s="14"/>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27"/>
      <c r="FH707" s="28"/>
      <c r="FI707" s="18"/>
      <c r="FJ707" s="18"/>
      <c r="FK707" s="18"/>
      <c r="FL707" s="18"/>
      <c r="FM707" s="18"/>
      <c r="FN707" s="18"/>
      <c r="FO707" s="28"/>
      <c r="FP707" s="27"/>
      <c r="FQ707" s="18"/>
      <c r="FR707" s="18"/>
      <c r="FS707" s="18"/>
      <c r="FT707" s="18"/>
      <c r="FU707" s="18"/>
      <c r="FV707" s="18"/>
      <c r="FW707" s="18"/>
      <c r="FX707" s="18"/>
      <c r="FY707" s="18"/>
      <c r="FZ707" s="18"/>
      <c r="GA707" s="18"/>
      <c r="GB707" s="27"/>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4"/>
    </row>
    <row r="708" spans="1:274" ht="15" customHeight="1">
      <c r="A708" s="2">
        <v>102017076</v>
      </c>
      <c r="B708" t="s">
        <v>997</v>
      </c>
      <c r="E708" t="s">
        <v>998</v>
      </c>
      <c r="F708">
        <v>180002376</v>
      </c>
      <c r="J708" t="s">
        <v>434</v>
      </c>
      <c r="K708" t="s">
        <v>999</v>
      </c>
      <c r="L708" t="s">
        <v>1000</v>
      </c>
      <c r="M708" t="s">
        <v>598</v>
      </c>
      <c r="P708" t="s">
        <v>1001</v>
      </c>
      <c r="Q708" t="s">
        <v>1002</v>
      </c>
      <c r="R708" t="s">
        <v>469</v>
      </c>
      <c r="AD708" s="1"/>
      <c r="AF708" s="3"/>
      <c r="AH708" s="3"/>
      <c r="AJ708" s="4"/>
      <c r="AK708" s="4"/>
      <c r="AL708" s="4"/>
      <c r="AM708" s="34"/>
      <c r="AP708" s="13"/>
      <c r="AR708" s="34"/>
      <c r="AS708" s="5"/>
      <c r="AT708" s="13"/>
      <c r="AU708" s="1"/>
      <c r="AV708" s="1"/>
      <c r="AW708" s="1"/>
      <c r="AX708" s="1"/>
      <c r="AY708" s="1"/>
      <c r="AZ708" s="1"/>
      <c r="BA708" s="1"/>
      <c r="BB708" s="1"/>
      <c r="BC708" s="1"/>
      <c r="BD708" s="1"/>
      <c r="BE708" s="5"/>
      <c r="BF708" s="16"/>
      <c r="BG708" s="16"/>
      <c r="BI708" s="4"/>
      <c r="BJ708" s="4"/>
      <c r="BK708" s="6"/>
      <c r="BL708" s="7"/>
      <c r="BM708" s="4"/>
      <c r="BO708" s="4"/>
      <c r="BP708" s="4"/>
      <c r="BQ708" s="6"/>
      <c r="BR708" s="7"/>
      <c r="BS708" s="4"/>
      <c r="BT708" s="4"/>
      <c r="BU708" s="4"/>
      <c r="BV708" s="4"/>
      <c r="BW708" s="6"/>
      <c r="BX708" s="7"/>
      <c r="BY708" s="4"/>
      <c r="CA708" s="4"/>
      <c r="CB708" s="4"/>
      <c r="CC708" s="6"/>
      <c r="CD708" s="7"/>
      <c r="CE708" s="4"/>
      <c r="CF708" s="4"/>
      <c r="CG708" s="4"/>
      <c r="CH708" s="4"/>
      <c r="CI708" s="6"/>
      <c r="CJ708" s="7"/>
      <c r="CK708" s="4"/>
      <c r="CL708" s="4"/>
      <c r="CM708" s="4"/>
      <c r="CN708" s="4"/>
      <c r="CO708" s="6"/>
      <c r="CP708" s="7"/>
      <c r="CQ708" s="4"/>
      <c r="CR708" s="4"/>
      <c r="CS708" s="4"/>
      <c r="CT708" s="4"/>
      <c r="CU708" s="6"/>
      <c r="CV708" s="7"/>
      <c r="CW708" s="4"/>
      <c r="CX708" s="4"/>
      <c r="CY708" s="4"/>
      <c r="CZ708" s="4"/>
      <c r="DA708" s="6"/>
      <c r="DB708" s="7"/>
      <c r="DC708" s="4"/>
      <c r="DD708" s="4"/>
      <c r="DE708" s="4"/>
      <c r="DF708" s="4"/>
      <c r="DG708" s="6"/>
      <c r="DH708" s="7"/>
      <c r="DI708" s="4"/>
      <c r="DJ708" s="4"/>
      <c r="DK708" s="4"/>
      <c r="DL708" s="4"/>
      <c r="DM708" s="4"/>
      <c r="DN708" s="3"/>
      <c r="DO708" s="4"/>
      <c r="DP708" s="4"/>
      <c r="DQ708" s="4"/>
      <c r="DR708" s="4"/>
      <c r="DS708" s="4"/>
      <c r="DT708" s="4"/>
      <c r="DU708" s="4"/>
      <c r="DV708" s="4"/>
      <c r="DW708" s="4"/>
      <c r="DX708" s="4"/>
      <c r="DY708" s="4"/>
      <c r="DZ708" s="4"/>
      <c r="EA708" s="4"/>
      <c r="EB708" s="4"/>
      <c r="EC708" s="4"/>
      <c r="ED708" s="4"/>
      <c r="EE708" s="4"/>
      <c r="EF708" s="4"/>
      <c r="FM708" s="9"/>
      <c r="FN708" s="10"/>
      <c r="FU708" s="10"/>
      <c r="GG708" s="9"/>
      <c r="IL708" s="18"/>
      <c r="IM708" s="18"/>
      <c r="IN708" s="18"/>
      <c r="IO708" s="18"/>
      <c r="IP708" s="18"/>
      <c r="IQ708" s="18"/>
      <c r="IR708" s="18"/>
      <c r="IS708" s="18"/>
      <c r="IT708" s="18"/>
    </row>
    <row r="709" spans="1:274" ht="15" customHeight="1">
      <c r="A709" s="2">
        <v>102020082</v>
      </c>
      <c r="B709" t="s">
        <v>997</v>
      </c>
      <c r="E709" t="s">
        <v>998</v>
      </c>
      <c r="F709">
        <v>180002376</v>
      </c>
      <c r="J709" t="s">
        <v>434</v>
      </c>
      <c r="K709" t="s">
        <v>999</v>
      </c>
      <c r="L709" t="s">
        <v>1000</v>
      </c>
      <c r="M709" t="s">
        <v>598</v>
      </c>
      <c r="P709" t="s">
        <v>1001</v>
      </c>
      <c r="Q709" t="s">
        <v>1002</v>
      </c>
      <c r="R709" t="s">
        <v>469</v>
      </c>
      <c r="AJ709" t="s">
        <v>1438</v>
      </c>
      <c r="AK709" t="s">
        <v>258</v>
      </c>
      <c r="AL709" t="s">
        <v>344</v>
      </c>
      <c r="AM709" s="3" t="s">
        <v>260</v>
      </c>
      <c r="AX709" s="70"/>
      <c r="AY709" s="70"/>
      <c r="AZ709" s="70"/>
      <c r="BA709" s="70"/>
      <c r="BB709" s="2"/>
      <c r="BC709" s="70"/>
      <c r="BD709" s="70"/>
      <c r="BE709" s="70"/>
      <c r="BF709" s="2"/>
      <c r="BG709" s="20"/>
      <c r="BH709" s="22"/>
      <c r="BI709" s="22"/>
      <c r="BJ709" s="66"/>
      <c r="BK709" s="66"/>
      <c r="BL709" s="66"/>
      <c r="BO709" s="66"/>
      <c r="BP709" s="66"/>
      <c r="BQ709" s="66"/>
      <c r="BR709" s="66"/>
      <c r="BU709" s="66"/>
      <c r="BV709" s="66"/>
      <c r="BW709" s="66"/>
      <c r="BX709" s="66"/>
      <c r="CA709" s="66"/>
      <c r="CB709" s="66"/>
      <c r="CC709" s="66"/>
      <c r="CD709" s="66"/>
      <c r="CG709" s="66"/>
      <c r="CH709" s="66"/>
      <c r="CI709" s="66"/>
      <c r="CJ709" s="66"/>
      <c r="CM709" s="66"/>
      <c r="CN709" s="66"/>
      <c r="CO709" s="66"/>
      <c r="CP709" s="66"/>
      <c r="CS709" s="66"/>
      <c r="CT709" s="66"/>
      <c r="CU709" s="66"/>
      <c r="CV709" s="66"/>
      <c r="CY709" s="66"/>
      <c r="CZ709" s="66"/>
      <c r="DA709" s="66"/>
      <c r="DB709" s="66"/>
      <c r="DC709" s="66"/>
      <c r="DE709" s="66"/>
      <c r="DG709" s="66"/>
      <c r="DH709" s="66"/>
      <c r="DI709" s="66"/>
      <c r="DJ709" s="66"/>
      <c r="DK709" s="66"/>
      <c r="DL709" s="66"/>
      <c r="DM709" s="66"/>
      <c r="DN709" s="66"/>
      <c r="DO709" s="66"/>
      <c r="DP709" s="66"/>
      <c r="DQ709" s="66"/>
      <c r="DR709" s="66">
        <v>12000</v>
      </c>
      <c r="DS709" s="66">
        <v>20100</v>
      </c>
      <c r="DT709" s="66">
        <v>32100</v>
      </c>
      <c r="DU709">
        <v>0.56999999999999995</v>
      </c>
      <c r="DV709" t="s">
        <v>1440</v>
      </c>
      <c r="DW709" t="s">
        <v>1441</v>
      </c>
      <c r="DX709" t="s">
        <v>1442</v>
      </c>
      <c r="DY709" t="s">
        <v>1443</v>
      </c>
      <c r="FD709" s="9"/>
      <c r="FM709" s="9"/>
      <c r="ID709" s="9">
        <v>43694</v>
      </c>
      <c r="IE709" s="4">
        <v>7279.16</v>
      </c>
      <c r="IF709" s="66">
        <v>0</v>
      </c>
      <c r="II709" t="s">
        <v>1410</v>
      </c>
      <c r="IJ709" t="s">
        <v>846</v>
      </c>
      <c r="IK709" t="s">
        <v>386</v>
      </c>
    </row>
    <row r="710" spans="1:274" ht="15" customHeight="1">
      <c r="A710" s="19">
        <v>102022180</v>
      </c>
      <c r="B710" t="s">
        <v>2905</v>
      </c>
      <c r="D710" s="1"/>
      <c r="E710" t="s">
        <v>4911</v>
      </c>
      <c r="F710">
        <v>230002881</v>
      </c>
      <c r="G710" s="3"/>
      <c r="J710" t="s">
        <v>253</v>
      </c>
      <c r="K710" t="s">
        <v>3228</v>
      </c>
      <c r="L710" t="s">
        <v>3165</v>
      </c>
      <c r="M710" t="s">
        <v>357</v>
      </c>
      <c r="O710" s="3"/>
      <c r="AD710" t="s">
        <v>4918</v>
      </c>
      <c r="AE710" t="s">
        <v>4915</v>
      </c>
      <c r="AF710" t="s">
        <v>3228</v>
      </c>
      <c r="AG710" s="43" t="s">
        <v>4916</v>
      </c>
      <c r="AH710" t="s">
        <v>4917</v>
      </c>
      <c r="AI710" t="s">
        <v>259</v>
      </c>
      <c r="AJ710" s="18" t="s">
        <v>328</v>
      </c>
      <c r="AL710" s="18" t="s">
        <v>344</v>
      </c>
      <c r="AM710"/>
      <c r="AN710"/>
      <c r="AO710" t="s">
        <v>3229</v>
      </c>
      <c r="AP710" s="3"/>
      <c r="AQ710" t="s">
        <v>259</v>
      </c>
      <c r="AR710"/>
      <c r="AX710" s="1"/>
      <c r="AY710" s="1"/>
      <c r="AZ710" s="1" t="s">
        <v>258</v>
      </c>
      <c r="BA710" s="1" t="s">
        <v>258</v>
      </c>
      <c r="BB710" s="1" t="s">
        <v>258</v>
      </c>
      <c r="BC710" s="70">
        <v>45092</v>
      </c>
      <c r="BD710" s="115">
        <v>45060</v>
      </c>
      <c r="BE710" s="115">
        <v>45061</v>
      </c>
      <c r="BF710" s="70">
        <v>45121</v>
      </c>
      <c r="BG710" t="s">
        <v>4898</v>
      </c>
      <c r="BH710" s="9">
        <v>45114</v>
      </c>
      <c r="BI710" s="70">
        <v>45107</v>
      </c>
      <c r="BJ710" s="2"/>
      <c r="BK710" s="2"/>
      <c r="BL710" s="20">
        <f ca="1">SUM(EB710)+220</f>
        <v>2082.5090583333331</v>
      </c>
      <c r="BM710" s="22">
        <f t="shared" ref="BM710:BM715" ca="1" si="268">PMT(10%/12,12,BL710,0,0)</f>
        <v>-183.08563152790677</v>
      </c>
      <c r="BN710" s="22">
        <f t="shared" ref="BN710:BN715" ca="1" si="269">SUM(BM710*-1)</f>
        <v>183.08563152790677</v>
      </c>
      <c r="BO710" s="14">
        <f>SUM(EJ710*0.0052)/12</f>
        <v>4.0733333333333333</v>
      </c>
      <c r="BP710" s="22">
        <f t="shared" ref="BP710:BP715" ca="1" si="270">SUM(BN710+BO710)</f>
        <v>187.15896486124009</v>
      </c>
      <c r="BQ710" s="14"/>
      <c r="BR710" s="14">
        <f t="shared" ref="BR710:BR715" si="271">SUM(BQ710*0.1)</f>
        <v>0</v>
      </c>
      <c r="BS710" s="14">
        <f t="shared" ref="BS710:BS715" ca="1" si="272">SUM(BT710*BU710)</f>
        <v>0</v>
      </c>
      <c r="BT710" s="17">
        <f t="shared" ref="BT710:BT715" si="273">SUM((BQ710+BR710)*0.00833333333333333)</f>
        <v>0</v>
      </c>
      <c r="BU710" s="23">
        <f ca="1">MONTH(TODAY())+49</f>
        <v>53</v>
      </c>
      <c r="BV710" s="14">
        <f t="shared" ref="BV710:BV715" ca="1" si="274">SUM(BQ710,BR710,BS710)</f>
        <v>0</v>
      </c>
      <c r="BW710" s="14"/>
      <c r="BX710" s="14">
        <f t="shared" ref="BX710:BX715" si="275">SUM(BW710*0.1)</f>
        <v>0</v>
      </c>
      <c r="BY710" s="14">
        <f t="shared" ref="BY710:BY715" ca="1" si="276">SUM(BZ710*CA710)</f>
        <v>0</v>
      </c>
      <c r="BZ710" s="17">
        <f t="shared" ref="BZ710:BZ715" si="277">SUM((BW710+BX710)*0.00833333333333333)</f>
        <v>0</v>
      </c>
      <c r="CA710" s="23">
        <f ca="1">MONTH(TODAY())+37</f>
        <v>41</v>
      </c>
      <c r="CB710" s="14">
        <f t="shared" ref="CB710:CB715" ca="1" si="278">SUM(BW710,BX710,BY710)</f>
        <v>0</v>
      </c>
      <c r="CC710" s="14">
        <f>SUM(EG710*0.0052)</f>
        <v>42.64</v>
      </c>
      <c r="CD710" s="14">
        <f t="shared" ref="CD710:CD715" si="279">SUM(CC710*0.1)</f>
        <v>4.2640000000000002</v>
      </c>
      <c r="CE710" s="14">
        <f t="shared" ref="CE710:CE715" ca="1" si="280">SUM(CF710*CG710)</f>
        <v>11.33513333333333</v>
      </c>
      <c r="CF710" s="17">
        <f t="shared" ref="CF710:CF715" si="281">SUM((CC710+CD710)*0.00833333333333333)</f>
        <v>0.39086666666666653</v>
      </c>
      <c r="CG710" s="23">
        <f ca="1">MONTH(TODAY())+25</f>
        <v>29</v>
      </c>
      <c r="CH710" s="14">
        <f t="shared" ref="CH710:CH715" ca="1" si="282">SUM(CC710,CD710,CE710)</f>
        <v>58.239133333333335</v>
      </c>
      <c r="CI710" s="14">
        <f>SUM(EG710*0.0052)</f>
        <v>42.64</v>
      </c>
      <c r="CJ710" s="14">
        <f t="shared" ref="CJ710:CJ715" si="283">SUM(CI710*0.1)</f>
        <v>4.2640000000000002</v>
      </c>
      <c r="CK710" s="14">
        <f t="shared" ref="CK710:CK715" ca="1" si="284">SUM(CL710*CM710)</f>
        <v>6.6447333333333312</v>
      </c>
      <c r="CL710" s="17">
        <f t="shared" ref="CL710:CL715" si="285">SUM((CI710+CJ710)*0.00833333333333333)</f>
        <v>0.39086666666666653</v>
      </c>
      <c r="CM710" s="23">
        <f ca="1">MONTH(TODAY())+13</f>
        <v>17</v>
      </c>
      <c r="CN710" s="14">
        <f t="shared" ref="CN710:CN715" ca="1" si="286">SUM(CI710,CJ710,CK710)</f>
        <v>53.548733333333331</v>
      </c>
      <c r="CO710" s="14">
        <f>SUM(EG710*0.0052)/2</f>
        <v>21.32</v>
      </c>
      <c r="CP710" s="14">
        <f t="shared" ref="CP710:CP715" si="287">SUM(CO710*0.1)</f>
        <v>2.1320000000000001</v>
      </c>
      <c r="CQ710" s="14">
        <f t="shared" ref="CQ710:CQ715" ca="1" si="288">SUM(CR710*CS710)</f>
        <v>1.7588999999999995</v>
      </c>
      <c r="CR710" s="17">
        <f t="shared" ref="CR710:CR715" si="289">SUM((CO710+CP710)*0.00833333333333333)</f>
        <v>0.19543333333333326</v>
      </c>
      <c r="CS710" s="23">
        <f ca="1">MONTH(TODAY())+5</f>
        <v>9</v>
      </c>
      <c r="CT710" s="23">
        <f t="shared" ref="CT710:CT715" ca="1" si="290">SUM(CO710,CP710,CQ710)</f>
        <v>25.210900000000002</v>
      </c>
      <c r="CU710" s="14">
        <f>SUM(EG710*0.0052)/2</f>
        <v>21.32</v>
      </c>
      <c r="CV710" s="14">
        <f t="shared" ref="CV710:CV715" si="291">SUM(CU710*0.1)</f>
        <v>2.1320000000000001</v>
      </c>
      <c r="CW710" s="14">
        <f t="shared" ref="CW710:CW715" ca="1" si="292">SUM(CX710*CY710)</f>
        <v>0.97716666666666629</v>
      </c>
      <c r="CX710" s="17">
        <f t="shared" ref="CX710:CX715" si="293">SUM((CU710+CV710)*0.00833333333333333)</f>
        <v>0.19543333333333326</v>
      </c>
      <c r="CY710" s="23">
        <f ca="1">MONTH(TODAY())+1</f>
        <v>5</v>
      </c>
      <c r="CZ710" s="23">
        <f t="shared" ref="CZ710:CZ715" ca="1" si="294">SUM(CU710,CV710,CW710)</f>
        <v>24.429166666666667</v>
      </c>
      <c r="DA710" s="14">
        <f>SUM(EJ710*0.0045)/2</f>
        <v>21.15</v>
      </c>
      <c r="DB710" s="14">
        <f t="shared" ref="DB710:DB715" si="295">SUM(DA710*0.1)</f>
        <v>2.1149999999999998</v>
      </c>
      <c r="DC710" s="14">
        <f t="shared" ref="DC710:DC715" ca="1" si="296">SUM(DD710*DE710)</f>
        <v>-0.19387499999999988</v>
      </c>
      <c r="DD710" s="17">
        <f t="shared" ref="DD710:DD715" si="297">SUM((DA710+DB710)*0.00833333333333333)</f>
        <v>0.19387499999999988</v>
      </c>
      <c r="DE710" s="23">
        <f ca="1">MONTH(TODAY())-5</f>
        <v>-1</v>
      </c>
      <c r="DF710" s="23">
        <f t="shared" ref="DF710:DF715" ca="1" si="298">SUM(DA710,DB710,DC710)</f>
        <v>23.071124999999999</v>
      </c>
      <c r="DG710" s="14">
        <v>0</v>
      </c>
      <c r="DH710" s="14">
        <v>0</v>
      </c>
      <c r="DI710" s="14">
        <v>0</v>
      </c>
      <c r="DJ710" s="17">
        <f t="shared" ref="DJ710:DJ715" si="299">SUM((DG710+DH710)*0.00833333333333333)</f>
        <v>0</v>
      </c>
      <c r="DK710" s="23">
        <f ca="1">MONTH(TODAY())+1</f>
        <v>5</v>
      </c>
      <c r="DL710" s="23">
        <f t="shared" ref="DL710:DL715" si="300">SUM(DG710,DH710,DI710)</f>
        <v>0</v>
      </c>
      <c r="DM710" s="14">
        <f>SUM( BQ710, BW710, CC710, CI710, CO710,CU710,DA710,DG710)</f>
        <v>149.07</v>
      </c>
      <c r="DN710" s="14">
        <f>SUM(BR710,BX710,CD710,CJ710, CP710,CV710,DB710,DH710)</f>
        <v>14.907</v>
      </c>
      <c r="DO710" s="14">
        <f ca="1">SUM(BS710,BY710,CE710,CK710, CQ710,CW710,DC710,DI710)</f>
        <v>20.522058333333327</v>
      </c>
      <c r="DP710" s="25">
        <f ca="1">SUM(DM710:DO710)</f>
        <v>184.49905833333332</v>
      </c>
      <c r="DQ710" s="47">
        <f ca="1">SUM(DP710/EG710)</f>
        <v>2.2499885162601624E-2</v>
      </c>
      <c r="DR710" s="14">
        <f>20+200+200+20+60</f>
        <v>500</v>
      </c>
      <c r="DS710" s="32">
        <f>COUNTIF(DX710, "*")+COUNTIF(AO710, "*")+COUNTIF(AJ710, "*")+COUNTIF(AA710, "*")+COUNTIF(EY710, "*")+COUNTIF(FE710, "*")+COUNTIF(FK710, "*")+COUNTIF(FO710, "*")+COUNTIF(FV710, "*")+COUNTIF(AT710, "*")+COUNTIF(GE710, "*")+COUNTIF(GP710, "*")+COUNTIF(HA710, "*")+COUNTIF(HI710, "*")+COUNTIF(HQ710, "*")+COUNTIF(HY710, "*")+COUNTIF(IG710, "*")</f>
        <v>2</v>
      </c>
      <c r="DT710" s="14">
        <f>1.2+DS710*7.45</f>
        <v>16.100000000000001</v>
      </c>
      <c r="DU710" s="4">
        <v>150</v>
      </c>
      <c r="DV710" s="4">
        <f>36.76+881.4</f>
        <v>918.16</v>
      </c>
      <c r="DW710" s="4">
        <v>93.75</v>
      </c>
      <c r="DX710" s="4"/>
      <c r="DZ710" s="4"/>
      <c r="EA710" s="14">
        <f>SUM(DV710:DZ710)</f>
        <v>1011.91</v>
      </c>
      <c r="EB710" s="14">
        <f ca="1">SUM(DP710,DR710,EA710, DU710, DT710,GB710)</f>
        <v>1862.5090583333331</v>
      </c>
      <c r="EC710" s="24" t="s">
        <v>2773</v>
      </c>
      <c r="ED710" s="7">
        <f>0.1+0.08+0.06</f>
        <v>0.24</v>
      </c>
      <c r="EE710" s="4">
        <f>6300+1000+500</f>
        <v>7800</v>
      </c>
      <c r="EF710" s="4">
        <v>400</v>
      </c>
      <c r="EG710" s="14">
        <f>SUM(EE710+EF710)</f>
        <v>8200</v>
      </c>
      <c r="EH710" s="14">
        <f>7500+1000+500</f>
        <v>9000</v>
      </c>
      <c r="EI710" s="14">
        <v>400</v>
      </c>
      <c r="EJ710" s="14">
        <f>SUM(EH710+EI710)</f>
        <v>9400</v>
      </c>
      <c r="EK710" t="s">
        <v>4899</v>
      </c>
      <c r="EL710" t="s">
        <v>4900</v>
      </c>
      <c r="EM710" t="s">
        <v>4901</v>
      </c>
      <c r="IM710" s="9"/>
      <c r="IX710" s="14">
        <f ca="1">SUM(IN710-EB710-GB710-IV710)</f>
        <v>-1862.5090583333331</v>
      </c>
      <c r="IY710" s="9"/>
      <c r="IZ710" s="9"/>
      <c r="JA710" s="9"/>
      <c r="JB710" s="9"/>
      <c r="JC710" s="9"/>
    </row>
    <row r="711" spans="1:274" ht="15" customHeight="1">
      <c r="A711" s="2">
        <v>102024019</v>
      </c>
      <c r="B711" t="s">
        <v>5069</v>
      </c>
      <c r="D711" s="1"/>
      <c r="E711" s="3"/>
      <c r="G711" s="3"/>
      <c r="J711" t="s">
        <v>311</v>
      </c>
      <c r="K711" t="s">
        <v>1523</v>
      </c>
      <c r="L711" t="s">
        <v>5131</v>
      </c>
      <c r="M711" t="s">
        <v>428</v>
      </c>
      <c r="O711" s="3"/>
      <c r="AG711" s="43"/>
      <c r="AK711" s="1"/>
      <c r="AM711"/>
      <c r="AN711"/>
      <c r="AO711" t="s">
        <v>5132</v>
      </c>
      <c r="AP711" s="1" t="s">
        <v>258</v>
      </c>
      <c r="AQ711" t="s">
        <v>344</v>
      </c>
      <c r="AR711" t="s">
        <v>260</v>
      </c>
      <c r="AX711" s="1"/>
      <c r="AY711" s="1"/>
      <c r="AZ711" s="1"/>
      <c r="BA711" s="1"/>
      <c r="BB711" s="1"/>
      <c r="BC711" s="2"/>
      <c r="BD711" s="115">
        <v>45382</v>
      </c>
      <c r="BE711" s="115"/>
      <c r="BF711" s="2"/>
      <c r="BG711" s="2"/>
      <c r="BH711" s="2"/>
      <c r="BI711" s="2"/>
      <c r="BJ711" s="2"/>
      <c r="BK711" s="2"/>
      <c r="BL711" s="20">
        <f ca="1">SUM(EB711)+220</f>
        <v>3131.513966666666</v>
      </c>
      <c r="BM711" s="22">
        <f t="shared" ca="1" si="268"/>
        <v>-275.30982875266659</v>
      </c>
      <c r="BN711" s="22">
        <f t="shared" ca="1" si="269"/>
        <v>275.30982875266659</v>
      </c>
      <c r="BO711" s="14">
        <f>SUM(EJ711*0.0052)/12</f>
        <v>91.303333333333327</v>
      </c>
      <c r="BP711" s="22">
        <f t="shared" ca="1" si="270"/>
        <v>366.61316208599993</v>
      </c>
      <c r="BQ711" s="14"/>
      <c r="BR711" s="14">
        <f t="shared" si="271"/>
        <v>0</v>
      </c>
      <c r="BS711" s="14">
        <f t="shared" ca="1" si="272"/>
        <v>0</v>
      </c>
      <c r="BT711" s="17">
        <f t="shared" si="273"/>
        <v>0</v>
      </c>
      <c r="BU711" s="23">
        <f ca="1">MONTH(TODAY())+61</f>
        <v>65</v>
      </c>
      <c r="BV711" s="14">
        <f t="shared" ca="1" si="274"/>
        <v>0</v>
      </c>
      <c r="BW711" s="14"/>
      <c r="BX711" s="14">
        <f t="shared" si="275"/>
        <v>0</v>
      </c>
      <c r="BY711" s="14">
        <f t="shared" ca="1" si="276"/>
        <v>0</v>
      </c>
      <c r="BZ711" s="17">
        <f t="shared" si="277"/>
        <v>0</v>
      </c>
      <c r="CA711" s="23">
        <f ca="1">MONTH(TODAY())+49</f>
        <v>53</v>
      </c>
      <c r="CB711" s="14">
        <f t="shared" ca="1" si="278"/>
        <v>0</v>
      </c>
      <c r="CC711" s="14">
        <v>0</v>
      </c>
      <c r="CD711" s="14">
        <f t="shared" si="279"/>
        <v>0</v>
      </c>
      <c r="CE711" s="14">
        <f t="shared" ca="1" si="280"/>
        <v>0</v>
      </c>
      <c r="CF711" s="17">
        <f t="shared" si="281"/>
        <v>0</v>
      </c>
      <c r="CG711" s="23">
        <f ca="1">MONTH(TODAY())+37</f>
        <v>41</v>
      </c>
      <c r="CH711" s="14">
        <f t="shared" ca="1" si="282"/>
        <v>0</v>
      </c>
      <c r="CI711" s="14">
        <f>SUM(EG711*0.0052)-342.52</f>
        <v>486.36</v>
      </c>
      <c r="CJ711" s="14">
        <f t="shared" si="283"/>
        <v>48.636000000000003</v>
      </c>
      <c r="CK711" s="14">
        <f t="shared" ca="1" si="284"/>
        <v>129.29069999999993</v>
      </c>
      <c r="CL711" s="17">
        <f t="shared" si="285"/>
        <v>4.4582999999999977</v>
      </c>
      <c r="CM711" s="23">
        <f ca="1">MONTH(TODAY())+25</f>
        <v>29</v>
      </c>
      <c r="CN711" s="14">
        <f t="shared" ca="1" si="286"/>
        <v>664.28669999999988</v>
      </c>
      <c r="CO711" s="14">
        <f>SUM(EG711*0.0052)/2</f>
        <v>414.44</v>
      </c>
      <c r="CP711" s="14">
        <f t="shared" si="287"/>
        <v>41.444000000000003</v>
      </c>
      <c r="CQ711" s="14">
        <f t="shared" ca="1" si="288"/>
        <v>79.779699999999963</v>
      </c>
      <c r="CR711" s="17">
        <f t="shared" si="289"/>
        <v>3.7990333333333317</v>
      </c>
      <c r="CS711" s="23">
        <f ca="1">MONTH(TODAY())+17</f>
        <v>21</v>
      </c>
      <c r="CT711" s="23">
        <f t="shared" ca="1" si="290"/>
        <v>535.66369999999995</v>
      </c>
      <c r="CU711" s="14">
        <f>SUM(EG711*0.0052)/2</f>
        <v>414.44</v>
      </c>
      <c r="CV711" s="14">
        <f t="shared" si="291"/>
        <v>41.444000000000003</v>
      </c>
      <c r="CW711" s="14">
        <f t="shared" ca="1" si="292"/>
        <v>64.583566666666641</v>
      </c>
      <c r="CX711" s="17">
        <f t="shared" si="293"/>
        <v>3.7990333333333317</v>
      </c>
      <c r="CY711" s="23">
        <f ca="1">MONTH(TODAY())+13</f>
        <v>17</v>
      </c>
      <c r="CZ711" s="23">
        <f t="shared" ca="1" si="294"/>
        <v>520.4675666666667</v>
      </c>
      <c r="DA711" s="14">
        <f>SUM(EJ711*0.0045)/2</f>
        <v>474.07499999999999</v>
      </c>
      <c r="DB711" s="14">
        <f t="shared" si="295"/>
        <v>47.407499999999999</v>
      </c>
      <c r="DC711" s="14">
        <f t="shared" ca="1" si="296"/>
        <v>47.802562499999972</v>
      </c>
      <c r="DD711" s="17">
        <f t="shared" si="297"/>
        <v>4.3456874999999977</v>
      </c>
      <c r="DE711" s="23">
        <f ca="1">MONTH(TODAY())+7</f>
        <v>11</v>
      </c>
      <c r="DF711" s="23">
        <f t="shared" ca="1" si="298"/>
        <v>569.28506249999998</v>
      </c>
      <c r="DG711" s="14">
        <f>SUM(EJ711*0.0045)/2</f>
        <v>474.07499999999999</v>
      </c>
      <c r="DH711" s="14">
        <f>SUM(DG711*0.1)</f>
        <v>47.407499999999999</v>
      </c>
      <c r="DI711" s="14">
        <f ca="1">SUM(DJ711*DK711)</f>
        <v>21.728437499999988</v>
      </c>
      <c r="DJ711" s="17">
        <f t="shared" si="299"/>
        <v>4.3456874999999977</v>
      </c>
      <c r="DK711" s="23">
        <f ca="1">MONTH(TODAY())+1</f>
        <v>5</v>
      </c>
      <c r="DL711" s="14">
        <f t="shared" ca="1" si="300"/>
        <v>543.2109375</v>
      </c>
      <c r="DM711" s="14">
        <f>SUM( BQ711, BW711, CC711, CI711, CO711,CU711,DA711,DG711)</f>
        <v>2263.39</v>
      </c>
      <c r="DN711" s="14">
        <f>SUM(BR711,BX711,CD711,CJ711, CP711,CV711,DB711,DH711)</f>
        <v>226.339</v>
      </c>
      <c r="DO711" s="14">
        <f ca="1">SUM(BS711,BY711,CE711,CK711, CQ711,CW711,DC711,DI711)</f>
        <v>343.18496666666647</v>
      </c>
      <c r="DP711" s="25">
        <f ca="1">SUM(DM711:DO711)</f>
        <v>2832.9139666666661</v>
      </c>
      <c r="DQ711" s="47">
        <f ca="1">SUM(DP711/EG711)</f>
        <v>1.7772358636553739E-2</v>
      </c>
      <c r="DR711" s="14">
        <f>40+10</f>
        <v>50</v>
      </c>
      <c r="DS711" s="32">
        <f>COUNTIF(AO711, "*")+COUNTIF(AJ711, "*")+COUNTIF(AA711, "*")+COUNTIF(EU711, "*")+COUNTIF(FA711, "*")+COUNTIF(FG711, "*")+COUNTIF(FK711, "*")+COUNTIF(FR711, "*")+COUNTIF(AT711, "*")+COUNTIF(GA711, "*")+COUNTIF(GL711, "*")+COUNTIF(GW711, "*")+COUNTIF(HE711, "*")+COUNTIF(HM711, "*")+COUNTIF(HU711, "*")</f>
        <v>1</v>
      </c>
      <c r="DT711" s="14">
        <f>DS711*0.64</f>
        <v>0.64</v>
      </c>
      <c r="DU711" s="4"/>
      <c r="DV711" s="4">
        <v>27.96</v>
      </c>
      <c r="DW711" s="4"/>
      <c r="DX711" s="4"/>
      <c r="DZ711" s="4"/>
      <c r="EA711" s="14">
        <f>SUM(DV711:DZ711)</f>
        <v>27.96</v>
      </c>
      <c r="EB711" s="14">
        <f ca="1">SUM(DP711,DR711,EA711, DU711, DT711,FX711)</f>
        <v>2911.513966666666</v>
      </c>
      <c r="EC711" s="24" t="s">
        <v>4944</v>
      </c>
      <c r="ED711" s="130">
        <v>0.62</v>
      </c>
      <c r="EE711" s="14">
        <v>12000</v>
      </c>
      <c r="EF711" s="14">
        <v>147400</v>
      </c>
      <c r="EG711" s="14">
        <f>SUM(EE711+EF711)</f>
        <v>159400</v>
      </c>
      <c r="EH711" s="14">
        <v>18000</v>
      </c>
      <c r="EI711" s="14">
        <v>192700</v>
      </c>
      <c r="EJ711" s="14">
        <f>SUM(EH711+EI711)</f>
        <v>210700</v>
      </c>
      <c r="FX711" s="4"/>
      <c r="HY711" s="9"/>
      <c r="IJ711" s="4"/>
      <c r="IK711" s="4"/>
      <c r="IL711" s="4"/>
      <c r="IM711" s="9"/>
      <c r="IN711" s="9"/>
      <c r="IO711" s="9"/>
      <c r="IP711" s="9"/>
      <c r="IQ711" s="9"/>
    </row>
    <row r="712" spans="1:274" ht="15" customHeight="1">
      <c r="A712" s="19">
        <v>102022193</v>
      </c>
      <c r="B712" t="s">
        <v>2915</v>
      </c>
      <c r="C712" s="10"/>
      <c r="D712" s="159">
        <v>2026</v>
      </c>
      <c r="E712" s="147"/>
      <c r="F712" s="160"/>
      <c r="G712" s="10"/>
      <c r="H712" s="10"/>
      <c r="I712" s="10"/>
      <c r="J712" s="10" t="s">
        <v>554</v>
      </c>
      <c r="K712" s="10" t="s">
        <v>3257</v>
      </c>
      <c r="L712" s="10" t="s">
        <v>996</v>
      </c>
      <c r="M712" s="10" t="s">
        <v>256</v>
      </c>
      <c r="N712" s="10"/>
      <c r="O712" s="10"/>
      <c r="P712" s="10" t="s">
        <v>3257</v>
      </c>
      <c r="Q712" s="10" t="s">
        <v>3263</v>
      </c>
      <c r="R712" s="10"/>
      <c r="S712" s="10"/>
      <c r="T712" s="10"/>
      <c r="U712" s="10"/>
      <c r="V712" s="10"/>
      <c r="W712" s="10"/>
      <c r="X712" s="10"/>
      <c r="Y712" s="10"/>
      <c r="Z712" s="10"/>
      <c r="AA712" s="10"/>
      <c r="AB712" s="10"/>
      <c r="AC712" s="10"/>
      <c r="AD712" s="10"/>
      <c r="AE712" s="10"/>
      <c r="AF712" s="10"/>
      <c r="AG712" s="141"/>
      <c r="AH712" s="10"/>
      <c r="AI712" s="10"/>
      <c r="AJ712" t="s">
        <v>328</v>
      </c>
      <c r="AL712" s="18" t="s">
        <v>344</v>
      </c>
      <c r="AM712"/>
      <c r="AN712"/>
      <c r="AO712" s="3" t="s">
        <v>3264</v>
      </c>
      <c r="AP712" s="3" t="s">
        <v>258</v>
      </c>
      <c r="AQ712" s="18" t="s">
        <v>344</v>
      </c>
      <c r="AR712" t="s">
        <v>260</v>
      </c>
      <c r="AS712" s="1"/>
      <c r="AT712" s="1"/>
      <c r="AU712" s="1"/>
      <c r="AV712" s="1"/>
      <c r="AW712" s="2"/>
      <c r="AY712" s="116"/>
      <c r="AZ712" s="116"/>
      <c r="BA712" s="2"/>
      <c r="BB712" s="2"/>
      <c r="BC712" s="70"/>
      <c r="BD712" s="70"/>
      <c r="BE712" s="9"/>
      <c r="BF712" s="70"/>
      <c r="BG712" s="20"/>
      <c r="BH712" s="21"/>
      <c r="BI712" s="21"/>
      <c r="BJ712" s="48"/>
      <c r="BK712" s="21"/>
      <c r="BL712" s="20">
        <f ca="1">SUM(EH712)+220</f>
        <v>254.56891666666667</v>
      </c>
      <c r="BM712" s="22">
        <f t="shared" ca="1" si="268"/>
        <v>-22.380652169932375</v>
      </c>
      <c r="BN712" s="22">
        <f t="shared" ca="1" si="269"/>
        <v>22.380652169932375</v>
      </c>
      <c r="BO712" s="14">
        <f>SUM(EP712*0.0052)/12</f>
        <v>0.43333333333333335</v>
      </c>
      <c r="BP712" s="22">
        <f t="shared" ca="1" si="270"/>
        <v>22.813985503265709</v>
      </c>
      <c r="BQ712" s="14"/>
      <c r="BR712" s="14">
        <f t="shared" si="271"/>
        <v>0</v>
      </c>
      <c r="BS712" s="14">
        <f t="shared" ca="1" si="272"/>
        <v>0</v>
      </c>
      <c r="BT712" s="17">
        <f t="shared" si="273"/>
        <v>0</v>
      </c>
      <c r="BU712" s="23">
        <f ca="1">MONTH(TODAY())+49</f>
        <v>53</v>
      </c>
      <c r="BV712" s="14">
        <f t="shared" ca="1" si="274"/>
        <v>0</v>
      </c>
      <c r="BW712" s="14">
        <v>0</v>
      </c>
      <c r="BX712" s="14">
        <f t="shared" si="275"/>
        <v>0</v>
      </c>
      <c r="BY712" s="14">
        <f t="shared" ca="1" si="276"/>
        <v>0</v>
      </c>
      <c r="BZ712" s="17">
        <f t="shared" si="277"/>
        <v>0</v>
      </c>
      <c r="CA712" s="23">
        <f ca="1">MONTH(TODAY())+37</f>
        <v>41</v>
      </c>
      <c r="CB712" s="14">
        <f t="shared" ca="1" si="278"/>
        <v>0</v>
      </c>
      <c r="CC712" s="14">
        <v>0</v>
      </c>
      <c r="CD712" s="14">
        <f t="shared" si="279"/>
        <v>0</v>
      </c>
      <c r="CE712" s="14">
        <f t="shared" ca="1" si="280"/>
        <v>0</v>
      </c>
      <c r="CF712" s="17">
        <f t="shared" si="281"/>
        <v>0</v>
      </c>
      <c r="CG712" s="23">
        <f ca="1">MONTH(TODAY())+25</f>
        <v>29</v>
      </c>
      <c r="CH712" s="14">
        <f t="shared" ca="1" si="282"/>
        <v>0</v>
      </c>
      <c r="CI712" s="14">
        <v>0</v>
      </c>
      <c r="CJ712" s="14">
        <f t="shared" si="283"/>
        <v>0</v>
      </c>
      <c r="CK712" s="14">
        <f t="shared" ca="1" si="284"/>
        <v>0</v>
      </c>
      <c r="CL712" s="17">
        <f t="shared" si="285"/>
        <v>0</v>
      </c>
      <c r="CM712" s="23">
        <f ca="1">MONTH(TODAY())+17</f>
        <v>21</v>
      </c>
      <c r="CN712" s="23">
        <f t="shared" ca="1" si="286"/>
        <v>0</v>
      </c>
      <c r="CO712" s="14">
        <f>SUM(EM712*0.0052)/2</f>
        <v>2.6</v>
      </c>
      <c r="CP712" s="14">
        <f t="shared" si="287"/>
        <v>0.26</v>
      </c>
      <c r="CQ712" s="14">
        <f t="shared" ca="1" si="288"/>
        <v>0.40516666666666651</v>
      </c>
      <c r="CR712" s="17">
        <f t="shared" si="289"/>
        <v>2.3833333333333324E-2</v>
      </c>
      <c r="CS712" s="23">
        <f ca="1">MONTH(TODAY())+13</f>
        <v>17</v>
      </c>
      <c r="CT712" s="14">
        <f t="shared" ca="1" si="290"/>
        <v>3.265166666666667</v>
      </c>
      <c r="CU712" s="14">
        <f>SUM(EP712*0.0045)/2</f>
        <v>2.25</v>
      </c>
      <c r="CV712" s="14">
        <f t="shared" si="291"/>
        <v>0.22500000000000001</v>
      </c>
      <c r="CW712" s="14">
        <f t="shared" ca="1" si="292"/>
        <v>0.22687499999999988</v>
      </c>
      <c r="CX712" s="17">
        <f t="shared" si="293"/>
        <v>2.0624999999999991E-2</v>
      </c>
      <c r="CY712" s="23">
        <f ca="1">MONTH(TODAY())+7</f>
        <v>11</v>
      </c>
      <c r="CZ712" s="14">
        <f t="shared" ca="1" si="294"/>
        <v>2.7018749999999998</v>
      </c>
      <c r="DA712" s="14">
        <f>SUM(EP712*0.0045)/2</f>
        <v>2.25</v>
      </c>
      <c r="DB712" s="14">
        <f t="shared" si="295"/>
        <v>0.22500000000000001</v>
      </c>
      <c r="DC712" s="14">
        <f t="shared" ca="1" si="296"/>
        <v>0.10312499999999995</v>
      </c>
      <c r="DD712" s="17">
        <f t="shared" si="297"/>
        <v>2.0624999999999991E-2</v>
      </c>
      <c r="DE712" s="23">
        <f ca="1">MONTH(TODAY())+1</f>
        <v>5</v>
      </c>
      <c r="DF712" s="14">
        <f t="shared" ca="1" si="298"/>
        <v>2.578125</v>
      </c>
      <c r="DG712" s="14">
        <f>SUM(EP712*0.0045)/2</f>
        <v>2.25</v>
      </c>
      <c r="DH712" s="14">
        <f>SUM(DG712*0.1)</f>
        <v>0.22500000000000001</v>
      </c>
      <c r="DI712" s="14">
        <f ca="1">SUM(DJ712*DK712)</f>
        <v>-6.1874999999999972E-2</v>
      </c>
      <c r="DJ712" s="17">
        <f t="shared" si="299"/>
        <v>2.0624999999999991E-2</v>
      </c>
      <c r="DK712" s="23">
        <f ca="1">MONTH(TODAY())-7</f>
        <v>-3</v>
      </c>
      <c r="DL712" s="14">
        <f t="shared" ca="1" si="300"/>
        <v>2.413125</v>
      </c>
      <c r="DM712" s="14">
        <f>SUM(EP712*0.0045)/2</f>
        <v>2.25</v>
      </c>
      <c r="DN712" s="14">
        <f>SUM(DM712*0.1)</f>
        <v>0.22500000000000001</v>
      </c>
      <c r="DO712" s="14">
        <f ca="1">SUM(DP712*DQ712)</f>
        <v>-0.14437499999999992</v>
      </c>
      <c r="DP712" s="17">
        <f>SUM((DM712+DN712)*0.00833333333333333)</f>
        <v>2.0624999999999991E-2</v>
      </c>
      <c r="DQ712" s="23">
        <f ca="1">MONTH(TODAY())-11</f>
        <v>-7</v>
      </c>
      <c r="DR712" s="14">
        <f ca="1">SUM(DM712,DN712,DO712)</f>
        <v>2.3306250000000004</v>
      </c>
      <c r="DS712" s="14">
        <f>SUM(BQ712, BW712, CC712, CI712,CO712,CU712,DA712,DG712,DM712)</f>
        <v>11.6</v>
      </c>
      <c r="DT712" s="14">
        <f t="shared" ref="DT712:DU715" si="301">SUM(BR712,BX712,CD712, CJ712,CP712,CV712,DB712,DH712,DN712)</f>
        <v>1.1599999999999999</v>
      </c>
      <c r="DU712" s="14">
        <f t="shared" ca="1" si="301"/>
        <v>0.52891666666666637</v>
      </c>
      <c r="DV712" s="25">
        <f ca="1">SUM(DS712:DU712)</f>
        <v>13.288916666666665</v>
      </c>
      <c r="DW712" s="47">
        <f ca="1">SUM(DV712/EM712)</f>
        <v>1.3288916666666666E-2</v>
      </c>
      <c r="DX712" s="14">
        <f>20</f>
        <v>20</v>
      </c>
      <c r="DY712" s="32">
        <f>COUNTIF(AO712, "*")+COUNTIF(AJ712, "*")+COUNTIF(AA712, "*")+COUNTIF(FA712, "*")+COUNTIF(FG712, "*")+COUNTIF(FM712, "*")+COUNTIF(FQ712, "*")+COUNTIF(FX712, "*")+COUNTIF(AS712, "*")+COUNTIF(GG712, "*")+COUNTIF(GR712, "*")+COUNTIF(HC712, "*")+COUNTIF(HK712, "*")+COUNTIF(HS712, "*")+COUNTIF(IA712, "*")</f>
        <v>2</v>
      </c>
      <c r="DZ712" s="14">
        <f>DY712*0.64</f>
        <v>1.28</v>
      </c>
      <c r="EA712" s="4"/>
      <c r="EB712" s="25"/>
      <c r="EC712" s="4"/>
      <c r="ED712" s="4"/>
      <c r="EE712" s="4"/>
      <c r="EF712" s="4"/>
      <c r="EG712" s="14">
        <f>SUM(EA712:EF712)</f>
        <v>0</v>
      </c>
      <c r="EH712" s="14">
        <f ca="1">SUM(DV712,DX712,EG712,DZ712,GD712)</f>
        <v>34.568916666666667</v>
      </c>
      <c r="EI712" s="24" t="s">
        <v>4935</v>
      </c>
      <c r="EJ712" s="35">
        <v>0.22</v>
      </c>
      <c r="EK712" s="4">
        <v>1000</v>
      </c>
      <c r="EL712" s="4">
        <v>0</v>
      </c>
      <c r="EM712" s="14">
        <f>SUM(EK712+EL712)</f>
        <v>1000</v>
      </c>
      <c r="EN712" s="4">
        <v>1000</v>
      </c>
      <c r="EO712" s="4">
        <v>0</v>
      </c>
      <c r="EP712" s="14">
        <f>SUM(EN712+EO712)</f>
        <v>1000</v>
      </c>
      <c r="EQ712" s="10"/>
      <c r="ER712" s="10"/>
      <c r="ES712" s="10"/>
      <c r="ET712" s="10"/>
      <c r="EU712" s="10"/>
      <c r="EV712" s="10"/>
      <c r="EW712" s="10"/>
      <c r="EX712" s="10"/>
      <c r="EY712" s="10"/>
      <c r="EZ712" s="10"/>
      <c r="FA712" s="10"/>
      <c r="FB712" s="10"/>
      <c r="FC712" s="10"/>
      <c r="FD712" s="10"/>
      <c r="FE712" s="10"/>
      <c r="FF712" s="10"/>
      <c r="FG712" s="10"/>
      <c r="FH712" s="10"/>
      <c r="FI712" s="10"/>
      <c r="FJ712" s="10"/>
      <c r="FK712" s="10"/>
      <c r="FL712" s="10"/>
      <c r="FM712" s="10"/>
      <c r="FN712" s="10"/>
      <c r="FO712" s="10"/>
      <c r="FP712" s="10"/>
      <c r="FQ712" s="10"/>
      <c r="FR712" s="10"/>
      <c r="FS712" s="10"/>
      <c r="FT712" s="10"/>
      <c r="FU712" s="9"/>
      <c r="FV712" s="10"/>
      <c r="FW712" s="10"/>
      <c r="FX712" s="10"/>
      <c r="FY712" s="10"/>
      <c r="FZ712" s="10"/>
      <c r="GA712" s="10"/>
      <c r="GB712" s="9"/>
      <c r="GC712" s="10"/>
      <c r="GD712" s="10"/>
      <c r="GE712" s="10"/>
      <c r="GF712" s="10"/>
      <c r="GG712" s="10"/>
      <c r="GH712" s="10"/>
      <c r="GI712" s="10"/>
      <c r="GJ712" s="10"/>
      <c r="GK712" s="9"/>
      <c r="GL712" s="10"/>
      <c r="GM712" s="10"/>
      <c r="GN712" s="10"/>
      <c r="GO712" s="10"/>
      <c r="GP712" s="10"/>
      <c r="GQ712" s="10"/>
      <c r="GR712" s="10"/>
      <c r="GS712" s="10"/>
      <c r="GT712" s="10"/>
      <c r="GU712" s="10"/>
      <c r="GV712" s="9"/>
      <c r="GW712" s="10"/>
      <c r="GX712" s="10"/>
      <c r="GY712" s="10"/>
      <c r="GZ712" s="10"/>
      <c r="HA712" s="10"/>
      <c r="HB712" s="10"/>
      <c r="HC712" s="10"/>
      <c r="HD712" s="10"/>
      <c r="HE712" s="10"/>
      <c r="HF712" s="10"/>
      <c r="HG712" s="9"/>
      <c r="HH712" s="10"/>
      <c r="HI712" s="10"/>
      <c r="HJ712" s="10"/>
      <c r="HK712" s="10"/>
      <c r="HL712" s="10"/>
      <c r="HM712" s="10"/>
      <c r="HN712" s="10"/>
      <c r="HO712" s="9"/>
      <c r="HP712" s="10"/>
      <c r="HQ712" s="10"/>
      <c r="HR712" s="10"/>
      <c r="HS712" s="10"/>
      <c r="HT712" s="10"/>
      <c r="HU712" s="10"/>
      <c r="HV712" s="10"/>
      <c r="HW712" s="9"/>
      <c r="HX712" s="10"/>
      <c r="HY712" s="10"/>
      <c r="HZ712" s="10"/>
      <c r="IA712" s="10"/>
      <c r="IB712" s="10"/>
      <c r="IC712" s="10"/>
      <c r="ID712" s="10"/>
      <c r="IE712" s="9"/>
      <c r="IF712" s="4"/>
      <c r="IG712" s="4"/>
      <c r="IH712" s="10"/>
      <c r="II712" s="10"/>
      <c r="IJ712" s="10"/>
      <c r="IK712" s="10"/>
      <c r="IL712" s="4"/>
      <c r="IM712" s="4"/>
      <c r="IN712" s="4"/>
      <c r="IO712" s="4"/>
      <c r="IP712" s="4"/>
      <c r="IQ712" s="9"/>
      <c r="IR712" s="9"/>
      <c r="IS712" s="27">
        <f ca="1">SUM(II712-DE712-FY712-IQ712)</f>
        <v>-5</v>
      </c>
      <c r="IT712" s="9"/>
      <c r="IU712" s="9"/>
      <c r="IV712" t="s">
        <v>5913</v>
      </c>
    </row>
    <row r="713" spans="1:274" s="240" customFormat="1" ht="15" customHeight="1">
      <c r="A713" s="2">
        <v>102024018</v>
      </c>
      <c r="B713" t="s">
        <v>5068</v>
      </c>
      <c r="C713"/>
      <c r="D713" s="1"/>
      <c r="E713"/>
      <c r="F713"/>
      <c r="G713" s="3"/>
      <c r="H713"/>
      <c r="I713"/>
      <c r="J713"/>
      <c r="K713" t="s">
        <v>5337</v>
      </c>
      <c r="L713"/>
      <c r="M713"/>
      <c r="N713"/>
      <c r="O713" s="3"/>
      <c r="P713"/>
      <c r="Q713"/>
      <c r="R713"/>
      <c r="S713"/>
      <c r="T713"/>
      <c r="U713"/>
      <c r="V713"/>
      <c r="W713"/>
      <c r="X713"/>
      <c r="Y713"/>
      <c r="Z713" t="s">
        <v>421</v>
      </c>
      <c r="AA713" t="s">
        <v>5338</v>
      </c>
      <c r="AB713" t="s">
        <v>5339</v>
      </c>
      <c r="AC713"/>
      <c r="AD713"/>
      <c r="AE713"/>
      <c r="AF713"/>
      <c r="AG713" s="43"/>
      <c r="AH713"/>
      <c r="AI713"/>
      <c r="AJ713" t="s">
        <v>328</v>
      </c>
      <c r="AK713" s="1"/>
      <c r="AL713" t="s">
        <v>259</v>
      </c>
      <c r="AM713"/>
      <c r="AN713"/>
      <c r="AO713" t="s">
        <v>5659</v>
      </c>
      <c r="AP713" s="1" t="s">
        <v>258</v>
      </c>
      <c r="AQ713" t="s">
        <v>5660</v>
      </c>
      <c r="AR713"/>
      <c r="AS713" s="10"/>
      <c r="AT713" s="10"/>
      <c r="AU713" s="10"/>
      <c r="AV713" s="10"/>
      <c r="AW713" s="10"/>
      <c r="AX713" s="1"/>
      <c r="AY713" s="1"/>
      <c r="AZ713" s="1" t="s">
        <v>258</v>
      </c>
      <c r="BA713" s="1"/>
      <c r="BB713" s="1"/>
      <c r="BC713" s="70">
        <v>45422</v>
      </c>
      <c r="BD713" s="115">
        <v>45382</v>
      </c>
      <c r="BE713" s="144">
        <v>45391</v>
      </c>
      <c r="BF713" s="2"/>
      <c r="BG713" s="2"/>
      <c r="BH713" s="2"/>
      <c r="BI713" s="2"/>
      <c r="BJ713" s="2"/>
      <c r="BK713" s="2"/>
      <c r="BL713" s="20">
        <f ca="1">SUM(EH713)+220</f>
        <v>1057.6215999999999</v>
      </c>
      <c r="BM713" s="22">
        <f t="shared" ca="1" si="268"/>
        <v>-92.981741317622308</v>
      </c>
      <c r="BN713" s="22">
        <f t="shared" ca="1" si="269"/>
        <v>92.981741317622308</v>
      </c>
      <c r="BO713" s="14">
        <f>SUM(EP713*0.0052)/12</f>
        <v>5.72</v>
      </c>
      <c r="BP713" s="22">
        <f t="shared" ca="1" si="270"/>
        <v>98.701741317622307</v>
      </c>
      <c r="BQ713" s="14"/>
      <c r="BR713" s="14">
        <f t="shared" si="271"/>
        <v>0</v>
      </c>
      <c r="BS713" s="14">
        <f t="shared" ca="1" si="272"/>
        <v>0</v>
      </c>
      <c r="BT713" s="17">
        <f t="shared" si="273"/>
        <v>0</v>
      </c>
      <c r="BU713" s="23">
        <f ca="1">MONTH(TODAY())+49</f>
        <v>53</v>
      </c>
      <c r="BV713" s="14">
        <f t="shared" ca="1" si="274"/>
        <v>0</v>
      </c>
      <c r="BW713" s="14">
        <v>0</v>
      </c>
      <c r="BX713" s="14">
        <f t="shared" si="275"/>
        <v>0</v>
      </c>
      <c r="BY713" s="14">
        <f t="shared" ca="1" si="276"/>
        <v>0</v>
      </c>
      <c r="BZ713" s="17">
        <f t="shared" si="277"/>
        <v>0</v>
      </c>
      <c r="CA713" s="23">
        <f ca="1">MONTH(TODAY())+37</f>
        <v>41</v>
      </c>
      <c r="CB713" s="14">
        <f t="shared" ca="1" si="278"/>
        <v>0</v>
      </c>
      <c r="CC713" s="14">
        <f>SUM(EM713*0.0052)</f>
        <v>40.04</v>
      </c>
      <c r="CD713" s="14">
        <f t="shared" si="279"/>
        <v>4.0040000000000004</v>
      </c>
      <c r="CE713" s="14">
        <f t="shared" ca="1" si="280"/>
        <v>10.643966666666662</v>
      </c>
      <c r="CF713" s="17">
        <f t="shared" si="281"/>
        <v>0.36703333333333316</v>
      </c>
      <c r="CG713" s="23">
        <f ca="1">MONTH(TODAY())+25</f>
        <v>29</v>
      </c>
      <c r="CH713" s="14">
        <f t="shared" ca="1" si="282"/>
        <v>54.687966666666661</v>
      </c>
      <c r="CI713" s="14">
        <f>SUM(EM713*0.0052)/2</f>
        <v>20.02</v>
      </c>
      <c r="CJ713" s="14">
        <f t="shared" si="283"/>
        <v>2.0020000000000002</v>
      </c>
      <c r="CK713" s="14">
        <f t="shared" ca="1" si="284"/>
        <v>3.8538499999999982</v>
      </c>
      <c r="CL713" s="17">
        <f t="shared" si="285"/>
        <v>0.18351666666666658</v>
      </c>
      <c r="CM713" s="23">
        <f ca="1">MONTH(TODAY())+17</f>
        <v>21</v>
      </c>
      <c r="CN713" s="23">
        <f t="shared" ca="1" si="286"/>
        <v>25.875849999999996</v>
      </c>
      <c r="CO713" s="14">
        <f>SUM(EM713*0.0052)/2</f>
        <v>20.02</v>
      </c>
      <c r="CP713" s="14">
        <f t="shared" si="287"/>
        <v>2.0020000000000002</v>
      </c>
      <c r="CQ713" s="14">
        <f t="shared" ca="1" si="288"/>
        <v>3.119783333333332</v>
      </c>
      <c r="CR713" s="17">
        <f t="shared" si="289"/>
        <v>0.18351666666666658</v>
      </c>
      <c r="CS713" s="23">
        <f ca="1">MONTH(TODAY())+13</f>
        <v>17</v>
      </c>
      <c r="CT713" s="23">
        <f t="shared" ca="1" si="290"/>
        <v>25.141783333333329</v>
      </c>
      <c r="CU713" s="14">
        <f>SUM(EP713*0.0045)/2</f>
        <v>29.7</v>
      </c>
      <c r="CV713" s="14">
        <f t="shared" si="291"/>
        <v>2.97</v>
      </c>
      <c r="CW713" s="14">
        <f t="shared" ca="1" si="292"/>
        <v>2.9947499999999989</v>
      </c>
      <c r="CX713" s="17">
        <f t="shared" si="293"/>
        <v>0.27224999999999988</v>
      </c>
      <c r="CY713" s="23">
        <f ca="1">MONTH(TODAY())+7</f>
        <v>11</v>
      </c>
      <c r="CZ713" s="23">
        <f t="shared" ca="1" si="294"/>
        <v>35.664749999999998</v>
      </c>
      <c r="DA713" s="14">
        <f>SUM(EP713*0.0045)/2</f>
        <v>29.7</v>
      </c>
      <c r="DB713" s="14">
        <f t="shared" si="295"/>
        <v>2.97</v>
      </c>
      <c r="DC713" s="14">
        <f t="shared" ca="1" si="296"/>
        <v>1.3612499999999994</v>
      </c>
      <c r="DD713" s="17">
        <f t="shared" si="297"/>
        <v>0.27224999999999988</v>
      </c>
      <c r="DE713" s="23">
        <f ca="1">MONTH(TODAY())+1</f>
        <v>5</v>
      </c>
      <c r="DF713" s="14">
        <f t="shared" ca="1" si="298"/>
        <v>34.03125</v>
      </c>
      <c r="DG713" s="14">
        <f>SUM(EP713*0.0045)/2</f>
        <v>29.7</v>
      </c>
      <c r="DH713" s="14">
        <f>0</f>
        <v>0</v>
      </c>
      <c r="DI713" s="14">
        <f>0</f>
        <v>0</v>
      </c>
      <c r="DJ713" s="17">
        <f t="shared" si="299"/>
        <v>0.24749999999999989</v>
      </c>
      <c r="DK713" s="23">
        <f ca="1">MONTH(TODAY())+7</f>
        <v>11</v>
      </c>
      <c r="DL713" s="23">
        <f t="shared" si="300"/>
        <v>29.7</v>
      </c>
      <c r="DM713" s="14">
        <f>0</f>
        <v>0</v>
      </c>
      <c r="DN713" s="14">
        <f>0</f>
        <v>0</v>
      </c>
      <c r="DO713" s="14">
        <f ca="1">SUM(DP713*DQ713)</f>
        <v>0</v>
      </c>
      <c r="DP713" s="17">
        <f>SUM((DM713+DN713)*0.00833333333333333)</f>
        <v>0</v>
      </c>
      <c r="DQ713" s="23">
        <f ca="1">MONTH(TODAY())+1</f>
        <v>5</v>
      </c>
      <c r="DR713" s="14">
        <f ca="1">SUM(DM713,DN713,DO713)</f>
        <v>0</v>
      </c>
      <c r="DS713" s="14">
        <f>SUM(BQ713, BW713, CC713, CI713,CO713,CU713,DA713,DG713,DM713)</f>
        <v>169.17999999999998</v>
      </c>
      <c r="DT713" s="14">
        <f t="shared" si="301"/>
        <v>13.948000000000002</v>
      </c>
      <c r="DU713" s="14">
        <f t="shared" ca="1" si="301"/>
        <v>21.97359999999999</v>
      </c>
      <c r="DV713" s="25">
        <f ca="1">SUM(DS713:DU713)</f>
        <v>205.10159999999996</v>
      </c>
      <c r="DW713" s="47">
        <f ca="1">SUM(DV713/EM713)</f>
        <v>2.6636571428571423E-2</v>
      </c>
      <c r="DX713" s="14">
        <f>40+10+200+200+40+40+40</f>
        <v>570</v>
      </c>
      <c r="DY713" s="32">
        <f>COUNTIF(AO713, "*")+COUNTIF(AJ713, "*")+COUNTIF(AA713, "*")+COUNTIF(FA713, "*")+COUNTIF(FG713, "*")+COUNTIF(FM713, "*")+COUNTIF(FQ713, "*")+COUNTIF(FX713, "*")+COUNTIF(AT713, "*")+COUNTIF(GG713, "*")+COUNTIF(GR713, "*")+COUNTIF(HC713, "*")+COUNTIF(HK713, "*")+COUNTIF(HS713, "*")+COUNTIF(IA713, "*")</f>
        <v>4</v>
      </c>
      <c r="DZ713" s="14">
        <f>DY713*0.64+DY713*8</f>
        <v>34.56</v>
      </c>
      <c r="EA713" s="4">
        <v>0</v>
      </c>
      <c r="EB713" s="4">
        <v>27.96</v>
      </c>
      <c r="EC713" s="4"/>
      <c r="ED713" s="4"/>
      <c r="EE713"/>
      <c r="EF713" s="4"/>
      <c r="EG713" s="14">
        <f>SUM(EB713:EF713)</f>
        <v>27.96</v>
      </c>
      <c r="EH713" s="14">
        <f ca="1">SUM(DV713,DX713,EG713, EA713, DZ713,GD713)</f>
        <v>837.62159999999994</v>
      </c>
      <c r="EI713" s="24" t="s">
        <v>4944</v>
      </c>
      <c r="EJ713" s="130">
        <v>3.54</v>
      </c>
      <c r="EK713" s="14">
        <v>7700</v>
      </c>
      <c r="EL713" s="14">
        <v>0</v>
      </c>
      <c r="EM713" s="14">
        <f>SUM(EK713+EL713)</f>
        <v>7700</v>
      </c>
      <c r="EN713" s="14">
        <v>13200</v>
      </c>
      <c r="EO713" s="14">
        <v>0</v>
      </c>
      <c r="EP713" s="14">
        <f>SUM(EN713+EO713)</f>
        <v>13200</v>
      </c>
      <c r="EQ713" s="10" t="s">
        <v>5129</v>
      </c>
      <c r="ER713" s="10" t="s">
        <v>5130</v>
      </c>
      <c r="ES713" s="10"/>
      <c r="ET713" s="10"/>
      <c r="EU713" s="10"/>
      <c r="EV713" s="10"/>
      <c r="EW713" s="10"/>
      <c r="EX713" s="10"/>
      <c r="EY713" t="s">
        <v>5127</v>
      </c>
      <c r="EZ713"/>
      <c r="FA713" t="s">
        <v>5340</v>
      </c>
      <c r="FB713"/>
      <c r="FC713" t="s">
        <v>5341</v>
      </c>
      <c r="FD713"/>
      <c r="FE713"/>
      <c r="FF713"/>
      <c r="FG713"/>
      <c r="FH713"/>
      <c r="FI713"/>
      <c r="FJ713"/>
      <c r="FK713"/>
      <c r="FL713"/>
      <c r="FM713"/>
      <c r="FN713"/>
      <c r="FO713"/>
      <c r="FP713"/>
      <c r="FQ713"/>
      <c r="FR713"/>
      <c r="FS713"/>
      <c r="FT713"/>
      <c r="FU713"/>
      <c r="FV713"/>
      <c r="FW713"/>
      <c r="FX713"/>
      <c r="FY713"/>
      <c r="FZ713"/>
      <c r="GA713"/>
      <c r="GB713"/>
      <c r="GC713"/>
      <c r="GD713" s="4"/>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s="9"/>
      <c r="IF713"/>
      <c r="IG713"/>
      <c r="IH713"/>
      <c r="II713"/>
      <c r="IJ713"/>
      <c r="IK713"/>
      <c r="IL713"/>
      <c r="IM713"/>
      <c r="IN713" s="4"/>
      <c r="IO713" s="4"/>
      <c r="IP713" s="4"/>
      <c r="IQ713" s="9"/>
      <c r="IR713" s="9"/>
      <c r="IS713" s="9"/>
      <c r="IT713" s="9"/>
      <c r="IU713" s="9"/>
      <c r="IV713"/>
      <c r="IW713"/>
      <c r="IX713"/>
      <c r="IY713"/>
      <c r="IZ713"/>
      <c r="JA713"/>
      <c r="JB713"/>
      <c r="JC713"/>
      <c r="JD713"/>
      <c r="JE713"/>
      <c r="JF713"/>
      <c r="JG713"/>
      <c r="JH713"/>
      <c r="JI713"/>
      <c r="JJ713"/>
      <c r="JK713"/>
      <c r="JL713"/>
      <c r="JM713"/>
      <c r="JN713"/>
    </row>
    <row r="714" spans="1:274" ht="15" customHeight="1">
      <c r="A714" s="2">
        <v>102024017</v>
      </c>
      <c r="B714" t="s">
        <v>5067</v>
      </c>
      <c r="D714" s="1"/>
      <c r="G714" s="3"/>
      <c r="K714" t="s">
        <v>5337</v>
      </c>
      <c r="O714" s="3"/>
      <c r="Z714" t="s">
        <v>421</v>
      </c>
      <c r="AA714" t="s">
        <v>5338</v>
      </c>
      <c r="AB714" t="s">
        <v>5339</v>
      </c>
      <c r="AG714" s="43"/>
      <c r="AJ714" t="s">
        <v>328</v>
      </c>
      <c r="AK714" s="1"/>
      <c r="AL714" t="s">
        <v>259</v>
      </c>
      <c r="AM714"/>
      <c r="AN714"/>
      <c r="AO714" t="s">
        <v>5659</v>
      </c>
      <c r="AP714" s="1" t="s">
        <v>258</v>
      </c>
      <c r="AQ714" t="s">
        <v>5660</v>
      </c>
      <c r="AR714"/>
      <c r="AS714" s="10"/>
      <c r="AT714" s="10"/>
      <c r="AU714" s="10"/>
      <c r="AV714" s="10"/>
      <c r="AW714" s="10"/>
      <c r="AX714" s="1"/>
      <c r="AY714" s="1"/>
      <c r="AZ714" s="1" t="s">
        <v>258</v>
      </c>
      <c r="BA714" s="1"/>
      <c r="BB714" s="1"/>
      <c r="BC714" s="70">
        <v>45422</v>
      </c>
      <c r="BD714" s="115">
        <v>45382</v>
      </c>
      <c r="BE714" s="144">
        <v>45391</v>
      </c>
      <c r="BF714" s="2"/>
      <c r="BG714" s="2"/>
      <c r="BH714" s="2"/>
      <c r="BI714" s="2"/>
      <c r="BJ714" s="2"/>
      <c r="BK714" s="2"/>
      <c r="BL714" s="20">
        <f ca="1">SUM(EH714)+220</f>
        <v>993.04840000000013</v>
      </c>
      <c r="BM714" s="22">
        <f t="shared" ca="1" si="268"/>
        <v>-87.304731148341475</v>
      </c>
      <c r="BN714" s="22">
        <f t="shared" ca="1" si="269"/>
        <v>87.304731148341475</v>
      </c>
      <c r="BO714" s="14">
        <f>SUM(EP714*0.0052)/12</f>
        <v>3.9</v>
      </c>
      <c r="BP714" s="22">
        <f t="shared" ca="1" si="270"/>
        <v>91.20473114834148</v>
      </c>
      <c r="BQ714" s="14"/>
      <c r="BR714" s="14">
        <f t="shared" si="271"/>
        <v>0</v>
      </c>
      <c r="BS714" s="14">
        <f t="shared" ca="1" si="272"/>
        <v>0</v>
      </c>
      <c r="BT714" s="17">
        <f t="shared" si="273"/>
        <v>0</v>
      </c>
      <c r="BU714" s="23">
        <f ca="1">MONTH(TODAY())+49</f>
        <v>53</v>
      </c>
      <c r="BV714" s="14">
        <f t="shared" ca="1" si="274"/>
        <v>0</v>
      </c>
      <c r="BW714" s="14">
        <v>0</v>
      </c>
      <c r="BX714" s="14">
        <f t="shared" si="275"/>
        <v>0</v>
      </c>
      <c r="BY714" s="14">
        <f t="shared" ca="1" si="276"/>
        <v>0</v>
      </c>
      <c r="BZ714" s="17">
        <f t="shared" si="277"/>
        <v>0</v>
      </c>
      <c r="CA714" s="23">
        <f ca="1">MONTH(TODAY())+37</f>
        <v>41</v>
      </c>
      <c r="CB714" s="14">
        <f t="shared" ca="1" si="278"/>
        <v>0</v>
      </c>
      <c r="CC714" s="14">
        <f>SUM(EM714*0.0052)</f>
        <v>27.56</v>
      </c>
      <c r="CD714" s="14">
        <f t="shared" si="279"/>
        <v>2.7560000000000002</v>
      </c>
      <c r="CE714" s="14">
        <f t="shared" ca="1" si="280"/>
        <v>7.3263666666666634</v>
      </c>
      <c r="CF714" s="17">
        <f t="shared" si="281"/>
        <v>0.25263333333333321</v>
      </c>
      <c r="CG714" s="23">
        <f ca="1">MONTH(TODAY())+25</f>
        <v>29</v>
      </c>
      <c r="CH714" s="14">
        <f t="shared" ca="1" si="282"/>
        <v>37.642366666666661</v>
      </c>
      <c r="CI714" s="14">
        <f>SUM(EM714*0.0052)/2</f>
        <v>13.78</v>
      </c>
      <c r="CJ714" s="14">
        <f t="shared" si="283"/>
        <v>1.3780000000000001</v>
      </c>
      <c r="CK714" s="14">
        <f t="shared" ca="1" si="284"/>
        <v>2.6526499999999986</v>
      </c>
      <c r="CL714" s="17">
        <f t="shared" si="285"/>
        <v>0.1263166666666666</v>
      </c>
      <c r="CM714" s="23">
        <f ca="1">MONTH(TODAY())+17</f>
        <v>21</v>
      </c>
      <c r="CN714" s="23">
        <f t="shared" ca="1" si="286"/>
        <v>17.810649999999999</v>
      </c>
      <c r="CO714" s="14">
        <f>SUM(EM714*0.0052)/2</f>
        <v>13.78</v>
      </c>
      <c r="CP714" s="14">
        <f t="shared" si="287"/>
        <v>1.3780000000000001</v>
      </c>
      <c r="CQ714" s="14">
        <f t="shared" ca="1" si="288"/>
        <v>2.1473833333333321</v>
      </c>
      <c r="CR714" s="17">
        <f t="shared" si="289"/>
        <v>0.1263166666666666</v>
      </c>
      <c r="CS714" s="23">
        <f ca="1">MONTH(TODAY())+13</f>
        <v>17</v>
      </c>
      <c r="CT714" s="23">
        <f t="shared" ca="1" si="290"/>
        <v>17.305383333333332</v>
      </c>
      <c r="CU714" s="14">
        <f>SUM(EP714*0.0045)/2</f>
        <v>20.25</v>
      </c>
      <c r="CV714" s="14">
        <f t="shared" si="291"/>
        <v>2.0249999999999999</v>
      </c>
      <c r="CW714" s="14">
        <f t="shared" ca="1" si="292"/>
        <v>2.0418749999999988</v>
      </c>
      <c r="CX714" s="17">
        <f t="shared" si="293"/>
        <v>0.1856249999999999</v>
      </c>
      <c r="CY714" s="23">
        <f ca="1">MONTH(TODAY())+7</f>
        <v>11</v>
      </c>
      <c r="CZ714" s="23">
        <f t="shared" ca="1" si="294"/>
        <v>24.316874999999996</v>
      </c>
      <c r="DA714" s="14">
        <f>SUM(EP714*0.0045)/2</f>
        <v>20.25</v>
      </c>
      <c r="DB714" s="14">
        <f t="shared" si="295"/>
        <v>2.0249999999999999</v>
      </c>
      <c r="DC714" s="14">
        <f t="shared" ca="1" si="296"/>
        <v>0.92812499999999953</v>
      </c>
      <c r="DD714" s="17">
        <f t="shared" si="297"/>
        <v>0.1856249999999999</v>
      </c>
      <c r="DE714" s="23">
        <f ca="1">MONTH(TODAY())+1</f>
        <v>5</v>
      </c>
      <c r="DF714" s="14">
        <f t="shared" ca="1" si="298"/>
        <v>23.203124999999996</v>
      </c>
      <c r="DG714" s="14">
        <f>SUM(EP714*0.0045)/2</f>
        <v>20.25</v>
      </c>
      <c r="DH714" s="14">
        <f>0</f>
        <v>0</v>
      </c>
      <c r="DI714" s="14">
        <f>0</f>
        <v>0</v>
      </c>
      <c r="DJ714" s="17">
        <f t="shared" si="299"/>
        <v>0.16874999999999993</v>
      </c>
      <c r="DK714" s="23">
        <f ca="1">MONTH(TODAY())+7</f>
        <v>11</v>
      </c>
      <c r="DL714" s="23">
        <f t="shared" si="300"/>
        <v>20.25</v>
      </c>
      <c r="DM714" s="14">
        <f>0</f>
        <v>0</v>
      </c>
      <c r="DN714" s="14">
        <f>0</f>
        <v>0</v>
      </c>
      <c r="DO714" s="14">
        <f ca="1">SUM(DP714*DQ714)</f>
        <v>0</v>
      </c>
      <c r="DP714" s="17">
        <f>SUM((DM714+DN714)*0.00833333333333333)</f>
        <v>0</v>
      </c>
      <c r="DQ714" s="23">
        <f ca="1">MONTH(TODAY())+1</f>
        <v>5</v>
      </c>
      <c r="DR714" s="14">
        <f ca="1">SUM(DM714,DN714,DO714)</f>
        <v>0</v>
      </c>
      <c r="DS714" s="14">
        <f>SUM(BQ714, BW714, CC714, CI714,CO714,CU714,DA714,DG714,DM714)</f>
        <v>115.87</v>
      </c>
      <c r="DT714" s="14">
        <f t="shared" si="301"/>
        <v>9.5620000000000012</v>
      </c>
      <c r="DU714" s="14">
        <f t="shared" ca="1" si="301"/>
        <v>15.096399999999994</v>
      </c>
      <c r="DV714" s="25">
        <f ca="1">SUM(DS714:DU714)</f>
        <v>140.5284</v>
      </c>
      <c r="DW714" s="47">
        <f ca="1">SUM(DV714/EM714)</f>
        <v>2.6514792452830189E-2</v>
      </c>
      <c r="DX714" s="14">
        <f>40+10+200+200+40+40+40</f>
        <v>570</v>
      </c>
      <c r="DY714" s="32">
        <f>COUNTIF(AO714, "*")+COUNTIF(AJ714, "*")+COUNTIF(AA714, "*")+COUNTIF(FA714, "*")+COUNTIF(FG714, "*")+COUNTIF(FM714, "*")+COUNTIF(FQ714, "*")+COUNTIF(FX714, "*")+COUNTIF(AT714, "*")+COUNTIF(GG714, "*")+COUNTIF(GR714, "*")+COUNTIF(HC714, "*")+COUNTIF(HK714, "*")+COUNTIF(HS714, "*")+COUNTIF(IA714, "*")</f>
        <v>4</v>
      </c>
      <c r="DZ714" s="14">
        <f>DY714*0.64+DY714*8</f>
        <v>34.56</v>
      </c>
      <c r="EA714" s="4">
        <v>0</v>
      </c>
      <c r="EB714" s="4">
        <v>27.96</v>
      </c>
      <c r="EC714" s="4"/>
      <c r="ED714" s="4"/>
      <c r="EF714" s="4"/>
      <c r="EG714" s="14">
        <f>SUM(EB714:EF714)</f>
        <v>27.96</v>
      </c>
      <c r="EH714" s="14">
        <f ca="1">SUM(DV714,DX714,EG714, EA714, DZ714,GD714)</f>
        <v>773.04840000000013</v>
      </c>
      <c r="EI714" s="24" t="s">
        <v>4944</v>
      </c>
      <c r="EJ714" s="130">
        <v>2.2200000000000002</v>
      </c>
      <c r="EK714" s="14">
        <v>5300</v>
      </c>
      <c r="EL714" s="14">
        <v>0</v>
      </c>
      <c r="EM714" s="14">
        <f>SUM(EK714+EL714)</f>
        <v>5300</v>
      </c>
      <c r="EN714" s="14">
        <v>9000</v>
      </c>
      <c r="EO714" s="14">
        <v>0</v>
      </c>
      <c r="EP714" s="14">
        <f>SUM(EN714+EO714)</f>
        <v>9000</v>
      </c>
      <c r="EQ714" s="10" t="s">
        <v>5128</v>
      </c>
      <c r="ER714" s="10" t="s">
        <v>5336</v>
      </c>
      <c r="ES714" s="10"/>
      <c r="ET714" s="10"/>
      <c r="EU714" s="10"/>
      <c r="EV714" s="10"/>
      <c r="EW714" s="10"/>
      <c r="EX714" s="10"/>
      <c r="EY714" t="s">
        <v>5127</v>
      </c>
      <c r="FA714" t="s">
        <v>5340</v>
      </c>
      <c r="FC714" t="s">
        <v>5341</v>
      </c>
      <c r="GD714" s="4"/>
      <c r="IE714" s="9"/>
      <c r="IN714" s="4"/>
      <c r="IO714" s="4"/>
      <c r="IP714" s="4"/>
      <c r="IQ714" s="9"/>
      <c r="IR714" s="9"/>
      <c r="IS714" s="9"/>
      <c r="IT714" s="9"/>
      <c r="IU714" s="9"/>
    </row>
    <row r="715" spans="1:274" ht="15" customHeight="1">
      <c r="A715">
        <v>102024002</v>
      </c>
      <c r="B715" t="s">
        <v>5037</v>
      </c>
      <c r="D715" s="1">
        <v>2025</v>
      </c>
      <c r="E715" s="3"/>
      <c r="F715" s="2"/>
      <c r="G715" s="3"/>
      <c r="J715" s="18" t="s">
        <v>311</v>
      </c>
      <c r="K715" s="18" t="s">
        <v>1050</v>
      </c>
      <c r="L715" s="18" t="s">
        <v>577</v>
      </c>
      <c r="M715" s="18" t="s">
        <v>354</v>
      </c>
      <c r="O715" s="3"/>
      <c r="AG715" s="43"/>
      <c r="AJ715" s="18" t="s">
        <v>328</v>
      </c>
      <c r="AK715" s="1"/>
      <c r="AL715" s="18" t="s">
        <v>259</v>
      </c>
      <c r="AM715"/>
      <c r="AN715"/>
      <c r="AO715" t="s">
        <v>4472</v>
      </c>
      <c r="AP715" s="1" t="s">
        <v>258</v>
      </c>
      <c r="AQ715" t="s">
        <v>344</v>
      </c>
      <c r="AR715" t="s">
        <v>260</v>
      </c>
      <c r="AX715" s="1"/>
      <c r="AY715" s="1"/>
      <c r="AZ715" s="1"/>
      <c r="BA715" s="1"/>
      <c r="BB715" s="1"/>
      <c r="BC715" s="70"/>
      <c r="BD715" s="115"/>
      <c r="BE715" s="144"/>
      <c r="BF715" s="70"/>
      <c r="BG715" s="2"/>
      <c r="BH715" s="70"/>
      <c r="BI715" s="70"/>
      <c r="BJ715" s="70"/>
      <c r="BK715" s="70"/>
      <c r="BL715" s="20">
        <f ca="1">SUM(EH715)+220</f>
        <v>413.36998749999998</v>
      </c>
      <c r="BM715" s="22">
        <f t="shared" ca="1" si="268"/>
        <v>-36.341789205320474</v>
      </c>
      <c r="BN715" s="22">
        <f t="shared" ca="1" si="269"/>
        <v>36.341789205320474</v>
      </c>
      <c r="BO715" s="14">
        <f>SUM(EP715*0.0052)/12</f>
        <v>3.0766666666666667</v>
      </c>
      <c r="BP715" s="22">
        <f t="shared" ca="1" si="270"/>
        <v>39.418455871987142</v>
      </c>
      <c r="BQ715" s="14"/>
      <c r="BR715" s="14">
        <f t="shared" si="271"/>
        <v>0</v>
      </c>
      <c r="BS715" s="14">
        <f t="shared" ca="1" si="272"/>
        <v>0</v>
      </c>
      <c r="BT715" s="17">
        <f t="shared" si="273"/>
        <v>0</v>
      </c>
      <c r="BU715" s="23">
        <f ca="1">MONTH(TODAY())+49</f>
        <v>53</v>
      </c>
      <c r="BV715" s="14">
        <f t="shared" ca="1" si="274"/>
        <v>0</v>
      </c>
      <c r="BW715" s="14">
        <v>0</v>
      </c>
      <c r="BX715" s="14">
        <f t="shared" si="275"/>
        <v>0</v>
      </c>
      <c r="BY715" s="14">
        <f t="shared" ca="1" si="276"/>
        <v>0</v>
      </c>
      <c r="BZ715" s="17">
        <f t="shared" si="277"/>
        <v>0</v>
      </c>
      <c r="CA715" s="23">
        <f ca="1">MONTH(TODAY())+37</f>
        <v>41</v>
      </c>
      <c r="CB715" s="14">
        <f t="shared" ca="1" si="278"/>
        <v>0</v>
      </c>
      <c r="CC715" s="14">
        <f>SUM(EM715*0.0052)</f>
        <v>36.92</v>
      </c>
      <c r="CD715" s="14">
        <f t="shared" si="279"/>
        <v>3.6920000000000002</v>
      </c>
      <c r="CE715" s="14">
        <f t="shared" ca="1" si="280"/>
        <v>9.8145666666666624</v>
      </c>
      <c r="CF715" s="17">
        <f t="shared" si="281"/>
        <v>0.3384333333333332</v>
      </c>
      <c r="CG715" s="23">
        <f ca="1">MONTH(TODAY())+25</f>
        <v>29</v>
      </c>
      <c r="CH715" s="14">
        <f t="shared" ca="1" si="282"/>
        <v>50.426566666666666</v>
      </c>
      <c r="CI715" s="14">
        <f>SUM(EM715*0.0052)/2</f>
        <v>18.46</v>
      </c>
      <c r="CJ715" s="14">
        <f t="shared" si="283"/>
        <v>1.8460000000000001</v>
      </c>
      <c r="CK715" s="14">
        <f t="shared" ca="1" si="284"/>
        <v>3.5535499999999987</v>
      </c>
      <c r="CL715" s="17">
        <f t="shared" si="285"/>
        <v>0.1692166666666666</v>
      </c>
      <c r="CM715" s="23">
        <f ca="1">MONTH(TODAY())+17</f>
        <v>21</v>
      </c>
      <c r="CN715" s="23">
        <f t="shared" ca="1" si="286"/>
        <v>23.859549999999999</v>
      </c>
      <c r="CO715" s="14">
        <f>SUM(EM715*0.0052)/2</f>
        <v>18.46</v>
      </c>
      <c r="CP715" s="14">
        <f t="shared" si="287"/>
        <v>1.8460000000000001</v>
      </c>
      <c r="CQ715" s="14">
        <f t="shared" ca="1" si="288"/>
        <v>2.8766833333333324</v>
      </c>
      <c r="CR715" s="17">
        <f t="shared" si="289"/>
        <v>0.1692166666666666</v>
      </c>
      <c r="CS715" s="23">
        <f ca="1">MONTH(TODAY())+13</f>
        <v>17</v>
      </c>
      <c r="CT715" s="14">
        <f t="shared" ca="1" si="290"/>
        <v>23.182683333333333</v>
      </c>
      <c r="CU715" s="14">
        <f>SUM(EP715*0.0045)/2</f>
        <v>15.975</v>
      </c>
      <c r="CV715" s="14">
        <f t="shared" si="291"/>
        <v>1.5975000000000001</v>
      </c>
      <c r="CW715" s="14">
        <f t="shared" ca="1" si="292"/>
        <v>1.6108124999999991</v>
      </c>
      <c r="CX715" s="17">
        <f t="shared" si="293"/>
        <v>0.14643749999999991</v>
      </c>
      <c r="CY715" s="23">
        <f ca="1">MONTH(TODAY())+7</f>
        <v>11</v>
      </c>
      <c r="CZ715" s="14">
        <f t="shared" ca="1" si="294"/>
        <v>19.183312499999996</v>
      </c>
      <c r="DA715" s="14">
        <f>SUM(EP715*0.0045)/2</f>
        <v>15.975</v>
      </c>
      <c r="DB715" s="14">
        <f t="shared" si="295"/>
        <v>1.5975000000000001</v>
      </c>
      <c r="DC715" s="14">
        <f t="shared" ca="1" si="296"/>
        <v>0.73218749999999955</v>
      </c>
      <c r="DD715" s="17">
        <f t="shared" si="297"/>
        <v>0.14643749999999991</v>
      </c>
      <c r="DE715" s="23">
        <f ca="1">MONTH(TODAY())+1</f>
        <v>5</v>
      </c>
      <c r="DF715" s="14">
        <f t="shared" ca="1" si="298"/>
        <v>18.304687499999996</v>
      </c>
      <c r="DG715" s="14">
        <f>SUM(EP715*0.0045)/2</f>
        <v>15.975</v>
      </c>
      <c r="DH715" s="14">
        <f>SUM(DG715*0.1)</f>
        <v>1.5975000000000001</v>
      </c>
      <c r="DI715" s="14">
        <f ca="1">SUM(DJ715*DK715)</f>
        <v>-0.43931249999999977</v>
      </c>
      <c r="DJ715" s="17">
        <f t="shared" si="299"/>
        <v>0.14643749999999991</v>
      </c>
      <c r="DK715" s="23">
        <f ca="1">MONTH(TODAY())-7</f>
        <v>-3</v>
      </c>
      <c r="DL715" s="14">
        <f t="shared" ca="1" si="300"/>
        <v>17.133187499999998</v>
      </c>
      <c r="DM715" s="14">
        <f>0</f>
        <v>0</v>
      </c>
      <c r="DN715" s="14">
        <f>0</f>
        <v>0</v>
      </c>
      <c r="DO715" s="14">
        <f ca="1">SUM(DP715*DQ715)</f>
        <v>0</v>
      </c>
      <c r="DP715" s="17">
        <f>SUM((DM715+DN715)*0.00833333333333333)</f>
        <v>0</v>
      </c>
      <c r="DQ715" s="23">
        <f ca="1">MONTH(TODAY())+1</f>
        <v>5</v>
      </c>
      <c r="DR715" s="14">
        <f ca="1">SUM(DM715,DN715,DO715)</f>
        <v>0</v>
      </c>
      <c r="DS715" s="14">
        <f>SUM(BQ715, BW715, CC715, CI715,CO715,CU715,DA715,DG715,DM715)</f>
        <v>121.76499999999999</v>
      </c>
      <c r="DT715" s="14">
        <f t="shared" si="301"/>
        <v>12.176500000000001</v>
      </c>
      <c r="DU715" s="14">
        <f t="shared" ca="1" si="301"/>
        <v>18.148487499999991</v>
      </c>
      <c r="DV715" s="25">
        <f ca="1">SUM(DS715:DU715)</f>
        <v>152.08998749999998</v>
      </c>
      <c r="DW715" s="47">
        <f ca="1">SUM(DV715/EM715)</f>
        <v>2.1421124999999996E-2</v>
      </c>
      <c r="DX715" s="14">
        <v>40</v>
      </c>
      <c r="DY715" s="32">
        <f>COUNTIF(AO715, "*")+COUNTIF(AJ715, "*")+COUNTIF(AA715, "*")+COUNTIF(FA715, "*")+COUNTIF(FG715, "*")+COUNTIF(FM715, "*")+COUNTIF(FQ715, "*")+COUNTIF(FX715, "*")+COUNTIF(AT715, "*")+COUNTIF(GG715, "*")+COUNTIF(GR715, "*")+COUNTIF(HC715, "*")+COUNTIF(HK715, "*")+COUNTIF(HS715, "*")+COUNTIF(IA715, "*")</f>
        <v>2</v>
      </c>
      <c r="DZ715" s="14">
        <f>DY715*0.64</f>
        <v>1.28</v>
      </c>
      <c r="EA715" s="4"/>
      <c r="EB715" s="4"/>
      <c r="EC715" s="4"/>
      <c r="ED715" s="4"/>
      <c r="EE715" s="4"/>
      <c r="EF715" s="4"/>
      <c r="EG715" s="14">
        <f>SUM(EB715:EF715)</f>
        <v>0</v>
      </c>
      <c r="EH715" s="14">
        <f ca="1">SUM(DV715,DX715,EG715, EA715, DZ715,Base!DK48)</f>
        <v>193.36998749999998</v>
      </c>
      <c r="EI715" s="24" t="s">
        <v>4944</v>
      </c>
      <c r="EJ715" s="23">
        <v>0.5</v>
      </c>
      <c r="EK715" s="14">
        <v>6500</v>
      </c>
      <c r="EL715" s="14">
        <v>600</v>
      </c>
      <c r="EM715" s="14">
        <f>SUM(EK715+EL715)</f>
        <v>7100</v>
      </c>
      <c r="EN715" s="25">
        <v>6500</v>
      </c>
      <c r="EO715" s="25">
        <v>600</v>
      </c>
      <c r="EP715" s="25">
        <f>SUM(EN715+EO715)</f>
        <v>7100</v>
      </c>
      <c r="EQ715" s="10" t="s">
        <v>5045</v>
      </c>
      <c r="ER715" s="10" t="s">
        <v>5046</v>
      </c>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9"/>
      <c r="FV715" s="10"/>
      <c r="FW715" s="10"/>
      <c r="FX715" s="10"/>
      <c r="FY715" s="10"/>
      <c r="FZ715" s="10"/>
      <c r="GA715" s="10"/>
      <c r="GB715" s="9"/>
      <c r="GC715" s="10"/>
      <c r="GD715" s="10"/>
      <c r="GE715" s="10"/>
      <c r="GF715" s="10"/>
      <c r="GG715" s="10"/>
      <c r="GH715" s="10"/>
      <c r="GI715" s="10"/>
      <c r="GJ715" s="10"/>
      <c r="GK715" s="9"/>
      <c r="GL715" s="10"/>
      <c r="GM715" s="10"/>
      <c r="GN715" s="10"/>
      <c r="GO715" s="10"/>
      <c r="GP715" s="10"/>
      <c r="GQ715" s="10"/>
      <c r="GR715" s="10"/>
      <c r="GS715" s="10"/>
      <c r="GT715" s="10"/>
      <c r="GU715" s="10"/>
      <c r="GV715" s="9"/>
      <c r="GW715" s="10"/>
      <c r="GX715" s="10"/>
      <c r="GY715" s="10"/>
      <c r="GZ715" s="10"/>
      <c r="HA715" s="10"/>
      <c r="HB715" s="10"/>
      <c r="HC715" s="10"/>
      <c r="HD715" s="10"/>
      <c r="HE715" s="10"/>
      <c r="HF715" s="10"/>
      <c r="HG715" s="9"/>
      <c r="HH715" s="10"/>
      <c r="HI715" s="10"/>
      <c r="HJ715" s="10"/>
      <c r="HK715" s="10"/>
      <c r="HL715" s="10"/>
      <c r="HM715" s="10"/>
      <c r="HN715" s="10"/>
      <c r="HO715" s="9"/>
      <c r="HP715" s="10"/>
      <c r="HQ715" s="10"/>
      <c r="HR715" s="10"/>
      <c r="HS715" s="10"/>
      <c r="HT715" s="10"/>
      <c r="HU715" s="10"/>
      <c r="HV715" s="10"/>
      <c r="HW715" s="9"/>
      <c r="HX715" s="10"/>
      <c r="HY715" s="10"/>
      <c r="HZ715" s="10"/>
      <c r="IA715" s="10"/>
      <c r="IB715" s="10"/>
      <c r="IC715" s="10"/>
      <c r="ID715" s="10"/>
      <c r="IE715" s="9"/>
      <c r="IF715" s="4"/>
      <c r="IG715" s="4"/>
      <c r="IH715" s="10"/>
      <c r="II715" s="10"/>
      <c r="IJ715" s="10"/>
      <c r="IK715" s="10"/>
      <c r="IL715" s="4"/>
      <c r="IM715" s="4"/>
      <c r="IN715" s="4"/>
      <c r="IO715" s="4"/>
      <c r="IP715" s="4"/>
      <c r="IQ715" s="9"/>
      <c r="IR715" s="9"/>
      <c r="IS715" s="9"/>
      <c r="IT715" s="9"/>
      <c r="IU715" s="9"/>
      <c r="IV715" t="s">
        <v>5913</v>
      </c>
    </row>
    <row r="716" spans="1:274" ht="15" customHeight="1">
      <c r="A716" s="2">
        <v>102018107</v>
      </c>
      <c r="B716" t="s">
        <v>1312</v>
      </c>
      <c r="E716" s="3" t="s">
        <v>1313</v>
      </c>
      <c r="F716" s="3"/>
      <c r="J716" t="s">
        <v>311</v>
      </c>
      <c r="K716" t="s">
        <v>894</v>
      </c>
      <c r="L716" t="s">
        <v>400</v>
      </c>
      <c r="O716" s="1"/>
      <c r="T716" s="1"/>
      <c r="AH716" s="1"/>
      <c r="AJ716" s="4"/>
      <c r="AK716" s="4"/>
      <c r="AO716" s="4"/>
      <c r="AP716" s="5"/>
      <c r="AS716" s="5"/>
      <c r="AT716" s="5"/>
      <c r="AU716" s="1"/>
      <c r="AV716" s="1"/>
      <c r="AW716" s="1"/>
      <c r="AX716" s="1"/>
      <c r="AY716" s="1"/>
      <c r="AZ716" s="1"/>
      <c r="BA716" s="1"/>
      <c r="BB716" s="1"/>
      <c r="BC716" s="1"/>
      <c r="BD716" s="1"/>
      <c r="BE716" s="1"/>
      <c r="BF716" s="1"/>
      <c r="BG716" s="5"/>
      <c r="BH716" s="16"/>
      <c r="BI716" s="16"/>
      <c r="BK716" s="4"/>
      <c r="BL716" s="4"/>
      <c r="BM716" s="6"/>
      <c r="BN716" s="7"/>
      <c r="BO716" s="4"/>
      <c r="BP716" s="4"/>
      <c r="BQ716" s="4"/>
      <c r="BR716" s="4"/>
      <c r="BS716" s="6"/>
      <c r="BT716" s="7"/>
      <c r="BU716" s="4"/>
      <c r="BV716" s="4"/>
      <c r="BW716" s="4"/>
      <c r="BX716" s="4"/>
      <c r="BY716" s="6"/>
      <c r="BZ716" s="7"/>
      <c r="CA716" s="4"/>
      <c r="CB716" s="4"/>
      <c r="CC716" s="4"/>
      <c r="CD716" s="4"/>
      <c r="CE716" s="6"/>
      <c r="CF716" s="7"/>
      <c r="CG716" s="4"/>
      <c r="CH716" s="4"/>
      <c r="CI716" s="4"/>
      <c r="CJ716" s="4"/>
      <c r="CK716" s="6"/>
      <c r="CL716" s="7"/>
      <c r="CM716" s="4"/>
      <c r="CN716" s="4"/>
      <c r="CO716" s="4"/>
      <c r="CP716" s="4"/>
      <c r="CQ716" s="6"/>
      <c r="CR716" s="7"/>
      <c r="CS716" s="4"/>
      <c r="CT716" s="4"/>
      <c r="CU716" s="4"/>
      <c r="CV716" s="4"/>
      <c r="CW716" s="6"/>
      <c r="CX716" s="7"/>
      <c r="CY716" s="4"/>
      <c r="CZ716" s="4"/>
      <c r="DA716" s="4"/>
      <c r="DB716" s="4"/>
      <c r="DC716" s="6"/>
      <c r="DD716" s="7"/>
      <c r="DE716" s="4"/>
      <c r="DF716" s="4"/>
      <c r="DG716" s="14"/>
      <c r="DH716" s="14"/>
      <c r="DI716" s="4"/>
      <c r="DJ716" s="3"/>
      <c r="DK716" s="4"/>
      <c r="DL716" s="234"/>
      <c r="DM716" s="4"/>
      <c r="DN716" s="4"/>
      <c r="DO716" s="4"/>
      <c r="DP716" s="4"/>
      <c r="DQ716" s="4"/>
      <c r="DR716" s="4"/>
      <c r="DS716" s="7"/>
      <c r="DT716" s="4"/>
      <c r="DU716" s="4"/>
      <c r="DV716" s="8"/>
      <c r="DW716" s="4"/>
      <c r="DX716" s="4"/>
      <c r="EG716" s="11"/>
      <c r="EM716" s="11"/>
      <c r="EN716" s="11"/>
      <c r="EO716" s="4"/>
      <c r="EP716" s="4"/>
      <c r="EQ716" s="4"/>
      <c r="ER716" s="4"/>
      <c r="ES716" s="4"/>
      <c r="ET716" s="4"/>
      <c r="EU716" s="4"/>
      <c r="EV716" s="4"/>
      <c r="EW716" s="4"/>
      <c r="EX716" s="4"/>
      <c r="EY716" s="4"/>
      <c r="EZ716" s="4"/>
      <c r="FA716" s="4"/>
      <c r="FB716" s="4"/>
      <c r="FC716" s="4"/>
      <c r="FG716" s="9"/>
      <c r="FP716" s="9"/>
      <c r="FZ716" s="10"/>
      <c r="GJ716" s="10"/>
      <c r="GY716" s="9"/>
      <c r="IK716" s="4"/>
      <c r="IL716" s="9"/>
      <c r="IN716" t="s">
        <v>1361</v>
      </c>
      <c r="IO716" t="s">
        <v>1362</v>
      </c>
      <c r="IP716" t="s">
        <v>386</v>
      </c>
      <c r="IS716" s="4">
        <v>49.67</v>
      </c>
      <c r="IT716" s="4"/>
    </row>
    <row r="717" spans="1:274" ht="15" customHeight="1">
      <c r="A717" s="19">
        <v>102019090</v>
      </c>
      <c r="B717" s="14" t="s">
        <v>761</v>
      </c>
      <c r="C717" s="13"/>
      <c r="D717" s="13"/>
      <c r="E717" s="13"/>
      <c r="F717" s="24"/>
      <c r="G717" s="19"/>
      <c r="H717" s="18" t="s">
        <v>1830</v>
      </c>
      <c r="I717" s="18"/>
      <c r="J717" s="18" t="s">
        <v>554</v>
      </c>
      <c r="K717" s="18" t="s">
        <v>762</v>
      </c>
      <c r="L717" s="18" t="s">
        <v>353</v>
      </c>
      <c r="M717" s="18" t="s">
        <v>763</v>
      </c>
      <c r="N717" s="18"/>
      <c r="O717" s="13"/>
      <c r="P717" s="18" t="s">
        <v>762</v>
      </c>
      <c r="Q717" s="18" t="s">
        <v>764</v>
      </c>
      <c r="R717" s="18" t="s">
        <v>426</v>
      </c>
      <c r="S717" s="18"/>
      <c r="T717" s="13"/>
      <c r="U717" s="18"/>
      <c r="V717" s="18"/>
      <c r="W717" s="18"/>
      <c r="X717" s="18"/>
      <c r="Y717" s="18"/>
      <c r="Z717" s="18"/>
      <c r="AA717" s="18"/>
      <c r="AB717" s="18"/>
      <c r="AC717" s="18"/>
      <c r="AD717" s="18"/>
      <c r="AE717" s="18"/>
      <c r="AF717" s="37"/>
      <c r="AG717" s="18"/>
      <c r="AH717" s="18"/>
      <c r="AI717" s="14"/>
      <c r="AJ717" s="14"/>
      <c r="AK717" s="18"/>
      <c r="AL717" s="24"/>
      <c r="AM717" s="24"/>
      <c r="AN717" s="14"/>
      <c r="AO717" s="20"/>
      <c r="AP717" s="24"/>
      <c r="AQ717" s="24"/>
      <c r="AR717" s="20"/>
      <c r="AS717" s="20"/>
      <c r="AT717" s="13"/>
      <c r="AU717" s="13"/>
      <c r="AV717" s="13"/>
      <c r="AW717" s="19"/>
      <c r="AX717" s="48"/>
      <c r="AY717" s="19"/>
      <c r="AZ717" s="19"/>
      <c r="BA717" s="19"/>
      <c r="BB717" s="19"/>
      <c r="BC717" s="19"/>
      <c r="BD717" s="19"/>
      <c r="BE717" s="19"/>
      <c r="BF717" s="20"/>
      <c r="BG717" s="22"/>
      <c r="BH717" s="22"/>
      <c r="BI717" s="14"/>
      <c r="BJ717" s="14"/>
      <c r="BK717" s="14"/>
      <c r="BL717" s="17"/>
      <c r="BM717" s="23"/>
      <c r="BN717" s="14"/>
      <c r="BO717" s="14"/>
      <c r="BP717" s="14"/>
      <c r="BQ717" s="14"/>
      <c r="BR717" s="17"/>
      <c r="BS717" s="23"/>
      <c r="BT717" s="14"/>
      <c r="BU717" s="14"/>
      <c r="BV717" s="14"/>
      <c r="BW717" s="14"/>
      <c r="BX717" s="17"/>
      <c r="BY717" s="23"/>
      <c r="BZ717" s="14"/>
      <c r="CA717" s="14"/>
      <c r="CB717" s="14"/>
      <c r="CC717" s="14"/>
      <c r="CD717" s="17"/>
      <c r="CE717" s="23"/>
      <c r="CF717" s="14"/>
      <c r="CG717" s="14"/>
      <c r="CH717" s="14"/>
      <c r="CI717" s="14"/>
      <c r="CJ717" s="17"/>
      <c r="CK717" s="23"/>
      <c r="CL717" s="14"/>
      <c r="CM717" s="14"/>
      <c r="CN717" s="14"/>
      <c r="CO717" s="14"/>
      <c r="CP717" s="17"/>
      <c r="CQ717" s="23"/>
      <c r="CR717" s="14"/>
      <c r="CS717" s="14"/>
      <c r="CT717" s="14"/>
      <c r="CU717" s="14"/>
      <c r="CV717" s="17"/>
      <c r="CW717" s="23"/>
      <c r="CX717" s="14"/>
      <c r="CY717" s="14"/>
      <c r="CZ717" s="14"/>
      <c r="DA717" s="14"/>
      <c r="DB717" s="17"/>
      <c r="DC717" s="23"/>
      <c r="DD717" s="14"/>
      <c r="DE717" s="14"/>
      <c r="DF717" s="14"/>
      <c r="DG717" s="14"/>
      <c r="DH717" s="14"/>
      <c r="DI717" s="47"/>
      <c r="DJ717" s="24"/>
      <c r="DK717" s="14"/>
      <c r="DL717" s="32"/>
      <c r="DM717" s="14"/>
      <c r="DN717" s="14"/>
      <c r="DO717" s="14"/>
      <c r="DP717" s="14"/>
      <c r="DQ717" s="14"/>
      <c r="DR717" s="14"/>
      <c r="DS717" s="23"/>
      <c r="DT717" s="25"/>
      <c r="DU717" s="14"/>
      <c r="DV717" s="25"/>
      <c r="DW717" s="25"/>
      <c r="DX717" s="25"/>
      <c r="DY717" s="36"/>
      <c r="DZ717" s="18"/>
      <c r="EA717" s="18"/>
      <c r="EB717" s="18"/>
      <c r="EC717" s="18"/>
      <c r="ED717" s="18"/>
      <c r="EE717" s="18"/>
      <c r="EF717" s="18"/>
      <c r="EG717" s="18"/>
      <c r="EH717" s="30"/>
      <c r="EI717" s="18"/>
      <c r="EJ717" s="18"/>
      <c r="EK717" s="18"/>
      <c r="EL717" s="18"/>
      <c r="EM717" s="18"/>
      <c r="EN717" s="30"/>
      <c r="EO717" s="30"/>
      <c r="EP717" s="14"/>
      <c r="EQ717" s="14"/>
      <c r="ER717" s="14"/>
      <c r="ES717" s="14"/>
      <c r="ET717" s="14"/>
      <c r="EU717" s="14"/>
      <c r="EV717" s="14"/>
      <c r="EW717" s="14"/>
      <c r="EX717" s="14"/>
      <c r="EY717" s="14"/>
      <c r="EZ717" s="14"/>
      <c r="FA717" s="14"/>
      <c r="FB717" s="14"/>
      <c r="FC717" s="14"/>
      <c r="FD717" s="14"/>
      <c r="FE717" s="18"/>
      <c r="FF717" s="18"/>
      <c r="FG717" s="18"/>
      <c r="FH717" s="27"/>
      <c r="FI717" s="18"/>
      <c r="FJ717" s="18"/>
      <c r="FK717" s="18"/>
      <c r="FL717" s="18"/>
      <c r="FM717" s="18"/>
      <c r="FN717" s="18"/>
      <c r="FO717" s="18"/>
      <c r="FP717" s="18"/>
      <c r="FQ717" s="27"/>
      <c r="FR717" s="18"/>
      <c r="FS717" s="18"/>
      <c r="FT717" s="18"/>
      <c r="FU717" s="18"/>
      <c r="FV717" s="18"/>
      <c r="FW717" s="14"/>
      <c r="FX717" s="18"/>
      <c r="FY717" s="18"/>
      <c r="FZ717" s="18"/>
      <c r="GA717" s="18"/>
      <c r="GB717" s="28"/>
      <c r="GC717" s="18"/>
      <c r="GD717" s="18"/>
      <c r="GE717" s="18"/>
      <c r="GF717" s="18"/>
      <c r="GG717" s="18"/>
      <c r="GH717" s="18"/>
      <c r="GI717" s="18"/>
      <c r="GJ717" s="18"/>
      <c r="GK717" s="18"/>
      <c r="GL717" s="28"/>
      <c r="GM717" s="18"/>
      <c r="GN717" s="18"/>
      <c r="GO717" s="18"/>
      <c r="GP717" s="18"/>
      <c r="GQ717" s="18"/>
      <c r="GR717" s="18"/>
      <c r="GS717" s="18"/>
      <c r="GT717" s="18"/>
      <c r="GU717" s="18"/>
      <c r="GV717" s="18"/>
      <c r="GW717" s="18"/>
      <c r="GX717" s="18"/>
      <c r="GY717" s="18"/>
      <c r="GZ717" s="18"/>
      <c r="HA717" s="27"/>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4"/>
      <c r="IJ717" s="14"/>
      <c r="IK717" s="18"/>
      <c r="IL717" s="18"/>
      <c r="IM717" s="18"/>
      <c r="IN717" s="18"/>
      <c r="IO717" s="18"/>
      <c r="IP717" s="18"/>
      <c r="IQ717" s="18"/>
      <c r="IR717" s="18"/>
      <c r="IS717" s="18"/>
      <c r="IT717" s="18"/>
      <c r="IU717" s="18"/>
    </row>
    <row r="718" spans="1:274" ht="15" customHeight="1">
      <c r="A718" s="2">
        <v>102024016</v>
      </c>
      <c r="B718" t="s">
        <v>5066</v>
      </c>
      <c r="C718" s="10"/>
      <c r="D718" s="161">
        <v>2025</v>
      </c>
      <c r="E718" s="147"/>
      <c r="F718" s="160"/>
      <c r="G718" s="147"/>
      <c r="H718" s="10"/>
      <c r="I718" s="10"/>
      <c r="J718" s="10" t="s">
        <v>311</v>
      </c>
      <c r="K718" s="10" t="s">
        <v>5124</v>
      </c>
      <c r="L718" s="10" t="s">
        <v>5125</v>
      </c>
      <c r="M718" s="10" t="s">
        <v>392</v>
      </c>
      <c r="N718" s="10"/>
      <c r="O718" s="147"/>
      <c r="P718" s="10"/>
      <c r="Q718" s="10"/>
      <c r="R718" s="10"/>
      <c r="S718" s="10"/>
      <c r="T718" s="10"/>
      <c r="U718" s="10"/>
      <c r="V718" s="10"/>
      <c r="W718" s="10"/>
      <c r="X718" s="10"/>
      <c r="Y718" s="10"/>
      <c r="Z718" s="10"/>
      <c r="AA718" s="10"/>
      <c r="AB718" s="10"/>
      <c r="AC718" s="10"/>
      <c r="AD718" s="10"/>
      <c r="AE718" s="10"/>
      <c r="AF718" s="10"/>
      <c r="AG718" s="141"/>
      <c r="AH718" s="10"/>
      <c r="AI718" s="10"/>
      <c r="AJ718" t="s">
        <v>328</v>
      </c>
      <c r="AK718" s="1"/>
      <c r="AL718" t="s">
        <v>259</v>
      </c>
      <c r="AM718"/>
      <c r="AN718"/>
      <c r="AO718" t="s">
        <v>5126</v>
      </c>
      <c r="AP718" s="1" t="s">
        <v>258</v>
      </c>
      <c r="AQ718" t="s">
        <v>259</v>
      </c>
      <c r="AR718" t="s">
        <v>260</v>
      </c>
      <c r="AX718" s="1"/>
      <c r="AY718" s="1"/>
      <c r="AZ718" s="1"/>
      <c r="BA718" s="1"/>
      <c r="BB718" s="1"/>
      <c r="BC718" s="70"/>
      <c r="BD718" s="115"/>
      <c r="BE718" s="144"/>
      <c r="BF718" s="70"/>
      <c r="BG718" s="2"/>
      <c r="BH718" s="70"/>
      <c r="BI718" s="70"/>
      <c r="BJ718" s="70"/>
      <c r="BK718" s="70"/>
      <c r="BL718" s="20">
        <f ca="1">SUM(EB718)+220</f>
        <v>274.24349999999998</v>
      </c>
      <c r="BM718" s="22">
        <f ca="1">PMT(10%/12,12,BL718,0,0)</f>
        <v>-24.110360619563135</v>
      </c>
      <c r="BN718" s="22">
        <f ca="1">SUM(BM718*-1)</f>
        <v>24.110360619563135</v>
      </c>
      <c r="BO718" s="14">
        <f>SUM(EJ718*0.0052)/12</f>
        <v>0.21666666666666667</v>
      </c>
      <c r="BP718" s="22">
        <f ca="1">SUM(BN718+BO718)</f>
        <v>24.3270272862298</v>
      </c>
      <c r="BQ718" s="14">
        <v>0</v>
      </c>
      <c r="BR718" s="14">
        <f>SUM(BQ718*0.1)</f>
        <v>0</v>
      </c>
      <c r="BS718" s="14">
        <f ca="1">SUM(BT718*BU718)</f>
        <v>0</v>
      </c>
      <c r="BT718" s="17">
        <f>SUM((BQ718+BR718)*0.00833333333333333)</f>
        <v>0</v>
      </c>
      <c r="BU718" s="23">
        <f ca="1">MONTH(TODAY())+37</f>
        <v>41</v>
      </c>
      <c r="BV718" s="14">
        <f ca="1">SUM(BQ718,BR718,BS718)</f>
        <v>0</v>
      </c>
      <c r="BW718" s="14">
        <f>SUM(EG718*0.0052)</f>
        <v>2.6</v>
      </c>
      <c r="BX718" s="14">
        <f>SUM(BW718*0.1)</f>
        <v>0.26</v>
      </c>
      <c r="BY718" s="14">
        <f ca="1">SUM(BZ718*CA718)</f>
        <v>0.97716666666666629</v>
      </c>
      <c r="BZ718" s="17">
        <f>SUM((BW718+BX718)*0.00833333333333333)</f>
        <v>2.3833333333333324E-2</v>
      </c>
      <c r="CA718" s="167">
        <f ca="1">MONTH(TODAY())+37</f>
        <v>41</v>
      </c>
      <c r="CB718" s="14">
        <f ca="1">SUM(BW718,BX718,BY718)</f>
        <v>3.8371666666666666</v>
      </c>
      <c r="CC718" s="14">
        <f>SUM(EG718*0.0052)/2</f>
        <v>1.3</v>
      </c>
      <c r="CD718" s="14">
        <f>SUM(CC718*0.1)</f>
        <v>0.13</v>
      </c>
      <c r="CE718" s="14">
        <f ca="1">SUM(CF718*CG718)</f>
        <v>0.39324999999999988</v>
      </c>
      <c r="CF718" s="17">
        <f>SUM((CC718+CD718)*0.00833333333333333)</f>
        <v>1.1916666666666662E-2</v>
      </c>
      <c r="CG718" s="167">
        <f ca="1">MONTH(TODAY())+29</f>
        <v>33</v>
      </c>
      <c r="CH718" s="23">
        <f ca="1">SUM(CC718,CD718,CE718)</f>
        <v>1.82325</v>
      </c>
      <c r="CI718" s="14">
        <f>SUM(EG718*0.0052)/2</f>
        <v>1.3</v>
      </c>
      <c r="CJ718" s="14">
        <f>SUM(CI718*0.1)</f>
        <v>0.13</v>
      </c>
      <c r="CK718" s="14">
        <f ca="1">SUM(CL718*CM718)</f>
        <v>0.34558333333333319</v>
      </c>
      <c r="CL718" s="17">
        <f>SUM((CI718+CJ718)*0.00833333333333333)</f>
        <v>1.1916666666666662E-2</v>
      </c>
      <c r="CM718" s="58">
        <f ca="1">MONTH(TODAY())+25</f>
        <v>29</v>
      </c>
      <c r="CN718" s="14">
        <f ca="1">SUM(CI718,CJ718,CK718)</f>
        <v>1.7755833333333333</v>
      </c>
      <c r="CO718" s="14">
        <f>SUM(EJ718*0.0045)/2</f>
        <v>1.125</v>
      </c>
      <c r="CP718" s="14">
        <f>SUM(CO718*0.1)</f>
        <v>0.1125</v>
      </c>
      <c r="CQ718" s="14">
        <f ca="1">SUM(CR718*CS718)</f>
        <v>0.23718749999999988</v>
      </c>
      <c r="CR718" s="17">
        <f>SUM((CO718+CP718)*0.00833333333333333)</f>
        <v>1.0312499999999995E-2</v>
      </c>
      <c r="CS718" s="58">
        <f ca="1">MONTH(TODAY())+19</f>
        <v>23</v>
      </c>
      <c r="CT718" s="14">
        <f ca="1">SUM(CO718,CP718,CQ718)</f>
        <v>1.4746874999999999</v>
      </c>
      <c r="CU718" s="14">
        <f>SUM(EJ718*0.0045)/2</f>
        <v>1.125</v>
      </c>
      <c r="CV718" s="14">
        <f>SUM(CU718*0.1)</f>
        <v>0.1125</v>
      </c>
      <c r="CW718" s="14">
        <f ca="1">SUM(CX718*CY718)</f>
        <v>0.17531249999999993</v>
      </c>
      <c r="CX718" s="17">
        <f>SUM((CU718+CV718)*0.00833333333333333)</f>
        <v>1.0312499999999995E-2</v>
      </c>
      <c r="CY718" s="58">
        <f ca="1">MONTH(TODAY())+13</f>
        <v>17</v>
      </c>
      <c r="CZ718" s="14">
        <f ca="1">SUM(CU718,CV718,CW718)</f>
        <v>1.4128125</v>
      </c>
      <c r="DA718" s="14">
        <f>SUM(EJ718*0.0045)/2</f>
        <v>1.125</v>
      </c>
      <c r="DB718" s="14">
        <f>SUM(DA718*0.1)</f>
        <v>0.1125</v>
      </c>
      <c r="DC718" s="14">
        <f ca="1">SUM(DD718*DE718)</f>
        <v>0.11343749999999994</v>
      </c>
      <c r="DD718" s="17">
        <f>SUM((DA718+DB718)*0.00833333333333333)</f>
        <v>1.0312499999999995E-2</v>
      </c>
      <c r="DE718" s="58">
        <f ca="1">MONTH(TODAY())+7</f>
        <v>11</v>
      </c>
      <c r="DF718" s="14">
        <f ca="1">SUM(DA718,DB718,DC718)</f>
        <v>1.3509374999999999</v>
      </c>
      <c r="DG718" s="180">
        <f>SUM(EJ718*0.0045)/2</f>
        <v>1.125</v>
      </c>
      <c r="DH718" s="14">
        <f>SUM(DG718*0.1)</f>
        <v>0.1125</v>
      </c>
      <c r="DI718" s="103">
        <f ca="1">SUM(DJ718*DK718)</f>
        <v>5.1562499999999976E-2</v>
      </c>
      <c r="DJ718" s="17">
        <f>SUM((DG718+DH718)*0.00833333333333333)</f>
        <v>1.0312499999999995E-2</v>
      </c>
      <c r="DK718" s="58">
        <f ca="1">MONTH(TODAY())+1</f>
        <v>5</v>
      </c>
      <c r="DL718" s="14">
        <f ca="1">SUM(DG718,DH718,DI718)</f>
        <v>1.2890625</v>
      </c>
      <c r="DM718" s="192">
        <f>SUM(BQ718, BW718, CC718,CI718,CO718,CU718,DA718,DG718)</f>
        <v>9.6999999999999993</v>
      </c>
      <c r="DN718" s="192">
        <f>SUM(BR718,BX718, CD718,CJ718,CP718,CV718,DB718,DH718)</f>
        <v>0.9700000000000002</v>
      </c>
      <c r="DO718" s="192">
        <f ca="1">SUM(BS718,BY718, CE718,CK718,CQ718,CW718,DC718,DI718)</f>
        <v>2.293499999999999</v>
      </c>
      <c r="DP718" s="25">
        <f ca="1">SUM(DM718:DO718)</f>
        <v>12.9635</v>
      </c>
      <c r="DQ718" s="47">
        <f ca="1">SUM(DP718/EG718)</f>
        <v>2.5926999999999999E-2</v>
      </c>
      <c r="DR718" s="14">
        <v>40</v>
      </c>
      <c r="DS718" s="32">
        <f>COUNTIF(AO718, "*")+COUNTIF(AJ718, "*")+COUNTIF(AA718, "*")+COUNTIF(EU718, "*")+COUNTIF(FA718, "*")+COUNTIF(FG718, "*")+COUNTIF(FK718, "*")+COUNTIF(FR718, "*")+COUNTIF(AT718, "*")+COUNTIF(GA718, "*")+COUNTIF(GL718, "*")+COUNTIF(GW718, "*")+COUNTIF(HE718, "*")+COUNTIF(HM718, "*")+COUNTIF(HU718, "*")</f>
        <v>2</v>
      </c>
      <c r="DT718" s="14">
        <f>DS718*0.64</f>
        <v>1.28</v>
      </c>
      <c r="DU718" s="4"/>
      <c r="DV718" s="4"/>
      <c r="DW718" s="4"/>
      <c r="DX718" s="4"/>
      <c r="DY718" s="4"/>
      <c r="DZ718" s="4"/>
      <c r="EA718" s="14">
        <f>SUM(DU718:DZ718)</f>
        <v>0</v>
      </c>
      <c r="EB718" s="103">
        <f ca="1">SUM(DP718,DR718,EA718,DT718,FX718)</f>
        <v>54.243499999999997</v>
      </c>
      <c r="EC718" s="24" t="s">
        <v>4944</v>
      </c>
      <c r="ED718" s="23">
        <v>0.11</v>
      </c>
      <c r="EE718" s="14">
        <v>500</v>
      </c>
      <c r="EF718" s="14">
        <v>0</v>
      </c>
      <c r="EG718" s="14">
        <f>SUM(EE718+EF718)</f>
        <v>500</v>
      </c>
      <c r="EH718" s="14">
        <v>500</v>
      </c>
      <c r="EI718" s="14">
        <v>0</v>
      </c>
      <c r="EJ718" s="14">
        <f>SUM(EH718+EI718)</f>
        <v>500</v>
      </c>
      <c r="EK718" s="10"/>
      <c r="EL718" s="10"/>
      <c r="EM718" s="10"/>
      <c r="EN718" s="10"/>
      <c r="EO718" s="10"/>
      <c r="EP718" s="10"/>
      <c r="EQ718" s="10"/>
      <c r="ER718" s="10"/>
      <c r="ES718" s="10"/>
      <c r="ET718" s="10"/>
      <c r="EU718" s="10"/>
      <c r="EV718" s="10"/>
      <c r="EW718" s="10"/>
      <c r="EX718" s="10"/>
      <c r="EY718" s="10"/>
      <c r="EZ718" s="10"/>
      <c r="FA718" s="10"/>
      <c r="FB718" s="10"/>
      <c r="FC718" s="10"/>
      <c r="FD718" s="10"/>
      <c r="FE718" s="10"/>
      <c r="FF718" s="10"/>
      <c r="FG718" s="10"/>
      <c r="FH718" s="10"/>
      <c r="FI718" s="10"/>
      <c r="FJ718" s="10"/>
      <c r="FK718" s="10"/>
      <c r="FL718" s="10"/>
      <c r="FM718" s="10"/>
      <c r="FN718" s="10"/>
      <c r="FO718" s="9"/>
      <c r="FP718" s="10"/>
      <c r="FQ718" s="10"/>
      <c r="FR718" s="10"/>
      <c r="FS718" s="10"/>
      <c r="FT718" s="10"/>
      <c r="FU718" s="10"/>
      <c r="FV718" s="9"/>
      <c r="FW718" s="10"/>
      <c r="FX718" s="10"/>
      <c r="FY718" s="10"/>
      <c r="FZ718" s="10"/>
      <c r="GA718" s="10"/>
      <c r="GB718" s="10"/>
      <c r="GC718" s="10"/>
      <c r="GD718" s="10"/>
      <c r="GE718" s="9"/>
      <c r="GF718" s="10"/>
      <c r="GG718" s="10"/>
      <c r="GH718" s="10"/>
      <c r="GI718" s="10"/>
      <c r="GJ718" s="10"/>
      <c r="GK718" s="10"/>
      <c r="GL718" s="10"/>
      <c r="GM718" s="10"/>
      <c r="GN718" s="10"/>
      <c r="GO718" s="10"/>
      <c r="GP718" s="9"/>
      <c r="GQ718" s="10"/>
      <c r="GR718" s="10"/>
      <c r="GS718" s="10"/>
      <c r="GT718" s="10"/>
      <c r="GU718" s="10"/>
      <c r="GV718" s="10"/>
      <c r="GW718" s="10"/>
      <c r="GX718" s="10"/>
      <c r="GY718" s="10"/>
      <c r="GZ718" s="10"/>
      <c r="HA718" s="9"/>
      <c r="HB718" s="10"/>
      <c r="HC718" s="10"/>
      <c r="HD718" s="10"/>
      <c r="HE718" s="10"/>
      <c r="HF718" s="10"/>
      <c r="HG718" s="10"/>
      <c r="HH718" s="10"/>
      <c r="HI718" s="9"/>
      <c r="HJ718" s="10"/>
      <c r="HK718" s="10"/>
      <c r="HL718" s="10"/>
      <c r="HM718" s="10"/>
      <c r="HN718" s="10"/>
      <c r="HO718" s="10"/>
      <c r="HP718" s="10"/>
      <c r="HQ718" s="9"/>
      <c r="HR718" s="10"/>
      <c r="HS718" s="10"/>
      <c r="HT718" s="10"/>
      <c r="HU718" s="10"/>
      <c r="HV718" s="10"/>
      <c r="HW718" s="10"/>
      <c r="HX718" s="10"/>
      <c r="HY718" s="9"/>
      <c r="HZ718" s="4"/>
      <c r="IA718" s="4"/>
      <c r="IB718" s="10"/>
      <c r="IC718" s="10"/>
      <c r="ID718" s="10"/>
      <c r="IE718" s="10"/>
      <c r="IF718" s="4"/>
      <c r="IG718" s="4"/>
      <c r="IH718" s="4"/>
      <c r="II718" s="4"/>
      <c r="IJ718" s="4"/>
      <c r="IK718" s="9"/>
      <c r="IL718" s="9"/>
      <c r="IM718" s="9"/>
      <c r="IN718" s="9"/>
      <c r="IO718" s="9"/>
      <c r="IP718" s="27" t="s">
        <v>5913</v>
      </c>
    </row>
    <row r="719" spans="1:274" ht="15" customHeight="1">
      <c r="A719" s="2">
        <v>102023007</v>
      </c>
      <c r="B719" t="s">
        <v>4060</v>
      </c>
      <c r="J719" t="s">
        <v>311</v>
      </c>
      <c r="K719" t="s">
        <v>4061</v>
      </c>
      <c r="L719" t="s">
        <v>2037</v>
      </c>
      <c r="M719" t="s">
        <v>469</v>
      </c>
      <c r="O719" s="3"/>
      <c r="AG719"/>
      <c r="AM719"/>
      <c r="AN719"/>
      <c r="AO719" t="s">
        <v>4084</v>
      </c>
      <c r="AP719" s="3" t="s">
        <v>258</v>
      </c>
      <c r="AQ719" t="s">
        <v>259</v>
      </c>
      <c r="AR719" t="s">
        <v>260</v>
      </c>
      <c r="AS719" s="18" t="s">
        <v>372</v>
      </c>
      <c r="AT719" s="18" t="s">
        <v>373</v>
      </c>
      <c r="AU719" s="18" t="s">
        <v>374</v>
      </c>
      <c r="AV719" s="18" t="s">
        <v>259</v>
      </c>
      <c r="AW719" s="18" t="s">
        <v>260</v>
      </c>
      <c r="AX719" s="1"/>
      <c r="AY719" s="1"/>
      <c r="AZ719" s="1"/>
      <c r="BA719" s="1"/>
      <c r="BB719" s="1"/>
      <c r="BC719" s="2"/>
      <c r="BD719" s="116"/>
      <c r="BE719" s="115"/>
      <c r="BF719" s="2"/>
      <c r="BG719" s="2"/>
      <c r="BH719" s="2"/>
      <c r="BI719" s="2"/>
      <c r="BJ719" s="2"/>
      <c r="BK719" s="2"/>
      <c r="BL719" s="20">
        <f ca="1">SUM(DP719)+220</f>
        <v>2615.3717999999999</v>
      </c>
      <c r="BM719" s="22">
        <f ca="1">PMT(10%/12,12,BL719,0,0)</f>
        <v>-229.9327322333472</v>
      </c>
      <c r="BN719" s="22">
        <f ca="1">SUM(BM719*-1)</f>
        <v>229.9327322333472</v>
      </c>
      <c r="BO719" s="14">
        <f>SUM(DX719*0.0052)/12</f>
        <v>75.313333333333333</v>
      </c>
      <c r="BP719" s="22">
        <f ca="1">SUM(BN719+BO719)</f>
        <v>305.2460655666805</v>
      </c>
      <c r="BQ719" s="14"/>
      <c r="BR719" s="14">
        <f>SUM(BQ719*0.1)</f>
        <v>0</v>
      </c>
      <c r="BS719" s="14">
        <f ca="1">SUM(BT719*BU719)</f>
        <v>0</v>
      </c>
      <c r="BT719" s="17">
        <f>SUM((BQ719+BR719)*0.00833333333333333)</f>
        <v>0</v>
      </c>
      <c r="BU719" s="23">
        <f ca="1">MONTH(TODAY())+49</f>
        <v>53</v>
      </c>
      <c r="BV719" s="14">
        <f ca="1">SUM(BQ719,BR719,BS719)</f>
        <v>0</v>
      </c>
      <c r="BW719" s="14"/>
      <c r="BX719" s="14">
        <f>SUM(BW719*0.1)</f>
        <v>0</v>
      </c>
      <c r="BY719" s="14">
        <f ca="1">SUM(BZ719*CA719)</f>
        <v>0</v>
      </c>
      <c r="BZ719" s="17">
        <f>SUM((BW719+BX719)*0.00833333333333333)</f>
        <v>0</v>
      </c>
      <c r="CA719" s="23">
        <f ca="1">MONTH(TODAY())+37</f>
        <v>41</v>
      </c>
      <c r="CB719" s="14">
        <f ca="1">SUM(BW719,BX719,BY719)</f>
        <v>0</v>
      </c>
      <c r="CC719" s="14">
        <f>SUM(DU719*0.0052)</f>
        <v>627.12</v>
      </c>
      <c r="CD719" s="14">
        <f>SUM(CC719*0.1)</f>
        <v>62.712000000000003</v>
      </c>
      <c r="CE719" s="14">
        <f ca="1">SUM(CF719*CG719)</f>
        <v>166.7093999999999</v>
      </c>
      <c r="CF719" s="17">
        <f>SUM((CC719+CD719)*0.00833333333333333)</f>
        <v>5.748599999999997</v>
      </c>
      <c r="CG719" s="23">
        <f ca="1">MONTH(TODAY())+25</f>
        <v>29</v>
      </c>
      <c r="CH719" s="14">
        <f ca="1">SUM(CC719,CD719,CE719)</f>
        <v>856.54139999999984</v>
      </c>
      <c r="CI719" s="14">
        <f>SUM(DU719*0.0052)</f>
        <v>627.12</v>
      </c>
      <c r="CJ719" s="14">
        <f>SUM(CI719*0.1)</f>
        <v>62.712000000000003</v>
      </c>
      <c r="CK719" s="14">
        <f ca="1">SUM(CL719*CM719)</f>
        <v>97.726199999999949</v>
      </c>
      <c r="CL719" s="17">
        <f>SUM((CI719+CJ719)*0.00833333333333333)</f>
        <v>5.748599999999997</v>
      </c>
      <c r="CM719" s="23">
        <f ca="1">MONTH(TODAY())+13</f>
        <v>17</v>
      </c>
      <c r="CN719" s="14">
        <f ca="1">SUM(CI719,CJ719,CK719)</f>
        <v>787.55819999999994</v>
      </c>
      <c r="CO719" s="14">
        <f>SUM(DU719*0.0052)/2</f>
        <v>313.56</v>
      </c>
      <c r="CP719" s="14">
        <f>SUM(CO719*0.1)</f>
        <v>31.356000000000002</v>
      </c>
      <c r="CQ719" s="14">
        <f ca="1">SUM(CR719*CS719)</f>
        <v>25.868699999999986</v>
      </c>
      <c r="CR719" s="17">
        <f>SUM((CO719+CP719)*0.00833333333333333)</f>
        <v>2.8742999999999985</v>
      </c>
      <c r="CS719" s="23">
        <f ca="1">MONTH(TODAY())+5</f>
        <v>9</v>
      </c>
      <c r="CT719" s="23">
        <f ca="1">SUM(CO719,CP719,CQ719)</f>
        <v>370.78469999999999</v>
      </c>
      <c r="CU719" s="14">
        <f>SUM(DU719*0.0052)/2</f>
        <v>313.56</v>
      </c>
      <c r="CV719" s="14">
        <f>SUM(CU719*0.1)</f>
        <v>31.356000000000002</v>
      </c>
      <c r="CW719" s="14">
        <f ca="1">SUM(CX719*CY719)</f>
        <v>14.371499999999992</v>
      </c>
      <c r="CX719" s="17">
        <f>SUM((CU719+CV719)*0.00833333333333333)</f>
        <v>2.8742999999999985</v>
      </c>
      <c r="CY719" s="23">
        <f ca="1">MONTH(TODAY())+1</f>
        <v>5</v>
      </c>
      <c r="CZ719" s="23">
        <f ca="1">SUM(CU719,CV719,CW719)</f>
        <v>359.28749999999997</v>
      </c>
      <c r="DA719" s="14">
        <f>SUM( BQ719, BW719, CC719, CI719, CO719,CU719)</f>
        <v>1881.36</v>
      </c>
      <c r="DB719" s="14">
        <f>SUM(BR719,BX719,CD719,CJ719, CP719,CV719)</f>
        <v>188.136</v>
      </c>
      <c r="DC719" s="14">
        <f ca="1">SUM(BS719,BY719,CE719,CK719, CQ719,CW719)</f>
        <v>304.67579999999981</v>
      </c>
      <c r="DD719" s="25">
        <f ca="1">SUM(DA719:DC719)</f>
        <v>2374.1718000000001</v>
      </c>
      <c r="DE719" s="47">
        <f ca="1">SUM(DD719/DU719)</f>
        <v>1.9686333333333333E-2</v>
      </c>
      <c r="DF719" s="14">
        <v>20</v>
      </c>
      <c r="DG719" s="32">
        <f>COUNTIF(DL719, "*")+COUNTIF(AO719, "*")+COUNTIF(AJ719, "*")+COUNTIF(AA719, "*")+COUNTIF(EM719, "*")+COUNTIF(ES719, "*")+COUNTIF(EY719, "*")+COUNTIF(FC719, "*")+COUNTIF(FJ719, "*")+COUNTIF(AT719, "*")+COUNTIF(FS719, "*")+COUNTIF(GD719, "*")+COUNTIF(GO719, "*")+COUNTIF(GW719, "*")+COUNTIF(HE719, "*")+COUNTIF(HM719, "*")+COUNTIF(HU719, "*")</f>
        <v>2</v>
      </c>
      <c r="DH719" s="14">
        <f>DG719*0.6</f>
        <v>1.2</v>
      </c>
      <c r="DI719" s="4"/>
      <c r="DJ719" s="4"/>
      <c r="DK719" s="4"/>
      <c r="DL719" s="4"/>
      <c r="DN719" s="4"/>
      <c r="DO719" s="14">
        <f>SUM(DJ719:DN719)</f>
        <v>0</v>
      </c>
      <c r="DP719" s="14">
        <f ca="1">SUM(DD719,DF719,DO719, DI719, DH719,FP719)</f>
        <v>2395.3717999999999</v>
      </c>
      <c r="DQ719" s="24" t="s">
        <v>3974</v>
      </c>
      <c r="DR719" s="7">
        <v>1.41</v>
      </c>
      <c r="DS719" s="4">
        <v>26700</v>
      </c>
      <c r="DT719" s="4">
        <v>93900</v>
      </c>
      <c r="DU719" s="14">
        <f>SUM(DS719+DT719)</f>
        <v>120600</v>
      </c>
      <c r="DV719" s="14">
        <v>31100</v>
      </c>
      <c r="DW719" s="14">
        <v>142700</v>
      </c>
      <c r="DX719" s="14">
        <f>SUM(DV719+DW719)</f>
        <v>173800</v>
      </c>
      <c r="IA719" s="9"/>
      <c r="IL719" s="14">
        <f ca="1">SUM(IB719-DP719-FP719-IJ719)</f>
        <v>-2395.3717999999999</v>
      </c>
      <c r="IM719" s="9"/>
      <c r="IN719" s="9"/>
      <c r="IO719" s="9"/>
      <c r="IP719" s="9"/>
      <c r="IQ719" s="9"/>
    </row>
    <row r="720" spans="1:274" ht="15" customHeight="1">
      <c r="A720" s="19">
        <v>102021106</v>
      </c>
      <c r="B720" t="s">
        <v>2671</v>
      </c>
      <c r="D720" s="1"/>
      <c r="K720" t="s">
        <v>2672</v>
      </c>
      <c r="Z720" t="s">
        <v>2673</v>
      </c>
      <c r="AA720" t="s">
        <v>2674</v>
      </c>
      <c r="AB720" t="s">
        <v>259</v>
      </c>
      <c r="AC720" t="s">
        <v>260</v>
      </c>
      <c r="AG720" s="248"/>
      <c r="AJ720" s="3" t="s">
        <v>2675</v>
      </c>
      <c r="AK720" s="3" t="s">
        <v>258</v>
      </c>
      <c r="AL720" s="3" t="s">
        <v>259</v>
      </c>
      <c r="AM720" s="3" t="s">
        <v>260</v>
      </c>
      <c r="AO720" t="s">
        <v>2676</v>
      </c>
      <c r="AP720" s="1" t="s">
        <v>258</v>
      </c>
      <c r="AQ720" s="3" t="s">
        <v>316</v>
      </c>
      <c r="AR720" s="3" t="s">
        <v>260</v>
      </c>
      <c r="AS720" s="1"/>
      <c r="AT720" s="1"/>
      <c r="AU720" s="1"/>
      <c r="AV720" s="1"/>
      <c r="AW720" s="1"/>
      <c r="AX720" s="2"/>
      <c r="AY720" s="2"/>
      <c r="AZ720" s="70"/>
      <c r="BA720" s="2"/>
      <c r="BB720" s="2"/>
      <c r="BC720" s="2"/>
      <c r="BD720" s="2"/>
      <c r="BE720" s="2"/>
      <c r="BF720" s="2"/>
      <c r="BG720" s="20"/>
      <c r="BH720" s="22"/>
      <c r="BI720" s="22"/>
      <c r="BJ720" s="14"/>
      <c r="BK720" s="22"/>
      <c r="BL720" s="14"/>
      <c r="BM720" s="14"/>
      <c r="BN720" s="14"/>
      <c r="BO720" s="17"/>
      <c r="BP720" s="23"/>
      <c r="BQ720" s="14"/>
      <c r="BR720" s="14"/>
      <c r="BS720" s="14"/>
      <c r="BT720" s="14"/>
      <c r="BU720" s="17"/>
      <c r="BV720" s="23"/>
      <c r="BW720" s="14"/>
      <c r="BX720" s="14"/>
      <c r="BY720" s="14"/>
      <c r="BZ720" s="14"/>
      <c r="CA720" s="17"/>
      <c r="CB720" s="23"/>
      <c r="CC720" s="14"/>
      <c r="CD720" s="14"/>
      <c r="CE720" s="14"/>
      <c r="CF720" s="14"/>
      <c r="CG720" s="17"/>
      <c r="CH720" s="23"/>
      <c r="CI720" s="14"/>
      <c r="CJ720" s="14"/>
      <c r="CK720" s="14"/>
      <c r="CL720" s="14"/>
      <c r="CM720" s="17"/>
      <c r="CN720" s="23"/>
      <c r="CO720" s="14"/>
      <c r="CP720" s="14"/>
      <c r="CQ720" s="14"/>
      <c r="CR720" s="14"/>
      <c r="CS720" s="17"/>
      <c r="CT720" s="23"/>
      <c r="CU720" s="14"/>
      <c r="CV720" s="14"/>
      <c r="DA720" s="14"/>
      <c r="DB720" s="14"/>
      <c r="DC720" s="14"/>
      <c r="DD720" s="14"/>
      <c r="DE720" s="14"/>
      <c r="DF720" s="47"/>
      <c r="DG720" s="14"/>
      <c r="DH720" s="32"/>
      <c r="DI720" s="14"/>
      <c r="DK720" s="14">
        <f>SUM(DE720,DG720,DQ720, DJ720, DI720,FS720)</f>
        <v>0</v>
      </c>
      <c r="DQ720" s="14">
        <f>SUM(DL720:DP720)</f>
        <v>0</v>
      </c>
      <c r="DR720" s="4" t="s">
        <v>1944</v>
      </c>
      <c r="DS720" s="4">
        <v>13400</v>
      </c>
      <c r="DT720" s="4">
        <v>80000</v>
      </c>
      <c r="DU720" s="25">
        <f>SUM(DS720+DT720)</f>
        <v>93400</v>
      </c>
      <c r="DV720" s="35">
        <v>0.62</v>
      </c>
    </row>
    <row r="721" spans="1:263" ht="15" customHeight="1">
      <c r="A721" s="19">
        <v>102023112</v>
      </c>
      <c r="B721" s="18" t="s">
        <v>4315</v>
      </c>
      <c r="D721" s="1"/>
      <c r="E721" t="s">
        <v>4928</v>
      </c>
      <c r="F721">
        <v>230003200</v>
      </c>
      <c r="G721" s="3"/>
      <c r="J721" s="18" t="s">
        <v>554</v>
      </c>
      <c r="K721" s="18" t="s">
        <v>3228</v>
      </c>
      <c r="L721" s="18" t="s">
        <v>896</v>
      </c>
      <c r="M721" s="18" t="s">
        <v>598</v>
      </c>
      <c r="N721" s="18"/>
      <c r="O721" s="19"/>
      <c r="P721" s="18" t="s">
        <v>3228</v>
      </c>
      <c r="Q721" s="18" t="s">
        <v>3165</v>
      </c>
      <c r="R721" s="18" t="s">
        <v>357</v>
      </c>
      <c r="S721" s="18"/>
      <c r="AD721" t="s">
        <v>4918</v>
      </c>
      <c r="AE721" t="s">
        <v>4915</v>
      </c>
      <c r="AF721" t="s">
        <v>3228</v>
      </c>
      <c r="AG721" s="43" t="s">
        <v>4916</v>
      </c>
      <c r="AH721" t="s">
        <v>4917</v>
      </c>
      <c r="AI721" t="s">
        <v>259</v>
      </c>
      <c r="AJ721" s="18" t="s">
        <v>4415</v>
      </c>
      <c r="AK721" t="s">
        <v>258</v>
      </c>
      <c r="AL721" s="18" t="s">
        <v>344</v>
      </c>
      <c r="AM721" t="s">
        <v>260</v>
      </c>
      <c r="AN721"/>
      <c r="AO721" t="s">
        <v>4416</v>
      </c>
      <c r="AP721" s="3"/>
      <c r="AQ721" t="s">
        <v>259</v>
      </c>
      <c r="AR721"/>
      <c r="AX721" s="1"/>
      <c r="AY721" s="1"/>
      <c r="AZ721" s="1" t="s">
        <v>258</v>
      </c>
      <c r="BA721" s="1" t="s">
        <v>258</v>
      </c>
      <c r="BB721" s="1" t="s">
        <v>258</v>
      </c>
      <c r="BC721" s="70">
        <v>45097</v>
      </c>
      <c r="BD721" s="115">
        <v>45060</v>
      </c>
      <c r="BE721" s="115">
        <v>45051</v>
      </c>
      <c r="BF721" s="70">
        <v>45156</v>
      </c>
      <c r="BG721" t="s">
        <v>4902</v>
      </c>
      <c r="BH721" s="9">
        <v>45142</v>
      </c>
      <c r="BI721" s="9">
        <v>45149</v>
      </c>
      <c r="BJ721" s="2"/>
      <c r="BK721" s="2"/>
      <c r="BL721" s="20">
        <f ca="1">SUM(EB721)+220</f>
        <v>3076.2529624999997</v>
      </c>
      <c r="BM721" s="22">
        <f ca="1">PMT(10%/12,12,BL721,0,0)</f>
        <v>-270.4515085421329</v>
      </c>
      <c r="BN721" s="22">
        <f ca="1">SUM(BM721*-1)</f>
        <v>270.4515085421329</v>
      </c>
      <c r="BO721" s="14">
        <f>SUM(EJ721*0.0052)/12</f>
        <v>34.623333333333328</v>
      </c>
      <c r="BP721" s="22">
        <f ca="1">SUM(BN721+BO721)</f>
        <v>305.07484187546623</v>
      </c>
      <c r="BQ721" s="14"/>
      <c r="BR721" s="14">
        <f>SUM(BQ721*0.1)</f>
        <v>0</v>
      </c>
      <c r="BS721" s="14">
        <f ca="1">SUM(BT721*BU721)</f>
        <v>0</v>
      </c>
      <c r="BT721" s="17">
        <f>SUM((BQ721+BR721)*0.00833333333333333)</f>
        <v>0</v>
      </c>
      <c r="BU721" s="23">
        <f ca="1">MONTH(TODAY())+49</f>
        <v>53</v>
      </c>
      <c r="BV721" s="14">
        <f ca="1">SUM(BQ721,BR721,BS721)</f>
        <v>0</v>
      </c>
      <c r="BW721" s="14"/>
      <c r="BX721" s="14">
        <f>SUM(BW721*0.1)</f>
        <v>0</v>
      </c>
      <c r="BY721" s="14">
        <f ca="1">SUM(BZ721*CA721)</f>
        <v>0</v>
      </c>
      <c r="BZ721" s="17">
        <f>SUM((BW721+BX721)*0.00833333333333333)</f>
        <v>0</v>
      </c>
      <c r="CA721" s="23">
        <f ca="1">MONTH(TODAY())+37</f>
        <v>41</v>
      </c>
      <c r="CB721" s="14">
        <f ca="1">SUM(BW721,BX721,BY721)</f>
        <v>0</v>
      </c>
      <c r="CC721" s="14">
        <v>0</v>
      </c>
      <c r="CD721" s="14">
        <f>SUM(CC721*0.1)</f>
        <v>0</v>
      </c>
      <c r="CE721" s="14">
        <f ca="1">SUM(CF721*CG721)</f>
        <v>0</v>
      </c>
      <c r="CF721" s="17">
        <f>SUM((CC721+CD721)*0.00833333333333333)</f>
        <v>0</v>
      </c>
      <c r="CG721" s="23">
        <f ca="1">MONTH(TODAY())+25</f>
        <v>29</v>
      </c>
      <c r="CH721" s="14">
        <f ca="1">SUM(CC721,CD721,CE721)</f>
        <v>0</v>
      </c>
      <c r="CI721" s="14">
        <f>SUM(EG721*0.0052)</f>
        <v>364.52</v>
      </c>
      <c r="CJ721" s="14">
        <f>SUM(CI721*0.1)</f>
        <v>36.451999999999998</v>
      </c>
      <c r="CK721" s="14">
        <f ca="1">SUM(CL721*CM721)</f>
        <v>56.804366666666645</v>
      </c>
      <c r="CL721" s="17">
        <f>SUM((CI721+CJ721)*0.00833333333333333)</f>
        <v>3.3414333333333319</v>
      </c>
      <c r="CM721" s="23">
        <f ca="1">MONTH(TODAY())+13</f>
        <v>17</v>
      </c>
      <c r="CN721" s="14">
        <f ca="1">SUM(CI721,CJ721,CK721)</f>
        <v>457.7763666666666</v>
      </c>
      <c r="CO721" s="14">
        <f>SUM(EG721*0.0052)/2</f>
        <v>182.26</v>
      </c>
      <c r="CP721" s="14">
        <f>SUM(CO721*0.1)</f>
        <v>18.225999999999999</v>
      </c>
      <c r="CQ721" s="14">
        <f ca="1">SUM(CR721*CS721)</f>
        <v>15.036449999999993</v>
      </c>
      <c r="CR721" s="17">
        <f>SUM((CO721+CP721)*0.00833333333333333)</f>
        <v>1.670716666666666</v>
      </c>
      <c r="CS721" s="23">
        <f ca="1">MONTH(TODAY())+5</f>
        <v>9</v>
      </c>
      <c r="CT721" s="23">
        <f ca="1">SUM(CO721,CP721,CQ721)</f>
        <v>215.52244999999999</v>
      </c>
      <c r="CU721" s="14">
        <f>SUM(EG721*0.0052)/2</f>
        <v>182.26</v>
      </c>
      <c r="CV721" s="14">
        <f>SUM(CU721*0.1)</f>
        <v>18.225999999999999</v>
      </c>
      <c r="CW721" s="14">
        <f ca="1">SUM(CX721*CY721)</f>
        <v>8.3535833333333294</v>
      </c>
      <c r="CX721" s="17">
        <f>SUM((CU721+CV721)*0.00833333333333333)</f>
        <v>1.670716666666666</v>
      </c>
      <c r="CY721" s="23">
        <f ca="1">MONTH(TODAY())+1</f>
        <v>5</v>
      </c>
      <c r="CZ721" s="23">
        <f ca="1">SUM(CU721,CV721,CW721)</f>
        <v>208.83958333333331</v>
      </c>
      <c r="DA721" s="14">
        <f>SUM(EJ721*0.0045)/2</f>
        <v>179.77499999999998</v>
      </c>
      <c r="DB721" s="14">
        <f>SUM(DA721*0.1)</f>
        <v>17.977499999999999</v>
      </c>
      <c r="DC721" s="14">
        <f ca="1">SUM(DD721*DE721)</f>
        <v>-1.6479374999999989</v>
      </c>
      <c r="DD721" s="17">
        <f>SUM((DA721+DB721)*0.00833333333333333)</f>
        <v>1.6479374999999989</v>
      </c>
      <c r="DE721" s="23">
        <f ca="1">MONTH(TODAY())-5</f>
        <v>-1</v>
      </c>
      <c r="DF721" s="23">
        <f ca="1">SUM(DA721,DB721,DC721)</f>
        <v>196.10456249999996</v>
      </c>
      <c r="DG721" s="14">
        <v>0</v>
      </c>
      <c r="DH721" s="14">
        <v>0</v>
      </c>
      <c r="DI721" s="14">
        <v>0</v>
      </c>
      <c r="DJ721" s="17">
        <f>SUM((DG721+DH721)*0.00833333333333333)</f>
        <v>0</v>
      </c>
      <c r="DK721" s="23">
        <f ca="1">MONTH(TODAY())+1</f>
        <v>5</v>
      </c>
      <c r="DL721" s="23">
        <f>SUM(DG721,DH721,DI721)</f>
        <v>0</v>
      </c>
      <c r="DM721" s="14">
        <f>SUM( BQ721, BW721, CC721, CI721, CO721,CU721,DA721,DG721)</f>
        <v>908.81499999999994</v>
      </c>
      <c r="DN721" s="14">
        <f>SUM(BR721,BX721,CD721,CJ721, CP721,CV721,DB721,DH721)</f>
        <v>90.881499999999988</v>
      </c>
      <c r="DO721" s="14">
        <f ca="1">SUM(BS721,BY721,CE721,CK721, CQ721,CW721,DC721,DI721)</f>
        <v>78.546462499999976</v>
      </c>
      <c r="DP721" s="25">
        <f ca="1">SUM(DM721:DO721)</f>
        <v>1078.2429625</v>
      </c>
      <c r="DQ721" s="47">
        <f ca="1">SUM(DP721/EG721)</f>
        <v>1.5381497325249642E-2</v>
      </c>
      <c r="DR721" s="14">
        <f>20+200+20+200+60</f>
        <v>500</v>
      </c>
      <c r="DS721" s="32">
        <f>COUNTIF(DX721, "*")+COUNTIF(AO721, "*")+COUNTIF(AJ721, "*")+COUNTIF(AA721, "*")+COUNTIF(EY721, "*")+COUNTIF(FE721, "*")+COUNTIF(FK721, "*")+COUNTIF(FO721, "*")+COUNTIF(FV721, "*")+COUNTIF(AT721, "*")+COUNTIF(GE721, "*")+COUNTIF(GP721, "*")+COUNTIF(HA721, "*")+COUNTIF(HI721, "*")+COUNTIF(HQ721, "*")+COUNTIF(HY721, "*")+COUNTIF(IG721, "*")</f>
        <v>2</v>
      </c>
      <c r="DT721" s="14">
        <f>1.2+DS721*7.45</f>
        <v>16.100000000000001</v>
      </c>
      <c r="DU721" s="4">
        <v>250</v>
      </c>
      <c r="DV721" s="4">
        <f>36.76+881.4</f>
        <v>918.16</v>
      </c>
      <c r="DW721" s="4">
        <v>93.75</v>
      </c>
      <c r="DX721" s="4"/>
      <c r="DZ721" s="4"/>
      <c r="EA721" s="14">
        <f>SUM(DV721:DZ721)</f>
        <v>1011.91</v>
      </c>
      <c r="EB721" s="14">
        <f ca="1">SUM(DP721,DR721,EA721, DU721, DT721,GB721)</f>
        <v>2856.2529624999997</v>
      </c>
      <c r="EC721" s="24" t="s">
        <v>3879</v>
      </c>
      <c r="ED721" s="130">
        <v>0.66</v>
      </c>
      <c r="EE721" s="14">
        <v>12000</v>
      </c>
      <c r="EF721" s="14">
        <v>58100</v>
      </c>
      <c r="EG721" s="14">
        <v>70100</v>
      </c>
      <c r="EH721" s="14">
        <v>15000</v>
      </c>
      <c r="EI721" s="14">
        <v>64900</v>
      </c>
      <c r="EJ721" s="14">
        <f>SUM(EH721+EI721)</f>
        <v>79900</v>
      </c>
      <c r="EK721" t="s">
        <v>4737</v>
      </c>
      <c r="EL721" t="s">
        <v>4738</v>
      </c>
      <c r="EM721" t="s">
        <v>4739</v>
      </c>
      <c r="IM721" s="9"/>
      <c r="IX721" s="14">
        <f ca="1">SUM(IN721-EB721-GB721-IV721)</f>
        <v>-2856.2529624999997</v>
      </c>
      <c r="IY721" s="9"/>
      <c r="IZ721" s="9"/>
      <c r="JA721" s="9"/>
      <c r="JB721" s="9"/>
      <c r="JC721" s="9"/>
    </row>
    <row r="722" spans="1:263" ht="15" customHeight="1">
      <c r="A722" s="19">
        <v>102022147</v>
      </c>
      <c r="B722" t="s">
        <v>2879</v>
      </c>
      <c r="D722" s="1"/>
      <c r="J722" t="s">
        <v>554</v>
      </c>
      <c r="K722" t="s">
        <v>2087</v>
      </c>
      <c r="L722" t="s">
        <v>3169</v>
      </c>
      <c r="P722" t="s">
        <v>2087</v>
      </c>
      <c r="Q722" t="s">
        <v>1388</v>
      </c>
      <c r="R722" t="s">
        <v>256</v>
      </c>
      <c r="AJ722" s="18" t="s">
        <v>328</v>
      </c>
      <c r="AL722" s="3" t="s">
        <v>259</v>
      </c>
      <c r="AM722"/>
      <c r="AN722"/>
      <c r="AO722" s="3" t="s">
        <v>3170</v>
      </c>
      <c r="AP722" s="3" t="s">
        <v>258</v>
      </c>
      <c r="AQ722" s="3" t="s">
        <v>259</v>
      </c>
      <c r="AR722" t="s">
        <v>260</v>
      </c>
      <c r="AT722" s="1"/>
      <c r="AU722" s="1"/>
      <c r="AV722" s="1"/>
      <c r="AW722" s="1"/>
      <c r="AX722" s="2"/>
      <c r="AY722" s="48"/>
      <c r="AZ722" s="70"/>
      <c r="BA722" s="2"/>
      <c r="BB722" s="2"/>
      <c r="BC722" s="2"/>
      <c r="BD722" s="2"/>
      <c r="BE722" s="2"/>
      <c r="BF722" s="2"/>
      <c r="BG722" s="20"/>
      <c r="BH722" s="22"/>
      <c r="BI722" s="22"/>
      <c r="BJ722" s="14"/>
      <c r="BK722" s="22"/>
      <c r="BL722" s="14"/>
      <c r="BM722" s="14"/>
      <c r="BN722" s="14"/>
      <c r="BO722" s="17"/>
      <c r="BP722" s="23"/>
      <c r="BQ722" s="14"/>
      <c r="BR722" s="14"/>
      <c r="BS722" s="14"/>
      <c r="BT722" s="14"/>
      <c r="BU722" s="17"/>
      <c r="BV722" s="23"/>
      <c r="BW722" s="14"/>
      <c r="BX722" s="14"/>
      <c r="BY722" s="14"/>
      <c r="BZ722" s="14"/>
      <c r="CA722" s="17"/>
      <c r="CB722" s="23"/>
      <c r="CC722" s="14"/>
      <c r="CD722" s="14"/>
      <c r="CE722" s="14"/>
      <c r="CF722" s="14"/>
      <c r="CG722" s="17"/>
      <c r="CH722" s="23"/>
      <c r="CI722" s="14"/>
      <c r="CJ722" s="14"/>
      <c r="CK722" s="14"/>
      <c r="CL722" s="14"/>
      <c r="CM722" s="17"/>
      <c r="CN722" s="23"/>
      <c r="CO722" s="14"/>
      <c r="CP722" s="14"/>
      <c r="CQ722" s="14"/>
      <c r="CR722" s="14"/>
      <c r="CS722" s="14"/>
      <c r="CT722" s="47"/>
      <c r="CU722" s="14"/>
      <c r="CV722" s="32"/>
      <c r="CW722" s="14"/>
      <c r="CY722" s="14"/>
      <c r="DE722" s="14"/>
      <c r="DF722" s="24"/>
      <c r="DG722" s="4"/>
      <c r="DH722" s="4"/>
      <c r="DI722" s="25"/>
      <c r="DJ722" s="35">
        <v>1</v>
      </c>
      <c r="IC722" s="4"/>
    </row>
    <row r="723" spans="1:263" ht="15" customHeight="1">
      <c r="A723" s="19">
        <v>102022148</v>
      </c>
      <c r="B723" t="s">
        <v>2880</v>
      </c>
      <c r="D723" s="1">
        <v>2025</v>
      </c>
      <c r="J723" t="s">
        <v>554</v>
      </c>
      <c r="K723" t="s">
        <v>2087</v>
      </c>
      <c r="L723" t="s">
        <v>3169</v>
      </c>
      <c r="P723" t="s">
        <v>2087</v>
      </c>
      <c r="Q723" t="s">
        <v>1388</v>
      </c>
      <c r="R723" t="s">
        <v>256</v>
      </c>
      <c r="U723" s="240"/>
      <c r="V723" s="240"/>
      <c r="W723" s="240"/>
      <c r="X723" s="240"/>
      <c r="Y723" s="240"/>
      <c r="Z723" s="240"/>
      <c r="AA723" s="240"/>
      <c r="AB723" s="240"/>
      <c r="AC723" s="240"/>
      <c r="AD723" s="240"/>
      <c r="AJ723" t="s">
        <v>3171</v>
      </c>
      <c r="AK723" t="s">
        <v>258</v>
      </c>
      <c r="AL723" s="3" t="s">
        <v>259</v>
      </c>
      <c r="AM723" t="s">
        <v>260</v>
      </c>
      <c r="AN723"/>
      <c r="AO723" s="3" t="s">
        <v>3170</v>
      </c>
      <c r="AP723" s="3" t="s">
        <v>258</v>
      </c>
      <c r="AQ723" s="3" t="s">
        <v>259</v>
      </c>
      <c r="AR723" t="s">
        <v>260</v>
      </c>
      <c r="AT723" s="1"/>
      <c r="AU723" s="1"/>
      <c r="AV723" s="1"/>
      <c r="AW723" s="1"/>
      <c r="AX723" s="2"/>
      <c r="AY723" s="2"/>
      <c r="AZ723" s="70"/>
      <c r="BA723" s="2"/>
      <c r="BB723" s="2"/>
      <c r="BC723" s="2"/>
      <c r="BD723" s="2"/>
      <c r="BE723" s="2"/>
      <c r="BF723" s="2"/>
      <c r="BG723" s="20"/>
      <c r="BH723" s="22"/>
      <c r="BI723" s="22"/>
      <c r="BJ723" s="14"/>
      <c r="BK723" s="22"/>
      <c r="BL723" s="14"/>
      <c r="BM723" s="14"/>
      <c r="BN723" s="14"/>
      <c r="BO723" s="17"/>
      <c r="BP723" s="23"/>
      <c r="BQ723" s="14"/>
      <c r="BR723" s="14"/>
      <c r="BS723" s="14"/>
      <c r="BT723" s="14"/>
      <c r="BU723" s="17"/>
      <c r="BV723" s="23"/>
      <c r="BW723" s="14"/>
      <c r="BX723" s="14"/>
      <c r="BY723" s="14"/>
      <c r="BZ723" s="14"/>
      <c r="CA723" s="17"/>
      <c r="CB723" s="23"/>
      <c r="CC723" s="14"/>
      <c r="CD723" s="14"/>
      <c r="CE723" s="14"/>
      <c r="CF723" s="14"/>
      <c r="CG723" s="17"/>
      <c r="CH723" s="23"/>
      <c r="CI723" s="14"/>
      <c r="CJ723" s="14"/>
      <c r="CK723" s="14"/>
      <c r="CL723" s="14"/>
      <c r="CM723" s="17"/>
      <c r="CN723" s="23"/>
      <c r="CO723" s="14"/>
      <c r="CP723" s="14"/>
      <c r="CQ723" s="14"/>
      <c r="CR723" s="14"/>
      <c r="CS723" s="14"/>
      <c r="CT723" s="47"/>
      <c r="CU723" s="14"/>
      <c r="CV723" s="32"/>
      <c r="CW723" s="14"/>
      <c r="CY723" s="14"/>
      <c r="DE723" s="14"/>
      <c r="DF723" s="24"/>
      <c r="DG723" s="4"/>
      <c r="DH723" s="4"/>
      <c r="DI723" s="25"/>
      <c r="DJ723" s="35">
        <v>1</v>
      </c>
      <c r="IC723" s="4"/>
    </row>
    <row r="724" spans="1:263" ht="15" customHeight="1">
      <c r="A724" s="2">
        <v>102024015</v>
      </c>
      <c r="B724" t="s">
        <v>5065</v>
      </c>
      <c r="D724" s="1">
        <v>2025</v>
      </c>
      <c r="E724" s="3"/>
      <c r="G724" s="3"/>
      <c r="K724" t="s">
        <v>5118</v>
      </c>
      <c r="O724" s="3"/>
      <c r="Z724" t="s">
        <v>5119</v>
      </c>
      <c r="AA724" t="s">
        <v>5120</v>
      </c>
      <c r="AB724" t="s">
        <v>495</v>
      </c>
      <c r="AC724" t="s">
        <v>496</v>
      </c>
      <c r="AG724" s="43"/>
      <c r="AJ724" t="s">
        <v>328</v>
      </c>
      <c r="AK724" s="1"/>
      <c r="AL724" t="s">
        <v>259</v>
      </c>
      <c r="AM724"/>
      <c r="AN724"/>
      <c r="AO724" t="s">
        <v>5122</v>
      </c>
      <c r="AP724" s="1" t="s">
        <v>258</v>
      </c>
      <c r="AQ724" t="s">
        <v>5123</v>
      </c>
      <c r="AR724"/>
      <c r="AS724" s="10"/>
      <c r="AT724" s="10"/>
      <c r="AU724" s="10"/>
      <c r="AV724" s="10"/>
      <c r="AW724" s="10"/>
      <c r="AX724" s="1"/>
      <c r="AY724" s="1"/>
      <c r="AZ724" s="1"/>
      <c r="BA724" s="1"/>
      <c r="BB724" s="1"/>
      <c r="BC724" s="2"/>
      <c r="BD724" s="116"/>
      <c r="BE724" s="115">
        <v>45386</v>
      </c>
      <c r="BF724" s="2"/>
      <c r="BG724" s="2"/>
      <c r="BH724" s="2"/>
      <c r="BI724" s="2"/>
      <c r="BJ724" s="2"/>
      <c r="BK724" s="2"/>
      <c r="BL724" s="20">
        <f ca="1">SUM(EB724)+220</f>
        <v>543.98080000000004</v>
      </c>
      <c r="BM724" s="22">
        <f ca="1">PMT(10%/12,12,BL724,0,0)</f>
        <v>-47.824554668090407</v>
      </c>
      <c r="BN724" s="22">
        <f ca="1">SUM(BM724*-1)</f>
        <v>47.824554668090407</v>
      </c>
      <c r="BO724" s="14">
        <f>SUM(EJ724*0.0052)/12</f>
        <v>1.1266666666666667</v>
      </c>
      <c r="BP724" s="22">
        <f ca="1">SUM(BN724+BO724)</f>
        <v>48.951221334757072</v>
      </c>
      <c r="BQ724" s="14"/>
      <c r="BR724" s="14">
        <f>SUM(BQ724*0.1)</f>
        <v>0</v>
      </c>
      <c r="BS724" s="14">
        <f ca="1">SUM(BT724*BU724)</f>
        <v>0</v>
      </c>
      <c r="BT724" s="17">
        <f>SUM((BQ724+BR724)*0.00833333333333333)</f>
        <v>0</v>
      </c>
      <c r="BU724" s="23">
        <f ca="1">MONTH(TODAY())+61</f>
        <v>65</v>
      </c>
      <c r="BV724" s="14">
        <f ca="1">SUM(BQ724,BR724,BS724)</f>
        <v>0</v>
      </c>
      <c r="BW724" s="14"/>
      <c r="BX724" s="14">
        <f>SUM(BW724*0.1)</f>
        <v>0</v>
      </c>
      <c r="BY724" s="14">
        <f ca="1">SUM(BZ724*CA724)</f>
        <v>0</v>
      </c>
      <c r="BZ724" s="17">
        <f>SUM((BW724+BX724)*0.00833333333333333)</f>
        <v>0</v>
      </c>
      <c r="CA724" s="23">
        <f ca="1">MONTH(TODAY())+49</f>
        <v>53</v>
      </c>
      <c r="CB724" s="14">
        <f ca="1">SUM(BW724,BX724,BY724)</f>
        <v>0</v>
      </c>
      <c r="CC724" s="14">
        <v>0</v>
      </c>
      <c r="CD724" s="14">
        <f>SUM(CC724*0.1)</f>
        <v>0</v>
      </c>
      <c r="CE724" s="14">
        <f ca="1">SUM(CF724*CG724)</f>
        <v>0</v>
      </c>
      <c r="CF724" s="17">
        <f>SUM((CC724+CD724)*0.00833333333333333)</f>
        <v>0</v>
      </c>
      <c r="CG724" s="23">
        <f ca="1">MONTH(TODAY())+37</f>
        <v>41</v>
      </c>
      <c r="CH724" s="14">
        <f ca="1">SUM(CC724,CD724,CE724)</f>
        <v>0</v>
      </c>
      <c r="CI724" s="14">
        <f>SUM(EG724*0.0052)</f>
        <v>13.52</v>
      </c>
      <c r="CJ724" s="14">
        <f>SUM(CI724*0.1)</f>
        <v>1.3520000000000001</v>
      </c>
      <c r="CK724" s="14">
        <f ca="1">SUM(CL724*CM724)</f>
        <v>3.5940666666666652</v>
      </c>
      <c r="CL724" s="17">
        <f>SUM((CI724+CJ724)*0.00833333333333333)</f>
        <v>0.12393333333333328</v>
      </c>
      <c r="CM724" s="23">
        <f ca="1">MONTH(TODAY())+25</f>
        <v>29</v>
      </c>
      <c r="CN724" s="14">
        <f ca="1">SUM(CI724,CJ724,CK724)</f>
        <v>18.466066666666666</v>
      </c>
      <c r="CO724" s="14">
        <f>SUM(EG724*0.0052)/2</f>
        <v>6.76</v>
      </c>
      <c r="CP724" s="14">
        <f>SUM(CO724*0.1)</f>
        <v>0.67600000000000005</v>
      </c>
      <c r="CQ724" s="14">
        <f ca="1">SUM(CR724*CS724)</f>
        <v>1.3012999999999995</v>
      </c>
      <c r="CR724" s="17">
        <f>SUM((CO724+CP724)*0.00833333333333333)</f>
        <v>6.1966666666666642E-2</v>
      </c>
      <c r="CS724" s="23">
        <f ca="1">MONTH(TODAY())+17</f>
        <v>21</v>
      </c>
      <c r="CT724" s="23">
        <f ca="1">SUM(CO724,CP724,CQ724)</f>
        <v>8.7372999999999994</v>
      </c>
      <c r="CU724" s="14">
        <f>SUM(EG724*0.0052)/2</f>
        <v>6.76</v>
      </c>
      <c r="CV724" s="14">
        <f>SUM(CU724*0.1)</f>
        <v>0.67600000000000005</v>
      </c>
      <c r="CW724" s="14">
        <f ca="1">SUM(CX724*CY724)</f>
        <v>1.053433333333333</v>
      </c>
      <c r="CX724" s="17">
        <f>SUM((CU724+CV724)*0.00833333333333333)</f>
        <v>6.1966666666666642E-2</v>
      </c>
      <c r="CY724" s="23">
        <f ca="1">MONTH(TODAY())+13</f>
        <v>17</v>
      </c>
      <c r="CZ724" s="23">
        <f ca="1">SUM(CU724,CV724,CW724)</f>
        <v>8.4894333333333325</v>
      </c>
      <c r="DA724" s="14">
        <f>SUM(EJ724*0.0045)/2</f>
        <v>5.85</v>
      </c>
      <c r="DB724" s="14">
        <f>SUM(DA724*0.1)</f>
        <v>0.58499999999999996</v>
      </c>
      <c r="DC724" s="14">
        <f ca="1">SUM(DD724*DE724)</f>
        <v>0.58987499999999971</v>
      </c>
      <c r="DD724" s="17">
        <f>SUM((DA724+DB724)*0.00833333333333333)</f>
        <v>5.3624999999999971E-2</v>
      </c>
      <c r="DE724" s="23">
        <f ca="1">MONTH(TODAY())+7</f>
        <v>11</v>
      </c>
      <c r="DF724" s="23">
        <f ca="1">SUM(DA724,DB724,DC724)</f>
        <v>7.0248749999999998</v>
      </c>
      <c r="DG724" s="14">
        <f>SUM(EJ724*0.0045)/2</f>
        <v>5.85</v>
      </c>
      <c r="DH724" s="14">
        <f>SUM(DG724*0.1)</f>
        <v>0.58499999999999996</v>
      </c>
      <c r="DI724" s="14">
        <f ca="1">SUM(DJ724*DK724)</f>
        <v>0.26812499999999984</v>
      </c>
      <c r="DJ724" s="17">
        <f>SUM((DG724+DH724)*0.00833333333333333)</f>
        <v>5.3624999999999971E-2</v>
      </c>
      <c r="DK724" s="23">
        <f ca="1">MONTH(TODAY())+1</f>
        <v>5</v>
      </c>
      <c r="DL724" s="14">
        <f ca="1">SUM(DG724,DH724,DI724)</f>
        <v>6.7031249999999991</v>
      </c>
      <c r="DM724" s="14">
        <f>SUM( BQ724, BW724, CC724, CI724, CO724,CU724,DA724,DG724)</f>
        <v>38.74</v>
      </c>
      <c r="DN724" s="14">
        <f t="shared" ref="DN724:DO726" si="302">SUM(BR724,BX724,CD724,CJ724, CP724,CV724,DB724,DH724)</f>
        <v>3.8740000000000001</v>
      </c>
      <c r="DO724" s="14">
        <f t="shared" ca="1" si="302"/>
        <v>6.8067999999999955</v>
      </c>
      <c r="DP724" s="25">
        <f ca="1">SUM(DM724:DO724)</f>
        <v>49.4208</v>
      </c>
      <c r="DQ724" s="47">
        <f ca="1">SUM(DP724/EG724)</f>
        <v>1.9008000000000001E-2</v>
      </c>
      <c r="DR724" s="14">
        <f>40+100</f>
        <v>140</v>
      </c>
      <c r="DS724" s="32">
        <f>COUNTIF(AO724, "*")+COUNTIF(AJ724, "*")+COUNTIF(AA724, "*")+COUNTIF(EU724, "*")+COUNTIF(FA724, "*")+COUNTIF(FG724, "*")+COUNTIF(FK724, "*")+COUNTIF(FR724, "*")+COUNTIF(AT724, "*")+COUNTIF(GA724, "*")+COUNTIF(GL724, "*")+COUNTIF(GW724, "*")+COUNTIF(HE724, "*")+COUNTIF(HM724, "*")+COUNTIF(HU724, "*")</f>
        <v>4</v>
      </c>
      <c r="DT724" s="14">
        <f>DS724*0.64+DS724*8</f>
        <v>34.56</v>
      </c>
      <c r="DU724" s="4">
        <v>100</v>
      </c>
      <c r="DV724" s="4">
        <v>0</v>
      </c>
      <c r="DW724" s="4"/>
      <c r="DX724" s="4"/>
      <c r="DZ724" s="4"/>
      <c r="EA724" s="14">
        <f>SUM(DV724:DZ724)</f>
        <v>0</v>
      </c>
      <c r="EB724" s="14">
        <f ca="1">SUM(DP724,DR724,EA724, DU724, DT724,FX724)</f>
        <v>323.98079999999999</v>
      </c>
      <c r="EC724" s="24" t="s">
        <v>4944</v>
      </c>
      <c r="ED724" s="130">
        <v>1</v>
      </c>
      <c r="EE724" s="14">
        <v>2600</v>
      </c>
      <c r="EF724" s="14">
        <v>0</v>
      </c>
      <c r="EG724" s="14">
        <f>SUM(EE724+EF724)</f>
        <v>2600</v>
      </c>
      <c r="EH724" s="14">
        <v>2600</v>
      </c>
      <c r="EI724" s="14">
        <v>0</v>
      </c>
      <c r="EJ724" s="14">
        <f>SUM(EH724+EI724)</f>
        <v>2600</v>
      </c>
      <c r="EK724" s="10" t="s">
        <v>5290</v>
      </c>
      <c r="EL724" s="10" t="s">
        <v>5301</v>
      </c>
      <c r="EM724" s="10"/>
      <c r="EN724" s="10"/>
      <c r="EO724" s="10"/>
      <c r="EP724" s="10"/>
      <c r="EQ724" s="10"/>
      <c r="ER724" s="10"/>
      <c r="ES724" t="s">
        <v>5292</v>
      </c>
      <c r="EU724" t="s">
        <v>5293</v>
      </c>
      <c r="EW724" t="s">
        <v>5294</v>
      </c>
      <c r="FX724" s="4"/>
      <c r="HY724" s="9"/>
      <c r="IJ724" s="4"/>
      <c r="IK724" s="4"/>
      <c r="IL724" s="4"/>
      <c r="IM724" s="9"/>
      <c r="IN724" s="9"/>
      <c r="IO724" s="9"/>
      <c r="IP724" s="9"/>
      <c r="IQ724" s="9"/>
    </row>
    <row r="725" spans="1:263" ht="15" customHeight="1">
      <c r="A725" s="2">
        <v>102024014</v>
      </c>
      <c r="B725" t="s">
        <v>5064</v>
      </c>
      <c r="D725" s="1"/>
      <c r="E725" s="3"/>
      <c r="G725" s="3"/>
      <c r="K725" t="s">
        <v>5118</v>
      </c>
      <c r="O725" s="3"/>
      <c r="Z725" t="s">
        <v>5119</v>
      </c>
      <c r="AA725" t="s">
        <v>5120</v>
      </c>
      <c r="AB725" t="s">
        <v>495</v>
      </c>
      <c r="AC725" t="s">
        <v>496</v>
      </c>
      <c r="AG725" s="43"/>
      <c r="AJ725" t="s">
        <v>328</v>
      </c>
      <c r="AK725" s="1"/>
      <c r="AL725" t="s">
        <v>259</v>
      </c>
      <c r="AM725"/>
      <c r="AN725"/>
      <c r="AO725" t="s">
        <v>5122</v>
      </c>
      <c r="AP725" s="1" t="s">
        <v>258</v>
      </c>
      <c r="AQ725" t="s">
        <v>5123</v>
      </c>
      <c r="AR725"/>
      <c r="AS725" s="10"/>
      <c r="AT725" s="10"/>
      <c r="AU725" s="10"/>
      <c r="AV725" s="10"/>
      <c r="AW725" s="10"/>
      <c r="AX725" s="1"/>
      <c r="AY725" s="1"/>
      <c r="AZ725" s="1"/>
      <c r="BA725" s="1"/>
      <c r="BB725" s="1"/>
      <c r="BC725" s="2"/>
      <c r="BD725" s="115">
        <v>45382</v>
      </c>
      <c r="BE725" s="115">
        <v>45386</v>
      </c>
      <c r="BF725" s="2"/>
      <c r="BG725" s="2"/>
      <c r="BH725" s="2"/>
      <c r="BI725" s="2"/>
      <c r="BJ725" s="2"/>
      <c r="BK725" s="2"/>
      <c r="BL725" s="20">
        <f ca="1">SUM(EB725)+220</f>
        <v>1339.4096</v>
      </c>
      <c r="BM725" s="22">
        <f ca="1">PMT(10%/12,12,BL725,0,0)</f>
        <v>-117.75538334839224</v>
      </c>
      <c r="BN725" s="22">
        <f ca="1">SUM(BM725*-1)</f>
        <v>117.75538334839224</v>
      </c>
      <c r="BO725" s="14">
        <f>SUM(EJ725*0.0052)/12</f>
        <v>21.493333333333336</v>
      </c>
      <c r="BP725" s="22">
        <f ca="1">SUM(BN725+BO725)</f>
        <v>139.24871668172557</v>
      </c>
      <c r="BQ725" s="14"/>
      <c r="BR725" s="14">
        <f>SUM(BQ725*0.1)</f>
        <v>0</v>
      </c>
      <c r="BS725" s="14">
        <f ca="1">SUM(BT725*BU725)</f>
        <v>0</v>
      </c>
      <c r="BT725" s="17">
        <f>SUM((BQ725+BR725)*0.00833333333333333)</f>
        <v>0</v>
      </c>
      <c r="BU725" s="23">
        <f ca="1">MONTH(TODAY())+61</f>
        <v>65</v>
      </c>
      <c r="BV725" s="14">
        <f ca="1">SUM(BQ725,BR725,BS725)</f>
        <v>0</v>
      </c>
      <c r="BW725" s="14"/>
      <c r="BX725" s="14">
        <f>SUM(BW725*0.1)</f>
        <v>0</v>
      </c>
      <c r="BY725" s="14">
        <f ca="1">SUM(BZ725*CA725)</f>
        <v>0</v>
      </c>
      <c r="BZ725" s="17">
        <f>SUM((BW725+BX725)*0.00833333333333333)</f>
        <v>0</v>
      </c>
      <c r="CA725" s="23">
        <f ca="1">MONTH(TODAY())+49</f>
        <v>53</v>
      </c>
      <c r="CB725" s="14">
        <f ca="1">SUM(BW725,BX725,BY725)</f>
        <v>0</v>
      </c>
      <c r="CC725" s="14">
        <v>0</v>
      </c>
      <c r="CD725" s="14">
        <f>SUM(CC725*0.1)</f>
        <v>0</v>
      </c>
      <c r="CE725" s="14">
        <f ca="1">SUM(CF725*CG725)</f>
        <v>0</v>
      </c>
      <c r="CF725" s="17">
        <f>SUM((CC725+CD725)*0.00833333333333333)</f>
        <v>0</v>
      </c>
      <c r="CG725" s="23">
        <f ca="1">MONTH(TODAY())+37</f>
        <v>41</v>
      </c>
      <c r="CH725" s="14">
        <f ca="1">SUM(CC725,CD725,CE725)</f>
        <v>0</v>
      </c>
      <c r="CI725" s="14">
        <f>SUM(EG725*0.0052)</f>
        <v>206.44</v>
      </c>
      <c r="CJ725" s="14">
        <f>SUM(CI725*0.1)</f>
        <v>20.644000000000002</v>
      </c>
      <c r="CK725" s="14">
        <f ca="1">SUM(CL725*CM725)</f>
        <v>54.878633333333312</v>
      </c>
      <c r="CL725" s="17">
        <f>SUM((CI725+CJ725)*0.00833333333333333)</f>
        <v>1.8923666666666659</v>
      </c>
      <c r="CM725" s="23">
        <f ca="1">MONTH(TODAY())+25</f>
        <v>29</v>
      </c>
      <c r="CN725" s="14">
        <f ca="1">SUM(CI725,CJ725,CK725)</f>
        <v>281.96263333333332</v>
      </c>
      <c r="CO725" s="14">
        <f>SUM(EG725*0.0052)/2</f>
        <v>103.22</v>
      </c>
      <c r="CP725" s="14">
        <f>SUM(CO725*0.1)</f>
        <v>10.322000000000001</v>
      </c>
      <c r="CQ725" s="14">
        <f ca="1">SUM(CR725*CS725)</f>
        <v>19.869849999999992</v>
      </c>
      <c r="CR725" s="17">
        <f>SUM((CO725+CP725)*0.00833333333333333)</f>
        <v>0.94618333333333293</v>
      </c>
      <c r="CS725" s="23">
        <f ca="1">MONTH(TODAY())+17</f>
        <v>21</v>
      </c>
      <c r="CT725" s="23">
        <f ca="1">SUM(CO725,CP725,CQ725)</f>
        <v>133.41184999999999</v>
      </c>
      <c r="CU725" s="14">
        <f>SUM(EG725*0.0052)/2</f>
        <v>103.22</v>
      </c>
      <c r="CV725" s="14">
        <f>SUM(CU725*0.1)</f>
        <v>10.322000000000001</v>
      </c>
      <c r="CW725" s="14">
        <f ca="1">SUM(CX725*CY725)</f>
        <v>16.085116666666661</v>
      </c>
      <c r="CX725" s="17">
        <f>SUM((CU725+CV725)*0.00833333333333333)</f>
        <v>0.94618333333333293</v>
      </c>
      <c r="CY725" s="23">
        <f ca="1">MONTH(TODAY())+13</f>
        <v>17</v>
      </c>
      <c r="CZ725" s="23">
        <f ca="1">SUM(CU725,CV725,CW725)</f>
        <v>129.62711666666667</v>
      </c>
      <c r="DA725" s="14">
        <f>SUM(EJ725*0.0045)/2</f>
        <v>111.6</v>
      </c>
      <c r="DB725" s="14">
        <f>SUM(DA725*0.1)</f>
        <v>11.16</v>
      </c>
      <c r="DC725" s="14">
        <f ca="1">SUM(DD725*DE725)</f>
        <v>11.252999999999995</v>
      </c>
      <c r="DD725" s="17">
        <f>SUM((DA725+DB725)*0.00833333333333333)</f>
        <v>1.0229999999999995</v>
      </c>
      <c r="DE725" s="23">
        <f ca="1">MONTH(TODAY())+7</f>
        <v>11</v>
      </c>
      <c r="DF725" s="23">
        <f ca="1">SUM(DA725,DB725,DC725)</f>
        <v>134.01299999999998</v>
      </c>
      <c r="DG725" s="14">
        <f>SUM(EJ725*0.0045)/2</f>
        <v>111.6</v>
      </c>
      <c r="DH725" s="14">
        <f>SUM(DG725*0.1)</f>
        <v>11.16</v>
      </c>
      <c r="DI725" s="14">
        <f ca="1">SUM(DJ725*DK725)</f>
        <v>5.1149999999999975</v>
      </c>
      <c r="DJ725" s="17">
        <f>SUM((DG725+DH725)*0.00833333333333333)</f>
        <v>1.0229999999999995</v>
      </c>
      <c r="DK725" s="23">
        <f ca="1">MONTH(TODAY())+1</f>
        <v>5</v>
      </c>
      <c r="DL725" s="14">
        <f ca="1">SUM(DG725,DH725,DI725)</f>
        <v>127.87499999999999</v>
      </c>
      <c r="DM725" s="14">
        <f>SUM( BQ725, BW725, CC725, CI725, CO725,CU725,DA725,DG725)</f>
        <v>636.08000000000004</v>
      </c>
      <c r="DN725" s="14">
        <f t="shared" si="302"/>
        <v>63.608000000000004</v>
      </c>
      <c r="DO725" s="14">
        <f t="shared" ca="1" si="302"/>
        <v>107.20159999999996</v>
      </c>
      <c r="DP725" s="25">
        <f ca="1">SUM(DM725:DO725)</f>
        <v>806.88960000000009</v>
      </c>
      <c r="DQ725" s="47">
        <f ca="1">SUM(DP725/EH725)</f>
        <v>1.6267935483870968E-2</v>
      </c>
      <c r="DR725" s="14">
        <f>40+10+100</f>
        <v>150</v>
      </c>
      <c r="DS725" s="32">
        <f>COUNTIF(AO725, "*")+COUNTIF(AJ725, "*")+COUNTIF(AA725, "*")+COUNTIF(EU725, "*")+COUNTIF(FA725, "*")+COUNTIF(FG725, "*")+COUNTIF(FK725, "*")+COUNTIF(FR725, "*")+COUNTIF(AT725, "*")+COUNTIF(GA725, "*")+COUNTIF(GL725, "*")+COUNTIF(GW725, "*")+COUNTIF(HE725, "*")+COUNTIF(HM725, "*")+COUNTIF(HU725, "*")</f>
        <v>4</v>
      </c>
      <c r="DT725" s="14">
        <f>DS725*0.64+DS725*8</f>
        <v>34.56</v>
      </c>
      <c r="DU725" s="4">
        <v>100</v>
      </c>
      <c r="DV725" s="4">
        <v>27.96</v>
      </c>
      <c r="DW725" s="4"/>
      <c r="DX725" s="4"/>
      <c r="DZ725" s="4"/>
      <c r="EA725" s="14">
        <f>SUM(DV725:DZ725)</f>
        <v>27.96</v>
      </c>
      <c r="EB725" s="14">
        <f ca="1">SUM(DP725,DR725,EA725, DU725, DT725,FX725)</f>
        <v>1119.4096</v>
      </c>
      <c r="EC725" s="24" t="s">
        <v>4944</v>
      </c>
      <c r="ED725" s="130">
        <v>24.78</v>
      </c>
      <c r="EE725" s="14">
        <v>39700</v>
      </c>
      <c r="EF725" s="14">
        <v>0</v>
      </c>
      <c r="EG725" s="4">
        <f>SUM(EE725+EF725)</f>
        <v>39700</v>
      </c>
      <c r="EH725" s="14">
        <v>49600</v>
      </c>
      <c r="EI725" s="14">
        <v>0</v>
      </c>
      <c r="EJ725" s="4">
        <f>SUM(EH725+EI725)</f>
        <v>49600</v>
      </c>
      <c r="EK725" s="10" t="s">
        <v>5289</v>
      </c>
      <c r="EL725" s="10" t="s">
        <v>5301</v>
      </c>
      <c r="EM725" s="10"/>
      <c r="EN725" s="10"/>
      <c r="EO725" s="10"/>
      <c r="EP725" s="10"/>
      <c r="EQ725" s="10"/>
      <c r="ER725" s="10"/>
      <c r="ES725" t="s">
        <v>5292</v>
      </c>
      <c r="EU725" t="s">
        <v>5293</v>
      </c>
      <c r="EW725" t="s">
        <v>5294</v>
      </c>
      <c r="FX725" s="4"/>
      <c r="HY725" s="9"/>
      <c r="IJ725" s="4"/>
      <c r="IK725" s="4"/>
      <c r="IL725" s="4"/>
      <c r="IM725" s="9"/>
      <c r="IN725" s="9"/>
      <c r="IO725" s="9"/>
      <c r="IP725" s="9"/>
      <c r="IQ725" s="9"/>
    </row>
    <row r="726" spans="1:263" ht="15" customHeight="1">
      <c r="A726" s="2">
        <v>102024013</v>
      </c>
      <c r="B726" t="s">
        <v>5063</v>
      </c>
      <c r="D726" s="1"/>
      <c r="E726" s="3"/>
      <c r="G726" s="3"/>
      <c r="K726" t="s">
        <v>5118</v>
      </c>
      <c r="O726" s="3"/>
      <c r="Z726" t="s">
        <v>5119</v>
      </c>
      <c r="AA726" t="s">
        <v>5120</v>
      </c>
      <c r="AB726" t="s">
        <v>495</v>
      </c>
      <c r="AC726" t="s">
        <v>496</v>
      </c>
      <c r="AG726" s="43"/>
      <c r="AJ726" t="s">
        <v>5121</v>
      </c>
      <c r="AK726" s="1" t="s">
        <v>258</v>
      </c>
      <c r="AL726" t="s">
        <v>259</v>
      </c>
      <c r="AM726" t="s">
        <v>260</v>
      </c>
      <c r="AN726"/>
      <c r="AO726" t="s">
        <v>5122</v>
      </c>
      <c r="AP726" s="1" t="s">
        <v>258</v>
      </c>
      <c r="AQ726" t="s">
        <v>5123</v>
      </c>
      <c r="AR726"/>
      <c r="AS726" s="10"/>
      <c r="AT726" s="10"/>
      <c r="AU726" s="10"/>
      <c r="AV726" s="10"/>
      <c r="AW726" s="10"/>
      <c r="AX726" s="1"/>
      <c r="AY726" s="1"/>
      <c r="AZ726" s="1"/>
      <c r="BA726" s="1"/>
      <c r="BB726" s="1"/>
      <c r="BC726" s="2"/>
      <c r="BD726" s="115">
        <v>45382</v>
      </c>
      <c r="BE726" s="115">
        <v>45386</v>
      </c>
      <c r="BF726" s="2"/>
      <c r="BG726" s="2"/>
      <c r="BH726" s="2"/>
      <c r="BI726" s="2"/>
      <c r="BJ726" s="2"/>
      <c r="BK726" s="2"/>
      <c r="BL726" s="20">
        <f ca="1">SUM(EB726)+220</f>
        <v>1718.8303999999998</v>
      </c>
      <c r="BM726" s="22">
        <f ca="1">PMT(10%/12,12,BL726,0,0)</f>
        <v>-151.11249961391229</v>
      </c>
      <c r="BN726" s="22">
        <f ca="1">SUM(BM726*-1)</f>
        <v>151.11249961391229</v>
      </c>
      <c r="BO726" s="14">
        <f>SUM(EJ726*0.0052)/12</f>
        <v>29.423333333333332</v>
      </c>
      <c r="BP726" s="22">
        <f ca="1">SUM(BN726+BO726)</f>
        <v>180.53583294724564</v>
      </c>
      <c r="BQ726" s="14"/>
      <c r="BR726" s="14">
        <f>SUM(BQ726*0.1)</f>
        <v>0</v>
      </c>
      <c r="BS726" s="14">
        <f ca="1">SUM(BT726*BU726)</f>
        <v>0</v>
      </c>
      <c r="BT726" s="17">
        <f>SUM((BQ726+BR726)*0.00833333333333333)</f>
        <v>0</v>
      </c>
      <c r="BU726" s="23">
        <f ca="1">MONTH(TODAY())+61</f>
        <v>65</v>
      </c>
      <c r="BV726" s="14">
        <f ca="1">SUM(BQ726,BR726,BS726)</f>
        <v>0</v>
      </c>
      <c r="BW726" s="14"/>
      <c r="BX726" s="14">
        <f>SUM(BW726*0.1)</f>
        <v>0</v>
      </c>
      <c r="BY726" s="14">
        <f ca="1">SUM(BZ726*CA726)</f>
        <v>0</v>
      </c>
      <c r="BZ726" s="17">
        <f>SUM((BW726+BX726)*0.00833333333333333)</f>
        <v>0</v>
      </c>
      <c r="CA726" s="23">
        <f ca="1">MONTH(TODAY())+49</f>
        <v>53</v>
      </c>
      <c r="CB726" s="14">
        <f ca="1">SUM(BW726,BX726,BY726)</f>
        <v>0</v>
      </c>
      <c r="CC726" s="14">
        <v>0</v>
      </c>
      <c r="CD726" s="14">
        <f>SUM(CC726*0.1)</f>
        <v>0</v>
      </c>
      <c r="CE726" s="14">
        <f ca="1">SUM(CF726*CG726)</f>
        <v>0</v>
      </c>
      <c r="CF726" s="17">
        <f>SUM((CC726+CD726)*0.00833333333333333)</f>
        <v>0</v>
      </c>
      <c r="CG726" s="23">
        <f ca="1">MONTH(TODAY())+37</f>
        <v>41</v>
      </c>
      <c r="CH726" s="14">
        <f ca="1">SUM(CC726,CD726,CE726)</f>
        <v>0</v>
      </c>
      <c r="CI726" s="14">
        <f>SUM(EG726*0.0052)</f>
        <v>313.56</v>
      </c>
      <c r="CJ726" s="14">
        <f>SUM(CI726*0.1)</f>
        <v>31.356000000000002</v>
      </c>
      <c r="CK726" s="14">
        <f ca="1">SUM(CL726*CM726)</f>
        <v>83.354699999999951</v>
      </c>
      <c r="CL726" s="17">
        <f>SUM((CI726+CJ726)*0.00833333333333333)</f>
        <v>2.8742999999999985</v>
      </c>
      <c r="CM726" s="23">
        <f ca="1">MONTH(TODAY())+25</f>
        <v>29</v>
      </c>
      <c r="CN726" s="14">
        <f ca="1">SUM(CI726,CJ726,CK726)</f>
        <v>428.27069999999992</v>
      </c>
      <c r="CO726" s="14">
        <f>SUM(EG726*0.0052)/2</f>
        <v>156.78</v>
      </c>
      <c r="CP726" s="14">
        <f>SUM(CO726*0.1)</f>
        <v>15.678000000000001</v>
      </c>
      <c r="CQ726" s="14">
        <f ca="1">SUM(CR726*CS726)</f>
        <v>30.180149999999983</v>
      </c>
      <c r="CR726" s="17">
        <f>SUM((CO726+CP726)*0.00833333333333333)</f>
        <v>1.4371499999999993</v>
      </c>
      <c r="CS726" s="23">
        <f ca="1">MONTH(TODAY())+17</f>
        <v>21</v>
      </c>
      <c r="CT726" s="23">
        <f ca="1">SUM(CO726,CP726,CQ726)</f>
        <v>202.63815</v>
      </c>
      <c r="CU726" s="14">
        <f>SUM(EG726*0.0052)/2</f>
        <v>156.78</v>
      </c>
      <c r="CV726" s="14">
        <f>SUM(CU726*0.1)</f>
        <v>15.678000000000001</v>
      </c>
      <c r="CW726" s="14">
        <f ca="1">SUM(CX726*CY726)</f>
        <v>24.431549999999987</v>
      </c>
      <c r="CX726" s="17">
        <f>SUM((CU726+CV726)*0.00833333333333333)</f>
        <v>1.4371499999999993</v>
      </c>
      <c r="CY726" s="23">
        <f ca="1">MONTH(TODAY())+13</f>
        <v>17</v>
      </c>
      <c r="CZ726" s="23">
        <f ca="1">SUM(CU726,CV726,CW726)</f>
        <v>196.88954999999999</v>
      </c>
      <c r="DA726" s="14">
        <f>SUM(EJ726*0.0045)/2</f>
        <v>152.77499999999998</v>
      </c>
      <c r="DB726" s="14">
        <f>SUM(DA726*0.1)</f>
        <v>15.277499999999998</v>
      </c>
      <c r="DC726" s="14">
        <f ca="1">SUM(DD726*DE726)</f>
        <v>15.404812499999993</v>
      </c>
      <c r="DD726" s="17">
        <f>SUM((DA726+DB726)*0.00833333333333333)</f>
        <v>1.4004374999999993</v>
      </c>
      <c r="DE726" s="23">
        <f ca="1">MONTH(TODAY())+7</f>
        <v>11</v>
      </c>
      <c r="DF726" s="23">
        <f ca="1">SUM(DA726,DB726,DC726)</f>
        <v>183.45731249999997</v>
      </c>
      <c r="DG726" s="14">
        <f>SUM(EJ726*0.0045)/2</f>
        <v>152.77499999999998</v>
      </c>
      <c r="DH726" s="14">
        <f>SUM(DG726*0.1)</f>
        <v>15.277499999999998</v>
      </c>
      <c r="DI726" s="14">
        <f ca="1">SUM(DJ726*DK726)</f>
        <v>7.0021874999999962</v>
      </c>
      <c r="DJ726" s="17">
        <f>SUM((DG726+DH726)*0.00833333333333333)</f>
        <v>1.4004374999999993</v>
      </c>
      <c r="DK726" s="23">
        <f ca="1">MONTH(TODAY())+1</f>
        <v>5</v>
      </c>
      <c r="DL726" s="14">
        <f ca="1">SUM(DG726,DH726,DI726)</f>
        <v>175.05468749999997</v>
      </c>
      <c r="DM726" s="14">
        <f>SUM( BQ726, BW726, CC726, CI726, CO726,CU726,DA726,DG726)</f>
        <v>932.67</v>
      </c>
      <c r="DN726" s="14">
        <f t="shared" si="302"/>
        <v>93.26700000000001</v>
      </c>
      <c r="DO726" s="14">
        <f t="shared" ca="1" si="302"/>
        <v>160.37339999999989</v>
      </c>
      <c r="DP726" s="25">
        <f ca="1">SUM(DM726:DO726)</f>
        <v>1186.3103999999998</v>
      </c>
      <c r="DQ726" s="47">
        <f ca="1">SUM(DP726/EG726)</f>
        <v>1.9673472636815917E-2</v>
      </c>
      <c r="DR726" s="14">
        <f>40+10+100</f>
        <v>150</v>
      </c>
      <c r="DS726" s="32">
        <f>COUNTIF(AO726, "*")+COUNTIF(AJ726, "*")+COUNTIF(AA726, "*")+COUNTIF(EU726, "*")+COUNTIF(FA726, "*")+COUNTIF(FG726, "*")+COUNTIF(FK726, "*")+COUNTIF(FR726, "*")+COUNTIF(AT726, "*")+COUNTIF(GA726, "*")+COUNTIF(GL726, "*")+COUNTIF(GW726, "*")+COUNTIF(HE726, "*")+COUNTIF(HM726, "*")+COUNTIF(HU726, "*")</f>
        <v>4</v>
      </c>
      <c r="DT726" s="14">
        <f>DS726*0.64+DS726*8</f>
        <v>34.56</v>
      </c>
      <c r="DU726" s="4">
        <v>100</v>
      </c>
      <c r="DV726" s="4">
        <v>27.96</v>
      </c>
      <c r="DW726" s="4"/>
      <c r="DX726" s="4"/>
      <c r="DZ726" s="4"/>
      <c r="EA726" s="14">
        <f>SUM(DV726:DZ726)</f>
        <v>27.96</v>
      </c>
      <c r="EB726" s="14">
        <f ca="1">SUM(DP726,DR726,EA726, DU726, DT726,FX726)</f>
        <v>1498.8303999999998</v>
      </c>
      <c r="EC726" s="24" t="s">
        <v>4944</v>
      </c>
      <c r="ED726" s="130">
        <v>27.07</v>
      </c>
      <c r="EE726" s="14">
        <v>51800</v>
      </c>
      <c r="EF726" s="14">
        <v>8500</v>
      </c>
      <c r="EG726" s="14">
        <f>SUM(EE726+EF726)</f>
        <v>60300</v>
      </c>
      <c r="EH726" s="14">
        <v>61300</v>
      </c>
      <c r="EI726" s="14">
        <v>6600</v>
      </c>
      <c r="EJ726" s="14">
        <f>SUM(EH726+EI726)</f>
        <v>67900</v>
      </c>
      <c r="EK726" s="10" t="s">
        <v>5291</v>
      </c>
      <c r="EL726" s="10" t="s">
        <v>5301</v>
      </c>
      <c r="EM726" s="10"/>
      <c r="EN726" s="10"/>
      <c r="EO726" s="10"/>
      <c r="EP726" s="10"/>
      <c r="EQ726" s="10"/>
      <c r="ER726" s="10"/>
      <c r="ES726" t="s">
        <v>5292</v>
      </c>
      <c r="EU726" t="s">
        <v>5293</v>
      </c>
      <c r="EW726" t="s">
        <v>5294</v>
      </c>
      <c r="FX726" s="4"/>
      <c r="HY726" s="9"/>
      <c r="IJ726" s="4"/>
      <c r="IK726" s="4"/>
      <c r="IL726" s="4"/>
      <c r="IM726" s="9"/>
      <c r="IN726" s="9"/>
      <c r="IO726" s="9"/>
      <c r="IP726" s="9"/>
      <c r="IQ726" s="9"/>
    </row>
    <row r="727" spans="1:263" ht="15" customHeight="1">
      <c r="A727">
        <v>102024139</v>
      </c>
      <c r="B727" t="s">
        <v>5478</v>
      </c>
      <c r="D727" s="1"/>
      <c r="E727" s="3" t="s">
        <v>5886</v>
      </c>
      <c r="F727" s="2">
        <v>240003192</v>
      </c>
      <c r="G727" s="3"/>
      <c r="K727" t="s">
        <v>5479</v>
      </c>
      <c r="O727" s="3"/>
      <c r="Z727" t="s">
        <v>5480</v>
      </c>
      <c r="AA727" t="s">
        <v>5481</v>
      </c>
      <c r="AB727" t="s">
        <v>259</v>
      </c>
      <c r="AC727" t="s">
        <v>260</v>
      </c>
      <c r="AG727" s="43"/>
      <c r="AJ727" s="18" t="s">
        <v>328</v>
      </c>
      <c r="AK727" s="1"/>
      <c r="AL727" t="s">
        <v>259</v>
      </c>
      <c r="AM727"/>
      <c r="AN727"/>
      <c r="AO727" t="s">
        <v>5481</v>
      </c>
      <c r="AP727" s="1" t="s">
        <v>258</v>
      </c>
      <c r="AQ727" t="s">
        <v>259</v>
      </c>
      <c r="AR727" t="s">
        <v>260</v>
      </c>
      <c r="AS727" t="s">
        <v>372</v>
      </c>
      <c r="AT727" t="s">
        <v>373</v>
      </c>
      <c r="AU727" t="s">
        <v>374</v>
      </c>
      <c r="AV727" t="s">
        <v>259</v>
      </c>
      <c r="AW727" s="1" t="s">
        <v>260</v>
      </c>
      <c r="AY727" s="1" t="s">
        <v>258</v>
      </c>
      <c r="AZ727" s="1"/>
      <c r="BA727" s="1"/>
      <c r="BB727" s="1"/>
      <c r="BC727" s="70">
        <v>45474</v>
      </c>
      <c r="BD727" s="115">
        <v>45415</v>
      </c>
      <c r="BE727" s="144">
        <v>45433</v>
      </c>
      <c r="BF727" s="2"/>
      <c r="BG727" s="2"/>
      <c r="BH727" s="2"/>
      <c r="BI727" s="2"/>
      <c r="BJ727" s="70">
        <v>45545</v>
      </c>
      <c r="BK727" s="70" t="s">
        <v>5895</v>
      </c>
      <c r="BL727" s="20">
        <f ca="1">SUM(EH727)+220</f>
        <v>1328.0189666666668</v>
      </c>
      <c r="BM727" s="22">
        <f ca="1">PMT(10%/12,12,BL727,0,0)</f>
        <v>-116.75396571278054</v>
      </c>
      <c r="BN727" s="22">
        <f ca="1">SUM(BM727*-1)</f>
        <v>116.75396571278054</v>
      </c>
      <c r="BO727" s="14">
        <f>SUM(EP727*0.0052)/12</f>
        <v>14.993333333333332</v>
      </c>
      <c r="BP727" s="22">
        <f ca="1">SUM(BN727+BO727)</f>
        <v>131.74729904611388</v>
      </c>
      <c r="BQ727" s="14"/>
      <c r="BR727" s="14">
        <f>SUM(BQ727*0.1)</f>
        <v>0</v>
      </c>
      <c r="BS727" s="14">
        <f ca="1">SUM(BT727*BU727)</f>
        <v>0</v>
      </c>
      <c r="BT727" s="17">
        <f>SUM((BQ727+BR727)*0.00833333333333333)</f>
        <v>0</v>
      </c>
      <c r="BU727" s="23">
        <f ca="1">MONTH(TODAY())+49</f>
        <v>53</v>
      </c>
      <c r="BV727" s="14">
        <f ca="1">SUM(BQ727,BR727,BS727)</f>
        <v>0</v>
      </c>
      <c r="BW727" s="14">
        <v>0</v>
      </c>
      <c r="BX727" s="14">
        <f>SUM(BW727*0.1)</f>
        <v>0</v>
      </c>
      <c r="BY727" s="14">
        <f ca="1">SUM(BZ727*CA727)</f>
        <v>0</v>
      </c>
      <c r="BZ727" s="17">
        <f>SUM((BW727+BX727)*0.00833333333333333)</f>
        <v>0</v>
      </c>
      <c r="CA727" s="23">
        <f ca="1">MONTH(TODAY())+37</f>
        <v>41</v>
      </c>
      <c r="CB727" s="14">
        <f ca="1">SUM(BW727,BX727,BY727)</f>
        <v>0</v>
      </c>
      <c r="CC727" s="14">
        <v>0</v>
      </c>
      <c r="CD727" s="14">
        <f>SUM(CC727*0.1)</f>
        <v>0</v>
      </c>
      <c r="CE727" s="14">
        <f ca="1">SUM(CF727*CG727)</f>
        <v>0</v>
      </c>
      <c r="CF727" s="17">
        <f>SUM((CC727+CD727)*0.00833333333333333)</f>
        <v>0</v>
      </c>
      <c r="CG727" s="23">
        <f ca="1">MONTH(TODAY())+25</f>
        <v>29</v>
      </c>
      <c r="CH727" s="14">
        <f ca="1">SUM(CC727,CD727,CE727)</f>
        <v>0</v>
      </c>
      <c r="CI727" s="14">
        <f>SUM(EM727*0.0052)/2</f>
        <v>72.02</v>
      </c>
      <c r="CJ727" s="14">
        <f>SUM(CI727*0.1)</f>
        <v>7.202</v>
      </c>
      <c r="CK727" s="14">
        <f ca="1">SUM(CL727*CM727)</f>
        <v>13.863849999999994</v>
      </c>
      <c r="CL727" s="17">
        <f>SUM((CI727+CJ727)*0.00833333333333333)</f>
        <v>0.66018333333333301</v>
      </c>
      <c r="CM727" s="23">
        <f ca="1">MONTH(TODAY())+17</f>
        <v>21</v>
      </c>
      <c r="CN727" s="23">
        <f ca="1">SUM(CI727,CJ727,CK727)</f>
        <v>93.085849999999994</v>
      </c>
      <c r="CO727" s="14">
        <f>SUM(EM727*0.0052)/2</f>
        <v>72.02</v>
      </c>
      <c r="CP727" s="14">
        <f>SUM(CO727*0.1)</f>
        <v>7.202</v>
      </c>
      <c r="CQ727" s="14">
        <f ca="1">SUM(CR727*CS727)</f>
        <v>11.223116666666661</v>
      </c>
      <c r="CR727" s="17">
        <f>SUM((CO727+CP727)*0.00833333333333333)</f>
        <v>0.66018333333333301</v>
      </c>
      <c r="CS727" s="23">
        <f ca="1">MONTH(TODAY())+13</f>
        <v>17</v>
      </c>
      <c r="CT727" s="23">
        <f ca="1">SUM(CO727,CP727,CQ727)</f>
        <v>90.44511666666665</v>
      </c>
      <c r="CU727" s="14">
        <f>SUM(EP727*0.0045)/2</f>
        <v>77.849999999999994</v>
      </c>
      <c r="CV727" s="14">
        <f>SUM(CU727*0.1)</f>
        <v>7.7850000000000001</v>
      </c>
      <c r="CW727" s="14">
        <f ca="1">SUM(CX727*CY727)</f>
        <v>7.8498749999999955</v>
      </c>
      <c r="CX727" s="17">
        <f>SUM((CU727+CV727)*0.00833333333333333)</f>
        <v>0.71362499999999962</v>
      </c>
      <c r="CY727" s="23">
        <f ca="1">MONTH(TODAY())+7</f>
        <v>11</v>
      </c>
      <c r="CZ727" s="23">
        <f ca="1">SUM(CU727,CV727,CW727)</f>
        <v>93.484874999999988</v>
      </c>
      <c r="DA727" s="14">
        <f>SUM(EP727*0.0045)/2</f>
        <v>77.849999999999994</v>
      </c>
      <c r="DB727" s="14">
        <f>SUM(DA727*0.1)</f>
        <v>7.7850000000000001</v>
      </c>
      <c r="DC727" s="14">
        <f ca="1">SUM(DD727*DE727)</f>
        <v>3.568124999999998</v>
      </c>
      <c r="DD727" s="17">
        <f>SUM((DA727+DB727)*0.00833333333333333)</f>
        <v>0.71362499999999962</v>
      </c>
      <c r="DE727" s="23">
        <f ca="1">MONTH(TODAY())+1</f>
        <v>5</v>
      </c>
      <c r="DF727" s="14">
        <f ca="1">SUM(DA727,DB727,DC727)</f>
        <v>89.203124999999986</v>
      </c>
      <c r="DG727" s="14">
        <f>SUM(EP727*0.0045)/2</f>
        <v>77.849999999999994</v>
      </c>
      <c r="DH727" s="14">
        <f>0</f>
        <v>0</v>
      </c>
      <c r="DI727" s="14">
        <f>0</f>
        <v>0</v>
      </c>
      <c r="DJ727" s="17">
        <f>SUM((DG727+DH727)*0.00833333333333333)</f>
        <v>0.64874999999999972</v>
      </c>
      <c r="DK727" s="23">
        <f ca="1">MONTH(TODAY())+7</f>
        <v>11</v>
      </c>
      <c r="DL727" s="23">
        <f>SUM(DG727,DH727,DI727)</f>
        <v>77.849999999999994</v>
      </c>
      <c r="DM727" s="14">
        <f>0</f>
        <v>0</v>
      </c>
      <c r="DN727" s="14">
        <f>0</f>
        <v>0</v>
      </c>
      <c r="DO727" s="14">
        <f ca="1">SUM(DP727*DQ727)</f>
        <v>0</v>
      </c>
      <c r="DP727" s="17">
        <f>SUM((DM727+DN727)*0.00833333333333333)</f>
        <v>0</v>
      </c>
      <c r="DQ727" s="23">
        <f ca="1">MONTH(TODAY())+1</f>
        <v>5</v>
      </c>
      <c r="DR727" s="14">
        <f ca="1">SUM(DM727,DN727,DO727)</f>
        <v>0</v>
      </c>
      <c r="DS727" s="14">
        <f>SUM(BQ727, BW727, CC727, CI727,CO727,CU727,DA727,DG727,DM727)</f>
        <v>377.59000000000003</v>
      </c>
      <c r="DT727" s="14">
        <f>SUM(BR727,BX727,CD727, CJ727,CP727,CV727,DB727,DH727,DN727)</f>
        <v>29.974</v>
      </c>
      <c r="DU727" s="14">
        <f ca="1">SUM(BS727,BY727,CE727, CK727,CQ727,CW727,DC727,DI727,DO727)</f>
        <v>36.504966666666647</v>
      </c>
      <c r="DV727" s="25">
        <f ca="1">SUM(DS727:DU727)</f>
        <v>444.06896666666665</v>
      </c>
      <c r="DW727" s="47">
        <f ca="1">SUM(DV727/EM727)</f>
        <v>1.60313706377858E-2</v>
      </c>
      <c r="DX727" s="14">
        <f>20+10+200+200</f>
        <v>430</v>
      </c>
      <c r="DY727" s="32">
        <f>COUNTIF(AO727, "*")+COUNTIF(AJ727, "*")+COUNTIF(AA727, "*")+COUNTIF(FA727, "*")+COUNTIF(FG727, "*")+COUNTIF(FM727, "*")+COUNTIF(FQ727, "*")+COUNTIF(FX727, "*")+COUNTIF(AT727, "*")+COUNTIF(GG727, "*")+COUNTIF(GR727, "*")+COUNTIF(HC727, "*")+COUNTIF(HK727, "*")+COUNTIF(HS727, "*")+COUNTIF(IA727, "*")</f>
        <v>7</v>
      </c>
      <c r="DZ727" s="14">
        <f>1.28+DY727*8</f>
        <v>57.28</v>
      </c>
      <c r="EA727" s="4">
        <v>150</v>
      </c>
      <c r="EB727" s="4">
        <v>26.67</v>
      </c>
      <c r="EC727" s="4"/>
      <c r="ED727" s="4"/>
      <c r="EF727" s="4"/>
      <c r="EG727" s="14">
        <f>SUM(EB727:EF727)</f>
        <v>26.67</v>
      </c>
      <c r="EH727" s="14">
        <f ca="1">SUM(DV727,DX727,EG727, EA727, DZ727,GD727)</f>
        <v>1108.0189666666668</v>
      </c>
      <c r="EI727" s="24" t="s">
        <v>4935</v>
      </c>
      <c r="EJ727" s="23">
        <v>17.3</v>
      </c>
      <c r="EK727" s="14">
        <v>27700</v>
      </c>
      <c r="EL727" s="14">
        <v>0</v>
      </c>
      <c r="EM727" s="14">
        <f>SUM(EK727+EL727)</f>
        <v>27700</v>
      </c>
      <c r="EN727" s="14">
        <v>34600</v>
      </c>
      <c r="EO727" s="14">
        <v>0</v>
      </c>
      <c r="EP727" s="14">
        <f>SUM(EN727+EO727)</f>
        <v>34600</v>
      </c>
      <c r="EQ727" s="10" t="s">
        <v>5730</v>
      </c>
      <c r="ER727" s="10" t="s">
        <v>5731</v>
      </c>
      <c r="ES727" s="10"/>
      <c r="ET727" s="10"/>
      <c r="EU727" s="10"/>
      <c r="EV727" s="10"/>
      <c r="EW727" s="10"/>
      <c r="EX727" s="10"/>
      <c r="EY727" t="s">
        <v>5479</v>
      </c>
      <c r="FA727" t="s">
        <v>5729</v>
      </c>
      <c r="FC727" t="s">
        <v>259</v>
      </c>
      <c r="FP727" t="s">
        <v>5264</v>
      </c>
      <c r="FQ727" t="s">
        <v>1287</v>
      </c>
      <c r="FS727" t="s">
        <v>290</v>
      </c>
      <c r="FT727" t="s">
        <v>260</v>
      </c>
      <c r="FU727" s="9">
        <v>44131</v>
      </c>
      <c r="FV727" t="s">
        <v>5736</v>
      </c>
      <c r="GD727" s="4"/>
      <c r="GE727" t="s">
        <v>5732</v>
      </c>
      <c r="GF727" t="s">
        <v>5733</v>
      </c>
      <c r="GG727" t="s">
        <v>5734</v>
      </c>
      <c r="GI727" t="s">
        <v>3041</v>
      </c>
      <c r="GJ727" t="s">
        <v>285</v>
      </c>
      <c r="GK727" s="9">
        <v>44902</v>
      </c>
      <c r="GL727" t="s">
        <v>5735</v>
      </c>
      <c r="IE727" s="9"/>
      <c r="IN727" s="4"/>
      <c r="IO727" s="4"/>
      <c r="IP727" s="4"/>
      <c r="IQ727" s="9"/>
      <c r="IR727" s="9"/>
      <c r="IS727" s="9"/>
      <c r="IT727" s="9"/>
      <c r="IU727" s="9"/>
    </row>
    <row r="728" spans="1:263" ht="15" customHeight="1">
      <c r="A728" s="19">
        <v>102020003</v>
      </c>
      <c r="B728" s="14" t="s">
        <v>1542</v>
      </c>
      <c r="C728" s="18"/>
      <c r="D728" s="13"/>
      <c r="E728" s="18"/>
      <c r="F728" s="18"/>
      <c r="G728" s="18">
        <v>200001678</v>
      </c>
      <c r="H728" s="18"/>
      <c r="I728" s="18"/>
      <c r="J728" s="18" t="s">
        <v>554</v>
      </c>
      <c r="K728" s="18" t="s">
        <v>762</v>
      </c>
      <c r="L728" s="18" t="s">
        <v>353</v>
      </c>
      <c r="M728" s="18" t="s">
        <v>763</v>
      </c>
      <c r="N728" s="18"/>
      <c r="O728" s="18"/>
      <c r="P728" s="18" t="s">
        <v>762</v>
      </c>
      <c r="Q728" s="18" t="s">
        <v>764</v>
      </c>
      <c r="R728" s="18" t="s">
        <v>426</v>
      </c>
      <c r="S728" s="18"/>
      <c r="T728" s="18"/>
      <c r="U728" s="18"/>
      <c r="V728" s="18"/>
      <c r="W728" s="18"/>
      <c r="X728" s="18"/>
      <c r="Y728" s="18"/>
      <c r="Z728" s="18"/>
      <c r="AA728" s="18"/>
      <c r="AB728" s="18"/>
      <c r="AC728" s="18"/>
      <c r="AD728" s="18"/>
      <c r="AE728" s="18"/>
      <c r="AF728" s="18"/>
      <c r="AG728" s="231"/>
      <c r="AH728" s="18"/>
      <c r="AI728" s="18"/>
      <c r="AJ728" s="14"/>
      <c r="AK728" s="18"/>
      <c r="AL728" s="18"/>
      <c r="AM728" s="24"/>
      <c r="AN728" s="24"/>
      <c r="AO728" s="14"/>
      <c r="AP728" s="13"/>
      <c r="AQ728" s="24"/>
      <c r="AR728" s="24"/>
      <c r="AS728" s="18"/>
      <c r="AT728" s="18"/>
      <c r="AU728" s="18"/>
      <c r="AV728" s="18"/>
      <c r="AW728" s="18"/>
      <c r="AX728" s="19"/>
      <c r="AY728" s="19"/>
      <c r="AZ728" s="19"/>
      <c r="BA728" s="19"/>
      <c r="BB728" s="19"/>
      <c r="BC728" s="19"/>
      <c r="BD728" s="19"/>
      <c r="BE728" s="19"/>
      <c r="BF728" s="19"/>
      <c r="BG728" s="20"/>
      <c r="BH728" s="22"/>
      <c r="BI728" s="22"/>
      <c r="BJ728" s="14"/>
      <c r="BK728" s="14"/>
      <c r="BL728" s="14"/>
      <c r="BM728" s="17"/>
      <c r="BN728" s="23"/>
      <c r="BO728" s="14"/>
      <c r="BP728" s="14"/>
      <c r="BQ728" s="14"/>
      <c r="BR728" s="14"/>
      <c r="BS728" s="17"/>
      <c r="BT728" s="23"/>
      <c r="BU728" s="14"/>
      <c r="BV728" s="14"/>
      <c r="BW728" s="14"/>
      <c r="BX728" s="14"/>
      <c r="BY728" s="17"/>
      <c r="BZ728" s="23"/>
      <c r="CA728" s="14"/>
      <c r="CB728" s="14"/>
      <c r="CC728" s="14"/>
      <c r="CD728" s="14"/>
      <c r="CE728" s="17"/>
      <c r="CF728" s="23"/>
      <c r="CG728" s="14"/>
      <c r="CH728" s="14"/>
      <c r="CI728" s="14"/>
      <c r="CJ728" s="14"/>
      <c r="CK728" s="17"/>
      <c r="CL728" s="23"/>
      <c r="CM728" s="14"/>
      <c r="CN728" s="14"/>
      <c r="CO728" s="14"/>
      <c r="CP728" s="14"/>
      <c r="CQ728" s="17"/>
      <c r="CR728" s="23"/>
      <c r="CS728" s="14"/>
      <c r="CT728" s="14"/>
      <c r="CU728" s="14"/>
      <c r="CV728" s="14"/>
      <c r="CW728" s="17"/>
      <c r="CX728" s="23"/>
      <c r="CY728" s="14"/>
      <c r="CZ728" s="14"/>
      <c r="DA728" s="14"/>
      <c r="DB728" s="14"/>
      <c r="DC728" s="17"/>
      <c r="DD728" s="23"/>
      <c r="DE728" s="14"/>
      <c r="DF728" s="14"/>
      <c r="DG728" s="14"/>
      <c r="DH728" s="14"/>
      <c r="DI728" s="14"/>
      <c r="DJ728" s="47"/>
      <c r="DK728" s="24"/>
      <c r="DL728" s="14"/>
      <c r="DM728" s="32"/>
      <c r="DN728" s="14"/>
      <c r="DO728" s="14"/>
      <c r="DP728" s="14"/>
      <c r="DQ728" s="14"/>
      <c r="DR728" s="14"/>
      <c r="DS728" s="14"/>
      <c r="DT728" s="23"/>
      <c r="DU728" s="25"/>
      <c r="DV728" s="14"/>
      <c r="DW728" s="25"/>
      <c r="DX728" s="25"/>
      <c r="DY728" s="25"/>
      <c r="DZ728" s="36"/>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W728" s="243"/>
      <c r="IX728" s="243"/>
      <c r="IY728" s="243"/>
    </row>
    <row r="729" spans="1:263" ht="15" customHeight="1">
      <c r="A729" s="19">
        <v>102020004</v>
      </c>
      <c r="B729" s="14" t="s">
        <v>1543</v>
      </c>
      <c r="C729" s="18"/>
      <c r="D729" s="13"/>
      <c r="E729" s="18"/>
      <c r="F729" s="18"/>
      <c r="G729" s="18">
        <v>200001679</v>
      </c>
      <c r="H729" s="18"/>
      <c r="I729" s="18"/>
      <c r="J729" s="18" t="s">
        <v>554</v>
      </c>
      <c r="K729" s="18" t="s">
        <v>762</v>
      </c>
      <c r="L729" s="18" t="s">
        <v>353</v>
      </c>
      <c r="M729" s="18" t="s">
        <v>763</v>
      </c>
      <c r="N729" s="18"/>
      <c r="O729" s="18"/>
      <c r="P729" s="18" t="s">
        <v>762</v>
      </c>
      <c r="Q729" s="18" t="s">
        <v>764</v>
      </c>
      <c r="R729" s="18" t="s">
        <v>426</v>
      </c>
      <c r="S729" s="18"/>
      <c r="T729" s="18"/>
      <c r="U729" s="18"/>
      <c r="V729" s="18"/>
      <c r="W729" s="18"/>
      <c r="X729" s="18"/>
      <c r="Y729" s="18"/>
      <c r="Z729" s="18"/>
      <c r="AA729" s="18"/>
      <c r="AB729" s="18"/>
      <c r="AC729" s="18"/>
      <c r="AD729" s="18"/>
      <c r="AE729" s="18"/>
      <c r="AF729" s="18"/>
      <c r="AG729" s="231"/>
      <c r="AH729" s="18"/>
      <c r="AI729" s="18"/>
      <c r="AJ729" s="14"/>
      <c r="AK729" s="18"/>
      <c r="AL729" s="18"/>
      <c r="AM729" s="24"/>
      <c r="AN729" s="24"/>
      <c r="AO729" s="14"/>
      <c r="AP729" s="13"/>
      <c r="AQ729" s="24"/>
      <c r="AR729" s="24"/>
      <c r="AS729" s="18"/>
      <c r="AT729" s="18"/>
      <c r="AU729" s="18"/>
      <c r="AV729" s="18"/>
      <c r="AW729" s="18"/>
      <c r="AX729" s="19"/>
      <c r="AY729" s="19"/>
      <c r="AZ729" s="19"/>
      <c r="BA729" s="19"/>
      <c r="BB729" s="19"/>
      <c r="BC729" s="19"/>
      <c r="BD729" s="19"/>
      <c r="BE729" s="19"/>
      <c r="BF729" s="19"/>
      <c r="BG729" s="20"/>
      <c r="BH729" s="22"/>
      <c r="BI729" s="22"/>
      <c r="BJ729" s="14"/>
      <c r="BK729" s="14"/>
      <c r="BL729" s="14"/>
      <c r="BM729" s="17"/>
      <c r="BN729" s="23"/>
      <c r="BO729" s="14"/>
      <c r="BP729" s="14"/>
      <c r="BQ729" s="14"/>
      <c r="BR729" s="14"/>
      <c r="BS729" s="17"/>
      <c r="BT729" s="23"/>
      <c r="BU729" s="14"/>
      <c r="BV729" s="14"/>
      <c r="BW729" s="14"/>
      <c r="BX729" s="14"/>
      <c r="BY729" s="17"/>
      <c r="BZ729" s="23"/>
      <c r="CA729" s="14"/>
      <c r="CB729" s="14"/>
      <c r="CC729" s="14"/>
      <c r="CD729" s="14"/>
      <c r="CE729" s="17"/>
      <c r="CF729" s="23"/>
      <c r="CG729" s="14"/>
      <c r="CH729" s="14"/>
      <c r="CI729" s="14"/>
      <c r="CJ729" s="14"/>
      <c r="CK729" s="17"/>
      <c r="CL729" s="23"/>
      <c r="CM729" s="14"/>
      <c r="CN729" s="14"/>
      <c r="CO729" s="14"/>
      <c r="CP729" s="14"/>
      <c r="CQ729" s="17"/>
      <c r="CR729" s="23"/>
      <c r="CS729" s="14"/>
      <c r="CT729" s="14"/>
      <c r="CU729" s="14"/>
      <c r="CV729" s="14"/>
      <c r="CW729" s="17"/>
      <c r="CX729" s="23"/>
      <c r="CY729" s="14"/>
      <c r="CZ729" s="14"/>
      <c r="DA729" s="14"/>
      <c r="DB729" s="14"/>
      <c r="DC729" s="17"/>
      <c r="DD729" s="23"/>
      <c r="DE729" s="14"/>
      <c r="DF729" s="14"/>
      <c r="DG729" s="14"/>
      <c r="DH729" s="14"/>
      <c r="DI729" s="14"/>
      <c r="DJ729" s="47"/>
      <c r="DK729" s="24"/>
      <c r="DL729" s="14"/>
      <c r="DM729" s="32"/>
      <c r="DN729" s="14"/>
      <c r="DO729" s="14"/>
      <c r="DP729" s="14"/>
      <c r="DQ729" s="14"/>
      <c r="DR729" s="14"/>
      <c r="DS729" s="14"/>
      <c r="DT729" s="23"/>
      <c r="DU729" s="25"/>
      <c r="DV729" s="14"/>
      <c r="DW729" s="25"/>
      <c r="DX729" s="25"/>
      <c r="DY729" s="25"/>
      <c r="DZ729" s="36"/>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row>
    <row r="730" spans="1:263" ht="15" customHeight="1">
      <c r="A730" s="2">
        <v>102019088</v>
      </c>
      <c r="B730" s="4" t="s">
        <v>1459</v>
      </c>
      <c r="D730" s="3"/>
      <c r="E730" s="3"/>
      <c r="F730" s="3"/>
      <c r="G730" s="3"/>
      <c r="H730" s="3"/>
      <c r="J730" t="s">
        <v>311</v>
      </c>
      <c r="K730" t="s">
        <v>1078</v>
      </c>
      <c r="L730" t="s">
        <v>1156</v>
      </c>
      <c r="M730" t="s">
        <v>426</v>
      </c>
      <c r="O730" s="1"/>
      <c r="T730" s="1"/>
      <c r="X730" s="1"/>
      <c r="AG730" s="272"/>
      <c r="AH730" s="4"/>
      <c r="AI730" s="4"/>
      <c r="AJ730" s="4"/>
      <c r="AK730" s="4"/>
      <c r="AL730" s="4"/>
      <c r="AO730" s="4"/>
      <c r="AP730" s="5"/>
      <c r="AS730" s="5"/>
      <c r="AT730" s="5"/>
      <c r="AU730" s="1"/>
      <c r="AV730" s="1"/>
      <c r="AW730" s="1"/>
      <c r="AX730" s="1"/>
      <c r="AY730" s="15"/>
      <c r="AZ730" s="15"/>
      <c r="BA730" s="1"/>
      <c r="BB730" s="1"/>
      <c r="BC730" s="1"/>
      <c r="BD730" s="1"/>
      <c r="BE730" s="1"/>
      <c r="BF730" s="1"/>
      <c r="BG730" s="5"/>
      <c r="BH730" s="16"/>
      <c r="BI730" s="16"/>
      <c r="BJ730" s="4"/>
      <c r="BK730" s="4"/>
      <c r="BL730" s="4"/>
      <c r="BM730" s="6"/>
      <c r="BN730" s="7"/>
      <c r="BO730" s="4"/>
      <c r="BP730" s="4"/>
      <c r="BQ730" s="4"/>
      <c r="BR730" s="4"/>
      <c r="BS730" s="6"/>
      <c r="BT730" s="7"/>
      <c r="BU730" s="4"/>
      <c r="BV730" s="4"/>
      <c r="BW730" s="4"/>
      <c r="BX730" s="4"/>
      <c r="BY730" s="6"/>
      <c r="BZ730" s="7"/>
      <c r="CA730" s="4"/>
      <c r="CB730" s="4"/>
      <c r="CC730" s="4"/>
      <c r="CD730" s="4"/>
      <c r="CE730" s="6"/>
      <c r="CF730" s="7"/>
      <c r="CG730" s="4"/>
      <c r="CH730" s="4"/>
      <c r="CI730" s="4"/>
      <c r="CJ730" s="4"/>
      <c r="CK730" s="6"/>
      <c r="CL730" s="7"/>
      <c r="CM730" s="4"/>
      <c r="CN730" s="4"/>
      <c r="CO730" s="4"/>
      <c r="CP730" s="4"/>
      <c r="CQ730" s="6"/>
      <c r="CR730" s="7"/>
      <c r="CS730" s="4"/>
      <c r="CT730" s="4"/>
      <c r="CU730" s="4"/>
      <c r="CV730" s="4"/>
      <c r="CW730" s="6"/>
      <c r="CX730" s="7"/>
      <c r="CY730" s="4"/>
      <c r="CZ730" s="4"/>
      <c r="DA730" s="4"/>
      <c r="DB730" s="4"/>
      <c r="DC730" s="4"/>
      <c r="DD730" s="3"/>
      <c r="DE730" s="4"/>
      <c r="DF730" s="234"/>
      <c r="DG730" s="4"/>
      <c r="DH730" s="4"/>
      <c r="DI730" s="4"/>
      <c r="DJ730" s="4"/>
      <c r="DK730" s="4"/>
      <c r="DL730" s="4"/>
      <c r="DM730" s="7"/>
      <c r="DN730" s="8"/>
      <c r="DO730" s="4"/>
      <c r="DP730" s="8"/>
      <c r="DQ730" s="8"/>
      <c r="DR730" s="8"/>
      <c r="DS730" s="35"/>
      <c r="EB730" s="11"/>
      <c r="EH730" s="11"/>
      <c r="EI730" s="11"/>
      <c r="EJ730" s="4"/>
      <c r="EK730" s="4"/>
      <c r="EL730" s="4"/>
      <c r="EM730" s="4"/>
      <c r="EN730" s="4"/>
      <c r="EO730" s="4"/>
      <c r="EP730" s="4"/>
      <c r="EQ730" s="4"/>
      <c r="ER730" s="4"/>
      <c r="ES730" s="4"/>
      <c r="ET730" s="4"/>
      <c r="EU730" s="4"/>
      <c r="EV730" s="4"/>
      <c r="EW730" s="4"/>
      <c r="EX730" s="4"/>
      <c r="FB730" s="9"/>
      <c r="FK730" s="9"/>
      <c r="FQ730" s="4"/>
      <c r="FV730" s="10"/>
      <c r="GF730" s="10"/>
      <c r="GU730" s="9"/>
      <c r="IC730" s="4"/>
      <c r="ID730" s="4"/>
      <c r="IE730" s="9"/>
      <c r="IP730" s="4"/>
      <c r="IQ730" s="4"/>
      <c r="IZ730" s="18"/>
      <c r="JA730" s="18"/>
      <c r="JB730" s="18"/>
      <c r="JC730" s="18"/>
    </row>
    <row r="731" spans="1:263" ht="15" customHeight="1">
      <c r="A731" s="2">
        <v>102019087</v>
      </c>
      <c r="B731" s="4" t="s">
        <v>1458</v>
      </c>
      <c r="D731" s="3"/>
      <c r="E731" s="3"/>
      <c r="F731" s="3"/>
      <c r="G731" s="3"/>
      <c r="H731" s="3"/>
      <c r="J731" t="s">
        <v>311</v>
      </c>
      <c r="K731" t="s">
        <v>1078</v>
      </c>
      <c r="L731" t="s">
        <v>1156</v>
      </c>
      <c r="M731" t="s">
        <v>426</v>
      </c>
      <c r="O731" s="1"/>
      <c r="T731" s="1"/>
      <c r="X731" s="1"/>
      <c r="AG731" s="272"/>
      <c r="AH731" s="31"/>
      <c r="AJ731" s="11"/>
      <c r="AK731" s="11"/>
      <c r="AO731" s="4"/>
      <c r="AP731" s="5"/>
      <c r="AQ731" s="34"/>
      <c r="AR731" s="34"/>
      <c r="AS731" s="29"/>
      <c r="AT731" s="1"/>
      <c r="AU731" s="1"/>
      <c r="AV731" s="1"/>
      <c r="AW731" s="1"/>
      <c r="AX731" s="1"/>
      <c r="AY731" s="15"/>
      <c r="AZ731" s="15"/>
      <c r="BA731" s="1"/>
      <c r="BB731" s="1"/>
      <c r="BC731" s="1"/>
      <c r="BD731" s="1"/>
      <c r="BE731" s="1"/>
      <c r="BF731" s="1"/>
      <c r="BG731" s="5"/>
      <c r="BH731" s="16"/>
      <c r="BI731" s="16"/>
      <c r="BJ731" s="4"/>
      <c r="BK731" s="4"/>
      <c r="BL731" s="4"/>
      <c r="BM731" s="6"/>
      <c r="BN731" s="7"/>
      <c r="BO731" s="4"/>
      <c r="BP731" s="4"/>
      <c r="BQ731" s="4"/>
      <c r="BR731" s="4"/>
      <c r="BS731" s="6"/>
      <c r="BT731" s="7"/>
      <c r="BU731" s="4"/>
      <c r="BV731" s="4"/>
      <c r="BW731" s="4"/>
      <c r="BX731" s="4"/>
      <c r="BY731" s="6"/>
      <c r="BZ731" s="7"/>
      <c r="CA731" s="4"/>
      <c r="CB731" s="4"/>
      <c r="CC731" s="4"/>
      <c r="CD731" s="4"/>
      <c r="CE731" s="6"/>
      <c r="CF731" s="7"/>
      <c r="CG731" s="4"/>
      <c r="CH731" s="4"/>
      <c r="CI731" s="4"/>
      <c r="CJ731" s="4"/>
      <c r="CK731" s="6"/>
      <c r="CL731" s="7"/>
      <c r="CM731" s="4"/>
      <c r="CN731" s="4"/>
      <c r="CO731" s="4"/>
      <c r="CP731" s="4"/>
      <c r="CQ731" s="6"/>
      <c r="CR731" s="7"/>
      <c r="CS731" s="4"/>
      <c r="CT731" s="4"/>
      <c r="CU731" s="4"/>
      <c r="CV731" s="4"/>
      <c r="CW731" s="6"/>
      <c r="CX731" s="7"/>
      <c r="CY731" s="4"/>
      <c r="CZ731" s="4"/>
      <c r="DA731" s="4"/>
      <c r="DB731" s="4"/>
      <c r="DC731" s="4"/>
      <c r="DE731" s="4"/>
      <c r="DF731" s="234"/>
      <c r="DG731" s="4"/>
      <c r="DH731" s="4"/>
      <c r="DI731" s="4"/>
      <c r="DJ731" s="3"/>
      <c r="DK731" s="4"/>
      <c r="DL731" s="3"/>
      <c r="DM731" s="3"/>
      <c r="DN731" s="8"/>
      <c r="DO731" s="4"/>
      <c r="DP731" s="8"/>
      <c r="DQ731" s="8"/>
      <c r="DR731" s="8"/>
      <c r="DS731" s="35"/>
      <c r="DT731" s="4"/>
      <c r="DU731" s="4"/>
      <c r="DV731" s="4"/>
      <c r="DW731" s="4"/>
      <c r="DX731" s="4"/>
      <c r="DY731" s="4"/>
      <c r="DZ731" s="4"/>
      <c r="EA731" s="4"/>
      <c r="EB731" s="4"/>
      <c r="EC731" s="4"/>
      <c r="ED731" s="4"/>
      <c r="EE731" s="4"/>
      <c r="FB731" s="9"/>
      <c r="FC731" s="10"/>
      <c r="FI731" s="9"/>
      <c r="FJ731" s="10"/>
      <c r="FK731" s="9"/>
      <c r="FQ731" s="4"/>
      <c r="FX731" s="9"/>
      <c r="IC731" s="4"/>
      <c r="ID731" s="4"/>
      <c r="IE731" s="9"/>
      <c r="IL731" s="4"/>
      <c r="IM731" s="4"/>
      <c r="IW731" s="18"/>
      <c r="IX731" s="18"/>
      <c r="IY731" s="18"/>
      <c r="IZ731" s="18"/>
      <c r="JA731" s="18"/>
      <c r="JB731" s="18"/>
      <c r="JC731" s="18"/>
    </row>
    <row r="732" spans="1:263" ht="15" customHeight="1">
      <c r="A732" s="2">
        <v>102020066</v>
      </c>
      <c r="B732" t="s">
        <v>1714</v>
      </c>
      <c r="D732" s="1"/>
      <c r="E732" t="s">
        <v>1821</v>
      </c>
      <c r="F732">
        <v>200002168</v>
      </c>
      <c r="K732" t="s">
        <v>1715</v>
      </c>
      <c r="AG732" s="248"/>
      <c r="BG732" s="5"/>
      <c r="BH732" s="16"/>
      <c r="BI732" s="16"/>
      <c r="BJ732" s="4"/>
      <c r="BK732" s="4"/>
      <c r="BL732" s="4"/>
      <c r="BM732" s="6"/>
      <c r="BN732" s="7"/>
      <c r="BO732" s="4"/>
      <c r="BP732" s="4"/>
      <c r="BQ732" s="4"/>
      <c r="BR732" s="4"/>
      <c r="BS732" s="6"/>
      <c r="BT732" s="7"/>
      <c r="BU732" s="4"/>
      <c r="BV732" s="4"/>
      <c r="BW732" s="4"/>
      <c r="BX732" s="4"/>
      <c r="BY732" s="6"/>
      <c r="BZ732" s="7"/>
      <c r="CA732" s="4"/>
      <c r="CB732" s="4"/>
      <c r="CC732" s="4"/>
      <c r="CD732" s="4"/>
      <c r="CE732" s="6"/>
      <c r="CF732" s="7"/>
      <c r="CG732" s="4"/>
      <c r="CH732" s="4"/>
      <c r="CI732" s="4"/>
      <c r="CJ732" s="4"/>
      <c r="CK732" s="6"/>
      <c r="CL732" s="7"/>
      <c r="CM732" s="4"/>
      <c r="CN732" s="4"/>
      <c r="CO732" s="4"/>
      <c r="CP732" s="4"/>
      <c r="CQ732" s="6"/>
      <c r="CR732" s="7"/>
      <c r="CS732" s="4"/>
      <c r="CT732" s="4"/>
      <c r="CU732" s="4"/>
      <c r="CV732" s="4"/>
      <c r="CW732" s="6"/>
      <c r="CX732" s="7"/>
      <c r="CY732" s="4"/>
      <c r="CZ732" s="4"/>
      <c r="DA732" s="4"/>
      <c r="DB732" s="4"/>
      <c r="DC732" s="4"/>
      <c r="DD732" s="3"/>
      <c r="DE732" s="4"/>
      <c r="DF732" s="234"/>
      <c r="DG732" s="4"/>
      <c r="DH732" s="4"/>
      <c r="DI732" s="4"/>
      <c r="DJ732" s="4"/>
      <c r="DK732" s="4"/>
      <c r="DL732" s="4"/>
      <c r="DM732" s="7"/>
      <c r="DN732" s="8"/>
      <c r="DO732" s="4"/>
      <c r="DP732" s="8"/>
      <c r="DQ732" s="8"/>
      <c r="DR732" s="8"/>
      <c r="DS732" s="35"/>
      <c r="IL732" s="18"/>
      <c r="IM732" s="18"/>
      <c r="IN732" s="18"/>
      <c r="IO732" s="18"/>
      <c r="IX732" s="18"/>
      <c r="IY732" s="18"/>
    </row>
    <row r="733" spans="1:263" ht="15" customHeight="1">
      <c r="A733" s="19">
        <v>102022152</v>
      </c>
      <c r="B733" t="s">
        <v>2884</v>
      </c>
      <c r="D733" s="1">
        <v>2025</v>
      </c>
      <c r="E733" s="3"/>
      <c r="F733" s="3"/>
      <c r="J733" t="s">
        <v>434</v>
      </c>
      <c r="K733" t="s">
        <v>862</v>
      </c>
      <c r="L733" t="s">
        <v>1200</v>
      </c>
      <c r="P733" t="s">
        <v>419</v>
      </c>
      <c r="Q733" t="s">
        <v>3115</v>
      </c>
      <c r="R733" t="s">
        <v>537</v>
      </c>
      <c r="AG733" s="43"/>
      <c r="AJ733" s="18" t="s">
        <v>328</v>
      </c>
      <c r="AL733" s="3" t="s">
        <v>259</v>
      </c>
      <c r="AM733"/>
      <c r="AN733"/>
      <c r="AO733" s="3" t="s">
        <v>3179</v>
      </c>
      <c r="AP733" s="3" t="s">
        <v>258</v>
      </c>
      <c r="AQ733" t="s">
        <v>259</v>
      </c>
      <c r="AR733" t="s">
        <v>260</v>
      </c>
      <c r="AS733" s="1"/>
      <c r="AT733" s="1"/>
      <c r="AU733" s="1"/>
      <c r="AV733" s="1"/>
      <c r="AW733" s="1"/>
      <c r="AX733" s="2"/>
      <c r="AY733" s="116"/>
      <c r="AZ733" s="115"/>
      <c r="BA733" s="2"/>
      <c r="BB733" s="2"/>
      <c r="BC733" s="2"/>
      <c r="BD733" s="2"/>
      <c r="BE733" s="2"/>
      <c r="BF733" s="2"/>
      <c r="BG733" s="20">
        <f ca="1">SUM(DK733)+214.5</f>
        <v>241.23854166666666</v>
      </c>
      <c r="BH733" s="22">
        <f ca="1">PMT(10%/12,12,BG733,0,0)</f>
        <v>-21.208700424698637</v>
      </c>
      <c r="BI733" s="22">
        <f ca="1">SUM(BH733*-1)</f>
        <v>21.208700424698637</v>
      </c>
      <c r="BJ733" s="14">
        <f>SUM(DU733*0.0052)/12</f>
        <v>0.21666666666666667</v>
      </c>
      <c r="BK733" s="22">
        <f ca="1">SUM(BI733+BJ733)</f>
        <v>21.425367091365302</v>
      </c>
      <c r="BL733" s="14"/>
      <c r="BM733" s="14">
        <f>SUM(BL733*0.1)</f>
        <v>0</v>
      </c>
      <c r="BN733" s="14">
        <f ca="1">SUM(BO733*BP733)</f>
        <v>0</v>
      </c>
      <c r="BO733" s="17">
        <f>SUM((BL733+BM733)*0.00833333333333333)</f>
        <v>0</v>
      </c>
      <c r="BP733" s="23">
        <f ca="1">MONTH(TODAY())+49</f>
        <v>53</v>
      </c>
      <c r="BQ733" s="14">
        <f ca="1">SUM(BL733,BM733,BN733)</f>
        <v>0</v>
      </c>
      <c r="BR733" s="14"/>
      <c r="BS733" s="14">
        <f>SUM(BR733*0.1)</f>
        <v>0</v>
      </c>
      <c r="BT733" s="14">
        <f ca="1">SUM(BU733*BV733)</f>
        <v>0</v>
      </c>
      <c r="BU733" s="17">
        <f>SUM((BR733+BS733)*0.00833333333333333)</f>
        <v>0</v>
      </c>
      <c r="BV733" s="23">
        <f ca="1">MONTH(TODAY())+37</f>
        <v>41</v>
      </c>
      <c r="BW733" s="14">
        <f ca="1">SUM(BR733,BS733,BT733)</f>
        <v>0</v>
      </c>
      <c r="BX733" s="14"/>
      <c r="BY733" s="14">
        <f>SUM(BX733*0.1)</f>
        <v>0</v>
      </c>
      <c r="BZ733" s="14">
        <f ca="1">SUM(CA733*CB733)</f>
        <v>0</v>
      </c>
      <c r="CA733" s="17">
        <f>SUM((BX733+BY733)*0.00833333333333333)</f>
        <v>0</v>
      </c>
      <c r="CB733" s="23">
        <f ca="1">MONTH(TODAY())+25</f>
        <v>29</v>
      </c>
      <c r="CC733" s="14">
        <f ca="1">SUM(BX733,BY733,BZ733)</f>
        <v>0</v>
      </c>
      <c r="CD733" s="14">
        <v>0.45</v>
      </c>
      <c r="CE733" s="14">
        <f>SUM(CD733*0.1)</f>
        <v>4.5000000000000005E-2</v>
      </c>
      <c r="CF733" s="14">
        <f ca="1">SUM(CG733*CH733)</f>
        <v>7.0124999999999979E-2</v>
      </c>
      <c r="CG733" s="17">
        <f>SUM((CD733+CE733)*0.00833333333333333)</f>
        <v>4.1249999999999985E-3</v>
      </c>
      <c r="CH733" s="23">
        <f ca="1">MONTH(TODAY())+13</f>
        <v>17</v>
      </c>
      <c r="CI733" s="14">
        <f ca="1">SUM(CD733,CE733,CF733)</f>
        <v>0.56512499999999999</v>
      </c>
      <c r="CJ733" s="14">
        <f>SUM(DU733*0.0052)</f>
        <v>2.6</v>
      </c>
      <c r="CK733" s="14">
        <f>SUM(CJ733*0.1)</f>
        <v>0.26</v>
      </c>
      <c r="CL733" s="14">
        <f ca="1">SUM(CM733*CN733)</f>
        <v>0.11916666666666662</v>
      </c>
      <c r="CM733" s="17">
        <f>SUM((CJ733+CK733)*0.00833333333333333)</f>
        <v>2.3833333333333324E-2</v>
      </c>
      <c r="CN733" s="23">
        <f ca="1">MONTH(TODAY())+1</f>
        <v>5</v>
      </c>
      <c r="CO733" s="14">
        <f ca="1">SUM(CJ733,CK733,CL733)</f>
        <v>2.979166666666667</v>
      </c>
      <c r="CP733" s="14">
        <f>SUM(DU733*0.0052)/2</f>
        <v>1.3</v>
      </c>
      <c r="CQ733" s="14">
        <f>SUM(CP733*0.1)</f>
        <v>0.13</v>
      </c>
      <c r="CR733" s="14">
        <f ca="1">SUM(CS733*CT733)</f>
        <v>-3.574999999999999E-2</v>
      </c>
      <c r="CS733" s="17">
        <f>SUM((CP733+CQ733)*0.00833333333333333)</f>
        <v>1.1916666666666662E-2</v>
      </c>
      <c r="CT733" s="23">
        <f ca="1">MONTH(TODAY())-7</f>
        <v>-3</v>
      </c>
      <c r="CU733" s="23">
        <f ca="1">SUM(CP733,CQ733,CR733)</f>
        <v>1.3942500000000002</v>
      </c>
      <c r="CV733" s="14">
        <f>SUM(DU733*0.0052)/2</f>
        <v>1.3</v>
      </c>
      <c r="CW733" s="14">
        <v>0</v>
      </c>
      <c r="CX733" s="14">
        <v>0</v>
      </c>
      <c r="CY733" s="17">
        <f>SUM((CV733+CW733)*0.00833333333333333)</f>
        <v>1.0833333333333328E-2</v>
      </c>
      <c r="CZ733" s="23">
        <f ca="1">MONTH(TODAY())-6</f>
        <v>-2</v>
      </c>
      <c r="DA733" s="23">
        <f>SUM(CV733,CW733,CX733)</f>
        <v>1.3</v>
      </c>
      <c r="DB733" s="14">
        <f>SUM(BL733, BR733, BX733, CD733, CJ733, CP733,CV733)</f>
        <v>5.65</v>
      </c>
      <c r="DC733" s="14">
        <f>SUM(BM733, BS733,BY733,CE733,CK733, CQ733,CW733)</f>
        <v>0.435</v>
      </c>
      <c r="DD733" s="14">
        <f ca="1">SUM(BN733, BT733,BZ733,CF733,CL733, CR733,CX733)</f>
        <v>0.15354166666666658</v>
      </c>
      <c r="DE733" s="14">
        <f ca="1">SUM(DB733:DD733)</f>
        <v>6.2385416666666664</v>
      </c>
      <c r="DF733" s="47">
        <f ca="1">SUM(DE733/DU733)</f>
        <v>1.2477083333333333E-2</v>
      </c>
      <c r="DG733" s="14">
        <v>19.5</v>
      </c>
      <c r="DH733" s="32">
        <f>COUNTIF(DN733, "*")+COUNTIF(AO733, "*")+COUNTIF(AJ733, "*")+COUNTIF(AA733, "*")+COUNTIF(EK733, "*")+COUNTIF(EQ733, "*")+COUNTIF(EW733, "*")+COUNTIF(FA733, "*")+COUNTIF(FH733, "*")+COUNTIF(FO733, "*")+COUNTIF(FV733, "*")+COUNTIF(GG733, "*")+COUNTIF(GR733, "*")+COUNTIF(GZ733, "*")+COUNTIF(HH733, "*")+COUNTIF(HP733, "*")+COUNTIF(HX733, "*")</f>
        <v>2</v>
      </c>
      <c r="DI733" s="14">
        <f>DH733*0.5</f>
        <v>1</v>
      </c>
      <c r="DJ733" s="4"/>
      <c r="DK733" s="14">
        <f ca="1">SUM(DE733,DG733,DQ733, DJ733, DI733,FS733)</f>
        <v>26.738541666666666</v>
      </c>
      <c r="DL733" s="4"/>
      <c r="DM733" s="4"/>
      <c r="DN733" s="4"/>
      <c r="DP733" s="4"/>
      <c r="DQ733" s="14">
        <f>SUM(DL733:DP733)</f>
        <v>0</v>
      </c>
      <c r="DR733" s="24" t="s">
        <v>2773</v>
      </c>
      <c r="DS733" s="4">
        <v>500</v>
      </c>
      <c r="DT733" s="4">
        <v>0</v>
      </c>
      <c r="DU733" s="25">
        <f>SUM(DS733+DT733)</f>
        <v>500</v>
      </c>
      <c r="DV733" s="35">
        <v>0.23</v>
      </c>
      <c r="ID733" s="9"/>
      <c r="IO733" s="14">
        <f ca="1">SUM(IE733-DK733-FS733-IM733)</f>
        <v>-26.738541666666666</v>
      </c>
      <c r="IP733" s="9"/>
      <c r="IQ733" s="9"/>
      <c r="IR733" s="9"/>
      <c r="IS733" s="9"/>
      <c r="IT733" s="9"/>
      <c r="IZ733" s="240"/>
      <c r="JA733" s="240"/>
      <c r="JB733" s="240"/>
      <c r="JC733" s="240"/>
    </row>
    <row r="734" spans="1:263" ht="15" customHeight="1">
      <c r="A734" s="19">
        <v>102022013</v>
      </c>
      <c r="B734" t="s">
        <v>2781</v>
      </c>
      <c r="D734" s="1"/>
      <c r="E734" s="3" t="s">
        <v>3819</v>
      </c>
      <c r="F734">
        <v>220003004</v>
      </c>
      <c r="G734" s="3"/>
      <c r="H734" t="s">
        <v>4804</v>
      </c>
      <c r="J734" t="s">
        <v>253</v>
      </c>
      <c r="K734" t="s">
        <v>2947</v>
      </c>
      <c r="L734" t="s">
        <v>2948</v>
      </c>
      <c r="M734" t="s">
        <v>403</v>
      </c>
      <c r="O734" s="3"/>
      <c r="AG734" s="43"/>
      <c r="AM734"/>
      <c r="AN734"/>
      <c r="AO734" t="s">
        <v>2949</v>
      </c>
      <c r="AP734" s="3" t="s">
        <v>258</v>
      </c>
      <c r="AQ734" t="s">
        <v>259</v>
      </c>
      <c r="AR734" t="s">
        <v>260</v>
      </c>
      <c r="AS734" s="18" t="s">
        <v>372</v>
      </c>
      <c r="AT734" s="18" t="s">
        <v>373</v>
      </c>
      <c r="AU734" s="18" t="s">
        <v>374</v>
      </c>
      <c r="AV734" s="18" t="s">
        <v>259</v>
      </c>
      <c r="AW734" s="18" t="s">
        <v>260</v>
      </c>
      <c r="AX734" s="1"/>
      <c r="AY734" s="1" t="s">
        <v>258</v>
      </c>
      <c r="AZ734" s="1"/>
      <c r="BA734" s="1"/>
      <c r="BB734" s="1"/>
      <c r="BC734" s="70">
        <v>44679</v>
      </c>
      <c r="BD734" s="115">
        <v>44647</v>
      </c>
      <c r="BE734" s="115">
        <v>44635</v>
      </c>
      <c r="BF734" s="2"/>
      <c r="BG734" s="2"/>
      <c r="BH734" s="2"/>
      <c r="BI734" s="2"/>
      <c r="BJ734" s="21">
        <v>45163</v>
      </c>
      <c r="BK734" s="2" t="s">
        <v>319</v>
      </c>
      <c r="BL734" s="20">
        <f ca="1">SUM(EB734)+220</f>
        <v>2402.4667499999996</v>
      </c>
      <c r="BM734" s="22">
        <f ca="1">PMT(10%/12,12,BL734,0,0)</f>
        <v>-211.2149958668476</v>
      </c>
      <c r="BN734" s="22">
        <f ca="1">SUM(BM734*-1)</f>
        <v>211.2149958668476</v>
      </c>
      <c r="BO734" s="14">
        <f>SUM(EJ734*0.0052)/12</f>
        <v>38.306666666666665</v>
      </c>
      <c r="BP734" s="22">
        <f ca="1">SUM(BN734+BO734)</f>
        <v>249.52166253351427</v>
      </c>
      <c r="BQ734" s="14"/>
      <c r="BR734" s="14">
        <f>SUM(BQ734*0.1)</f>
        <v>0</v>
      </c>
      <c r="BS734" s="14">
        <f ca="1">SUM(BT734*BU734)</f>
        <v>0</v>
      </c>
      <c r="BT734" s="17">
        <f>SUM((BQ734+BR734)*0.00833333333333333)</f>
        <v>0</v>
      </c>
      <c r="BU734" s="23">
        <f ca="1">MONTH(TODAY())+49</f>
        <v>53</v>
      </c>
      <c r="BV734" s="14">
        <f ca="1">SUM(BQ734,BR734,BS734)</f>
        <v>0</v>
      </c>
      <c r="BW734" s="14">
        <v>0</v>
      </c>
      <c r="BX734" s="14">
        <f>SUM(BW734*0.1)</f>
        <v>0</v>
      </c>
      <c r="BY734" s="14">
        <f ca="1">SUM(BZ734*CA734)</f>
        <v>0</v>
      </c>
      <c r="BZ734" s="17">
        <f>SUM((BW734+BX734)*0.00833333333333333)</f>
        <v>0</v>
      </c>
      <c r="CA734" s="23">
        <f ca="1">MONTH(TODAY())+37</f>
        <v>41</v>
      </c>
      <c r="CB734" s="14">
        <f ca="1">SUM(BW734,BX734,BY734)</f>
        <v>0</v>
      </c>
      <c r="CC734" s="14">
        <v>0</v>
      </c>
      <c r="CD734" s="14">
        <f>SUM(CC734*0.1)</f>
        <v>0</v>
      </c>
      <c r="CE734" s="14">
        <f ca="1">SUM(CF734*CG734)</f>
        <v>0</v>
      </c>
      <c r="CF734" s="17">
        <f>SUM((CC734+CD734)*0.00833333333333333)</f>
        <v>0</v>
      </c>
      <c r="CG734" s="23">
        <f ca="1">MONTH(TODAY())+25</f>
        <v>29</v>
      </c>
      <c r="CH734" s="14">
        <f ca="1">SUM(CC734,CD734,CE734)</f>
        <v>0</v>
      </c>
      <c r="CI734" s="14">
        <v>0</v>
      </c>
      <c r="CJ734" s="14">
        <f>SUM(CI734*0.1)</f>
        <v>0</v>
      </c>
      <c r="CK734" s="14">
        <f ca="1">SUM(CL734*CM734)</f>
        <v>0</v>
      </c>
      <c r="CL734" s="17">
        <f>SUM((CI734+CJ734)*0.00833333333333333)</f>
        <v>0</v>
      </c>
      <c r="CM734" s="23">
        <f ca="1">MONTH(TODAY())+13</f>
        <v>17</v>
      </c>
      <c r="CN734" s="14">
        <f ca="1">SUM(CI734,CJ734,CK734)</f>
        <v>0</v>
      </c>
      <c r="CO734" s="14">
        <v>0</v>
      </c>
      <c r="CP734" s="14">
        <f>SUM(CO734*0.1)</f>
        <v>0</v>
      </c>
      <c r="CQ734" s="14">
        <f ca="1">SUM(CR734*CS734)</f>
        <v>0</v>
      </c>
      <c r="CR734" s="17">
        <f>SUM((CO734+CP734)*0.00833333333333333)</f>
        <v>0</v>
      </c>
      <c r="CS734" s="23">
        <f ca="1">MONTH(TODAY())+5</f>
        <v>9</v>
      </c>
      <c r="CT734" s="23">
        <f ca="1">SUM(CO734,CP734,CQ734)</f>
        <v>0</v>
      </c>
      <c r="CU734" s="14">
        <v>0</v>
      </c>
      <c r="CV734" s="14">
        <f>SUM(CU734*0.1)</f>
        <v>0</v>
      </c>
      <c r="CW734" s="14">
        <f ca="1">SUM(CX734*CY734)</f>
        <v>0</v>
      </c>
      <c r="CX734" s="17">
        <f>SUM((CU734+CV734)*0.00833333333333333)</f>
        <v>0</v>
      </c>
      <c r="CY734" s="23">
        <f ca="1">MONTH(TODAY())+1</f>
        <v>5</v>
      </c>
      <c r="CZ734" s="23">
        <f ca="1">SUM(CU734,CV734,CW734)</f>
        <v>0</v>
      </c>
      <c r="DA734" s="14">
        <f>SUM(EJ734*0.0045)/2</f>
        <v>198.89999999999998</v>
      </c>
      <c r="DB734" s="14">
        <f>SUM(DA734*0.1)</f>
        <v>19.89</v>
      </c>
      <c r="DC734" s="14">
        <f ca="1">SUM(DD734*DE734)</f>
        <v>-1.8232499999999989</v>
      </c>
      <c r="DD734" s="17">
        <f>SUM((DA734+DB734)*0.00833333333333333)</f>
        <v>1.8232499999999989</v>
      </c>
      <c r="DE734" s="23">
        <f ca="1">MONTH(TODAY())-5</f>
        <v>-1</v>
      </c>
      <c r="DF734" s="23">
        <f ca="1">SUM(DA734,DB734,DC734)</f>
        <v>216.96674999999996</v>
      </c>
      <c r="DG734" s="14">
        <f>SUM(EJ734*0.0045)/2</f>
        <v>198.89999999999998</v>
      </c>
      <c r="DH734" s="14">
        <v>0</v>
      </c>
      <c r="DI734" s="14">
        <v>0</v>
      </c>
      <c r="DJ734" s="17">
        <f>SUM((DG734+DH734)*0.00833333333333333)</f>
        <v>1.6574999999999991</v>
      </c>
      <c r="DK734" s="23">
        <f ca="1">MONTH(TODAY())+1</f>
        <v>5</v>
      </c>
      <c r="DL734" s="23">
        <f>SUM(DG734,DH734,DI734)</f>
        <v>198.89999999999998</v>
      </c>
      <c r="DM734" s="14">
        <f>SUM( BQ734, BW734, CC734, CI734, CO734,CU734,DA734,DG734)</f>
        <v>397.79999999999995</v>
      </c>
      <c r="DN734" s="14">
        <f>SUM(BR734,BX734,CD734,CJ734, CP734,CV734,DB734,DH734)</f>
        <v>19.89</v>
      </c>
      <c r="DO734" s="14">
        <f ca="1">SUM(BS734,BY734,CE734,CK734, CQ734,CW734,DC734,DI734)</f>
        <v>-1.8232499999999989</v>
      </c>
      <c r="DP734" s="25">
        <f ca="1">SUM(DM734:DO734)</f>
        <v>415.86674999999997</v>
      </c>
      <c r="DQ734" s="47">
        <f ca="1">SUM(DP734/EG734)</f>
        <v>7.4930945945945937E-3</v>
      </c>
      <c r="DR734" s="14">
        <f>769.15+60+60+60+40+60+100</f>
        <v>1149.1500000000001</v>
      </c>
      <c r="DS734" s="32">
        <f>COUNTIF(DX734, "*")+COUNTIF(AO734, "*")+COUNTIF(AJ734, "*")+COUNTIF(AA734, "*")+COUNTIF(Paid!FA777, "*")+COUNTIF(FE734, "*")+COUNTIF(FK734, "*")+COUNTIF(FO734, "*")+COUNTIF(FV734, "*")+COUNTIF(AT734, "*")+COUNTIF(GE734, "*")+COUNTIF(GP734, "*")+COUNTIF(HA734, "*")+COUNTIF(HI734, "*")+COUNTIF(HQ734, "*")+COUNTIF(HY734, "*")+COUNTIF(IG734, "*")</f>
        <v>4</v>
      </c>
      <c r="DT734" s="14">
        <f>7.45</f>
        <v>7.45</v>
      </c>
      <c r="DU734" s="4">
        <v>250</v>
      </c>
      <c r="DV734" s="4">
        <v>0</v>
      </c>
      <c r="DW734" s="4"/>
      <c r="DX734" s="4">
        <v>0</v>
      </c>
      <c r="DZ734" s="4">
        <v>360</v>
      </c>
      <c r="EA734" s="14">
        <f>SUM(DV734:DZ734)</f>
        <v>360</v>
      </c>
      <c r="EB734" s="14">
        <f ca="1">SUM(DP734,DR734,EA734, DU734, DT734,Paid!FM610)</f>
        <v>2182.4667499999996</v>
      </c>
      <c r="EC734" s="24" t="s">
        <v>4944</v>
      </c>
      <c r="ED734" s="7">
        <f>0.08+0.07+0.1+0.1+0.09+0.08</f>
        <v>0.51999999999999991</v>
      </c>
      <c r="EE734" s="4">
        <f>800+500+800+500+10800+500</f>
        <v>13900</v>
      </c>
      <c r="EF734" s="4">
        <v>41600</v>
      </c>
      <c r="EG734" s="14">
        <f>SUM(EE734+EF734)</f>
        <v>55500</v>
      </c>
      <c r="EH734" s="14">
        <f>800+800+16200+500+500+500</f>
        <v>19300</v>
      </c>
      <c r="EI734" s="14">
        <v>69100</v>
      </c>
      <c r="EJ734" s="14">
        <f>SUM(EH734+EI734)</f>
        <v>88400</v>
      </c>
      <c r="EK734" t="s">
        <v>3468</v>
      </c>
      <c r="EL734" t="s">
        <v>3469</v>
      </c>
      <c r="EM734" t="s">
        <v>3470</v>
      </c>
      <c r="FN734" t="s">
        <v>3471</v>
      </c>
      <c r="FO734" t="s">
        <v>1030</v>
      </c>
      <c r="FQ734" t="s">
        <v>259</v>
      </c>
      <c r="FR734" t="s">
        <v>260</v>
      </c>
      <c r="FS734" s="9">
        <v>42447</v>
      </c>
      <c r="FT734" t="s">
        <v>3520</v>
      </c>
      <c r="FU734" t="s">
        <v>822</v>
      </c>
      <c r="FV734" t="s">
        <v>823</v>
      </c>
      <c r="FX734" t="s">
        <v>259</v>
      </c>
      <c r="FY734" t="s">
        <v>260</v>
      </c>
      <c r="FZ734" s="9">
        <v>42447</v>
      </c>
      <c r="GA734" t="s">
        <v>3521</v>
      </c>
      <c r="IM734" s="9"/>
      <c r="IX734" s="14">
        <f ca="1">SUM(IN734-EB734-GB734-IV734)</f>
        <v>-2182.4667499999996</v>
      </c>
      <c r="IY734" s="9"/>
      <c r="IZ734" s="9"/>
      <c r="JA734" s="9"/>
      <c r="JB734" s="9"/>
      <c r="JC734" s="9"/>
    </row>
    <row r="735" spans="1:263" ht="15" customHeight="1">
      <c r="A735" s="2">
        <v>102019062</v>
      </c>
      <c r="B735" s="4" t="s">
        <v>1393</v>
      </c>
      <c r="D735" s="3"/>
      <c r="E735" s="3"/>
      <c r="F735" s="3"/>
      <c r="G735" s="3"/>
      <c r="H735" s="3"/>
      <c r="J735" t="s">
        <v>311</v>
      </c>
      <c r="K735" t="s">
        <v>1394</v>
      </c>
      <c r="L735" t="s">
        <v>891</v>
      </c>
      <c r="M735" t="s">
        <v>256</v>
      </c>
      <c r="O735" s="1"/>
      <c r="T735" s="1"/>
      <c r="AX735" s="9"/>
      <c r="AY735" s="9"/>
      <c r="AZ735" s="9"/>
      <c r="BA735" s="9"/>
      <c r="BC735" s="9"/>
      <c r="BD735" s="9"/>
      <c r="BE735" s="9"/>
      <c r="BG735" s="66"/>
      <c r="BH735" s="66"/>
      <c r="BI735" s="66"/>
      <c r="BK735" s="66"/>
      <c r="BL735" s="66"/>
      <c r="BO735" s="66"/>
      <c r="BQ735" s="66"/>
      <c r="BR735" s="66"/>
      <c r="BU735" s="66"/>
      <c r="BW735" s="66"/>
      <c r="BX735" s="66"/>
      <c r="CA735" s="66"/>
      <c r="CB735" s="66"/>
      <c r="CC735" s="66"/>
      <c r="CD735" s="66"/>
      <c r="CG735" s="66"/>
      <c r="CH735" s="66"/>
      <c r="CI735" s="66"/>
      <c r="CJ735" s="66"/>
      <c r="CM735" s="66"/>
      <c r="CN735" s="66"/>
      <c r="CO735" s="66"/>
      <c r="CP735" s="66"/>
      <c r="CS735" s="66"/>
      <c r="CT735" s="66"/>
      <c r="CU735" s="66"/>
      <c r="CV735" s="66"/>
      <c r="CY735" s="66"/>
      <c r="CZ735" s="66"/>
      <c r="DA735" s="66"/>
      <c r="DB735" s="66"/>
      <c r="DE735" s="66"/>
      <c r="DF735" s="66"/>
      <c r="DG735" s="66"/>
      <c r="DH735" s="66"/>
      <c r="DI735" s="66"/>
      <c r="DJ735" s="66"/>
      <c r="DL735" s="66"/>
      <c r="DN735" s="66"/>
      <c r="DO735" s="66"/>
      <c r="DP735" s="66"/>
      <c r="DQ735" s="66"/>
      <c r="DR735" s="66"/>
      <c r="DS735" s="66"/>
      <c r="DT735" s="66"/>
      <c r="DU735" s="66"/>
      <c r="DV735" s="66"/>
      <c r="DW735" s="66"/>
      <c r="DX735" s="66"/>
      <c r="DY735" s="66"/>
      <c r="FI735" s="9"/>
      <c r="FR735" s="9"/>
      <c r="FX735" s="66"/>
      <c r="GE735" s="9"/>
      <c r="GP735" s="9"/>
      <c r="II735" s="9"/>
      <c r="IJ735" s="66"/>
      <c r="IK735" s="66"/>
      <c r="IN735" t="s">
        <v>1410</v>
      </c>
      <c r="IO735" t="s">
        <v>846</v>
      </c>
      <c r="IP735" t="s">
        <v>386</v>
      </c>
      <c r="IS735" s="66">
        <v>33</v>
      </c>
      <c r="IT735" s="66">
        <v>0</v>
      </c>
      <c r="IU735" s="9">
        <v>43643</v>
      </c>
      <c r="IV735" s="9">
        <v>43661</v>
      </c>
      <c r="IW735" s="9">
        <v>43699</v>
      </c>
      <c r="IX735" s="9">
        <v>43711</v>
      </c>
    </row>
    <row r="736" spans="1:263" ht="15" customHeight="1">
      <c r="A736" s="19">
        <v>102022084</v>
      </c>
      <c r="B736" t="s">
        <v>2828</v>
      </c>
      <c r="D736" s="1"/>
      <c r="E736" s="3"/>
      <c r="F736" s="3"/>
      <c r="J736" t="s">
        <v>311</v>
      </c>
      <c r="K736" t="s">
        <v>1186</v>
      </c>
      <c r="L736" t="s">
        <v>3083</v>
      </c>
      <c r="AG736" s="43"/>
      <c r="AJ736" t="s">
        <v>3086</v>
      </c>
      <c r="AK736" t="s">
        <v>258</v>
      </c>
      <c r="AL736" t="s">
        <v>259</v>
      </c>
      <c r="AM736" t="s">
        <v>260</v>
      </c>
      <c r="AN736"/>
      <c r="AO736" s="3" t="s">
        <v>773</v>
      </c>
      <c r="AP736" s="3" t="s">
        <v>258</v>
      </c>
      <c r="AQ736" t="s">
        <v>386</v>
      </c>
      <c r="AR736" t="s">
        <v>260</v>
      </c>
      <c r="AS736" s="1"/>
      <c r="AT736" s="1"/>
      <c r="AU736" s="1"/>
      <c r="AV736" s="1"/>
      <c r="AW736" s="1"/>
      <c r="AX736" s="2"/>
      <c r="AY736" s="116"/>
      <c r="AZ736" s="115"/>
      <c r="BA736" s="2"/>
      <c r="BB736" s="2"/>
      <c r="BC736" s="2"/>
      <c r="BD736" s="2"/>
      <c r="BE736" s="2"/>
      <c r="BF736" s="2"/>
      <c r="BG736" s="20">
        <f ca="1">SUM(CY736)+58.5+58.5</f>
        <v>1149.0819999999999</v>
      </c>
      <c r="BH736" s="22">
        <f ca="1">PMT(10%/12,12,BG736,0,0)</f>
        <v>-101.02256353003388</v>
      </c>
      <c r="BI736" s="22">
        <f ca="1">SUM(BH736*-1)</f>
        <v>101.02256353003388</v>
      </c>
      <c r="BJ736" s="14">
        <f>SUM(DI736*0.0052)/12</f>
        <v>35.1</v>
      </c>
      <c r="BK736" s="22">
        <f ca="1">SUM(BI736+BJ736)</f>
        <v>136.12256353003389</v>
      </c>
      <c r="BL736" s="14"/>
      <c r="BM736" s="14">
        <f>SUM(BL736*0.1)</f>
        <v>0</v>
      </c>
      <c r="BN736" s="14">
        <f ca="1">SUM(BO736*BP736)</f>
        <v>0</v>
      </c>
      <c r="BO736" s="17">
        <f>SUM((BL736+BM736)*0.00833333333333333)</f>
        <v>0</v>
      </c>
      <c r="BP736" s="23">
        <f ca="1">MONTH(TODAY())+49</f>
        <v>53</v>
      </c>
      <c r="BQ736" s="14">
        <f ca="1">SUM(BL736,BM736,BN736)</f>
        <v>0</v>
      </c>
      <c r="BR736" s="14"/>
      <c r="BS736" s="14">
        <f>SUM(BR736*0.1)</f>
        <v>0</v>
      </c>
      <c r="BT736" s="14">
        <f ca="1">SUM(BU736*BV736)</f>
        <v>0</v>
      </c>
      <c r="BU736" s="17">
        <f>SUM((BR736+BS736)*0.00833333333333333)</f>
        <v>0</v>
      </c>
      <c r="BV736" s="23">
        <f ca="1">MONTH(TODAY())+37</f>
        <v>41</v>
      </c>
      <c r="BW736" s="14">
        <f ca="1">SUM(BR736,BS736,BT736)</f>
        <v>0</v>
      </c>
      <c r="BX736" s="14"/>
      <c r="BY736" s="14">
        <f>SUM(BX736*0.1)</f>
        <v>0</v>
      </c>
      <c r="BZ736" s="14">
        <f ca="1">SUM(CA736*CB736)</f>
        <v>0</v>
      </c>
      <c r="CA736" s="17">
        <f>SUM((BX736+BY736)*0.00833333333333333)</f>
        <v>0</v>
      </c>
      <c r="CB736" s="23">
        <f ca="1">MONTH(TODAY())+25</f>
        <v>29</v>
      </c>
      <c r="CC736" s="14">
        <f ca="1">SUM(BX736,BY736,BZ736)</f>
        <v>0</v>
      </c>
      <c r="CD736" s="14">
        <f>SUM(DI736*0.0052)</f>
        <v>421.2</v>
      </c>
      <c r="CE736" s="14">
        <f>SUM(CD736*0.1)</f>
        <v>42.120000000000005</v>
      </c>
      <c r="CF736" s="14">
        <f ca="1">SUM(CG736*CH736)</f>
        <v>65.636999999999972</v>
      </c>
      <c r="CG736" s="17">
        <f>SUM((CD736+CE736)*0.00833333333333333)</f>
        <v>3.8609999999999984</v>
      </c>
      <c r="CH736" s="23">
        <f ca="1">MONTH(TODAY())+13</f>
        <v>17</v>
      </c>
      <c r="CI736" s="14">
        <f ca="1">SUM(CD736,CE736,CF736)</f>
        <v>528.95699999999999</v>
      </c>
      <c r="CJ736" s="14">
        <f>SUM(DI736*0.0052)</f>
        <v>421.2</v>
      </c>
      <c r="CK736" s="14">
        <f>SUM(CJ736*0.1)</f>
        <v>42.120000000000005</v>
      </c>
      <c r="CL736" s="14">
        <f ca="1">SUM(CM736*CN736)</f>
        <v>19.304999999999993</v>
      </c>
      <c r="CM736" s="17">
        <f>SUM((CJ736+CK736)*0.00833333333333333)</f>
        <v>3.8609999999999984</v>
      </c>
      <c r="CN736" s="23">
        <f ca="1">MONTH(TODAY())+1</f>
        <v>5</v>
      </c>
      <c r="CO736" s="14">
        <f ca="1">SUM(CJ736,CK736,CL736)</f>
        <v>482.625</v>
      </c>
      <c r="CP736" s="14">
        <f>SUM(BL736, BR736,BX736,CD736,CJ736)</f>
        <v>842.4</v>
      </c>
      <c r="CQ736" s="14">
        <f>SUM(BM736, BS736,BY736,CE736,CK736)</f>
        <v>84.240000000000009</v>
      </c>
      <c r="CR736" s="14">
        <f ca="1">SUM(BN736, BT736,BZ736,CF736,CL736)</f>
        <v>84.941999999999965</v>
      </c>
      <c r="CS736" s="14">
        <f ca="1">SUM(CP736:CR736)</f>
        <v>1011.582</v>
      </c>
      <c r="CT736" s="47">
        <f ca="1">SUM(CS736/DI736)</f>
        <v>1.2488666666666667E-2</v>
      </c>
      <c r="CU736" s="14">
        <v>19.5</v>
      </c>
      <c r="CV736" s="32">
        <f>COUNTIF(DB736, "*")+COUNTIF(AO736, "*")+COUNTIF(AJ736, "*")+COUNTIF(AA736, "*")+COUNTIF(DY736, "*")+COUNTIF(EE736, "*")+COUNTIF(EK736, "*")+COUNTIF(EO736, "*")+COUNTIF(EV736, "*")+COUNTIF(FC736, "*")+COUNTIF(FJ736, "*")+COUNTIF(FU736, "*")+COUNTIF(GF736, "*")+COUNTIF(GN736, "*")+COUNTIF(GV736, "*")+COUNTIF(HD736, "*")+COUNTIF(HL736, "*")</f>
        <v>2</v>
      </c>
      <c r="CW736" s="14">
        <f>CV736*0.5</f>
        <v>1</v>
      </c>
      <c r="CX736" s="4"/>
      <c r="CY736" s="14">
        <f ca="1">SUM(CS736,CU736,DE736, CX736, CW736,FG736)</f>
        <v>1032.0819999999999</v>
      </c>
      <c r="CZ736" s="4"/>
      <c r="DE736" s="14">
        <f>SUM(CZ736:DD736)</f>
        <v>0</v>
      </c>
      <c r="DF736" s="24" t="s">
        <v>2773</v>
      </c>
      <c r="DG736" s="4">
        <v>17300</v>
      </c>
      <c r="DH736" s="4">
        <v>63700</v>
      </c>
      <c r="DI736" s="25">
        <f>SUM(DG736+DH736)</f>
        <v>81000</v>
      </c>
      <c r="DJ736" s="35">
        <v>1.26</v>
      </c>
      <c r="IC736" s="4"/>
    </row>
    <row r="737" spans="1:265" ht="15" customHeight="1">
      <c r="A737" s="2">
        <v>102018059</v>
      </c>
      <c r="B737" s="4" t="s">
        <v>1204</v>
      </c>
      <c r="C737" s="4"/>
      <c r="D737" s="4"/>
      <c r="E737" s="3" t="s">
        <v>1205</v>
      </c>
      <c r="F737" s="2">
        <v>190000497</v>
      </c>
      <c r="J737" t="s">
        <v>305</v>
      </c>
      <c r="K737" t="s">
        <v>1206</v>
      </c>
      <c r="L737" t="s">
        <v>420</v>
      </c>
      <c r="M737" t="s">
        <v>354</v>
      </c>
      <c r="O737" s="1" t="s">
        <v>258</v>
      </c>
      <c r="P737" t="s">
        <v>1206</v>
      </c>
      <c r="Q737" t="s">
        <v>883</v>
      </c>
      <c r="R737" t="s">
        <v>650</v>
      </c>
      <c r="T737" s="1"/>
      <c r="AJ737" s="4"/>
      <c r="AK737" s="4"/>
      <c r="AO737" s="4"/>
      <c r="AP737" s="5"/>
      <c r="AQ737" s="34"/>
      <c r="AS737" s="5"/>
      <c r="AT737" s="5"/>
      <c r="AU737" s="1"/>
      <c r="AV737" s="1"/>
      <c r="AW737" s="1"/>
      <c r="AX737" s="1"/>
      <c r="AY737" s="1"/>
      <c r="AZ737" s="1"/>
      <c r="BA737" s="1"/>
      <c r="BB737" s="1"/>
      <c r="BC737" s="1"/>
      <c r="BD737" s="1"/>
      <c r="BE737" s="1"/>
      <c r="BF737" s="1"/>
      <c r="BG737" s="5"/>
      <c r="BH737" s="16"/>
      <c r="BI737" s="16"/>
      <c r="BK737" s="4"/>
      <c r="BL737" s="4"/>
      <c r="BM737" s="6"/>
      <c r="BN737" s="7"/>
      <c r="BO737" s="4"/>
      <c r="BP737" s="4"/>
      <c r="BQ737" s="4"/>
      <c r="BR737" s="4"/>
      <c r="BS737" s="6"/>
      <c r="BT737" s="7"/>
      <c r="BU737" s="4"/>
      <c r="BV737" s="4"/>
      <c r="BW737" s="4"/>
      <c r="BX737" s="4"/>
      <c r="BY737" s="6"/>
      <c r="BZ737" s="7"/>
      <c r="CA737" s="4"/>
      <c r="CB737" s="4"/>
      <c r="CC737" s="4"/>
      <c r="CD737" s="4"/>
      <c r="CE737" s="6"/>
      <c r="CF737" s="7"/>
      <c r="CG737" s="4"/>
      <c r="CH737" s="4"/>
      <c r="CI737" s="4"/>
      <c r="CJ737" s="4"/>
      <c r="CK737" s="6"/>
      <c r="CL737" s="7"/>
      <c r="CM737" s="4"/>
      <c r="CN737" s="4"/>
      <c r="CO737" s="4"/>
      <c r="CP737" s="4"/>
      <c r="CQ737" s="6"/>
      <c r="CR737" s="7"/>
      <c r="CS737" s="4"/>
      <c r="CT737" s="4"/>
      <c r="CU737" s="4"/>
      <c r="CV737" s="4"/>
      <c r="CW737" s="6"/>
      <c r="CX737" s="7"/>
      <c r="CY737" s="4"/>
      <c r="CZ737" s="4"/>
      <c r="DA737" s="4"/>
      <c r="DB737" s="4"/>
      <c r="DC737" s="6"/>
      <c r="DD737" s="7"/>
      <c r="DE737" s="4"/>
      <c r="DF737" s="4"/>
      <c r="DG737" s="14"/>
      <c r="DH737" s="14"/>
      <c r="DI737" s="4"/>
      <c r="DK737" s="4"/>
      <c r="DL737" s="234"/>
      <c r="DM737" s="4"/>
      <c r="DN737" s="4"/>
      <c r="DO737" s="4"/>
      <c r="DP737" s="4"/>
      <c r="DQ737" s="4"/>
      <c r="DR737" s="4"/>
      <c r="DS737" s="7"/>
      <c r="DT737" s="8"/>
      <c r="DU737" s="4"/>
      <c r="DV737" s="8"/>
      <c r="DW737" s="4"/>
      <c r="DX737" s="4"/>
      <c r="EG737" s="11"/>
      <c r="EM737" s="11"/>
      <c r="EN737" s="11"/>
      <c r="EO737" s="4"/>
      <c r="EP737" s="4"/>
      <c r="EQ737" s="4"/>
      <c r="ER737" s="4"/>
      <c r="ES737" s="4"/>
      <c r="ET737" s="4"/>
      <c r="EU737" s="4"/>
      <c r="EV737" s="4"/>
      <c r="EW737" s="4"/>
      <c r="EX737" s="4"/>
      <c r="EY737" s="4"/>
      <c r="EZ737" s="4"/>
      <c r="FA737" s="4"/>
      <c r="FB737" s="4"/>
      <c r="FC737" s="4"/>
      <c r="FG737" s="9"/>
      <c r="FP737" s="9"/>
      <c r="FZ737" s="10"/>
      <c r="GJ737" s="10"/>
      <c r="GY737" s="9"/>
      <c r="IK737" s="4"/>
    </row>
    <row r="738" spans="1:265" s="18" customFormat="1" ht="15" customHeight="1">
      <c r="A738" s="2">
        <v>102018059</v>
      </c>
      <c r="B738" s="4" t="s">
        <v>1204</v>
      </c>
      <c r="C738" s="4"/>
      <c r="D738" s="4"/>
      <c r="E738" s="3" t="s">
        <v>1205</v>
      </c>
      <c r="F738" s="3"/>
      <c r="G738" s="3"/>
      <c r="H738" s="3"/>
      <c r="I738" s="3"/>
      <c r="J738" s="3"/>
      <c r="K738" t="s">
        <v>1206</v>
      </c>
      <c r="L738" t="s">
        <v>420</v>
      </c>
      <c r="M738" t="s">
        <v>354</v>
      </c>
      <c r="N738"/>
      <c r="P738" s="18" t="s">
        <v>1206</v>
      </c>
      <c r="Q738" s="18" t="s">
        <v>883</v>
      </c>
      <c r="R738" s="18" t="s">
        <v>650</v>
      </c>
      <c r="AG738" s="24"/>
      <c r="AK738" s="37"/>
      <c r="AM738" s="24"/>
      <c r="AN738" s="24"/>
      <c r="AP738" s="13"/>
      <c r="AQ738" s="24"/>
      <c r="AR738" s="24"/>
      <c r="AS738" s="24"/>
      <c r="AT738" s="24"/>
      <c r="AU738" s="24"/>
      <c r="AW738" s="13"/>
      <c r="AX738" s="13"/>
      <c r="AY738" s="13"/>
      <c r="AZ738" s="13"/>
      <c r="BA738" s="13"/>
      <c r="BB738" s="19"/>
      <c r="BC738" s="19"/>
      <c r="BD738" s="48"/>
      <c r="BE738" s="19"/>
      <c r="BF738" s="19"/>
      <c r="BG738" s="19"/>
      <c r="BH738" s="19"/>
      <c r="BI738" s="19"/>
      <c r="BJ738" s="19"/>
      <c r="BN738" s="14"/>
      <c r="BT738" s="23"/>
      <c r="CF738" s="23"/>
      <c r="CL738" s="23"/>
      <c r="CZ738" s="14"/>
      <c r="DA738" s="14"/>
      <c r="DB738" s="14"/>
      <c r="DC738" s="14"/>
      <c r="DG738" s="14"/>
      <c r="DO738" s="14">
        <f>SUM(DJ738:DN738)</f>
        <v>0</v>
      </c>
      <c r="DQ738" s="14"/>
      <c r="DR738" s="14"/>
      <c r="DT738" s="36"/>
      <c r="HY738" s="27">
        <v>43694</v>
      </c>
      <c r="IJ738" s="14">
        <v>1615.04</v>
      </c>
      <c r="IL738"/>
      <c r="IM738"/>
      <c r="IN738"/>
      <c r="IO738"/>
      <c r="IP738"/>
      <c r="IQ738"/>
      <c r="IR738"/>
      <c r="IS738"/>
      <c r="IT738"/>
      <c r="IU738"/>
      <c r="IV738"/>
      <c r="IW738"/>
      <c r="IX738"/>
      <c r="IY738"/>
      <c r="IZ738"/>
      <c r="JA738"/>
      <c r="JB738"/>
      <c r="JC738"/>
      <c r="JD738"/>
      <c r="JE738"/>
    </row>
    <row r="739" spans="1:265" ht="15" customHeight="1">
      <c r="A739" s="2">
        <v>102024154</v>
      </c>
      <c r="B739" t="s">
        <v>5527</v>
      </c>
      <c r="C739" s="10"/>
      <c r="D739" s="161"/>
      <c r="E739" s="147" t="s">
        <v>5890</v>
      </c>
      <c r="F739" s="160">
        <v>240003190</v>
      </c>
      <c r="G739" s="147"/>
      <c r="H739" s="10"/>
      <c r="I739" s="10"/>
      <c r="J739" s="10" t="s">
        <v>311</v>
      </c>
      <c r="K739" s="10" t="s">
        <v>5528</v>
      </c>
      <c r="L739" s="10" t="s">
        <v>5529</v>
      </c>
      <c r="M739" s="10" t="s">
        <v>850</v>
      </c>
      <c r="N739" s="10" t="s">
        <v>341</v>
      </c>
      <c r="O739" s="147"/>
      <c r="P739" s="10"/>
      <c r="Q739" s="10"/>
      <c r="R739" s="10"/>
      <c r="S739" s="10"/>
      <c r="T739" s="10"/>
      <c r="U739" s="10"/>
      <c r="V739" s="10"/>
      <c r="W739" s="10"/>
      <c r="X739" s="10"/>
      <c r="Y739" s="10"/>
      <c r="Z739" s="10"/>
      <c r="AA739" s="10"/>
      <c r="AB739" s="10"/>
      <c r="AC739" s="10"/>
      <c r="AD739" s="10"/>
      <c r="AE739" s="10"/>
      <c r="AF739" s="10"/>
      <c r="AG739" s="141"/>
      <c r="AH739" s="10"/>
      <c r="AI739" s="10"/>
      <c r="AJ739" s="18" t="s">
        <v>328</v>
      </c>
      <c r="AK739" s="1"/>
      <c r="AL739" s="18" t="s">
        <v>259</v>
      </c>
      <c r="AM739"/>
      <c r="AN739"/>
      <c r="AO739" t="s">
        <v>5530</v>
      </c>
      <c r="AP739" s="1" t="s">
        <v>258</v>
      </c>
      <c r="AQ739" s="18" t="s">
        <v>5531</v>
      </c>
      <c r="AR739"/>
      <c r="AX739" s="1"/>
      <c r="AY739" s="1" t="s">
        <v>258</v>
      </c>
      <c r="AZ739" s="1"/>
      <c r="BA739" s="1"/>
      <c r="BB739" s="1"/>
      <c r="BC739" s="70">
        <v>45475</v>
      </c>
      <c r="BD739" s="115">
        <v>45415</v>
      </c>
      <c r="BE739" s="144">
        <v>45433</v>
      </c>
      <c r="BF739" s="70"/>
      <c r="BG739" s="2"/>
      <c r="BH739" s="70"/>
      <c r="BI739" s="70"/>
      <c r="BJ739" s="70">
        <v>45545</v>
      </c>
      <c r="BK739" s="70" t="s">
        <v>5895</v>
      </c>
      <c r="BL739" s="20">
        <f ca="1">SUM(EB739)+220</f>
        <v>2336.4069333333337</v>
      </c>
      <c r="BM739" s="22">
        <f ca="1">PMT(10%/12,12,BL739,0,0)</f>
        <v>-205.4072884743459</v>
      </c>
      <c r="BN739" s="22">
        <f ca="1">SUM(BM739*-1)</f>
        <v>205.4072884743459</v>
      </c>
      <c r="BO739" s="14">
        <f>SUM(EJ739*0.0052)/12</f>
        <v>14.256666666666666</v>
      </c>
      <c r="BP739" s="22">
        <f ca="1">SUM(BN739+BO739)</f>
        <v>219.66395514101256</v>
      </c>
      <c r="BQ739" s="14">
        <v>0</v>
      </c>
      <c r="BR739" s="14">
        <f>SUM(BQ739*0.1)</f>
        <v>0</v>
      </c>
      <c r="BS739" s="14">
        <f ca="1">SUM(BT739*BU739)</f>
        <v>0</v>
      </c>
      <c r="BT739" s="17">
        <f>SUM((BQ739+BR739)*0.00833333333333333)</f>
        <v>0</v>
      </c>
      <c r="BU739" s="23">
        <f ca="1">MONTH(TODAY())+37</f>
        <v>41</v>
      </c>
      <c r="BV739" s="14">
        <f ca="1">SUM(BQ739,BR739,BS739)</f>
        <v>0</v>
      </c>
      <c r="BW739" s="14">
        <v>0</v>
      </c>
      <c r="BX739" s="14">
        <f>SUM(BW739*0.1)</f>
        <v>0</v>
      </c>
      <c r="BY739" s="14">
        <f ca="1">SUM(BZ739*CA739)</f>
        <v>0</v>
      </c>
      <c r="BZ739" s="17">
        <f>SUM((BW739+BX739)*0.00833333333333333)</f>
        <v>0</v>
      </c>
      <c r="CA739" s="23">
        <f ca="1">MONTH(TODAY())+37</f>
        <v>41</v>
      </c>
      <c r="CB739" s="14">
        <f ca="1">SUM(BW739,BX739,BY739)</f>
        <v>0</v>
      </c>
      <c r="CC739" s="14">
        <f>SUM(EG739*0.0052)/2</f>
        <v>80.86</v>
      </c>
      <c r="CD739" s="14">
        <f>SUM(CC739*0.1)</f>
        <v>8.0860000000000003</v>
      </c>
      <c r="CE739" s="14">
        <f ca="1">SUM(CF739*CG739)</f>
        <v>24.460149999999988</v>
      </c>
      <c r="CF739" s="17">
        <f>SUM((CC739+CD739)*0.00833333333333333)</f>
        <v>0.7412166666666663</v>
      </c>
      <c r="CG739" s="23">
        <f ca="1">MONTH(TODAY())+29</f>
        <v>33</v>
      </c>
      <c r="CH739" s="23">
        <f ca="1">SUM(CC739,CD739,CE739)</f>
        <v>113.40614999999998</v>
      </c>
      <c r="CI739" s="14">
        <f>SUM(EG739*0.0052)/2</f>
        <v>80.86</v>
      </c>
      <c r="CJ739" s="14">
        <f>SUM(CI739*0.1)</f>
        <v>8.0860000000000003</v>
      </c>
      <c r="CK739" s="14">
        <f ca="1">SUM(CL739*CM739)</f>
        <v>21.495283333333322</v>
      </c>
      <c r="CL739" s="17">
        <f>SUM((CI739+CJ739)*0.00833333333333333)</f>
        <v>0.7412166666666663</v>
      </c>
      <c r="CM739" s="23">
        <f ca="1">MONTH(TODAY())+25</f>
        <v>29</v>
      </c>
      <c r="CN739" s="14">
        <f ca="1">SUM(CI739,CJ739,CK739)</f>
        <v>110.44128333333332</v>
      </c>
      <c r="CO739" s="14">
        <f>SUM(EJ739*0.0045)/2</f>
        <v>74.024999999999991</v>
      </c>
      <c r="CP739" s="14">
        <f>SUM(CO739*0.1)</f>
        <v>7.4024999999999999</v>
      </c>
      <c r="CQ739" s="14">
        <f ca="1">SUM(CR739*CS739)</f>
        <v>15.606937499999992</v>
      </c>
      <c r="CR739" s="17">
        <f>SUM((CO739+CP739)*0.00833333333333333)</f>
        <v>0.67856249999999962</v>
      </c>
      <c r="CS739" s="23">
        <f ca="1">MONTH(TODAY())+19</f>
        <v>23</v>
      </c>
      <c r="CT739" s="14">
        <f ca="1">SUM(CO739,CP739,CQ739)</f>
        <v>97.034437499999981</v>
      </c>
      <c r="CU739" s="14">
        <f>SUM(EJ739*0.0045)/2</f>
        <v>74.024999999999991</v>
      </c>
      <c r="CV739" s="14">
        <f>SUM(CU739*0.1)</f>
        <v>7.4024999999999999</v>
      </c>
      <c r="CW739" s="14">
        <f ca="1">SUM(CX739*CY739)</f>
        <v>11.535562499999994</v>
      </c>
      <c r="CX739" s="17">
        <f>SUM((CU739+CV739)*0.00833333333333333)</f>
        <v>0.67856249999999962</v>
      </c>
      <c r="CY739" s="23">
        <f ca="1">MONTH(TODAY())+13</f>
        <v>17</v>
      </c>
      <c r="CZ739" s="14">
        <f ca="1">SUM(CU739,CV739,CW739)</f>
        <v>92.963062499999992</v>
      </c>
      <c r="DA739" s="14">
        <f>SUM(EJ739*0.0045)/2</f>
        <v>74.024999999999991</v>
      </c>
      <c r="DB739" s="14">
        <f>SUM(DA739*0.1)</f>
        <v>7.4024999999999999</v>
      </c>
      <c r="DC739" s="14">
        <f ca="1">SUM(DD739*DE739)</f>
        <v>7.464187499999996</v>
      </c>
      <c r="DD739" s="17">
        <f>SUM((DA739+DB739)*0.00833333333333333)</f>
        <v>0.67856249999999962</v>
      </c>
      <c r="DE739" s="23">
        <f ca="1">MONTH(TODAY())+7</f>
        <v>11</v>
      </c>
      <c r="DF739" s="14">
        <f ca="1">SUM(DA739,DB739,DC739)</f>
        <v>88.891687499999989</v>
      </c>
      <c r="DG739" s="14">
        <f>SUM(EJ739*0.0045)/2</f>
        <v>74.024999999999991</v>
      </c>
      <c r="DH739" s="14">
        <f>SUM(DG739*0.1)</f>
        <v>7.4024999999999999</v>
      </c>
      <c r="DI739" s="14">
        <f ca="1">SUM(DJ739*DK739)</f>
        <v>3.392812499999998</v>
      </c>
      <c r="DJ739" s="17">
        <f>SUM((DG739+DH739)*0.00833333333333333)</f>
        <v>0.67856249999999962</v>
      </c>
      <c r="DK739" s="23">
        <f ca="1">MONTH(TODAY())+1</f>
        <v>5</v>
      </c>
      <c r="DL739" s="14">
        <f ca="1">SUM(DG739,DH739,DI739)</f>
        <v>84.8203125</v>
      </c>
      <c r="DM739" s="14">
        <f>SUM(BQ739, BW739, CC739,CI739,CO739,CU739,DA739,DG739)</f>
        <v>457.81999999999994</v>
      </c>
      <c r="DN739" s="14">
        <f>SUM(BR739,BX739, CD739,CJ739,CP739,CV739,DB739,DH739)</f>
        <v>45.781999999999996</v>
      </c>
      <c r="DO739" s="14">
        <f ca="1">SUM(BS739,BY739, CE739,CK739,CQ739,CW739,DC739,DI739)</f>
        <v>83.954933333333287</v>
      </c>
      <c r="DP739" s="25">
        <f ca="1">SUM(DM739:DO739)</f>
        <v>587.55693333333318</v>
      </c>
      <c r="DQ739" s="47">
        <f ca="1">SUM(DP739/EG739)</f>
        <v>1.8892505894962483E-2</v>
      </c>
      <c r="DR739" s="25">
        <f>20+10+200+200+40+40+100</f>
        <v>610</v>
      </c>
      <c r="DS739" s="32">
        <f>COUNTIF(AO739, "*")+COUNTIF(AJ739, "*")+COUNTIF(AA739, "*")+COUNTIF(EU739, "*")+COUNTIF(FA739, "*")+COUNTIF(FG739, "*")+COUNTIF(FK739, "*")+COUNTIF(FR739, "*")+COUNTIF(AT739, "*")+COUNTIF(GA739, "*")+COUNTIF(GL739, "*")+COUNTIF(GW739, "*")+COUNTIF(HE739, "*")+COUNTIF(HM739, "*")+COUNTIF(HU739, "*")</f>
        <v>3</v>
      </c>
      <c r="DT739" s="14">
        <f>1.28+DS739*8</f>
        <v>25.28</v>
      </c>
      <c r="DU739" s="4">
        <v>26.67</v>
      </c>
      <c r="DV739" s="4">
        <v>266.5</v>
      </c>
      <c r="DW739" s="4"/>
      <c r="DX739" s="4"/>
      <c r="DY739" s="14">
        <f>IF(SUM(EE739*0.004)&lt;100, 100, SUM(EE739*0.004))</f>
        <v>124.4</v>
      </c>
      <c r="DZ739" s="4">
        <v>476</v>
      </c>
      <c r="EA739" s="14">
        <f>SUM(DU739:DZ739)</f>
        <v>893.57</v>
      </c>
      <c r="EB739" s="14">
        <f ca="1">SUM(DP739,DR739,EA739,DT739,FX739)</f>
        <v>2116.4069333333337</v>
      </c>
      <c r="EC739" s="24" t="s">
        <v>5914</v>
      </c>
      <c r="ED739" s="23">
        <v>5.14</v>
      </c>
      <c r="EE739" s="14">
        <v>31100</v>
      </c>
      <c r="EF739" s="14">
        <v>0</v>
      </c>
      <c r="EG739" s="14">
        <f>SUM(EE739+EF739)</f>
        <v>31100</v>
      </c>
      <c r="EH739" s="14">
        <v>32900</v>
      </c>
      <c r="EI739" s="14">
        <v>0</v>
      </c>
      <c r="EJ739" s="14">
        <f>SUM(EH739+EI739)</f>
        <v>32900</v>
      </c>
      <c r="EK739" s="10" t="s">
        <v>5721</v>
      </c>
      <c r="EL739" s="10" t="s">
        <v>5722</v>
      </c>
      <c r="EM739" s="10" t="s">
        <v>5723</v>
      </c>
      <c r="EN739" s="10" t="s">
        <v>5724</v>
      </c>
      <c r="EO739" s="10" t="s">
        <v>5863</v>
      </c>
      <c r="EP739" s="10"/>
      <c r="EQ739" s="10"/>
      <c r="ER739" s="10"/>
      <c r="ES739" s="10" t="s">
        <v>5740</v>
      </c>
      <c r="ET739" s="10"/>
      <c r="EU739" s="10" t="s">
        <v>5741</v>
      </c>
      <c r="EV739" s="10"/>
      <c r="EW739" s="10" t="s">
        <v>5742</v>
      </c>
      <c r="EX739" s="10"/>
      <c r="EY739" s="10"/>
      <c r="EZ739" s="10"/>
      <c r="FA739" s="10"/>
      <c r="FB739" s="10"/>
      <c r="FC739" s="10"/>
      <c r="FD739" s="10"/>
      <c r="FE739" s="10"/>
      <c r="FF739" s="10"/>
      <c r="FG739" s="10"/>
      <c r="FH739" s="10"/>
      <c r="FI739" s="10"/>
      <c r="FJ739" s="10"/>
      <c r="FK739" s="10"/>
      <c r="FL739" s="10"/>
      <c r="FM739" s="10"/>
      <c r="FN739" s="10"/>
      <c r="FO739" s="9"/>
      <c r="FP739" s="10"/>
      <c r="FQ739" s="10"/>
      <c r="FR739" s="10"/>
      <c r="FS739" s="10"/>
      <c r="FT739" s="10"/>
      <c r="FU739" s="10"/>
      <c r="FV739" s="9"/>
      <c r="FW739" s="10"/>
      <c r="FX739" s="10"/>
      <c r="FY739" s="10"/>
      <c r="FZ739" s="10"/>
      <c r="GA739" s="10"/>
      <c r="GB739" s="10"/>
      <c r="GC739" s="10"/>
      <c r="GD739" s="10"/>
      <c r="GE739" s="9"/>
      <c r="GF739" s="10"/>
      <c r="GG739" s="10"/>
      <c r="GH739" s="10"/>
      <c r="GI739" s="10"/>
      <c r="GJ739" s="10"/>
      <c r="GK739" s="10"/>
      <c r="GL739" s="10"/>
      <c r="GM739" s="10"/>
      <c r="GN739" s="10"/>
      <c r="GO739" s="10"/>
      <c r="GP739" s="9"/>
      <c r="GQ739" s="10"/>
      <c r="GR739" s="10"/>
      <c r="GS739" s="10"/>
      <c r="GT739" s="10"/>
      <c r="GU739" s="10"/>
      <c r="GV739" s="10"/>
      <c r="GW739" s="10"/>
      <c r="GX739" s="10"/>
      <c r="GY739" s="10"/>
      <c r="GZ739" s="10"/>
      <c r="HA739" s="9"/>
      <c r="HB739" s="10"/>
      <c r="HC739" s="10"/>
      <c r="HD739" s="10"/>
      <c r="HE739" s="10"/>
      <c r="HF739" s="10"/>
      <c r="HG739" s="10"/>
      <c r="HH739" s="10"/>
      <c r="HI739" s="9"/>
      <c r="HJ739" s="10"/>
      <c r="HK739" s="10"/>
      <c r="HL739" s="10"/>
      <c r="HM739" s="10"/>
      <c r="HN739" s="10"/>
      <c r="HO739" s="10"/>
      <c r="HP739" s="10"/>
      <c r="HQ739" s="9"/>
      <c r="HR739" s="10"/>
      <c r="HS739" s="10"/>
      <c r="HT739" s="10"/>
      <c r="HU739" s="10"/>
      <c r="HV739" s="10"/>
      <c r="HW739" s="10"/>
      <c r="HX739" s="10"/>
      <c r="HY739" s="9"/>
      <c r="HZ739" s="4"/>
      <c r="IA739" s="4"/>
      <c r="IB739" s="10"/>
      <c r="IC739" s="10"/>
      <c r="ID739" s="10"/>
      <c r="IE739" s="10"/>
      <c r="IF739" s="4"/>
      <c r="IG739" s="4"/>
      <c r="IH739" s="4"/>
      <c r="II739" s="4"/>
      <c r="IJ739" s="4"/>
      <c r="IK739" s="9"/>
      <c r="IL739" s="9"/>
      <c r="IM739" s="9"/>
      <c r="IN739" s="9"/>
      <c r="IO739" s="9"/>
      <c r="IP739" s="27" t="s">
        <v>5913</v>
      </c>
    </row>
    <row r="740" spans="1:265" ht="15" customHeight="1">
      <c r="A740" s="19">
        <v>102020046</v>
      </c>
      <c r="B740" s="18" t="s">
        <v>1664</v>
      </c>
      <c r="C740" s="18"/>
      <c r="D740" s="13"/>
      <c r="E740" s="18" t="s">
        <v>1819</v>
      </c>
      <c r="F740" s="18">
        <v>200002184</v>
      </c>
      <c r="G740" s="18">
        <v>200007060</v>
      </c>
      <c r="H740" s="18"/>
      <c r="I740" s="18"/>
      <c r="J740" s="18" t="s">
        <v>554</v>
      </c>
      <c r="K740" s="18" t="s">
        <v>1660</v>
      </c>
      <c r="L740" s="18" t="s">
        <v>1661</v>
      </c>
      <c r="M740" s="18"/>
      <c r="N740" s="18"/>
      <c r="O740" s="18"/>
      <c r="P740" s="18" t="s">
        <v>1660</v>
      </c>
      <c r="Q740" s="18" t="s">
        <v>427</v>
      </c>
      <c r="R740" s="18"/>
      <c r="S740" s="18"/>
      <c r="T740" s="18"/>
      <c r="U740" s="18"/>
      <c r="V740" s="18"/>
      <c r="W740" s="18"/>
      <c r="X740" s="18"/>
      <c r="Y740" s="18"/>
      <c r="Z740" s="18"/>
      <c r="AA740" s="18"/>
      <c r="AB740" s="18"/>
      <c r="AC740" s="18"/>
      <c r="AD740" s="18" t="s">
        <v>1832</v>
      </c>
      <c r="AE740" s="18" t="s">
        <v>253</v>
      </c>
      <c r="AF740" s="18" t="s">
        <v>1660</v>
      </c>
      <c r="AG740" s="231" t="s">
        <v>1831</v>
      </c>
      <c r="AH740" s="18" t="s">
        <v>1662</v>
      </c>
      <c r="AI740" s="18" t="s">
        <v>1663</v>
      </c>
      <c r="AJ740" s="18" t="s">
        <v>328</v>
      </c>
      <c r="AK740" s="18"/>
      <c r="AL740" s="18" t="s">
        <v>259</v>
      </c>
      <c r="AM740" s="24" t="s">
        <v>260</v>
      </c>
      <c r="AN740" s="24" t="s">
        <v>1666</v>
      </c>
      <c r="AO740" s="18" t="s">
        <v>1662</v>
      </c>
      <c r="AP740" s="13" t="s">
        <v>258</v>
      </c>
      <c r="AQ740" s="24" t="s">
        <v>1663</v>
      </c>
      <c r="AR740" s="24"/>
      <c r="AS740" s="13"/>
      <c r="AT740" s="13"/>
      <c r="AU740" s="13"/>
      <c r="AV740" s="13"/>
      <c r="AW740" s="13"/>
      <c r="AX740" s="48"/>
      <c r="AY740" s="114"/>
      <c r="AZ740" s="114"/>
      <c r="BA740" s="48" t="s">
        <v>258</v>
      </c>
      <c r="BB740" s="19"/>
      <c r="BC740" s="48"/>
      <c r="BD740" s="48"/>
      <c r="BE740" s="48"/>
      <c r="BF740" s="19"/>
      <c r="BG740" s="20"/>
      <c r="BH740" s="22"/>
      <c r="BI740" s="22"/>
      <c r="BJ740" s="14"/>
      <c r="BK740" s="22"/>
      <c r="BL740" s="14"/>
      <c r="BM740" s="14"/>
      <c r="BN740" s="14"/>
      <c r="BO740" s="17"/>
      <c r="BP740" s="23"/>
      <c r="BQ740" s="14"/>
      <c r="BR740" s="14"/>
      <c r="BS740" s="14"/>
      <c r="BT740" s="14"/>
      <c r="BU740" s="17"/>
      <c r="BV740" s="23"/>
      <c r="BW740" s="14"/>
      <c r="BX740" s="14"/>
      <c r="BY740" s="14"/>
      <c r="BZ740" s="14"/>
      <c r="CA740" s="17"/>
      <c r="CB740" s="23"/>
      <c r="CC740" s="14"/>
      <c r="CD740" s="14"/>
      <c r="CE740" s="14"/>
      <c r="CF740" s="14"/>
      <c r="CG740" s="17"/>
      <c r="CH740" s="23"/>
      <c r="CI740" s="14"/>
      <c r="CJ740" s="14"/>
      <c r="CK740" s="14"/>
      <c r="CL740" s="14"/>
      <c r="CM740" s="17"/>
      <c r="CN740" s="23"/>
      <c r="CO740" s="14"/>
      <c r="CP740" s="14"/>
      <c r="CQ740" s="14"/>
      <c r="CR740" s="14"/>
      <c r="CS740" s="14"/>
      <c r="CT740" s="47"/>
      <c r="CU740" s="14"/>
      <c r="CV740" s="32"/>
      <c r="CW740" s="14"/>
      <c r="CX740" s="14"/>
      <c r="CY740" s="14"/>
      <c r="CZ740" s="14"/>
      <c r="DA740" s="14"/>
      <c r="DB740" s="14"/>
      <c r="DC740" s="23"/>
      <c r="DD740" s="25"/>
      <c r="DE740" s="14"/>
      <c r="DF740" s="24"/>
      <c r="DG740" s="25"/>
      <c r="DH740" s="25"/>
      <c r="DI740" s="25"/>
      <c r="DJ740" s="36">
        <v>5.64</v>
      </c>
      <c r="DK740" s="277" t="s">
        <v>1760</v>
      </c>
      <c r="DL740" s="18" t="s">
        <v>1753</v>
      </c>
      <c r="DM740" s="18" t="s">
        <v>1754</v>
      </c>
      <c r="DN740" s="18" t="s">
        <v>1755</v>
      </c>
      <c r="DO740" s="18" t="s">
        <v>1756</v>
      </c>
      <c r="DP740" s="18" t="s">
        <v>1757</v>
      </c>
      <c r="DQ740" s="18"/>
      <c r="DR740" s="18"/>
      <c r="DS740" s="18"/>
      <c r="DT740" s="18"/>
      <c r="DU740" s="18"/>
      <c r="DV740" s="18"/>
      <c r="DW740" s="18" t="s">
        <v>1758</v>
      </c>
      <c r="DX740" s="18"/>
      <c r="DY740" s="18" t="s">
        <v>1759</v>
      </c>
      <c r="DZ740" s="18"/>
      <c r="EA740" s="18" t="s">
        <v>259</v>
      </c>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t="s">
        <v>439</v>
      </c>
      <c r="FI740" s="18" t="s">
        <v>1530</v>
      </c>
      <c r="FJ740" s="18" t="s">
        <v>1531</v>
      </c>
      <c r="FK740" s="18" t="s">
        <v>1532</v>
      </c>
      <c r="FL740" s="28" t="s">
        <v>274</v>
      </c>
      <c r="FM740" s="18" t="s">
        <v>275</v>
      </c>
      <c r="FN740" s="27">
        <v>39349</v>
      </c>
      <c r="FO740" s="18" t="s">
        <v>1877</v>
      </c>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4"/>
      <c r="ID740" s="18"/>
      <c r="IE740" s="18"/>
      <c r="IF740" s="18"/>
      <c r="IG740" s="18"/>
      <c r="IH740" s="18"/>
      <c r="IN740" s="66">
        <v>42.5</v>
      </c>
      <c r="IO740" s="66"/>
      <c r="IP740" s="9">
        <v>43549</v>
      </c>
      <c r="IQ740" s="9">
        <v>43565</v>
      </c>
    </row>
    <row r="741" spans="1:265" ht="15" customHeight="1">
      <c r="A741" s="18">
        <v>102021071</v>
      </c>
      <c r="B741" s="18" t="s">
        <v>2197</v>
      </c>
      <c r="C741" s="28"/>
      <c r="D741" s="159"/>
      <c r="E741" s="150"/>
      <c r="F741" s="149"/>
      <c r="G741" s="150">
        <v>220001462</v>
      </c>
      <c r="H741" s="28"/>
      <c r="I741" s="28"/>
      <c r="J741" s="28" t="s">
        <v>253</v>
      </c>
      <c r="K741" s="28" t="s">
        <v>545</v>
      </c>
      <c r="L741" s="28" t="s">
        <v>732</v>
      </c>
      <c r="M741" s="28" t="s">
        <v>537</v>
      </c>
      <c r="N741" s="28"/>
      <c r="O741" s="150"/>
      <c r="P741" s="28"/>
      <c r="Q741" s="28"/>
      <c r="R741" s="28"/>
      <c r="S741" s="28"/>
      <c r="T741" s="28"/>
      <c r="U741" s="28"/>
      <c r="V741" s="28"/>
      <c r="W741" s="28"/>
      <c r="X741" s="28"/>
      <c r="Y741" s="28"/>
      <c r="Z741" s="28"/>
      <c r="AA741" s="28"/>
      <c r="AB741" s="28"/>
      <c r="AC741" s="28"/>
      <c r="AD741" s="28" t="s">
        <v>2209</v>
      </c>
      <c r="AE741" s="28" t="s">
        <v>311</v>
      </c>
      <c r="AF741" s="28" t="s">
        <v>545</v>
      </c>
      <c r="AG741" s="148" t="s">
        <v>2210</v>
      </c>
      <c r="AH741" s="28" t="s">
        <v>2211</v>
      </c>
      <c r="AI741" s="28" t="s">
        <v>259</v>
      </c>
      <c r="AJ741" s="18" t="s">
        <v>2198</v>
      </c>
      <c r="AK741" s="13" t="s">
        <v>258</v>
      </c>
      <c r="AL741" s="18" t="s">
        <v>259</v>
      </c>
      <c r="AM741" s="18" t="s">
        <v>260</v>
      </c>
      <c r="AN741" s="18"/>
      <c r="AO741" s="18" t="s">
        <v>2199</v>
      </c>
      <c r="AP741" s="13"/>
      <c r="AQ741" s="18" t="s">
        <v>259</v>
      </c>
      <c r="AR741" s="18"/>
      <c r="AS741" s="18"/>
      <c r="AT741" s="18"/>
      <c r="AU741" s="18"/>
      <c r="AV741" s="18"/>
      <c r="AW741" s="18"/>
      <c r="AX741" s="13"/>
      <c r="AY741" s="13"/>
      <c r="AZ741" s="13"/>
      <c r="BA741" s="13"/>
      <c r="BB741" s="13"/>
      <c r="BC741" s="48"/>
      <c r="BD741" s="114"/>
      <c r="BE741" s="143"/>
      <c r="BF741" s="48"/>
      <c r="BG741" s="19"/>
      <c r="BH741" s="48"/>
      <c r="BI741" s="48"/>
      <c r="BJ741" s="48"/>
      <c r="BK741" s="48"/>
      <c r="BL741" s="20">
        <f ca="1">SUM(EH741)+220</f>
        <v>10686.996516666666</v>
      </c>
      <c r="BM741" s="22">
        <f ca="1">PMT(10%/12,12,BL741,0,0)</f>
        <v>-939.55678058677199</v>
      </c>
      <c r="BN741" s="22">
        <f ca="1">SUM(BM741*-1)</f>
        <v>939.55678058677199</v>
      </c>
      <c r="BO741" s="14">
        <f>SUM(EP741*0.0052)/12</f>
        <v>147.67999999999998</v>
      </c>
      <c r="BP741" s="22">
        <f ca="1">SUM(BN741+BO741)</f>
        <v>1087.2367805867721</v>
      </c>
      <c r="BQ741" s="14">
        <v>682.06</v>
      </c>
      <c r="BR741" s="14">
        <f>SUM(BQ741*0.1)</f>
        <v>68.206000000000003</v>
      </c>
      <c r="BS741" s="14">
        <f ca="1">SUM(BT741*BU741)</f>
        <v>331.36748333333321</v>
      </c>
      <c r="BT741" s="17">
        <f>SUM((BQ741+BR741)*0.00833333333333333)</f>
        <v>6.2522166666666639</v>
      </c>
      <c r="BU741" s="23">
        <f ca="1">MONTH(TODAY())+49</f>
        <v>53</v>
      </c>
      <c r="BV741" s="14">
        <f ca="1">SUM(BQ741,BR741,BS741)</f>
        <v>1081.6334833333331</v>
      </c>
      <c r="BW741" s="14">
        <f>SUM(EM741*0.0052)</f>
        <v>1395.1599999999999</v>
      </c>
      <c r="BX741" s="14">
        <f>SUM(BW741*0.1)</f>
        <v>139.51599999999999</v>
      </c>
      <c r="BY741" s="14">
        <f ca="1">SUM(BZ741*CA741)</f>
        <v>524.34763333333308</v>
      </c>
      <c r="BZ741" s="17">
        <f>SUM((BW741+BX741)*0.00833333333333333)</f>
        <v>12.78896666666666</v>
      </c>
      <c r="CA741" s="23">
        <f ca="1">MONTH(TODAY())+37</f>
        <v>41</v>
      </c>
      <c r="CB741" s="14">
        <f ca="1">SUM(BW741,BX741,BY741)</f>
        <v>2059.0236333333332</v>
      </c>
      <c r="CC741" s="14">
        <f>SUM(EM741*0.0052)</f>
        <v>1395.1599999999999</v>
      </c>
      <c r="CD741" s="14">
        <f>SUM(CC741*0.1)</f>
        <v>139.51599999999999</v>
      </c>
      <c r="CE741" s="14">
        <f ca="1">SUM(CF741*CG741)</f>
        <v>370.88003333333313</v>
      </c>
      <c r="CF741" s="17">
        <f>SUM((CC741+CD741)*0.00833333333333333)</f>
        <v>12.78896666666666</v>
      </c>
      <c r="CG741" s="23">
        <f ca="1">MONTH(TODAY())+25</f>
        <v>29</v>
      </c>
      <c r="CH741" s="14">
        <f ca="1">SUM(CC741,CD741,CE741)</f>
        <v>1905.5560333333331</v>
      </c>
      <c r="CI741" s="14">
        <f>SUM(EM741*0.0052)/2</f>
        <v>697.57999999999993</v>
      </c>
      <c r="CJ741" s="14">
        <f>SUM(CI741*0.1)</f>
        <v>69.757999999999996</v>
      </c>
      <c r="CK741" s="14">
        <f ca="1">SUM(CL741*CM741)</f>
        <v>134.28414999999993</v>
      </c>
      <c r="CL741" s="17">
        <f>SUM((CI741+CJ741)*0.00833333333333333)</f>
        <v>6.39448333333333</v>
      </c>
      <c r="CM741" s="23">
        <f ca="1">MONTH(TODAY())+17</f>
        <v>21</v>
      </c>
      <c r="CN741" s="23">
        <f ca="1">SUM(CI741,CJ741,CK741)</f>
        <v>901.62214999999992</v>
      </c>
      <c r="CO741" s="14">
        <f>SUM(EM741*0.0052)/2</f>
        <v>697.57999999999993</v>
      </c>
      <c r="CP741" s="14">
        <f>SUM(CO741*0.1)</f>
        <v>69.757999999999996</v>
      </c>
      <c r="CQ741" s="14">
        <f ca="1">SUM(CR741*CS741)</f>
        <v>108.70621666666661</v>
      </c>
      <c r="CR741" s="17">
        <f>SUM((CO741+CP741)*0.00833333333333333)</f>
        <v>6.39448333333333</v>
      </c>
      <c r="CS741" s="23">
        <f ca="1">MONTH(TODAY())+13</f>
        <v>17</v>
      </c>
      <c r="CT741" s="14">
        <f ca="1">SUM(CO741,CP741,CQ741)</f>
        <v>876.04421666666656</v>
      </c>
      <c r="CU741" s="14">
        <f>SUM(EP741*0.0045)/2</f>
        <v>766.8</v>
      </c>
      <c r="CV741" s="14">
        <f>SUM(CU741*0.1)</f>
        <v>76.679999999999993</v>
      </c>
      <c r="CW741" s="14">
        <f ca="1">SUM(CX741*CY741)</f>
        <v>77.31899999999996</v>
      </c>
      <c r="CX741" s="17">
        <f>SUM((CU741+CV741)*0.00833333333333333)</f>
        <v>7.0289999999999964</v>
      </c>
      <c r="CY741" s="23">
        <f ca="1">MONTH(TODAY())+7</f>
        <v>11</v>
      </c>
      <c r="CZ741" s="14">
        <f ca="1">SUM(CU741,CV741,CW741)</f>
        <v>920.79899999999986</v>
      </c>
      <c r="DA741" s="14">
        <f>SUM(EP741*0.0045)/2</f>
        <v>766.8</v>
      </c>
      <c r="DB741" s="14">
        <f>SUM(DA741*0.1)</f>
        <v>76.679999999999993</v>
      </c>
      <c r="DC741" s="14">
        <f ca="1">SUM(DD741*DE741)</f>
        <v>35.144999999999982</v>
      </c>
      <c r="DD741" s="17">
        <f>SUM((DA741+DB741)*0.00833333333333333)</f>
        <v>7.0289999999999964</v>
      </c>
      <c r="DE741" s="23">
        <f ca="1">MONTH(TODAY())+1</f>
        <v>5</v>
      </c>
      <c r="DF741" s="14">
        <f ca="1">SUM(DA741,DB741,DC741)</f>
        <v>878.62499999999989</v>
      </c>
      <c r="DG741" s="14">
        <f>SUM(EP741*0.0045)/2</f>
        <v>766.8</v>
      </c>
      <c r="DH741" s="14">
        <f>SUM(DG741*0.1)</f>
        <v>76.679999999999993</v>
      </c>
      <c r="DI741" s="14">
        <f ca="1">SUM(DJ741*DK741)</f>
        <v>-21.086999999999989</v>
      </c>
      <c r="DJ741" s="17">
        <f>SUM((DG741+DH741)*0.00833333333333333)</f>
        <v>7.0289999999999964</v>
      </c>
      <c r="DK741" s="23">
        <f ca="1">MONTH(TODAY())-7</f>
        <v>-3</v>
      </c>
      <c r="DL741" s="14">
        <f ca="1">SUM(DG741,DH741,DI741)</f>
        <v>822.39299999999992</v>
      </c>
      <c r="DM741" s="14">
        <f>SUM(EP741*0.0045)/2</f>
        <v>766.8</v>
      </c>
      <c r="DN741" s="14">
        <f>0</f>
        <v>0</v>
      </c>
      <c r="DO741" s="14">
        <f>SUM(DP741*DQ741)</f>
        <v>0</v>
      </c>
      <c r="DP741" s="17">
        <f>SUM((DM741+DN741)*0.00833333333333333)</f>
        <v>6.389999999999997</v>
      </c>
      <c r="DQ741" s="23">
        <v>0</v>
      </c>
      <c r="DR741" s="14">
        <f>SUM(DM741,DN741,DO741)</f>
        <v>766.8</v>
      </c>
      <c r="DS741" s="14">
        <f>SUM(BQ741, BW741, CC741, CI741,CO741,CU741,DA741,DG741,DM741)</f>
        <v>7934.74</v>
      </c>
      <c r="DT741" s="14">
        <f>SUM(BR741,BX741,CD741, CJ741,CP741,CV741,DB741,DH741,DN741)</f>
        <v>716.79399999999976</v>
      </c>
      <c r="DU741" s="14">
        <f ca="1">SUM(BS741,BY741,CE741, CK741,CQ741,CW741,DC741,DI741,DO741)</f>
        <v>1560.962516666666</v>
      </c>
      <c r="DV741" s="25">
        <f ca="1">SUM(DS741:DU741)</f>
        <v>10212.496516666666</v>
      </c>
      <c r="DW741" s="47">
        <f ca="1">SUM(DV741/EM741)</f>
        <v>3.8063721642440054E-2</v>
      </c>
      <c r="DX741" s="14">
        <f>39+58.5+156</f>
        <v>253.5</v>
      </c>
      <c r="DY741" s="32">
        <f>COUNTIF(AO741, "*")+COUNTIF(AJ741, "*")+COUNTIF(AA741, "*")+COUNTIF(FA741, "*")+COUNTIF(FG741, "*")+COUNTIF(FM741, "*")+COUNTIF(FQ741, "*")+COUNTIF(FX741, "*")+COUNTIF(AT741, "*")+COUNTIF(GG741, "*")+COUNTIF(GR741, "*")+COUNTIF(HC741, "*")+COUNTIF(HK741, "*")+COUNTIF(HS741, "*")+COUNTIF(IA741, "*")</f>
        <v>2</v>
      </c>
      <c r="DZ741" s="14">
        <f>DY741*0.5</f>
        <v>1</v>
      </c>
      <c r="EA741" s="14"/>
      <c r="EB741" s="14"/>
      <c r="EC741" s="14"/>
      <c r="ED741" s="14"/>
      <c r="EE741" s="14"/>
      <c r="EF741" s="25"/>
      <c r="EG741" s="14">
        <f>SUM(EA741:EF741)</f>
        <v>0</v>
      </c>
      <c r="EH741" s="14">
        <f ca="1">SUM(DV741,DX741,EG741,DZ741,GD741)</f>
        <v>10466.996516666666</v>
      </c>
      <c r="EI741" s="24" t="s">
        <v>2769</v>
      </c>
      <c r="EJ741" s="23">
        <v>2.13</v>
      </c>
      <c r="EK741" s="14">
        <v>89500</v>
      </c>
      <c r="EL741" s="14">
        <v>178800</v>
      </c>
      <c r="EM741" s="14">
        <f>SUM(EK741+EL741)</f>
        <v>268300</v>
      </c>
      <c r="EN741" s="14">
        <v>102200</v>
      </c>
      <c r="EO741" s="14">
        <v>238600</v>
      </c>
      <c r="EP741" s="14">
        <f>SUM(EN741+EO741)</f>
        <v>340800</v>
      </c>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7"/>
      <c r="FV741" s="28"/>
      <c r="FW741" s="28"/>
      <c r="FX741" s="28"/>
      <c r="FY741" s="28"/>
      <c r="FZ741" s="28"/>
      <c r="GA741" s="28"/>
      <c r="GB741" s="27"/>
      <c r="GC741" s="28"/>
      <c r="GD741" s="28"/>
      <c r="GE741" s="28"/>
      <c r="GF741" s="28"/>
      <c r="GG741" s="28"/>
      <c r="GH741" s="28"/>
      <c r="GI741" s="28"/>
      <c r="GJ741" s="28"/>
      <c r="GK741" s="27"/>
      <c r="GL741" s="28"/>
      <c r="GM741" s="28"/>
      <c r="GN741" s="28"/>
      <c r="GO741" s="28"/>
      <c r="GP741" s="28"/>
      <c r="GQ741" s="28"/>
      <c r="GR741" s="28"/>
      <c r="GS741" s="28"/>
      <c r="GT741" s="28"/>
      <c r="GU741" s="28"/>
      <c r="GV741" s="27"/>
      <c r="GW741" s="28"/>
      <c r="GX741" s="28"/>
      <c r="GY741" s="28"/>
      <c r="GZ741" s="28"/>
      <c r="HA741" s="28"/>
      <c r="HB741" s="28"/>
      <c r="HC741" s="28"/>
      <c r="HD741" s="28"/>
      <c r="HE741" s="28"/>
      <c r="HF741" s="28"/>
      <c r="HG741" s="27"/>
      <c r="HH741" s="28"/>
      <c r="HI741" s="28"/>
      <c r="HJ741" s="28"/>
      <c r="HK741" s="28"/>
      <c r="HL741" s="28"/>
      <c r="HM741" s="28"/>
      <c r="HN741" s="28"/>
      <c r="HO741" s="27"/>
      <c r="HP741" s="28"/>
      <c r="HQ741" s="28"/>
      <c r="HR741" s="28"/>
      <c r="HS741" s="28"/>
      <c r="HT741" s="28"/>
      <c r="HU741" s="28"/>
      <c r="HV741" s="28"/>
      <c r="HW741" s="27"/>
      <c r="HX741" s="28"/>
      <c r="HY741" s="28"/>
      <c r="HZ741" s="28"/>
      <c r="IA741" s="28"/>
      <c r="IB741" s="28"/>
      <c r="IC741" s="28"/>
      <c r="ID741" s="28"/>
      <c r="IE741" s="27"/>
      <c r="IF741" s="14"/>
      <c r="IG741" s="14"/>
      <c r="IH741" s="28"/>
      <c r="II741" s="28"/>
      <c r="IJ741" s="28"/>
      <c r="IK741" s="28"/>
      <c r="IL741" s="14"/>
      <c r="IM741" s="14"/>
      <c r="IN741" s="14">
        <f ca="1">SUM(IF741-EH741-GD741-IL741)</f>
        <v>-10466.996516666666</v>
      </c>
      <c r="IO741" s="14"/>
      <c r="IP741" s="14"/>
      <c r="IQ741" s="27"/>
      <c r="IR741" s="27"/>
      <c r="IS741" s="27"/>
      <c r="IT741" s="27"/>
      <c r="IU741" s="27"/>
      <c r="IV741" t="s">
        <v>5913</v>
      </c>
      <c r="JD741" s="18"/>
      <c r="JE741" s="18"/>
    </row>
    <row r="742" spans="1:265" ht="15" customHeight="1">
      <c r="A742" s="2">
        <v>102023012</v>
      </c>
      <c r="B742" t="s">
        <v>4034</v>
      </c>
      <c r="C742" s="10"/>
      <c r="D742" s="10"/>
      <c r="E742" s="10"/>
      <c r="F742" s="160"/>
      <c r="G742" s="147">
        <v>230001919</v>
      </c>
      <c r="H742" s="10"/>
      <c r="I742" s="10"/>
      <c r="J742" s="10" t="s">
        <v>554</v>
      </c>
      <c r="K742" s="10" t="s">
        <v>306</v>
      </c>
      <c r="L742" s="10" t="s">
        <v>2638</v>
      </c>
      <c r="M742" s="10" t="s">
        <v>426</v>
      </c>
      <c r="N742" s="10"/>
      <c r="O742" s="147"/>
      <c r="P742" s="10" t="s">
        <v>306</v>
      </c>
      <c r="Q742" s="10" t="s">
        <v>1335</v>
      </c>
      <c r="R742" s="10" t="s">
        <v>428</v>
      </c>
      <c r="S742" s="10"/>
      <c r="T742" s="10"/>
      <c r="U742" s="10"/>
      <c r="V742" s="10"/>
      <c r="W742" s="10"/>
      <c r="X742" s="10"/>
      <c r="Y742" s="10"/>
      <c r="Z742" s="10"/>
      <c r="AA742" s="10"/>
      <c r="AB742" s="10"/>
      <c r="AC742" s="10"/>
      <c r="AD742" s="10" t="s">
        <v>4614</v>
      </c>
      <c r="AE742" s="10" t="s">
        <v>311</v>
      </c>
      <c r="AF742" s="10" t="s">
        <v>306</v>
      </c>
      <c r="AG742" s="10" t="s">
        <v>4615</v>
      </c>
      <c r="AH742" s="10" t="s">
        <v>3134</v>
      </c>
      <c r="AI742" s="10" t="s">
        <v>300</v>
      </c>
      <c r="AJ742" t="s">
        <v>4089</v>
      </c>
      <c r="AK742" s="1" t="s">
        <v>258</v>
      </c>
      <c r="AL742" t="s">
        <v>259</v>
      </c>
      <c r="AM742" t="s">
        <v>260</v>
      </c>
      <c r="AN742"/>
      <c r="AO742" t="s">
        <v>3134</v>
      </c>
      <c r="AP742" s="1" t="s">
        <v>258</v>
      </c>
      <c r="AQ742" t="s">
        <v>300</v>
      </c>
      <c r="AR742" t="s">
        <v>301</v>
      </c>
      <c r="AX742" s="1"/>
      <c r="AY742" s="1"/>
      <c r="AZ742" s="1"/>
      <c r="BA742" s="1"/>
      <c r="BB742" s="1"/>
      <c r="BC742" s="70"/>
      <c r="BD742" s="115"/>
      <c r="BE742" s="144">
        <v>45008</v>
      </c>
      <c r="BF742" s="70"/>
      <c r="BG742" s="2"/>
      <c r="BH742" s="70"/>
      <c r="BI742" s="70"/>
      <c r="BJ742" s="70"/>
      <c r="BK742" s="70"/>
      <c r="BL742" s="20">
        <f ca="1">SUM(EH742)+220</f>
        <v>9840.6993249999978</v>
      </c>
      <c r="BM742" s="22">
        <f ca="1">PMT(10%/12,12,BL742,0,0)</f>
        <v>-865.1538121211313</v>
      </c>
      <c r="BN742" s="22">
        <f ca="1">SUM(BM742*-1)</f>
        <v>865.1538121211313</v>
      </c>
      <c r="BO742" s="14">
        <f>SUM(EP742*0.0052)/12</f>
        <v>148.15666666666667</v>
      </c>
      <c r="BP742" s="22">
        <f ca="1">SUM(BN742+BO742)</f>
        <v>1013.3104787877979</v>
      </c>
      <c r="BQ742" s="14"/>
      <c r="BR742" s="14">
        <f>SUM(BQ742*0.1)</f>
        <v>0</v>
      </c>
      <c r="BS742" s="14">
        <f ca="1">SUM(BT742*BU742)</f>
        <v>0</v>
      </c>
      <c r="BT742" s="17">
        <f>SUM((BQ742+BR742)*0.00833333333333333)</f>
        <v>0</v>
      </c>
      <c r="BU742" s="23">
        <f ca="1">MONTH(TODAY())+49</f>
        <v>53</v>
      </c>
      <c r="BV742" s="14">
        <f ca="1">SUM(BQ742,BR742,BS742)</f>
        <v>0</v>
      </c>
      <c r="BW742" s="14">
        <f>SUM(EM742*0.0052)</f>
        <v>1335.36</v>
      </c>
      <c r="BX742" s="14">
        <f>SUM(BW742*0.1)</f>
        <v>133.536</v>
      </c>
      <c r="BY742" s="14">
        <f ca="1">SUM(BZ742*CA742)</f>
        <v>501.87279999999981</v>
      </c>
      <c r="BZ742" s="17">
        <f>SUM((BW742+BX742)*0.00833333333333333)</f>
        <v>12.240799999999995</v>
      </c>
      <c r="CA742" s="23">
        <f ca="1">MONTH(TODAY())+37</f>
        <v>41</v>
      </c>
      <c r="CB742" s="14">
        <f ca="1">SUM(BW742,BX742,BY742)</f>
        <v>1970.7687999999998</v>
      </c>
      <c r="CC742" s="14">
        <f>SUM(EM742*0.0052)</f>
        <v>1335.36</v>
      </c>
      <c r="CD742" s="14">
        <f>SUM(CC742*0.1)</f>
        <v>133.536</v>
      </c>
      <c r="CE742" s="14">
        <f ca="1">SUM(CF742*CG742)</f>
        <v>354.98319999999984</v>
      </c>
      <c r="CF742" s="17">
        <f>SUM((CC742+CD742)*0.00833333333333333)</f>
        <v>12.240799999999995</v>
      </c>
      <c r="CG742" s="23">
        <f ca="1">MONTH(TODAY())+25</f>
        <v>29</v>
      </c>
      <c r="CH742" s="14">
        <f ca="1">SUM(CC742,CD742,CE742)</f>
        <v>1823.8791999999999</v>
      </c>
      <c r="CI742" s="14">
        <f>SUM(EM742*0.0052)/2</f>
        <v>667.68</v>
      </c>
      <c r="CJ742" s="14">
        <f>SUM(CI742*0.1)</f>
        <v>66.768000000000001</v>
      </c>
      <c r="CK742" s="14">
        <f ca="1">SUM(CL742*CM742)</f>
        <v>128.52839999999995</v>
      </c>
      <c r="CL742" s="17">
        <f>SUM((CI742+CJ742)*0.00833333333333333)</f>
        <v>6.1203999999999974</v>
      </c>
      <c r="CM742" s="23">
        <f ca="1">MONTH(TODAY())+17</f>
        <v>21</v>
      </c>
      <c r="CN742" s="23">
        <f ca="1">SUM(CI742,CJ742,CK742)</f>
        <v>862.9763999999999</v>
      </c>
      <c r="CO742" s="14">
        <f>SUM(EM742*0.0052)/2</f>
        <v>667.68</v>
      </c>
      <c r="CP742" s="14">
        <f>SUM(CO742*0.1)</f>
        <v>66.768000000000001</v>
      </c>
      <c r="CQ742" s="14">
        <f ca="1">SUM(CR742*CS742)</f>
        <v>104.04679999999996</v>
      </c>
      <c r="CR742" s="17">
        <f>SUM((CO742+CP742)*0.00833333333333333)</f>
        <v>6.1203999999999974</v>
      </c>
      <c r="CS742" s="23">
        <f ca="1">MONTH(TODAY())+13</f>
        <v>17</v>
      </c>
      <c r="CT742" s="14">
        <f ca="1">SUM(CO742,CP742,CQ742)</f>
        <v>838.49479999999994</v>
      </c>
      <c r="CU742" s="14">
        <f>SUM(EP742*0.0045)/2</f>
        <v>769.27499999999998</v>
      </c>
      <c r="CV742" s="14">
        <f>SUM(CU742*0.1)</f>
        <v>76.927500000000009</v>
      </c>
      <c r="CW742" s="14">
        <f ca="1">SUM(CX742*CY742)</f>
        <v>77.56856249999997</v>
      </c>
      <c r="CX742" s="17">
        <f>SUM((CU742+CV742)*0.00833333333333333)</f>
        <v>7.0516874999999972</v>
      </c>
      <c r="CY742" s="23">
        <f ca="1">MONTH(TODAY())+7</f>
        <v>11</v>
      </c>
      <c r="CZ742" s="14">
        <f ca="1">SUM(CU742,CV742,CW742)</f>
        <v>923.77106249999997</v>
      </c>
      <c r="DA742" s="14">
        <f>SUM(EP742*0.0045)/2</f>
        <v>769.27499999999998</v>
      </c>
      <c r="DB742" s="14">
        <f>SUM(DA742*0.1)</f>
        <v>76.927500000000009</v>
      </c>
      <c r="DC742" s="14">
        <f ca="1">SUM(DD742*DE742)</f>
        <v>35.258437499999985</v>
      </c>
      <c r="DD742" s="17">
        <f>SUM((DA742+DB742)*0.00833333333333333)</f>
        <v>7.0516874999999972</v>
      </c>
      <c r="DE742" s="23">
        <f ca="1">MONTH(TODAY())+1</f>
        <v>5</v>
      </c>
      <c r="DF742" s="14">
        <f ca="1">SUM(DA742,DB742,DC742)</f>
        <v>881.4609375</v>
      </c>
      <c r="DG742" s="14">
        <f>SUM(EP742*0.0045)/2</f>
        <v>769.27499999999998</v>
      </c>
      <c r="DH742" s="14">
        <f>SUM(DG742*0.1)</f>
        <v>76.927500000000009</v>
      </c>
      <c r="DI742" s="14">
        <f ca="1">SUM(DJ742*DK742)</f>
        <v>-21.155062499999993</v>
      </c>
      <c r="DJ742" s="17">
        <f>SUM((DG742+DH742)*0.00833333333333333)</f>
        <v>7.0516874999999972</v>
      </c>
      <c r="DK742" s="23">
        <f ca="1">MONTH(TODAY())-7</f>
        <v>-3</v>
      </c>
      <c r="DL742" s="14">
        <f ca="1">SUM(DG742,DH742,DI742)</f>
        <v>825.0474375</v>
      </c>
      <c r="DM742" s="14">
        <f>SUM(EP742*0.0045)/2</f>
        <v>769.27499999999998</v>
      </c>
      <c r="DN742" s="14">
        <f>SUM(DM742*0.1)</f>
        <v>76.927500000000009</v>
      </c>
      <c r="DO742" s="14">
        <f ca="1">SUM(DP742*DQ742)</f>
        <v>-49.361812499999978</v>
      </c>
      <c r="DP742" s="17">
        <f>SUM((DM742+DN742)*0.00833333333333333)</f>
        <v>7.0516874999999972</v>
      </c>
      <c r="DQ742" s="23">
        <f ca="1">MONTH(TODAY())-11</f>
        <v>-7</v>
      </c>
      <c r="DR742" s="14">
        <f ca="1">SUM(DM742,DN742,DO742)</f>
        <v>796.84068750000006</v>
      </c>
      <c r="DS742" s="14">
        <f>SUM(BQ742, BW742, CC742, CI742,CO742,CU742,DA742,DG742,DM742)</f>
        <v>7083.1799999999985</v>
      </c>
      <c r="DT742" s="14">
        <f>SUM(BR742,BX742,CD742, CJ742,CP742,CV742,DB742,DH742,DN742)</f>
        <v>708.3180000000001</v>
      </c>
      <c r="DU742" s="14">
        <f ca="1">SUM(BS742,BY742,CE742, CK742,CQ742,CW742,DC742,DI742,DO742)</f>
        <v>1131.7413249999993</v>
      </c>
      <c r="DV742" s="25">
        <f ca="1">SUM(DS742:DU742)</f>
        <v>8923.2393249999986</v>
      </c>
      <c r="DW742" s="47">
        <f ca="1">SUM(DV742/EM742)</f>
        <v>3.4747816686137065E-2</v>
      </c>
      <c r="DX742" s="14">
        <f>20+200+60+160+60</f>
        <v>500</v>
      </c>
      <c r="DY742" s="32">
        <f>COUNTIF(AO742, "*")+COUNTIF(AJ742, "*")+COUNTIF(AA742, "*")+COUNTIF(FA742, "*")+COUNTIF(FG742, "*")+COUNTIF(FM742, "*")+COUNTIF(FQ742, "*")+COUNTIF(FX742, "*")+COUNTIF(AT742, "*")+COUNTIF(GG742, "*")+COUNTIF(GR742, "*")+COUNTIF(HC742, "*")+COUNTIF(HK742, "*")+COUNTIF(HS742, "*")+COUNTIF(IA742, "*")</f>
        <v>4</v>
      </c>
      <c r="DZ742" s="14">
        <f>DY742*0.6+DY742*7.45+7.45+7.81</f>
        <v>47.460000000000008</v>
      </c>
      <c r="EA742" s="4"/>
      <c r="EB742" s="4">
        <v>150</v>
      </c>
      <c r="EC742" s="4"/>
      <c r="ED742" s="4"/>
      <c r="EE742" s="4"/>
      <c r="EF742" s="4"/>
      <c r="EG742" s="14">
        <f>SUM(EA742:EF742)</f>
        <v>150</v>
      </c>
      <c r="EH742" s="14">
        <f ca="1">SUM(DV742,DX742,EG742,DZ742,GD742)</f>
        <v>9620.6993249999978</v>
      </c>
      <c r="EI742" s="24" t="s">
        <v>3974</v>
      </c>
      <c r="EJ742" s="7">
        <v>3.01</v>
      </c>
      <c r="EK742" s="4">
        <v>25100</v>
      </c>
      <c r="EL742" s="4">
        <v>231700</v>
      </c>
      <c r="EM742" s="14">
        <f>SUM(EK742+EL742)</f>
        <v>256800</v>
      </c>
      <c r="EN742" s="14">
        <v>29000</v>
      </c>
      <c r="EO742" s="14">
        <v>312900</v>
      </c>
      <c r="EP742" s="14">
        <f>SUM(EN742+EO742)</f>
        <v>341900</v>
      </c>
      <c r="EQ742" s="141" t="s">
        <v>4556</v>
      </c>
      <c r="ER742" s="141" t="s">
        <v>4557</v>
      </c>
      <c r="ES742" s="141" t="s">
        <v>4558</v>
      </c>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t="s">
        <v>4560</v>
      </c>
      <c r="FQ742" s="10" t="s">
        <v>1900</v>
      </c>
      <c r="FR742" s="10"/>
      <c r="FS742" s="10" t="s">
        <v>749</v>
      </c>
      <c r="FT742" s="10" t="s">
        <v>750</v>
      </c>
      <c r="FU742" s="9">
        <v>42570</v>
      </c>
      <c r="FV742" s="10" t="s">
        <v>4559</v>
      </c>
      <c r="FW742" s="10" t="s">
        <v>4561</v>
      </c>
      <c r="FX742" s="10" t="s">
        <v>2674</v>
      </c>
      <c r="FY742" s="10"/>
      <c r="FZ742" s="10" t="s">
        <v>259</v>
      </c>
      <c r="GA742" s="10" t="s">
        <v>260</v>
      </c>
      <c r="GB742" s="9">
        <v>42570</v>
      </c>
      <c r="GC742" s="10" t="s">
        <v>4559</v>
      </c>
      <c r="GD742" s="10"/>
      <c r="GE742" s="10"/>
      <c r="GF742" s="10"/>
      <c r="GG742" s="10"/>
      <c r="GH742" s="10"/>
      <c r="GI742" s="10"/>
      <c r="GJ742" s="10"/>
      <c r="GK742" s="9"/>
      <c r="GL742" s="10"/>
      <c r="GM742" s="10"/>
      <c r="GN742" s="10"/>
      <c r="GO742" s="10"/>
      <c r="GP742" s="10"/>
      <c r="GQ742" s="10"/>
      <c r="GR742" s="10"/>
      <c r="GS742" s="10"/>
      <c r="GT742" s="10"/>
      <c r="GU742" s="10"/>
      <c r="GV742" s="9"/>
      <c r="GW742" s="10"/>
      <c r="GX742" s="10"/>
      <c r="GY742" s="10"/>
      <c r="GZ742" s="10"/>
      <c r="HA742" s="10"/>
      <c r="HB742" s="10"/>
      <c r="HC742" s="10"/>
      <c r="HD742" s="10"/>
      <c r="HE742" s="10"/>
      <c r="HF742" s="10"/>
      <c r="HG742" s="9"/>
      <c r="HH742" s="10"/>
      <c r="HI742" s="10"/>
      <c r="HJ742" s="10"/>
      <c r="HK742" s="10"/>
      <c r="HL742" s="10"/>
      <c r="HM742" s="10"/>
      <c r="HN742" s="10"/>
      <c r="HO742" s="9"/>
      <c r="HP742" s="10"/>
      <c r="HQ742" s="10"/>
      <c r="HR742" s="10"/>
      <c r="HS742" s="10"/>
      <c r="HT742" s="10"/>
      <c r="HU742" s="10"/>
      <c r="HV742" s="10"/>
      <c r="HW742" s="9"/>
      <c r="HX742" s="10"/>
      <c r="HY742" s="10"/>
      <c r="HZ742" s="10"/>
      <c r="IA742" s="10"/>
      <c r="IB742" s="10"/>
      <c r="IC742" s="10"/>
      <c r="ID742" s="10"/>
      <c r="IE742" s="9"/>
      <c r="IF742" s="4"/>
      <c r="IG742" s="4"/>
      <c r="IH742" s="10"/>
      <c r="II742" s="10"/>
      <c r="IJ742" s="10"/>
      <c r="IK742" s="10"/>
      <c r="IL742" s="4"/>
      <c r="IM742" s="4"/>
      <c r="IN742" s="14">
        <f ca="1">SUM(IF742-EH742-GD742-IL742)</f>
        <v>-9620.6993249999978</v>
      </c>
      <c r="IO742" s="14"/>
      <c r="IP742" s="14"/>
      <c r="IQ742" s="9"/>
      <c r="IR742" s="9"/>
      <c r="IS742" s="9"/>
      <c r="IT742" s="9"/>
      <c r="IU742" s="9"/>
      <c r="IV742" s="27" t="s">
        <v>5913</v>
      </c>
    </row>
    <row r="743" spans="1:265" ht="15" customHeight="1">
      <c r="A743" s="2">
        <v>102023010</v>
      </c>
      <c r="B743" t="s">
        <v>4033</v>
      </c>
      <c r="G743" s="3"/>
      <c r="K743" t="s">
        <v>4555</v>
      </c>
      <c r="O743" s="3"/>
      <c r="AD743" t="s">
        <v>4614</v>
      </c>
      <c r="AE743" t="s">
        <v>311</v>
      </c>
      <c r="AF743" t="s">
        <v>306</v>
      </c>
      <c r="AG743" t="s">
        <v>4615</v>
      </c>
      <c r="AH743" t="s">
        <v>3134</v>
      </c>
      <c r="AI743" t="s">
        <v>300</v>
      </c>
      <c r="AJ743" t="s">
        <v>4087</v>
      </c>
      <c r="AK743" t="s">
        <v>258</v>
      </c>
      <c r="AL743" t="s">
        <v>259</v>
      </c>
      <c r="AM743" t="s">
        <v>260</v>
      </c>
      <c r="AN743"/>
      <c r="AO743" t="s">
        <v>3134</v>
      </c>
      <c r="AP743" s="3" t="s">
        <v>258</v>
      </c>
      <c r="AQ743" t="s">
        <v>300</v>
      </c>
      <c r="AR743" t="s">
        <v>301</v>
      </c>
      <c r="AY743" s="1"/>
      <c r="AZ743" s="1"/>
      <c r="BA743" s="1"/>
      <c r="BB743" s="1"/>
      <c r="BC743" s="2"/>
      <c r="BD743" s="116"/>
      <c r="BE743" s="115">
        <v>45008</v>
      </c>
      <c r="BF743" s="2"/>
      <c r="BG743" s="2"/>
      <c r="BH743" s="2"/>
      <c r="BI743" s="2"/>
      <c r="BJ743" s="2"/>
      <c r="BK743" s="2"/>
      <c r="BL743" s="20">
        <f ca="1">SUM(EB743)+220</f>
        <v>6273.0955999999996</v>
      </c>
      <c r="BM743" s="22">
        <f ca="1">PMT(10%/12,12,BL743,0,0)</f>
        <v>-551.50476535266932</v>
      </c>
      <c r="BN743" s="22">
        <f ca="1">SUM(BM743*-1)</f>
        <v>551.50476535266932</v>
      </c>
      <c r="BO743" s="14">
        <f>SUM(EJ743*0.0052)/12</f>
        <v>109.93666666666667</v>
      </c>
      <c r="BP743" s="22">
        <f ca="1">SUM(BN743+BO743)</f>
        <v>661.44143201933593</v>
      </c>
      <c r="BQ743" s="14"/>
      <c r="BR743" s="14">
        <f>SUM(BQ743*0.1)</f>
        <v>0</v>
      </c>
      <c r="BS743" s="14">
        <f ca="1">SUM(BT743*BU743)</f>
        <v>0</v>
      </c>
      <c r="BT743" s="17">
        <f>SUM((BQ743+BR743)*0.00833333333333333)</f>
        <v>0</v>
      </c>
      <c r="BU743" s="23">
        <f ca="1">MONTH(TODAY())+61</f>
        <v>65</v>
      </c>
      <c r="BV743" s="14">
        <f ca="1">SUM(BQ743,BR743,BS743)</f>
        <v>0</v>
      </c>
      <c r="BW743" s="14"/>
      <c r="BX743" s="14">
        <f>SUM(BW743*0.1)</f>
        <v>0</v>
      </c>
      <c r="BY743" s="14">
        <f ca="1">SUM(BZ743*CA743)</f>
        <v>0</v>
      </c>
      <c r="BZ743" s="17">
        <f>SUM((BW743+BX743)*0.00833333333333333)</f>
        <v>0</v>
      </c>
      <c r="CA743" s="23">
        <f ca="1">MONTH(TODAY())+49</f>
        <v>53</v>
      </c>
      <c r="CB743" s="14">
        <f ca="1">SUM(BW743,BX743,BY743)</f>
        <v>0</v>
      </c>
      <c r="CC743" s="14">
        <f>SUM(EG743*0.0052)</f>
        <v>979.68</v>
      </c>
      <c r="CD743" s="14">
        <f>SUM(CC743*0.1)</f>
        <v>97.968000000000004</v>
      </c>
      <c r="CE743" s="14">
        <f ca="1">SUM(CF743*CG743)</f>
        <v>368.19639999999981</v>
      </c>
      <c r="CF743" s="17">
        <f>SUM((CC743+CD743)*0.00833333333333333)</f>
        <v>8.9803999999999959</v>
      </c>
      <c r="CG743" s="23">
        <f ca="1">MONTH(TODAY())+37</f>
        <v>41</v>
      </c>
      <c r="CH743" s="14">
        <f ca="1">SUM(CC743,CD743,CE743)</f>
        <v>1445.8443999999997</v>
      </c>
      <c r="CI743" s="14">
        <f>SUM(EG743*0.0052)</f>
        <v>979.68</v>
      </c>
      <c r="CJ743" s="14">
        <f>SUM(CI743*0.1)</f>
        <v>97.968000000000004</v>
      </c>
      <c r="CK743" s="14">
        <f ca="1">SUM(CL743*CM743)</f>
        <v>260.43159999999989</v>
      </c>
      <c r="CL743" s="17">
        <f>SUM((CI743+CJ743)*0.00833333333333333)</f>
        <v>8.9803999999999959</v>
      </c>
      <c r="CM743" s="23">
        <f ca="1">MONTH(TODAY())+25</f>
        <v>29</v>
      </c>
      <c r="CN743" s="14">
        <f ca="1">SUM(CI743,CJ743,CK743)</f>
        <v>1338.0795999999998</v>
      </c>
      <c r="CO743" s="14">
        <f>SUM(EG743*0.0052)/2</f>
        <v>489.84</v>
      </c>
      <c r="CP743" s="14">
        <f>SUM(CO743*0.1)</f>
        <v>48.984000000000002</v>
      </c>
      <c r="CQ743" s="14">
        <f ca="1">SUM(CR743*CS743)</f>
        <v>94.294199999999961</v>
      </c>
      <c r="CR743" s="17">
        <f>SUM((CO743+CP743)*0.00833333333333333)</f>
        <v>4.490199999999998</v>
      </c>
      <c r="CS743" s="23">
        <f ca="1">MONTH(TODAY())+17</f>
        <v>21</v>
      </c>
      <c r="CT743" s="23">
        <f ca="1">SUM(CO743,CP743,CQ743)</f>
        <v>633.11819999999989</v>
      </c>
      <c r="CU743" s="14">
        <f>SUM(EG743*0.0052)/2</f>
        <v>489.84</v>
      </c>
      <c r="CV743" s="14">
        <f>SUM(CU743*0.1)</f>
        <v>48.984000000000002</v>
      </c>
      <c r="CW743" s="14">
        <f ca="1">SUM(CX743*CY743)</f>
        <v>76.333399999999969</v>
      </c>
      <c r="CX743" s="17">
        <f>SUM((CU743+CV743)*0.00833333333333333)</f>
        <v>4.490199999999998</v>
      </c>
      <c r="CY743" s="23">
        <f ca="1">MONTH(TODAY())+13</f>
        <v>17</v>
      </c>
      <c r="CZ743" s="23">
        <f ca="1">SUM(CU743,CV743,CW743)</f>
        <v>615.15739999999994</v>
      </c>
      <c r="DA743" s="14">
        <f>SUM(EJ743*0.0045)/2</f>
        <v>570.82499999999993</v>
      </c>
      <c r="DB743" s="14">
        <f>SUM(DA743*0.1)</f>
        <v>57.082499999999996</v>
      </c>
      <c r="DC743" s="14">
        <f ca="1">SUM(DD743*DE743)</f>
        <v>57.55818749999996</v>
      </c>
      <c r="DD743" s="17">
        <f>SUM((DA743+DB743)*0.00833333333333333)</f>
        <v>5.2325624999999967</v>
      </c>
      <c r="DE743" s="23">
        <f ca="1">MONTH(TODAY())+7</f>
        <v>11</v>
      </c>
      <c r="DF743" s="23">
        <f ca="1">SUM(DA743,DB743,DC743)</f>
        <v>685.46568749999983</v>
      </c>
      <c r="DG743" s="14">
        <f>SUM(EJ743*0.0045)/2</f>
        <v>570.82499999999993</v>
      </c>
      <c r="DH743" s="14">
        <f>SUM(DG743*0.1)</f>
        <v>57.082499999999996</v>
      </c>
      <c r="DI743" s="14">
        <f ca="1">SUM(DJ743*DK743)</f>
        <v>26.162812499999983</v>
      </c>
      <c r="DJ743" s="17">
        <f>SUM((DG743+DH743)*0.00833333333333333)</f>
        <v>5.2325624999999967</v>
      </c>
      <c r="DK743" s="23">
        <f ca="1">MONTH(TODAY())+1</f>
        <v>5</v>
      </c>
      <c r="DL743" s="14">
        <f ca="1">SUM(DG743,DH743,DI743)</f>
        <v>654.07031249999989</v>
      </c>
      <c r="DM743" s="14">
        <f>SUM( BQ743, BW743, CC743, CI743, CO743,CU743,DA743,DG743)</f>
        <v>4080.6899999999996</v>
      </c>
      <c r="DN743" s="14">
        <f>SUM(BR743,BX743,CD743,CJ743, CP743,CV743,DB743,DH743)</f>
        <v>408.06899999999996</v>
      </c>
      <c r="DO743" s="14">
        <f ca="1">SUM(BS743,BY743,CE743,CK743, CQ743,CW743,DC743,DI743)</f>
        <v>882.97659999999951</v>
      </c>
      <c r="DP743" s="25">
        <f ca="1">SUM(DM743:DO743)</f>
        <v>5371.7356</v>
      </c>
      <c r="DQ743" s="47">
        <f ca="1">SUM(DP743/EG743)</f>
        <v>2.8512397027600851E-2</v>
      </c>
      <c r="DR743" s="14">
        <f>20+200+60+160+60</f>
        <v>500</v>
      </c>
      <c r="DS743" s="32">
        <f>COUNTIF(DX743, "*")+COUNTIF(AO743, "*")+COUNTIF(AJ743, "*")+COUNTIF(AA743, "*")+COUNTIF(EU743, "*")+COUNTIF(FA743, "*")+COUNTIF(FG743, "*")+COUNTIF(FK743, "*")+COUNTIF(FR743, "*")+COUNTIF(AT743, "*")+COUNTIF(GA743, "*")+COUNTIF(GL743, "*")+COUNTIF(GW743, "*")+COUNTIF(HE743, "*")+COUNTIF(HM743, "*")+COUNTIF(HU743, "*")</f>
        <v>2</v>
      </c>
      <c r="DT743" s="14">
        <f>DS743*0.6+DS743*7.45+7.45+7.81</f>
        <v>31.36</v>
      </c>
      <c r="DU743" s="4">
        <v>150</v>
      </c>
      <c r="DV743" s="4"/>
      <c r="DW743" s="4"/>
      <c r="DX743" s="4"/>
      <c r="DZ743" s="4"/>
      <c r="EA743" s="14">
        <f>SUM(DV743:DZ743)</f>
        <v>0</v>
      </c>
      <c r="EB743" s="14">
        <f ca="1">SUM(DP743,DR743,EA743, DU743, DT743,FX743)</f>
        <v>6053.0955999999996</v>
      </c>
      <c r="EC743" s="24" t="s">
        <v>3974</v>
      </c>
      <c r="ED743" s="7">
        <v>3</v>
      </c>
      <c r="EE743" s="4">
        <v>23800</v>
      </c>
      <c r="EF743" s="4">
        <v>164600</v>
      </c>
      <c r="EG743" s="14">
        <f>SUM(EE743+EF743)</f>
        <v>188400</v>
      </c>
      <c r="EH743" s="14">
        <v>29000</v>
      </c>
      <c r="EI743" s="14">
        <v>224700</v>
      </c>
      <c r="EJ743" s="14">
        <f>SUM(EH743+EI743)</f>
        <v>253700</v>
      </c>
      <c r="EK743" s="43" t="s">
        <v>4567</v>
      </c>
      <c r="EL743" s="43" t="s">
        <v>4925</v>
      </c>
      <c r="EM743" s="43" t="s">
        <v>4926</v>
      </c>
      <c r="EN743" t="s">
        <v>4927</v>
      </c>
      <c r="FX743" s="4"/>
      <c r="IA743" s="9"/>
      <c r="IL743" s="14">
        <f ca="1">SUM(IB743-EB743-FX743-IJ743)</f>
        <v>-6053.0955999999996</v>
      </c>
      <c r="IM743" s="14"/>
      <c r="IN743" s="14"/>
      <c r="IO743" s="9"/>
      <c r="IP743" s="9"/>
      <c r="IQ743" s="9"/>
      <c r="IR743" s="9"/>
      <c r="IS743" s="9"/>
      <c r="JD743" s="18"/>
      <c r="JE743" s="18"/>
    </row>
    <row r="744" spans="1:265" ht="15" customHeight="1">
      <c r="A744" s="2">
        <v>102018053</v>
      </c>
      <c r="B744" t="s">
        <v>423</v>
      </c>
      <c r="D744" s="1"/>
      <c r="E744" s="3"/>
      <c r="F744" s="3"/>
      <c r="G744" s="3">
        <v>220001461</v>
      </c>
      <c r="J744" t="s">
        <v>434</v>
      </c>
      <c r="K744" t="s">
        <v>424</v>
      </c>
      <c r="L744" t="s">
        <v>425</v>
      </c>
      <c r="M744" t="s">
        <v>426</v>
      </c>
      <c r="O744" s="3"/>
      <c r="P744" t="s">
        <v>424</v>
      </c>
      <c r="Q744" t="s">
        <v>427</v>
      </c>
      <c r="R744" t="s">
        <v>428</v>
      </c>
      <c r="U744" t="s">
        <v>429</v>
      </c>
      <c r="V744" t="s">
        <v>1087</v>
      </c>
      <c r="W744" t="s">
        <v>763</v>
      </c>
      <c r="AD744" t="s">
        <v>3370</v>
      </c>
      <c r="AE744" t="s">
        <v>253</v>
      </c>
      <c r="AF744" t="s">
        <v>429</v>
      </c>
      <c r="AG744" s="43" t="s">
        <v>430</v>
      </c>
      <c r="AH744" t="s">
        <v>431</v>
      </c>
      <c r="AI744" t="s">
        <v>259</v>
      </c>
      <c r="AM744"/>
      <c r="AN744"/>
      <c r="AO744" t="s">
        <v>431</v>
      </c>
      <c r="AP744" s="3" t="s">
        <v>258</v>
      </c>
      <c r="AQ744" t="s">
        <v>259</v>
      </c>
      <c r="AR744" t="s">
        <v>260</v>
      </c>
      <c r="AX744" s="1"/>
      <c r="AY744" s="1"/>
      <c r="AZ744" s="1"/>
      <c r="BA744" s="1"/>
      <c r="BB744" s="1"/>
      <c r="BC744" s="2"/>
      <c r="BD744" s="116"/>
      <c r="BE744" s="115"/>
      <c r="BF744" s="2"/>
      <c r="BG744" s="2"/>
      <c r="BH744" s="2"/>
      <c r="BI744" s="2"/>
      <c r="BJ744" s="2"/>
      <c r="BK744" s="2"/>
      <c r="BL744" s="20">
        <f ca="1">SUM(EB744)+220</f>
        <v>1169.7537000000002</v>
      </c>
      <c r="BM744" s="22">
        <f ca="1">PMT(10%/12,12,BL744,0,0)</f>
        <v>-102.83993437608649</v>
      </c>
      <c r="BN744" s="22">
        <f ca="1">SUM(BM744*-1)</f>
        <v>102.83993437608649</v>
      </c>
      <c r="BO744" s="14">
        <f>SUM(EJ744*0.0052)/12</f>
        <v>65.433333333333323</v>
      </c>
      <c r="BP744" s="22">
        <f ca="1">SUM(BN744+BO744)</f>
        <v>168.27326770941983</v>
      </c>
      <c r="BQ744" s="14"/>
      <c r="BR744" s="14">
        <f>SUM(BQ744*0.1)</f>
        <v>0</v>
      </c>
      <c r="BS744" s="14">
        <f ca="1">SUM(BT744*BU744)</f>
        <v>0</v>
      </c>
      <c r="BT744" s="17">
        <f>SUM((BQ744+BR744)*0.00833333333333333)</f>
        <v>0</v>
      </c>
      <c r="BU744" s="23">
        <f ca="1">MONTH(TODAY())+49</f>
        <v>53</v>
      </c>
      <c r="BV744" s="14">
        <f ca="1">SUM(BQ744,BR744,BS744)</f>
        <v>0</v>
      </c>
      <c r="BW744" s="14"/>
      <c r="BX744" s="14">
        <f>SUM(BW744*0.1)</f>
        <v>0</v>
      </c>
      <c r="BY744" s="14">
        <f ca="1">SUM(BZ744*CA744)</f>
        <v>0</v>
      </c>
      <c r="BZ744" s="17">
        <f>SUM((BW744+BX744)*0.00833333333333333)</f>
        <v>0</v>
      </c>
      <c r="CA744" s="23">
        <f ca="1">MONTH(TODAY())+37</f>
        <v>41</v>
      </c>
      <c r="CB744" s="14">
        <f ca="1">SUM(BW744,BX744,BY744)</f>
        <v>0</v>
      </c>
      <c r="CC744" s="14">
        <v>0</v>
      </c>
      <c r="CD744" s="14">
        <f>SUM(CC744*0.1)</f>
        <v>0</v>
      </c>
      <c r="CE744" s="14">
        <f ca="1">SUM(CF744*CG744)</f>
        <v>0</v>
      </c>
      <c r="CF744" s="17">
        <f>SUM((CC744+CD744)*0.00833333333333333)</f>
        <v>0</v>
      </c>
      <c r="CG744" s="23">
        <f ca="1">MONTH(TODAY())+25</f>
        <v>29</v>
      </c>
      <c r="CH744" s="14">
        <f ca="1">SUM(CC744,CD744,CE744)</f>
        <v>0</v>
      </c>
      <c r="CI744" s="14">
        <v>0</v>
      </c>
      <c r="CJ744" s="14">
        <f>SUM(CI744*0.1)</f>
        <v>0</v>
      </c>
      <c r="CK744" s="14">
        <f ca="1">SUM(CL744*CM744)</f>
        <v>0</v>
      </c>
      <c r="CL744" s="17">
        <f>SUM((CI744+CJ744)*0.00833333333333333)</f>
        <v>0</v>
      </c>
      <c r="CM744" s="23">
        <f ca="1">MONTH(TODAY())+13</f>
        <v>17</v>
      </c>
      <c r="CN744" s="14">
        <f ca="1">SUM(CI744,CJ744,CK744)</f>
        <v>0</v>
      </c>
      <c r="CO744" s="14">
        <f>SUM(EG744*0.0052)/2-196.68</f>
        <v>35.759999999999991</v>
      </c>
      <c r="CP744" s="14">
        <f>SUM(CO744*0.1)</f>
        <v>3.5759999999999992</v>
      </c>
      <c r="CQ744" s="14">
        <f ca="1">SUM(CR744*CS744)</f>
        <v>2.9501999999999984</v>
      </c>
      <c r="CR744" s="17">
        <f>SUM((CO744+CP744)*0.00833333333333333)</f>
        <v>0.32779999999999981</v>
      </c>
      <c r="CS744" s="23">
        <f ca="1">MONTH(TODAY())+5</f>
        <v>9</v>
      </c>
      <c r="CT744" s="23">
        <f ca="1">SUM(CO744,CP744,CQ744)</f>
        <v>42.286199999999987</v>
      </c>
      <c r="CU744" s="14">
        <f>SUM(EG744*0.0052)/2</f>
        <v>232.44</v>
      </c>
      <c r="CV744" s="14">
        <f>SUM(CU744*0.1)</f>
        <v>23.244</v>
      </c>
      <c r="CW744" s="14">
        <f ca="1">SUM(CX744*CY744)</f>
        <v>10.653499999999996</v>
      </c>
      <c r="CX744" s="17">
        <f>SUM((CU744+CV744)*0.00833333333333333)</f>
        <v>2.1306999999999992</v>
      </c>
      <c r="CY744" s="23">
        <f ca="1">MONTH(TODAY())+1</f>
        <v>5</v>
      </c>
      <c r="CZ744" s="23">
        <f ca="1">SUM(CU744,CV744,CW744)</f>
        <v>266.33749999999998</v>
      </c>
      <c r="DA744" s="14">
        <f>SUM(EJ744*0.0045)/2</f>
        <v>339.75</v>
      </c>
      <c r="DB744" s="14">
        <v>0</v>
      </c>
      <c r="DC744" s="14">
        <v>0</v>
      </c>
      <c r="DD744" s="17">
        <f>SUM((DA744+DB744)*0.00833333333333333)</f>
        <v>2.8312499999999989</v>
      </c>
      <c r="DE744" s="23">
        <f ca="1">MONTH(TODAY())-5</f>
        <v>-1</v>
      </c>
      <c r="DF744" s="23">
        <f>SUM(DA744,DB744,DC744)</f>
        <v>339.75</v>
      </c>
      <c r="DG744" s="14">
        <v>0</v>
      </c>
      <c r="DH744" s="14">
        <v>0</v>
      </c>
      <c r="DI744" s="14">
        <v>0</v>
      </c>
      <c r="DJ744" s="17">
        <f>SUM((DG744+DH744)*0.00833333333333333)</f>
        <v>0</v>
      </c>
      <c r="DK744" s="23">
        <f ca="1">MONTH(TODAY())+1</f>
        <v>5</v>
      </c>
      <c r="DL744" s="23">
        <f>SUM(DG744,DH744,DI744)</f>
        <v>0</v>
      </c>
      <c r="DM744" s="14">
        <f>SUM( BQ744, BW744, CC744, CI744, CO744,CU744,DA744,DG744)</f>
        <v>607.95000000000005</v>
      </c>
      <c r="DN744" s="14">
        <f>SUM(BR744,BX744,CD744,CJ744, CP744,CV744,DB744,DH744)</f>
        <v>26.82</v>
      </c>
      <c r="DO744" s="14">
        <f ca="1">SUM(BS744,BY744,CE744,CK744, CQ744,CW744,DC744,DI744)</f>
        <v>13.603699999999995</v>
      </c>
      <c r="DP744" s="25">
        <f ca="1">SUM(DM744:DO744)</f>
        <v>648.3737000000001</v>
      </c>
      <c r="DQ744" s="47">
        <f ca="1">SUM(DP744/EG744)</f>
        <v>7.2525022371364668E-3</v>
      </c>
      <c r="DR744" s="14">
        <f>234+60</f>
        <v>294</v>
      </c>
      <c r="DS744" s="32">
        <f>COUNTIF(DX744, "*")+COUNTIF(AO744, "*")+COUNTIF(AJ744, "*")+COUNTIF(AA744, "*")+COUNTIF(EY744, "*")+COUNTIF(FE744, "*")+COUNTIF(FK744, "*")+COUNTIF(FO744, "*")+COUNTIF(FV744, "*")+COUNTIF(AT744, "*")+COUNTIF(GE744, "*")+COUNTIF(GP744, "*")+COUNTIF(HA744, "*")+COUNTIF(HI744, "*")+COUNTIF(HQ744, "*")+COUNTIF(HY744, "*")+COUNTIF(IG744, "*")</f>
        <v>1</v>
      </c>
      <c r="DT744" s="14">
        <f>DS744*0.53+6.85</f>
        <v>7.38</v>
      </c>
      <c r="DU744" s="4"/>
      <c r="DV744" s="4"/>
      <c r="DW744" s="4"/>
      <c r="DX744" s="4"/>
      <c r="DZ744" s="4"/>
      <c r="EA744" s="14">
        <f>SUM(DV744:DZ744)</f>
        <v>0</v>
      </c>
      <c r="EB744" s="14">
        <f ca="1">SUM(DP744,DR744,EA744, DU744, DT744,GB744)</f>
        <v>949.75370000000009</v>
      </c>
      <c r="EC744" s="24" t="s">
        <v>2773</v>
      </c>
      <c r="ED744" s="7">
        <v>3.32</v>
      </c>
      <c r="EE744" s="4">
        <v>28100</v>
      </c>
      <c r="EF744" s="4">
        <v>61300</v>
      </c>
      <c r="EG744" s="14">
        <f>SUM(EE744+EF744)</f>
        <v>89400</v>
      </c>
      <c r="EH744" s="14">
        <v>29300</v>
      </c>
      <c r="EI744" s="14">
        <v>121700</v>
      </c>
      <c r="EJ744" s="14">
        <f>SUM(EH744+EI744)</f>
        <v>151000</v>
      </c>
      <c r="IM744" s="9"/>
      <c r="IX744" s="14">
        <f ca="1">SUM(IN744-EB744-GB744-IV744)</f>
        <v>-949.75370000000009</v>
      </c>
      <c r="IY744" s="9"/>
      <c r="IZ744" s="9"/>
      <c r="JA744" s="9"/>
      <c r="JB744" s="9"/>
      <c r="JC744" s="9"/>
    </row>
    <row r="745" spans="1:265" ht="15" customHeight="1">
      <c r="A745" s="2">
        <v>102018053</v>
      </c>
      <c r="B745" s="4" t="s">
        <v>423</v>
      </c>
      <c r="C745" s="5"/>
      <c r="D745" s="5"/>
      <c r="E745" s="5"/>
      <c r="F745" s="3"/>
      <c r="G745">
        <v>180000896</v>
      </c>
      <c r="J745" t="s">
        <v>305</v>
      </c>
      <c r="K745" t="s">
        <v>424</v>
      </c>
      <c r="L745" t="s">
        <v>425</v>
      </c>
      <c r="M745" t="s">
        <v>426</v>
      </c>
      <c r="O745" s="1"/>
      <c r="P745" t="s">
        <v>424</v>
      </c>
      <c r="Q745" t="s">
        <v>427</v>
      </c>
      <c r="R745" t="s">
        <v>428</v>
      </c>
      <c r="AB745" s="3"/>
      <c r="AF745" s="3"/>
      <c r="AG745"/>
      <c r="AI745" s="4"/>
      <c r="AJ745" s="34"/>
      <c r="AL745" s="3"/>
      <c r="AN745" s="4"/>
      <c r="AO745" s="5"/>
      <c r="AP745" s="34"/>
      <c r="AR745" s="5"/>
      <c r="AS745" s="5"/>
      <c r="AT745" s="1"/>
      <c r="AU745" s="1"/>
      <c r="AV745" s="1"/>
      <c r="AW745" s="1"/>
      <c r="AX745" s="1"/>
      <c r="AY745" s="15"/>
      <c r="AZ745" s="1"/>
      <c r="BA745" s="1"/>
      <c r="BB745" s="1"/>
      <c r="BC745" s="1"/>
      <c r="BD745" s="5"/>
      <c r="BE745" s="16"/>
      <c r="BF745" s="16"/>
      <c r="BH745" s="4"/>
      <c r="BI745" s="4"/>
      <c r="BJ745" s="6"/>
      <c r="BK745" s="7"/>
      <c r="BL745" s="4"/>
      <c r="BN745" s="4"/>
      <c r="BO745" s="4"/>
      <c r="BP745" s="6"/>
      <c r="BQ745" s="7"/>
      <c r="BR745" s="4"/>
      <c r="BT745" s="4"/>
      <c r="BU745" s="4"/>
      <c r="BV745" s="6"/>
      <c r="BW745" s="7"/>
      <c r="BX745" s="4"/>
      <c r="BY745" s="4"/>
      <c r="BZ745" s="4"/>
      <c r="CA745" s="4"/>
      <c r="CB745" s="6"/>
      <c r="CC745" s="7"/>
      <c r="CD745" s="4"/>
      <c r="CE745" s="6"/>
      <c r="CF745" s="4"/>
      <c r="CG745" s="4"/>
      <c r="CH745" s="6"/>
      <c r="CI745" s="7"/>
      <c r="CJ745" s="4"/>
      <c r="CK745" s="4"/>
      <c r="CL745" s="4"/>
      <c r="CM745" s="4"/>
      <c r="CN745" s="6"/>
      <c r="CO745" s="7"/>
      <c r="CP745" s="4"/>
      <c r="CQ745" s="4"/>
      <c r="CR745" s="4"/>
      <c r="CS745" s="4"/>
      <c r="CT745" s="6"/>
      <c r="CU745" s="7"/>
      <c r="CV745" s="4"/>
      <c r="CW745" s="4"/>
      <c r="CX745" s="4"/>
      <c r="CY745" s="4"/>
      <c r="CZ745" s="6"/>
      <c r="DA745" s="7"/>
      <c r="DB745" s="4"/>
      <c r="DC745" s="4"/>
      <c r="DD745" s="4"/>
      <c r="DE745" s="4"/>
      <c r="DF745" s="6"/>
      <c r="DG745" s="7"/>
      <c r="DH745" s="4"/>
      <c r="DI745" s="4"/>
      <c r="DJ745" s="4"/>
      <c r="DK745" s="4"/>
      <c r="DL745" s="4"/>
      <c r="DN745" s="4"/>
      <c r="DP745" s="4"/>
      <c r="DQ745" s="4"/>
      <c r="DR745" s="4"/>
      <c r="DS745" s="4"/>
      <c r="DT745" s="4"/>
      <c r="DU745" s="4"/>
      <c r="DV745" s="4"/>
      <c r="DW745" s="4"/>
      <c r="DX745" s="4"/>
      <c r="DY745" s="4"/>
      <c r="DZ745" s="4"/>
      <c r="EA745" s="7"/>
      <c r="EB745" s="4"/>
      <c r="EC745" s="4"/>
      <c r="ED745" s="3"/>
      <c r="EE745" s="11"/>
      <c r="EF745" s="11"/>
      <c r="EO745" s="11"/>
      <c r="EU745" s="11"/>
      <c r="EV745" s="4"/>
      <c r="EW745" s="4"/>
      <c r="EX745" s="4"/>
      <c r="EY745" s="4"/>
      <c r="EZ745" s="4"/>
      <c r="FA745" s="4"/>
      <c r="FB745" s="4"/>
      <c r="FC745" s="4"/>
      <c r="FD745" s="4"/>
      <c r="FE745" s="4"/>
      <c r="FF745" s="4"/>
      <c r="FG745" s="4"/>
      <c r="FH745" s="4"/>
      <c r="FJ745" s="4"/>
      <c r="FM745" s="9"/>
      <c r="GE745" s="10"/>
      <c r="GO745" s="10"/>
      <c r="HD745" s="9"/>
      <c r="IK745" s="4"/>
      <c r="IL745" s="9"/>
      <c r="IS745" s="4"/>
      <c r="IT745" s="4"/>
    </row>
    <row r="746" spans="1:265" ht="15" customHeight="1">
      <c r="A746" s="2">
        <v>102018054</v>
      </c>
      <c r="B746" s="4" t="s">
        <v>1192</v>
      </c>
      <c r="C746" s="3"/>
      <c r="D746" s="3"/>
      <c r="E746" s="3"/>
      <c r="F746" s="3"/>
      <c r="G746" s="3"/>
      <c r="H746" s="3"/>
      <c r="J746" t="s">
        <v>305</v>
      </c>
      <c r="K746" t="s">
        <v>424</v>
      </c>
      <c r="L746" t="s">
        <v>425</v>
      </c>
      <c r="M746" t="s">
        <v>426</v>
      </c>
      <c r="O746" s="1"/>
      <c r="P746" t="s">
        <v>424</v>
      </c>
      <c r="Q746" t="s">
        <v>427</v>
      </c>
      <c r="R746" t="s">
        <v>428</v>
      </c>
      <c r="T746" s="1"/>
      <c r="AJ746" s="4"/>
      <c r="AK746" s="4"/>
      <c r="AM746" s="34"/>
      <c r="AO746" s="4"/>
      <c r="AP746" s="5"/>
      <c r="AQ746" s="34"/>
      <c r="AS746" s="5"/>
      <c r="AT746" s="5"/>
      <c r="AU746" s="1"/>
      <c r="AV746" s="1"/>
      <c r="AW746" s="1"/>
      <c r="AX746" s="1"/>
      <c r="AY746" s="1"/>
      <c r="AZ746" s="1"/>
      <c r="BA746" s="1"/>
      <c r="BB746" s="1"/>
      <c r="BC746" s="1"/>
      <c r="BD746" s="1"/>
      <c r="BE746" s="5"/>
      <c r="BF746" s="16"/>
      <c r="BG746" s="16"/>
      <c r="BI746" s="4"/>
      <c r="BJ746" s="4"/>
      <c r="BK746" s="6"/>
      <c r="BL746" s="7"/>
      <c r="BM746" s="4"/>
      <c r="BO746" s="4"/>
      <c r="BP746" s="4"/>
      <c r="BQ746" s="6"/>
      <c r="BR746" s="7"/>
      <c r="BS746" s="4"/>
      <c r="BU746" s="4"/>
      <c r="BV746" s="4"/>
      <c r="BW746" s="6"/>
      <c r="BX746" s="7"/>
      <c r="BY746" s="4"/>
      <c r="BZ746" s="4"/>
      <c r="CA746" s="4"/>
      <c r="CB746" s="4"/>
      <c r="CC746" s="6"/>
      <c r="CD746" s="7"/>
      <c r="CE746" s="4"/>
      <c r="CF746" s="6"/>
      <c r="CG746" s="4"/>
      <c r="CH746" s="4"/>
      <c r="CI746" s="6"/>
      <c r="CJ746" s="7"/>
      <c r="CK746" s="4"/>
      <c r="CL746" s="4"/>
      <c r="CM746" s="4"/>
      <c r="CN746" s="4"/>
      <c r="CO746" s="6"/>
      <c r="CP746" s="7"/>
      <c r="CQ746" s="4"/>
      <c r="CR746" s="4"/>
      <c r="CS746" s="4"/>
      <c r="CT746" s="4"/>
      <c r="CU746" s="6"/>
      <c r="CV746" s="7"/>
      <c r="CW746" s="4"/>
      <c r="CX746" s="4"/>
      <c r="CY746" s="4"/>
      <c r="CZ746" s="4"/>
      <c r="DA746" s="6"/>
      <c r="DB746" s="7"/>
      <c r="DC746" s="4"/>
      <c r="DD746" s="4"/>
      <c r="DE746" s="4"/>
      <c r="DF746" s="4"/>
      <c r="DG746" s="6"/>
      <c r="DH746" s="7"/>
      <c r="DI746" s="4"/>
      <c r="DJ746" s="4"/>
      <c r="DK746" s="4"/>
      <c r="DL746" s="4"/>
      <c r="DM746" s="4"/>
      <c r="DO746" s="4"/>
      <c r="DQ746" s="4"/>
      <c r="DR746" s="4"/>
      <c r="DS746" s="4"/>
      <c r="DT746" s="4"/>
      <c r="DU746" s="4"/>
      <c r="DV746" s="4"/>
      <c r="DW746" s="4"/>
      <c r="DX746" s="4"/>
      <c r="DY746" s="4"/>
      <c r="DZ746" s="4"/>
      <c r="EA746" s="7"/>
      <c r="EB746" s="4"/>
      <c r="EC746" s="4"/>
      <c r="ED746" s="3"/>
      <c r="EE746" s="11"/>
      <c r="EF746" s="11"/>
      <c r="EO746" s="11"/>
      <c r="EU746" s="11"/>
      <c r="EV746" s="4"/>
      <c r="EW746" s="4"/>
      <c r="EX746" s="4"/>
      <c r="EY746" s="4"/>
      <c r="EZ746" s="4"/>
      <c r="FA746" s="4"/>
      <c r="FB746" s="4"/>
      <c r="FC746" s="4"/>
      <c r="FD746" s="4"/>
      <c r="FE746" s="4"/>
      <c r="FF746" s="4"/>
      <c r="FG746" s="4"/>
      <c r="FH746" s="4"/>
      <c r="FI746" s="4"/>
      <c r="FM746" s="9"/>
      <c r="GE746" s="10"/>
      <c r="GO746" s="10"/>
      <c r="HD746" s="9"/>
    </row>
    <row r="747" spans="1:265" ht="15" customHeight="1">
      <c r="A747" s="2">
        <v>102018054</v>
      </c>
      <c r="B747" t="s">
        <v>1192</v>
      </c>
      <c r="D747" s="1"/>
      <c r="E747" s="3"/>
      <c r="F747" s="3"/>
      <c r="G747" s="3">
        <v>220001460</v>
      </c>
      <c r="J747" t="s">
        <v>434</v>
      </c>
      <c r="K747" t="s">
        <v>424</v>
      </c>
      <c r="L747" t="s">
        <v>425</v>
      </c>
      <c r="M747" t="s">
        <v>426</v>
      </c>
      <c r="O747" s="3"/>
      <c r="P747" t="s">
        <v>424</v>
      </c>
      <c r="Q747" t="s">
        <v>427</v>
      </c>
      <c r="R747" t="s">
        <v>428</v>
      </c>
      <c r="U747" t="s">
        <v>429</v>
      </c>
      <c r="V747" t="s">
        <v>1087</v>
      </c>
      <c r="W747" t="s">
        <v>763</v>
      </c>
      <c r="AD747" t="s">
        <v>3370</v>
      </c>
      <c r="AE747" t="s">
        <v>253</v>
      </c>
      <c r="AF747" t="s">
        <v>429</v>
      </c>
      <c r="AG747" s="43" t="s">
        <v>430</v>
      </c>
      <c r="AH747" t="s">
        <v>431</v>
      </c>
      <c r="AI747" t="s">
        <v>259</v>
      </c>
      <c r="AM747"/>
      <c r="AN747"/>
      <c r="AO747" t="s">
        <v>3369</v>
      </c>
      <c r="AP747" s="3" t="s">
        <v>258</v>
      </c>
      <c r="AQ747" t="s">
        <v>259</v>
      </c>
      <c r="AR747" t="s">
        <v>260</v>
      </c>
      <c r="AX747" s="1"/>
      <c r="AY747" s="1"/>
      <c r="AZ747" s="1"/>
      <c r="BA747" s="1"/>
      <c r="BB747" s="1"/>
      <c r="BC747" s="2"/>
      <c r="BD747" s="116"/>
      <c r="BE747" s="115"/>
      <c r="BF747" s="2"/>
      <c r="BG747" s="2"/>
      <c r="BH747" s="2"/>
      <c r="BI747" s="2"/>
      <c r="BJ747" s="2"/>
      <c r="BK747" s="2"/>
      <c r="BL747" s="20">
        <f ca="1">SUM(EB747)+220</f>
        <v>590.68000000000006</v>
      </c>
      <c r="BM747" s="22">
        <f ca="1">PMT(10%/12,12,BL747,0,0)</f>
        <v>-51.930156269022071</v>
      </c>
      <c r="BN747" s="22">
        <f ca="1">SUM(BM747*-1)</f>
        <v>51.930156269022071</v>
      </c>
      <c r="BO747" s="14">
        <f>SUM(EJ747*0.0052)/12</f>
        <v>13.346666666666666</v>
      </c>
      <c r="BP747" s="22">
        <f ca="1">SUM(BN747+BO747)</f>
        <v>65.276822935688742</v>
      </c>
      <c r="BQ747" s="14"/>
      <c r="BR747" s="14">
        <f>SUM(BQ747*0.1)</f>
        <v>0</v>
      </c>
      <c r="BS747" s="14">
        <f ca="1">SUM(BT747*BU747)</f>
        <v>0</v>
      </c>
      <c r="BT747" s="17">
        <f>SUM((BQ747+BR747)*0.00833333333333333)</f>
        <v>0</v>
      </c>
      <c r="BU747" s="23">
        <f ca="1">MONTH(TODAY())+49</f>
        <v>53</v>
      </c>
      <c r="BV747" s="14">
        <f ca="1">SUM(BQ747,BR747,BS747)</f>
        <v>0</v>
      </c>
      <c r="BW747" s="14"/>
      <c r="BX747" s="14">
        <f>SUM(BW747*0.1)</f>
        <v>0</v>
      </c>
      <c r="BY747" s="14">
        <f ca="1">SUM(BZ747*CA747)</f>
        <v>0</v>
      </c>
      <c r="BZ747" s="17">
        <f>SUM((BW747+BX747)*0.00833333333333333)</f>
        <v>0</v>
      </c>
      <c r="CA747" s="23">
        <f ca="1">MONTH(TODAY())+37</f>
        <v>41</v>
      </c>
      <c r="CB747" s="14">
        <f ca="1">SUM(BW747,BX747,BY747)</f>
        <v>0</v>
      </c>
      <c r="CC747" s="14">
        <v>0</v>
      </c>
      <c r="CD747" s="14">
        <f>SUM(CC747*0.1)</f>
        <v>0</v>
      </c>
      <c r="CE747" s="14">
        <f ca="1">SUM(CF747*CG747)</f>
        <v>0</v>
      </c>
      <c r="CF747" s="17">
        <f>SUM((CC747+CD747)*0.00833333333333333)</f>
        <v>0</v>
      </c>
      <c r="CG747" s="23">
        <f ca="1">MONTH(TODAY())+25</f>
        <v>29</v>
      </c>
      <c r="CH747" s="14">
        <f ca="1">SUM(CC747,CD747,CE747)</f>
        <v>0</v>
      </c>
      <c r="CI747" s="14">
        <v>0</v>
      </c>
      <c r="CJ747" s="14">
        <f>SUM(CI747*0.1)</f>
        <v>0</v>
      </c>
      <c r="CK747" s="14">
        <f ca="1">SUM(CL747*CM747)</f>
        <v>0</v>
      </c>
      <c r="CL747" s="17">
        <f>SUM((CI747+CJ747)*0.00833333333333333)</f>
        <v>0</v>
      </c>
      <c r="CM747" s="23">
        <f ca="1">MONTH(TODAY())+13</f>
        <v>17</v>
      </c>
      <c r="CN747" s="14">
        <f ca="1">SUM(CI747,CJ747,CK747)</f>
        <v>0</v>
      </c>
      <c r="CO747" s="14">
        <v>0</v>
      </c>
      <c r="CP747" s="14">
        <f>SUM(CO747*0.1)</f>
        <v>0</v>
      </c>
      <c r="CQ747" s="14">
        <f ca="1">SUM(CR747*CS747)</f>
        <v>0</v>
      </c>
      <c r="CR747" s="17">
        <f>SUM((CO747+CP747)*0.00833333333333333)</f>
        <v>0</v>
      </c>
      <c r="CS747" s="23">
        <f ca="1">MONTH(TODAY())+5</f>
        <v>9</v>
      </c>
      <c r="CT747" s="23">
        <f ca="1">SUM(CO747,CP747,CQ747)</f>
        <v>0</v>
      </c>
      <c r="CU747" s="14">
        <v>0</v>
      </c>
      <c r="CV747" s="14">
        <f>SUM(CU747*0.1)</f>
        <v>0</v>
      </c>
      <c r="CW747" s="14">
        <f ca="1">SUM(CX747*CY747)</f>
        <v>0</v>
      </c>
      <c r="CX747" s="17">
        <f>SUM((CU747+CV747)*0.00833333333333333)</f>
        <v>0</v>
      </c>
      <c r="CY747" s="23">
        <f ca="1">MONTH(TODAY())+1</f>
        <v>5</v>
      </c>
      <c r="CZ747" s="23">
        <f ca="1">SUM(CU747,CV747,CW747)</f>
        <v>0</v>
      </c>
      <c r="DA747" s="14">
        <f>SUM(EJ747*0.0045)/2</f>
        <v>69.3</v>
      </c>
      <c r="DB747" s="14">
        <v>0</v>
      </c>
      <c r="DC747" s="14">
        <v>0</v>
      </c>
      <c r="DD747" s="17">
        <f>SUM((DA747+DB747)*0.00833333333333333)</f>
        <v>0.57749999999999968</v>
      </c>
      <c r="DE747" s="23">
        <f ca="1">MONTH(TODAY())-5</f>
        <v>-1</v>
      </c>
      <c r="DF747" s="23">
        <f>SUM(DA747,DB747,DC747)</f>
        <v>69.3</v>
      </c>
      <c r="DG747" s="14">
        <v>0</v>
      </c>
      <c r="DH747" s="14">
        <v>0</v>
      </c>
      <c r="DI747" s="14">
        <v>0</v>
      </c>
      <c r="DJ747" s="17">
        <f>SUM((DG747+DH747)*0.00833333333333333)</f>
        <v>0</v>
      </c>
      <c r="DK747" s="23">
        <f ca="1">MONTH(TODAY())+1</f>
        <v>5</v>
      </c>
      <c r="DL747" s="23">
        <f>SUM(DG747,DH747,DI747)</f>
        <v>0</v>
      </c>
      <c r="DM747" s="14">
        <f>SUM( BQ747, BW747, CC747, CI747, CO747,CU747,DA747,DG747)</f>
        <v>69.3</v>
      </c>
      <c r="DN747" s="14">
        <f>SUM(BR747,BX747,CD747,CJ747, CP747,CV747,DB747,DH747)</f>
        <v>0</v>
      </c>
      <c r="DO747" s="14">
        <f ca="1">SUM(BS747,BY747,CE747,CK747, CQ747,CW747,DC747,DI747)</f>
        <v>0</v>
      </c>
      <c r="DP747" s="25">
        <f ca="1">SUM(DM747:DO747)</f>
        <v>69.3</v>
      </c>
      <c r="DQ747" s="47">
        <f ca="1">SUM(DP747/EG747)</f>
        <v>2.4928057553956834E-3</v>
      </c>
      <c r="DR747" s="14">
        <f>234+60</f>
        <v>294</v>
      </c>
      <c r="DS747" s="32">
        <f>COUNTIF(DX747, "*")+COUNTIF(AO747, "*")+COUNTIF(AJ747, "*")+COUNTIF(AA747, "*")+COUNTIF(EY747, "*")+COUNTIF(FE747, "*")+COUNTIF(FK747, "*")+COUNTIF(FO747, "*")+COUNTIF(FV747, "*")+COUNTIF(AT747, "*")+COUNTIF(GE747, "*")+COUNTIF(GP747, "*")+COUNTIF(HA747, "*")+COUNTIF(HI747, "*")+COUNTIF(HQ747, "*")+COUNTIF(HY747, "*")+COUNTIF(IG747, "*")</f>
        <v>1</v>
      </c>
      <c r="DT747" s="14">
        <f>DS747*0.53+6.85</f>
        <v>7.38</v>
      </c>
      <c r="DU747" s="4"/>
      <c r="DV747" s="4"/>
      <c r="DW747" s="4"/>
      <c r="DX747" s="4"/>
      <c r="DZ747" s="4"/>
      <c r="EA747" s="14">
        <f>SUM(DV747:DZ747)</f>
        <v>0</v>
      </c>
      <c r="EB747" s="14">
        <f ca="1">SUM(DP747,DR747,EA747, DU747, DT747,GB747)</f>
        <v>370.68</v>
      </c>
      <c r="EC747" s="24" t="s">
        <v>2773</v>
      </c>
      <c r="ED747" s="7">
        <v>1.37</v>
      </c>
      <c r="EE747" s="4">
        <v>21300</v>
      </c>
      <c r="EF747" s="4">
        <v>6500</v>
      </c>
      <c r="EG747" s="14">
        <f>SUM(EE747+EF747)</f>
        <v>27800</v>
      </c>
      <c r="EH747" s="14">
        <v>21500</v>
      </c>
      <c r="EI747" s="14">
        <v>9300</v>
      </c>
      <c r="EJ747" s="14">
        <f>SUM(EH747+EI747)</f>
        <v>30800</v>
      </c>
      <c r="IM747" s="9"/>
      <c r="IX747" s="14">
        <f ca="1">SUM(IN747-EB747-GB747-IV747)</f>
        <v>-370.68</v>
      </c>
      <c r="IY747" s="9"/>
      <c r="IZ747" s="9"/>
      <c r="JA747" s="9"/>
      <c r="JB747" s="9"/>
      <c r="JC747" s="9"/>
    </row>
    <row r="748" spans="1:265" ht="15" customHeight="1">
      <c r="A748" s="19">
        <v>102020047</v>
      </c>
      <c r="B748" s="18" t="s">
        <v>1665</v>
      </c>
      <c r="C748" s="18"/>
      <c r="D748" s="13"/>
      <c r="E748" s="18" t="s">
        <v>1820</v>
      </c>
      <c r="F748" s="18">
        <v>200002183</v>
      </c>
      <c r="G748" s="18"/>
      <c r="H748" s="18"/>
      <c r="I748" s="18"/>
      <c r="J748" s="18" t="s">
        <v>554</v>
      </c>
      <c r="K748" s="18" t="s">
        <v>1660</v>
      </c>
      <c r="L748" s="18" t="s">
        <v>1661</v>
      </c>
      <c r="M748" s="18"/>
      <c r="N748" s="18"/>
      <c r="O748" s="18"/>
      <c r="P748" s="18" t="s">
        <v>1660</v>
      </c>
      <c r="Q748" s="18" t="s">
        <v>427</v>
      </c>
      <c r="R748" s="18"/>
      <c r="S748" s="18"/>
      <c r="T748" s="18"/>
      <c r="U748" s="18"/>
      <c r="V748" s="18"/>
      <c r="W748" s="18"/>
      <c r="X748" s="18"/>
      <c r="Y748" s="18"/>
      <c r="Z748" s="18"/>
      <c r="AA748" s="18"/>
      <c r="AB748" s="18"/>
      <c r="AC748" s="18"/>
      <c r="AD748" s="18"/>
      <c r="AE748" s="18"/>
      <c r="AF748" s="18"/>
      <c r="AG748" s="18"/>
      <c r="AH748" s="18"/>
      <c r="AI748" s="18"/>
      <c r="AJ748" s="18" t="s">
        <v>1667</v>
      </c>
      <c r="AK748" s="18"/>
      <c r="AL748" s="18" t="s">
        <v>259</v>
      </c>
      <c r="AM748" s="24" t="s">
        <v>260</v>
      </c>
      <c r="AN748" s="24" t="s">
        <v>1666</v>
      </c>
      <c r="AO748" s="18" t="s">
        <v>1662</v>
      </c>
      <c r="AP748" s="13" t="s">
        <v>258</v>
      </c>
      <c r="AQ748" s="24" t="s">
        <v>1663</v>
      </c>
      <c r="AR748" s="24"/>
      <c r="AS748" s="18"/>
      <c r="AT748" s="18"/>
      <c r="AU748" s="18"/>
      <c r="AV748" s="24"/>
      <c r="AW748" s="18"/>
      <c r="AX748" s="18"/>
      <c r="AY748" s="18"/>
      <c r="AZ748" s="18"/>
      <c r="BA748" s="18"/>
      <c r="BB748" s="18" t="s">
        <v>1832</v>
      </c>
      <c r="BC748" s="18" t="s">
        <v>253</v>
      </c>
      <c r="BD748" s="18" t="s">
        <v>1660</v>
      </c>
      <c r="BE748" s="37" t="s">
        <v>1831</v>
      </c>
      <c r="BF748" s="24" t="s">
        <v>1662</v>
      </c>
      <c r="BG748" s="18" t="s">
        <v>1663</v>
      </c>
      <c r="BH748" s="13"/>
      <c r="BI748" s="13"/>
      <c r="BJ748" s="13" t="s">
        <v>258</v>
      </c>
      <c r="BK748" s="13" t="s">
        <v>258</v>
      </c>
      <c r="BL748" s="13"/>
      <c r="BM748" s="48"/>
      <c r="BN748" s="48"/>
      <c r="BO748" s="48"/>
      <c r="BP748" s="48"/>
      <c r="BQ748" s="19"/>
      <c r="BR748" s="48"/>
      <c r="BS748" s="48"/>
      <c r="BT748" s="48"/>
      <c r="BU748" s="19"/>
      <c r="BV748" s="20"/>
      <c r="BW748" s="22"/>
      <c r="BX748" s="22"/>
      <c r="BY748" s="14"/>
      <c r="BZ748" s="22"/>
      <c r="CA748" s="14"/>
      <c r="CB748" s="14"/>
      <c r="CC748" s="14"/>
      <c r="CD748" s="17"/>
      <c r="CE748" s="23"/>
      <c r="CF748" s="14"/>
      <c r="CG748" s="14"/>
      <c r="CH748" s="14"/>
      <c r="CI748" s="14"/>
      <c r="CJ748" s="17"/>
      <c r="CK748" s="23"/>
      <c r="CL748" s="14"/>
      <c r="CM748" s="14"/>
      <c r="CN748" s="14"/>
      <c r="CO748" s="14"/>
      <c r="CP748" s="17"/>
      <c r="CQ748" s="23"/>
      <c r="CR748" s="14"/>
      <c r="CS748" s="14"/>
      <c r="CT748" s="14"/>
      <c r="CU748" s="14"/>
      <c r="CV748" s="17"/>
      <c r="CW748" s="23"/>
      <c r="CX748" s="14"/>
      <c r="CY748" s="14"/>
      <c r="CZ748" s="14"/>
      <c r="DA748" s="14"/>
      <c r="DB748" s="17"/>
      <c r="DC748" s="23"/>
      <c r="DD748" s="14"/>
      <c r="DE748" s="14"/>
      <c r="DF748" s="14"/>
      <c r="DG748" s="14"/>
      <c r="DH748" s="14"/>
      <c r="DI748" s="47"/>
      <c r="DJ748" s="14"/>
      <c r="DK748" s="32"/>
      <c r="DL748" s="14"/>
      <c r="DM748" s="14"/>
      <c r="DN748" s="14"/>
      <c r="DO748" s="14"/>
      <c r="DP748" s="14"/>
      <c r="DQ748" s="14"/>
      <c r="DR748" s="23"/>
      <c r="DS748" s="25"/>
      <c r="DT748" s="14"/>
      <c r="DU748" s="24"/>
      <c r="DV748" s="25"/>
      <c r="DW748" s="25"/>
      <c r="DX748" s="25"/>
      <c r="DY748" s="36">
        <v>4.28</v>
      </c>
      <c r="DZ748" s="18" t="s">
        <v>1761</v>
      </c>
      <c r="EA748" s="18" t="s">
        <v>1762</v>
      </c>
      <c r="EB748" s="18"/>
      <c r="EC748" s="18" t="s">
        <v>1763</v>
      </c>
      <c r="ED748" s="18" t="s">
        <v>1756</v>
      </c>
      <c r="EE748" s="18" t="s">
        <v>1757</v>
      </c>
      <c r="EF748" s="18"/>
      <c r="EG748" s="18"/>
      <c r="EH748" s="18"/>
      <c r="EI748" s="18"/>
      <c r="EJ748" s="18"/>
      <c r="EK748" s="18"/>
      <c r="EL748" s="18" t="s">
        <v>1758</v>
      </c>
      <c r="EM748" s="18"/>
      <c r="EN748" s="18" t="s">
        <v>1759</v>
      </c>
      <c r="EO748" s="18"/>
      <c r="EP748" s="18" t="s">
        <v>259</v>
      </c>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t="s">
        <v>439</v>
      </c>
      <c r="FX748" s="18" t="s">
        <v>1530</v>
      </c>
      <c r="FY748" s="18" t="s">
        <v>1531</v>
      </c>
      <c r="FZ748" s="18" t="s">
        <v>1532</v>
      </c>
      <c r="GA748" s="28" t="s">
        <v>274</v>
      </c>
      <c r="GB748" s="18" t="s">
        <v>275</v>
      </c>
      <c r="GC748" s="27">
        <v>39349</v>
      </c>
      <c r="GD748" s="18" t="s">
        <v>1877</v>
      </c>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4"/>
      <c r="IS748" s="18"/>
      <c r="IT748" s="18"/>
      <c r="IU748" s="18"/>
      <c r="IV748" s="18"/>
      <c r="IW748" s="18"/>
    </row>
    <row r="749" spans="1:265" ht="15" customHeight="1">
      <c r="A749" s="19">
        <v>102023097</v>
      </c>
      <c r="B749" s="18" t="s">
        <v>4309</v>
      </c>
      <c r="D749" s="1"/>
      <c r="E749" s="3"/>
      <c r="F749" s="3"/>
      <c r="J749" s="18" t="s">
        <v>311</v>
      </c>
      <c r="K749" s="18" t="s">
        <v>4388</v>
      </c>
      <c r="L749" s="130" t="s">
        <v>926</v>
      </c>
      <c r="M749" s="130" t="s">
        <v>850</v>
      </c>
      <c r="N749" s="130" t="s">
        <v>341</v>
      </c>
      <c r="O749" s="288"/>
      <c r="P749" s="130"/>
      <c r="Q749" s="130"/>
      <c r="R749" s="130"/>
      <c r="S749" s="130"/>
      <c r="AG749" s="43"/>
      <c r="AJ749" s="18"/>
      <c r="AM749"/>
      <c r="AN749"/>
      <c r="AO749" s="18" t="s">
        <v>4389</v>
      </c>
      <c r="AP749" s="3" t="s">
        <v>258</v>
      </c>
      <c r="AQ749" s="18" t="s">
        <v>259</v>
      </c>
      <c r="AR749" s="18" t="s">
        <v>260</v>
      </c>
      <c r="AX749" s="1"/>
      <c r="AY749" s="1"/>
      <c r="AZ749" s="1"/>
      <c r="BA749" s="1"/>
      <c r="BB749" s="1"/>
      <c r="BC749" s="2"/>
      <c r="BD749" s="116"/>
      <c r="BE749" s="115"/>
      <c r="BF749" s="2"/>
      <c r="BG749" s="2"/>
      <c r="BH749" s="2"/>
      <c r="BI749" s="2"/>
      <c r="BJ749" s="2"/>
      <c r="BK749" s="2"/>
      <c r="BL749" s="20">
        <f ca="1">SUM(DP749)+220</f>
        <v>560.23360000000002</v>
      </c>
      <c r="BM749" s="22">
        <f ca="1">PMT(10%/12,12,BL749,0,0)</f>
        <v>-49.253434000062306</v>
      </c>
      <c r="BN749" s="22">
        <f ca="1">SUM(BM749*-1)</f>
        <v>49.253434000062306</v>
      </c>
      <c r="BO749" s="14">
        <f>SUM(DX749*0.0052)/12</f>
        <v>11.266666666666666</v>
      </c>
      <c r="BP749" s="22">
        <f ca="1">SUM(BN749+BO749)</f>
        <v>60.520100666728972</v>
      </c>
      <c r="BQ749" s="14"/>
      <c r="BR749" s="14">
        <f>SUM(BQ749*0.1)</f>
        <v>0</v>
      </c>
      <c r="BS749" s="14">
        <f ca="1">SUM(BT749*BU749)</f>
        <v>0</v>
      </c>
      <c r="BT749" s="17">
        <f>SUM((BQ749+BR749)*0.00833333333333333)</f>
        <v>0</v>
      </c>
      <c r="BU749" s="23">
        <f ca="1">MONTH(TODAY())+49</f>
        <v>53</v>
      </c>
      <c r="BV749" s="14">
        <f ca="1">SUM(BQ749,BR749,BS749)</f>
        <v>0</v>
      </c>
      <c r="BW749" s="14"/>
      <c r="BX749" s="14">
        <f>SUM(BW749*0.1)</f>
        <v>0</v>
      </c>
      <c r="BY749" s="14">
        <f ca="1">SUM(BZ749*CA749)</f>
        <v>0</v>
      </c>
      <c r="BZ749" s="17">
        <f>SUM((BW749+BX749)*0.00833333333333333)</f>
        <v>0</v>
      </c>
      <c r="CA749" s="23">
        <f ca="1">MONTH(TODAY())+37</f>
        <v>41</v>
      </c>
      <c r="CB749" s="14">
        <f ca="1">SUM(BW749,BX749,BY749)</f>
        <v>0</v>
      </c>
      <c r="CC749" s="14">
        <v>0</v>
      </c>
      <c r="CD749" s="14">
        <f>SUM(CC749*0.1)</f>
        <v>0</v>
      </c>
      <c r="CE749" s="14">
        <f ca="1">SUM(CF749*CG749)</f>
        <v>0</v>
      </c>
      <c r="CF749" s="17">
        <f>SUM((CC749+CD749)*0.00833333333333333)</f>
        <v>0</v>
      </c>
      <c r="CG749" s="23">
        <f ca="1">MONTH(TODAY())+25</f>
        <v>29</v>
      </c>
      <c r="CH749" s="14">
        <f ca="1">SUM(CC749,CD749,CE749)</f>
        <v>0</v>
      </c>
      <c r="CI749" s="14">
        <f>SUM(DU749*0.0052)</f>
        <v>132.07999999999998</v>
      </c>
      <c r="CJ749" s="14">
        <f>SUM(CI749*0.1)</f>
        <v>13.207999999999998</v>
      </c>
      <c r="CK749" s="14">
        <f ca="1">SUM(CL749*CM749)</f>
        <v>20.582466666666658</v>
      </c>
      <c r="CL749" s="17">
        <f>SUM((CI749+CJ749)*0.00833333333333333)</f>
        <v>1.2107333333333328</v>
      </c>
      <c r="CM749" s="23">
        <f ca="1">MONTH(TODAY())+13</f>
        <v>17</v>
      </c>
      <c r="CN749" s="14">
        <f ca="1">SUM(CI749,CJ749,CK749)</f>
        <v>165.87046666666663</v>
      </c>
      <c r="CO749" s="14">
        <f>SUM(DU749*0.0052)/2</f>
        <v>66.039999999999992</v>
      </c>
      <c r="CP749" s="14">
        <f>SUM(CO749*0.1)</f>
        <v>6.6039999999999992</v>
      </c>
      <c r="CQ749" s="14">
        <f ca="1">SUM(CR749*CS749)</f>
        <v>5.4482999999999979</v>
      </c>
      <c r="CR749" s="17">
        <f>SUM((CO749+CP749)*0.00833333333333333)</f>
        <v>0.60536666666666639</v>
      </c>
      <c r="CS749" s="23">
        <f ca="1">MONTH(TODAY())+5</f>
        <v>9</v>
      </c>
      <c r="CT749" s="23">
        <f ca="1">SUM(CO749,CP749,CQ749)</f>
        <v>78.092299999999994</v>
      </c>
      <c r="CU749" s="14">
        <f>SUM(DU749*0.0052)/2</f>
        <v>66.039999999999992</v>
      </c>
      <c r="CV749" s="14">
        <f>SUM(CU749*0.1)</f>
        <v>6.6039999999999992</v>
      </c>
      <c r="CW749" s="14">
        <f ca="1">SUM(CX749*CY749)</f>
        <v>3.0268333333333319</v>
      </c>
      <c r="CX749" s="17">
        <f>SUM((CU749+CV749)*0.00833333333333333)</f>
        <v>0.60536666666666639</v>
      </c>
      <c r="CY749" s="23">
        <f ca="1">MONTH(TODAY())+1</f>
        <v>5</v>
      </c>
      <c r="CZ749" s="23">
        <f ca="1">SUM(CU749,CV749,CW749)</f>
        <v>75.67083333333332</v>
      </c>
      <c r="DA749" s="14">
        <f>SUM( BQ749, BW749, CC749, CI749, CO749,CU749)</f>
        <v>264.15999999999997</v>
      </c>
      <c r="DB749" s="14">
        <f>SUM(BR749,BX749,CD749,CJ749, CP749,CV749)</f>
        <v>26.415999999999997</v>
      </c>
      <c r="DC749" s="14">
        <f ca="1">SUM(BS749,BY749,CE749,CK749, CQ749,CW749)</f>
        <v>29.05759999999999</v>
      </c>
      <c r="DD749" s="25">
        <f ca="1">SUM(DA749:DC749)</f>
        <v>319.63359999999994</v>
      </c>
      <c r="DE749" s="47">
        <f ca="1">SUM(DD749/DU749)</f>
        <v>1.2583999999999998E-2</v>
      </c>
      <c r="DF749" s="14">
        <v>20</v>
      </c>
      <c r="DG749" s="32">
        <f>COUNTIF(DL749, "*")+COUNTIF(AO749, "*")+COUNTIF(AJ749, "*")+COUNTIF(AA749, "*")+COUNTIF(EM749, "*")+COUNTIF(ES749, "*")+COUNTIF(EY749, "*")+COUNTIF(FC749, "*")+COUNTIF(FJ749, "*")+COUNTIF(AT749, "*")+COUNTIF(FS749, "*")+COUNTIF(GD749, "*")+COUNTIF(GO749, "*")+COUNTIF(GW749, "*")+COUNTIF(HE749, "*")+COUNTIF(HM749, "*")+COUNTIF(HU749, "*")</f>
        <v>1</v>
      </c>
      <c r="DH749" s="14">
        <f>DG749*0.6</f>
        <v>0.6</v>
      </c>
      <c r="DI749" s="4"/>
      <c r="DJ749" s="4"/>
      <c r="DK749" s="4"/>
      <c r="DL749" s="4"/>
      <c r="DN749" s="4"/>
      <c r="DO749" s="14">
        <f>SUM(DJ749:DN749)</f>
        <v>0</v>
      </c>
      <c r="DP749" s="14">
        <f ca="1">SUM(DD749,DF749,DO749, DI749, DH749,FP749)</f>
        <v>340.23359999999997</v>
      </c>
      <c r="DQ749" s="24" t="s">
        <v>3879</v>
      </c>
      <c r="DR749" s="130">
        <v>0.88</v>
      </c>
      <c r="DS749" s="14">
        <v>17600</v>
      </c>
      <c r="DT749" s="14">
        <v>7800</v>
      </c>
      <c r="DU749" s="14">
        <v>25400</v>
      </c>
      <c r="DV749" s="14">
        <v>17600</v>
      </c>
      <c r="DW749" s="14">
        <v>8400</v>
      </c>
      <c r="DX749" s="14">
        <f>SUM(DV749+DW749)</f>
        <v>26000</v>
      </c>
      <c r="IA749" s="9"/>
      <c r="IL749" s="14">
        <f ca="1">SUM(IB749-DP749-FP749-IJ749)</f>
        <v>-340.23359999999997</v>
      </c>
      <c r="IM749" s="9"/>
      <c r="IN749" s="9"/>
      <c r="IO749" s="9"/>
      <c r="IP749" s="9"/>
      <c r="IQ749" s="9"/>
    </row>
    <row r="750" spans="1:265" s="18" customFormat="1" ht="15" customHeight="1">
      <c r="A750" s="2">
        <v>102017097</v>
      </c>
      <c r="B750" t="s">
        <v>1052</v>
      </c>
      <c r="C750"/>
      <c r="D750"/>
      <c r="E750"/>
      <c r="F750"/>
      <c r="G750"/>
      <c r="H750"/>
      <c r="I750"/>
      <c r="J750" t="s">
        <v>434</v>
      </c>
      <c r="K750" t="s">
        <v>1040</v>
      </c>
      <c r="L750" t="s">
        <v>392</v>
      </c>
      <c r="M750" t="s">
        <v>1053</v>
      </c>
      <c r="N750"/>
      <c r="O750" s="1"/>
      <c r="P750" t="s">
        <v>1040</v>
      </c>
      <c r="Q750" t="s">
        <v>927</v>
      </c>
      <c r="R750" t="s">
        <v>326</v>
      </c>
      <c r="S750"/>
      <c r="T750" s="1"/>
      <c r="U750"/>
      <c r="V750"/>
      <c r="W750"/>
      <c r="X750"/>
      <c r="Y750"/>
      <c r="Z750"/>
      <c r="AA750"/>
      <c r="AB750"/>
      <c r="AC750"/>
      <c r="AD750"/>
      <c r="AE750"/>
      <c r="AF750"/>
      <c r="AG750" s="3"/>
      <c r="AH750"/>
      <c r="AI750"/>
      <c r="AJ750"/>
      <c r="AK750"/>
      <c r="AL750" s="1"/>
      <c r="AM750" s="3"/>
      <c r="AN750" s="3"/>
      <c r="AO750"/>
      <c r="AP750" s="1"/>
      <c r="AQ750" s="3"/>
      <c r="AR750" s="3"/>
      <c r="AS750"/>
      <c r="AT750"/>
      <c r="AU750"/>
      <c r="AV750"/>
      <c r="AW750" s="4"/>
      <c r="AX750" s="4"/>
      <c r="AY750" s="6"/>
      <c r="AZ750" s="7"/>
      <c r="BA750" s="4"/>
      <c r="BB750"/>
      <c r="BC750" s="4"/>
      <c r="BD750" s="4"/>
      <c r="BE750" s="6"/>
      <c r="BF750" s="7"/>
      <c r="BG750" s="4"/>
      <c r="BH750" s="4"/>
      <c r="BI750" s="4"/>
      <c r="BJ750" s="4"/>
      <c r="BK750" s="6"/>
      <c r="BL750" s="7"/>
      <c r="BM750" s="4"/>
      <c r="BN750"/>
      <c r="BO750" s="4"/>
      <c r="BP750" s="4"/>
      <c r="BQ750" s="6"/>
      <c r="BR750" s="7"/>
      <c r="BS750" s="4"/>
      <c r="BT750" s="4"/>
      <c r="BU750" s="4"/>
      <c r="BV750" s="4"/>
      <c r="BW750" s="6"/>
      <c r="BX750" s="7"/>
      <c r="BY750" s="4"/>
      <c r="BZ750" s="4"/>
      <c r="CA750" s="4"/>
      <c r="CB750" s="4"/>
      <c r="CC750" s="6"/>
      <c r="CD750" s="7"/>
      <c r="CE750" s="4"/>
      <c r="CF750" s="4"/>
      <c r="CG750" s="4"/>
      <c r="CH750" s="4"/>
      <c r="CI750" s="6"/>
      <c r="CJ750" s="7"/>
      <c r="CK750" s="4"/>
      <c r="CL750" s="4"/>
      <c r="CM750" s="4"/>
      <c r="CN750" s="4"/>
      <c r="CO750" s="6"/>
      <c r="CP750" s="7"/>
      <c r="CQ750" s="4"/>
      <c r="CR750" s="4"/>
      <c r="CS750" s="4"/>
      <c r="CT750" s="4"/>
      <c r="CU750" s="6"/>
      <c r="CV750" s="7"/>
      <c r="CW750" s="4"/>
      <c r="CX750" s="4"/>
      <c r="CY750" s="4"/>
      <c r="CZ750" s="4"/>
      <c r="DA750" s="4"/>
      <c r="DB750"/>
      <c r="DC750"/>
      <c r="DD750" s="4"/>
      <c r="DE750" s="4"/>
      <c r="DF750" s="4"/>
      <c r="DG750" s="4"/>
      <c r="DH750" s="4"/>
      <c r="DI750" s="4"/>
      <c r="DJ750" s="4"/>
      <c r="DK750" s="4"/>
      <c r="DL750" s="4"/>
      <c r="DM750" s="4"/>
      <c r="DN750" s="4"/>
      <c r="DO750" s="11"/>
      <c r="DP750" s="11"/>
      <c r="DQ750"/>
      <c r="DR750"/>
      <c r="DS750"/>
      <c r="DT750"/>
      <c r="DU750"/>
      <c r="DV750"/>
      <c r="DW750"/>
      <c r="DX750"/>
      <c r="DY750"/>
      <c r="DZ750"/>
      <c r="EA750"/>
      <c r="EB750" s="11"/>
      <c r="EC750"/>
      <c r="ED750"/>
      <c r="EE750"/>
      <c r="EF750"/>
      <c r="EG750"/>
      <c r="EH750" s="11"/>
      <c r="EI750" s="11"/>
      <c r="EJ750" s="4"/>
      <c r="EK750" s="4"/>
      <c r="EL750" s="4"/>
      <c r="EM750" s="4"/>
      <c r="EN750" s="4"/>
      <c r="EO750" s="4"/>
      <c r="EP750" s="4"/>
      <c r="EQ750" s="4"/>
      <c r="ER750" s="4"/>
      <c r="ES750" s="4"/>
      <c r="ET750" s="4"/>
      <c r="EU750" s="4"/>
      <c r="EV750" s="4"/>
      <c r="EW750"/>
      <c r="EX750"/>
      <c r="EY750"/>
      <c r="EZ750"/>
      <c r="FA750"/>
      <c r="FB750"/>
      <c r="FC750"/>
      <c r="FD750"/>
      <c r="FE750"/>
      <c r="FF750"/>
      <c r="FG750"/>
      <c r="FH750"/>
      <c r="FI750"/>
      <c r="FJ750"/>
      <c r="FK750"/>
      <c r="FL750"/>
      <c r="FM750"/>
      <c r="FN750"/>
      <c r="FO750"/>
      <c r="FP750"/>
      <c r="FQ750"/>
      <c r="FR750" s="10"/>
      <c r="FS750"/>
      <c r="FT750"/>
      <c r="FU750"/>
      <c r="FV750"/>
      <c r="FW750"/>
      <c r="FX750"/>
      <c r="FY750" s="10"/>
      <c r="FZ750"/>
      <c r="GA750"/>
      <c r="GB750"/>
      <c r="GC750"/>
      <c r="GD750"/>
      <c r="GE750"/>
      <c r="GF750"/>
      <c r="GG750"/>
      <c r="GH750"/>
      <c r="GI750"/>
      <c r="GJ750"/>
      <c r="GK750" s="9"/>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row>
    <row r="751" spans="1:265" ht="15" customHeight="1">
      <c r="A751">
        <v>102024147</v>
      </c>
      <c r="B751" t="s">
        <v>5510</v>
      </c>
      <c r="D751" s="1"/>
      <c r="E751" s="3" t="s">
        <v>5894</v>
      </c>
      <c r="F751" s="2">
        <v>240003055</v>
      </c>
      <c r="G751" s="3"/>
      <c r="J751" t="s">
        <v>311</v>
      </c>
      <c r="K751" t="s">
        <v>5511</v>
      </c>
      <c r="L751" t="s">
        <v>420</v>
      </c>
      <c r="M751" t="s">
        <v>537</v>
      </c>
      <c r="O751" s="3"/>
      <c r="P751" t="s">
        <v>5512</v>
      </c>
      <c r="Q751" t="s">
        <v>911</v>
      </c>
      <c r="R751" t="s">
        <v>448</v>
      </c>
      <c r="AG751" s="43"/>
      <c r="AJ751" t="s">
        <v>5513</v>
      </c>
      <c r="AK751" s="1" t="s">
        <v>258</v>
      </c>
      <c r="AL751" s="18" t="s">
        <v>259</v>
      </c>
      <c r="AM751" t="s">
        <v>260</v>
      </c>
      <c r="AN751"/>
      <c r="AO751" t="s">
        <v>5671</v>
      </c>
      <c r="AP751" s="1" t="s">
        <v>258</v>
      </c>
      <c r="AQ751" s="18" t="s">
        <v>5672</v>
      </c>
      <c r="AR751"/>
      <c r="AS751" s="10"/>
      <c r="AT751" s="10"/>
      <c r="AU751" s="10"/>
      <c r="AV751" s="10"/>
      <c r="AW751" s="10"/>
      <c r="AX751" s="1" t="s">
        <v>258</v>
      </c>
      <c r="AY751" s="1" t="s">
        <v>258</v>
      </c>
      <c r="AZ751" s="1"/>
      <c r="BA751" s="1"/>
      <c r="BB751" s="1"/>
      <c r="BC751" s="70">
        <v>45470</v>
      </c>
      <c r="BD751" s="115">
        <v>45408</v>
      </c>
      <c r="BE751" s="144">
        <v>45427</v>
      </c>
      <c r="BF751" s="2"/>
      <c r="BG751" s="2"/>
      <c r="BH751" s="2"/>
      <c r="BI751" s="2"/>
      <c r="BJ751" s="70">
        <v>45545</v>
      </c>
      <c r="BK751" s="70" t="s">
        <v>5895</v>
      </c>
      <c r="BL751" s="20">
        <f ca="1">SUM(EH751)+220</f>
        <v>1856.0224333333331</v>
      </c>
      <c r="BM751" s="22">
        <f ca="1">PMT(10%/12,12,BL751,0,0)</f>
        <v>-163.1738589453013</v>
      </c>
      <c r="BN751" s="22">
        <f ca="1">SUM(BM751*-1)</f>
        <v>163.1738589453013</v>
      </c>
      <c r="BO751" s="14">
        <f>SUM(EP751*0.0052)/12</f>
        <v>35.619999999999997</v>
      </c>
      <c r="BP751" s="22">
        <f ca="1">SUM(BN751+BO751)</f>
        <v>198.79385894530131</v>
      </c>
      <c r="BQ751" s="14"/>
      <c r="BR751" s="14">
        <f>SUM(BQ751*0.1)</f>
        <v>0</v>
      </c>
      <c r="BS751" s="14">
        <f ca="1">SUM(BT751*BU751)</f>
        <v>0</v>
      </c>
      <c r="BT751" s="17">
        <f>SUM((BQ751+BR751)*0.00833333333333333)</f>
        <v>0</v>
      </c>
      <c r="BU751" s="23">
        <f ca="1">MONTH(TODAY())+49</f>
        <v>53</v>
      </c>
      <c r="BV751" s="14">
        <f ca="1">SUM(BQ751,BR751,BS751)</f>
        <v>0</v>
      </c>
      <c r="BW751" s="14">
        <v>0</v>
      </c>
      <c r="BX751" s="14">
        <f>SUM(BW751*0.1)</f>
        <v>0</v>
      </c>
      <c r="BY751" s="14">
        <f ca="1">SUM(BZ751*CA751)</f>
        <v>0</v>
      </c>
      <c r="BZ751" s="17">
        <f>SUM((BW751+BX751)*0.00833333333333333)</f>
        <v>0</v>
      </c>
      <c r="CA751" s="23">
        <f ca="1">MONTH(TODAY())+37</f>
        <v>41</v>
      </c>
      <c r="CB751" s="14">
        <f ca="1">SUM(BW751,BX751,BY751)</f>
        <v>0</v>
      </c>
      <c r="CC751" s="14">
        <v>0</v>
      </c>
      <c r="CD751" s="14">
        <f>SUM(CC751*0.1)</f>
        <v>0</v>
      </c>
      <c r="CE751" s="14">
        <f ca="1">SUM(CF751*CG751)</f>
        <v>0</v>
      </c>
      <c r="CF751" s="17">
        <f>SUM((CC751+CD751)*0.00833333333333333)</f>
        <v>0</v>
      </c>
      <c r="CG751" s="23">
        <f ca="1">MONTH(TODAY())+25</f>
        <v>29</v>
      </c>
      <c r="CH751" s="14">
        <f ca="1">SUM(CC751,CD751,CE751)</f>
        <v>0</v>
      </c>
      <c r="CI751" s="14">
        <f>SUM(EM751*0.0052)/2</f>
        <v>132.34</v>
      </c>
      <c r="CJ751" s="14">
        <f>SUM(CI751*0.1)</f>
        <v>13.234000000000002</v>
      </c>
      <c r="CK751" s="14">
        <f ca="1">SUM(CL751*CM751)</f>
        <v>25.475449999999988</v>
      </c>
      <c r="CL751" s="17">
        <f>SUM((CI751+CJ751)*0.00833333333333333)</f>
        <v>1.2131166666666662</v>
      </c>
      <c r="CM751" s="23">
        <f ca="1">MONTH(TODAY())+17</f>
        <v>21</v>
      </c>
      <c r="CN751" s="23">
        <f ca="1">SUM(CI751,CJ751,CK751)</f>
        <v>171.04945000000001</v>
      </c>
      <c r="CO751" s="14">
        <f>SUM(EM751*0.0052)/2</f>
        <v>132.34</v>
      </c>
      <c r="CP751" s="14">
        <f>SUM(CO751*0.1)</f>
        <v>13.234000000000002</v>
      </c>
      <c r="CQ751" s="14">
        <f ca="1">SUM(CR751*CS751)</f>
        <v>20.622983333333323</v>
      </c>
      <c r="CR751" s="17">
        <f>SUM((CO751+CP751)*0.00833333333333333)</f>
        <v>1.2131166666666662</v>
      </c>
      <c r="CS751" s="23">
        <f ca="1">MONTH(TODAY())+13</f>
        <v>17</v>
      </c>
      <c r="CT751" s="23">
        <f ca="1">SUM(CO751,CP751,CQ751)</f>
        <v>166.19698333333332</v>
      </c>
      <c r="CU751" s="14">
        <f>SUM(EP751*0.0045)/2</f>
        <v>184.95</v>
      </c>
      <c r="CV751" s="14">
        <f>SUM(CU751*0.1)</f>
        <v>18.495000000000001</v>
      </c>
      <c r="CW751" s="14">
        <f ca="1">SUM(CX751*CY751)</f>
        <v>18.649124999999991</v>
      </c>
      <c r="CX751" s="17">
        <f>SUM((CU751+CV751)*0.00833333333333333)</f>
        <v>1.6953749999999992</v>
      </c>
      <c r="CY751" s="23">
        <f ca="1">MONTH(TODAY())+7</f>
        <v>11</v>
      </c>
      <c r="CZ751" s="23">
        <f ca="1">SUM(CU751,CV751,CW751)</f>
        <v>222.09412499999999</v>
      </c>
      <c r="DA751" s="14">
        <f>SUM(EP751*0.0045)/2</f>
        <v>184.95</v>
      </c>
      <c r="DB751" s="14">
        <f>SUM(DA751*0.1)</f>
        <v>18.495000000000001</v>
      </c>
      <c r="DC751" s="14">
        <f ca="1">SUM(DD751*DE751)</f>
        <v>8.4768749999999962</v>
      </c>
      <c r="DD751" s="17">
        <f>SUM((DA751+DB751)*0.00833333333333333)</f>
        <v>1.6953749999999992</v>
      </c>
      <c r="DE751" s="23">
        <f ca="1">MONTH(TODAY())+1</f>
        <v>5</v>
      </c>
      <c r="DF751" s="14">
        <f ca="1">SUM(DA751,DB751,DC751)</f>
        <v>211.921875</v>
      </c>
      <c r="DG751" s="14">
        <f>SUM(EP751*0.0045)/2</f>
        <v>184.95</v>
      </c>
      <c r="DH751" s="14">
        <f>0</f>
        <v>0</v>
      </c>
      <c r="DI751" s="14">
        <f>0</f>
        <v>0</v>
      </c>
      <c r="DJ751" s="17">
        <f>SUM((DG751+DH751)*0.00833333333333333)</f>
        <v>1.5412499999999993</v>
      </c>
      <c r="DK751" s="23">
        <f ca="1">MONTH(TODAY())+7</f>
        <v>11</v>
      </c>
      <c r="DL751" s="23">
        <f>SUM(DG751,DH751,DI751)</f>
        <v>184.95</v>
      </c>
      <c r="DM751" s="14">
        <f>0</f>
        <v>0</v>
      </c>
      <c r="DN751" s="14">
        <f>0</f>
        <v>0</v>
      </c>
      <c r="DO751" s="14">
        <f ca="1">SUM(DP751*DQ751)</f>
        <v>0</v>
      </c>
      <c r="DP751" s="17">
        <f>SUM((DM751+DN751)*0.00833333333333333)</f>
        <v>0</v>
      </c>
      <c r="DQ751" s="23">
        <f ca="1">MONTH(TODAY())+1</f>
        <v>5</v>
      </c>
      <c r="DR751" s="14">
        <f ca="1">SUM(DM751,DN751,DO751)</f>
        <v>0</v>
      </c>
      <c r="DS751" s="14">
        <f>SUM(BQ751, BW751, CC751, CI751,CO751,CU751,DA751,DG751,DM751)</f>
        <v>819.53</v>
      </c>
      <c r="DT751" s="14">
        <f>SUM(BR751,BX751,CD751, CJ751,CP751,CV751,DB751,DH751,DN751)</f>
        <v>63.458000000000013</v>
      </c>
      <c r="DU751" s="14">
        <f ca="1">SUM(BS751,BY751,CE751, CK751,CQ751,CW751,DC751,DI751,DO751)</f>
        <v>73.224433333333295</v>
      </c>
      <c r="DV751" s="25">
        <f ca="1">SUM(DS751:DU751)</f>
        <v>956.21243333333325</v>
      </c>
      <c r="DW751" s="47">
        <f ca="1">SUM(DV751/EM751)</f>
        <v>1.8786098886705956E-2</v>
      </c>
      <c r="DX751" s="14">
        <f>20+10+200+200</f>
        <v>430</v>
      </c>
      <c r="DY751" s="32">
        <f>COUNTIF(AO751, "*")+COUNTIF(AJ751, "*")+COUNTIF(AA751, "*")+COUNTIF(FA751, "*")+COUNTIF(FG751, "*")+COUNTIF(FM751, "*")+COUNTIF(FQ751, "*")+COUNTIF(FX751, "*")+COUNTIF(AT751, "*")+COUNTIF(GG751, "*")+COUNTIF(GR751, "*")+COUNTIF(HC751, "*")+COUNTIF(HK751, "*")+COUNTIF(HS751, "*")+COUNTIF(IA751, "*")</f>
        <v>2</v>
      </c>
      <c r="DZ751" s="14">
        <f>1.28+DY751*8</f>
        <v>17.28</v>
      </c>
      <c r="EA751" s="4">
        <v>200</v>
      </c>
      <c r="EB751" s="4">
        <v>32.53</v>
      </c>
      <c r="EC751" s="4"/>
      <c r="ED751" s="4"/>
      <c r="EF751" s="4"/>
      <c r="EG751" s="14">
        <f>SUM(EB751:EF751)</f>
        <v>32.53</v>
      </c>
      <c r="EH751" s="14">
        <f ca="1">SUM(DV751,DX751,EG751, EA751, DZ751,GD751)</f>
        <v>1636.0224333333331</v>
      </c>
      <c r="EI751" s="24" t="s">
        <v>4935</v>
      </c>
      <c r="EJ751" s="23">
        <f>0.05+0.02+0.08+0.07+0.08+0.11+0.14+0.09+0.09+0.1+0.11</f>
        <v>0.94</v>
      </c>
      <c r="EK751" s="14">
        <f>6400+100+500+500+500+300+300+300+300+300+300</f>
        <v>9800</v>
      </c>
      <c r="EL751" s="14">
        <v>41100</v>
      </c>
      <c r="EM751" s="14">
        <f>SUM(EK751+EL751)</f>
        <v>50900</v>
      </c>
      <c r="EN751" s="14">
        <f>6400+100+500+500+500+300+300+300+300+300+300</f>
        <v>9800</v>
      </c>
      <c r="EO751" s="14">
        <v>72400</v>
      </c>
      <c r="EP751" s="14">
        <f>SUM(EN751+EO751)</f>
        <v>82200</v>
      </c>
      <c r="EQ751" s="10" t="s">
        <v>5669</v>
      </c>
      <c r="ER751" s="10" t="s">
        <v>5677</v>
      </c>
      <c r="ES751" s="10" t="s">
        <v>5670</v>
      </c>
      <c r="ET751" s="10"/>
      <c r="EU751" s="10"/>
      <c r="EV751" s="10"/>
      <c r="EW751" s="10"/>
      <c r="EX751" s="10"/>
      <c r="GD751" s="4"/>
      <c r="IE751" s="9"/>
      <c r="IN751" s="4"/>
      <c r="IO751" s="4"/>
      <c r="IP751" s="4"/>
      <c r="IQ751" s="9"/>
      <c r="IR751" s="9"/>
      <c r="IS751" s="9"/>
      <c r="IT751" s="9"/>
      <c r="IU751" s="9"/>
    </row>
    <row r="752" spans="1:265" ht="15" customHeight="1">
      <c r="A752" s="2">
        <v>102019017</v>
      </c>
      <c r="B752" s="4" t="s">
        <v>563</v>
      </c>
      <c r="C752" s="5"/>
      <c r="D752" s="5"/>
      <c r="E752" s="5"/>
      <c r="F752" s="3"/>
      <c r="G752" s="2"/>
      <c r="J752" t="s">
        <v>434</v>
      </c>
      <c r="K752" t="s">
        <v>564</v>
      </c>
      <c r="L752" t="s">
        <v>555</v>
      </c>
      <c r="M752" t="s">
        <v>357</v>
      </c>
      <c r="O752" s="1"/>
      <c r="P752" t="s">
        <v>564</v>
      </c>
      <c r="Q752" t="s">
        <v>565</v>
      </c>
      <c r="R752" t="s">
        <v>396</v>
      </c>
      <c r="AC752" s="1"/>
      <c r="AF752" s="4"/>
      <c r="AG752" s="34"/>
      <c r="AK752" s="4"/>
      <c r="AL752" s="5"/>
      <c r="AO752" s="4"/>
      <c r="AP752" s="5"/>
      <c r="AS752" s="1"/>
      <c r="AT752" s="1"/>
      <c r="AU752" s="1"/>
      <c r="AV752" s="1"/>
      <c r="AW752" s="1"/>
      <c r="AX752" s="1"/>
      <c r="AY752" s="1"/>
      <c r="AZ752" s="1"/>
      <c r="BA752" s="1"/>
      <c r="BB752" s="1"/>
      <c r="BC752" s="5"/>
      <c r="BD752" s="16"/>
      <c r="BE752" s="16"/>
      <c r="BG752" s="4"/>
      <c r="BH752" s="4"/>
      <c r="BI752" s="6"/>
      <c r="BJ752" s="7"/>
      <c r="BK752" s="4"/>
      <c r="BL752" s="4"/>
      <c r="BM752" s="4"/>
      <c r="BN752" s="4"/>
      <c r="BO752" s="6"/>
      <c r="BP752" s="7"/>
      <c r="BQ752" s="4"/>
      <c r="BR752" s="4"/>
      <c r="BS752" s="4"/>
      <c r="BT752" s="4"/>
      <c r="BU752" s="6"/>
      <c r="BV752" s="7"/>
      <c r="BW752" s="4"/>
      <c r="BX752" s="4"/>
      <c r="BY752" s="4"/>
      <c r="BZ752" s="4"/>
      <c r="CA752" s="6"/>
      <c r="CB752" s="7"/>
      <c r="CC752" s="4"/>
      <c r="CD752" s="4"/>
      <c r="CE752" s="4"/>
      <c r="CF752" s="4"/>
      <c r="CG752" s="6"/>
      <c r="CH752" s="7"/>
      <c r="CI752" s="4"/>
      <c r="CJ752" s="4"/>
      <c r="CK752" s="4"/>
      <c r="CL752" s="4"/>
      <c r="CM752" s="6"/>
      <c r="CN752" s="7"/>
      <c r="CO752" s="4"/>
      <c r="CP752" s="4"/>
      <c r="CQ752" s="4"/>
      <c r="CR752" s="4"/>
      <c r="CS752" s="6"/>
      <c r="CT752" s="7"/>
      <c r="CU752" s="4"/>
      <c r="CV752" s="4"/>
      <c r="CW752" s="4"/>
      <c r="CX752" s="4"/>
      <c r="CY752" s="6"/>
      <c r="CZ752" s="7"/>
      <c r="DA752" s="4"/>
      <c r="DB752" s="4"/>
      <c r="DC752" s="4"/>
      <c r="DD752" s="14"/>
      <c r="DE752" s="14"/>
      <c r="DF752" s="4"/>
      <c r="DG752" s="3"/>
      <c r="DH752" s="4"/>
      <c r="DI752" s="234"/>
      <c r="DJ752" s="7"/>
      <c r="DK752" s="4"/>
      <c r="DL752" s="4"/>
      <c r="DM752" s="4"/>
      <c r="DN752" s="4"/>
      <c r="DO752" s="4"/>
      <c r="DP752" s="7"/>
      <c r="DQ752" s="8"/>
      <c r="DR752" s="4"/>
      <c r="DS752" s="8"/>
      <c r="DT752" s="4"/>
      <c r="DU752" s="4"/>
      <c r="DV752" s="7"/>
      <c r="EE752" s="11"/>
      <c r="EK752" s="11"/>
      <c r="EL752" s="11"/>
      <c r="EM752" s="4"/>
      <c r="EN752" s="4"/>
      <c r="EO752" s="4"/>
      <c r="EP752" s="4"/>
      <c r="EQ752" s="4"/>
      <c r="ER752" s="4"/>
      <c r="ES752" s="4"/>
      <c r="ET752" s="4"/>
      <c r="EU752" s="4"/>
      <c r="EV752" s="4"/>
      <c r="EW752" s="4"/>
      <c r="EX752" s="4"/>
      <c r="EY752" s="4"/>
      <c r="EZ752" s="4"/>
      <c r="FA752" s="4"/>
      <c r="FE752" s="9"/>
      <c r="FN752" s="9"/>
      <c r="FT752" s="4"/>
      <c r="FY752" s="10"/>
      <c r="GI752" s="10"/>
      <c r="GX752" s="9"/>
      <c r="IF752" s="4"/>
      <c r="IG752" s="4"/>
      <c r="IH752" s="9"/>
      <c r="IL752" s="27"/>
      <c r="IM752" s="18"/>
      <c r="IN752" s="18"/>
      <c r="IO752" s="18"/>
      <c r="IP752" s="18"/>
      <c r="IQ752" s="18"/>
      <c r="IR752" s="18"/>
      <c r="IS752" s="14"/>
      <c r="IT752" s="14"/>
      <c r="IU752" s="18"/>
      <c r="IV752" s="18"/>
    </row>
    <row r="753" spans="1:263" ht="15" customHeight="1">
      <c r="A753" s="2">
        <v>102019049</v>
      </c>
      <c r="B753" s="4" t="s">
        <v>1373</v>
      </c>
      <c r="C753" s="4"/>
      <c r="E753" s="3"/>
      <c r="F753" s="2"/>
      <c r="G753" s="2"/>
      <c r="H753" s="2"/>
      <c r="J753" t="s">
        <v>554</v>
      </c>
      <c r="K753" t="s">
        <v>306</v>
      </c>
      <c r="L753" t="s">
        <v>741</v>
      </c>
      <c r="M753" t="s">
        <v>396</v>
      </c>
      <c r="O753" s="1"/>
      <c r="P753" t="s">
        <v>306</v>
      </c>
      <c r="Q753" t="s">
        <v>1370</v>
      </c>
      <c r="R753" t="s">
        <v>650</v>
      </c>
      <c r="T753" s="1"/>
      <c r="AF753" s="3"/>
      <c r="AG753" s="1"/>
      <c r="AJ753" s="4"/>
      <c r="AK753" s="4"/>
      <c r="AO753" s="4"/>
      <c r="AP753" s="5"/>
      <c r="AS753" s="5"/>
      <c r="AT753" s="5"/>
      <c r="AU753" s="1"/>
      <c r="AV753" s="1"/>
      <c r="AW753" s="1"/>
      <c r="AX753" s="1"/>
      <c r="AY753" s="1"/>
      <c r="AZ753" s="1"/>
      <c r="BA753" s="1"/>
      <c r="BB753" s="1"/>
      <c r="BC753" s="1"/>
      <c r="BD753" s="1"/>
      <c r="BE753" s="1"/>
      <c r="BF753" s="1"/>
      <c r="BG753" s="5"/>
      <c r="BH753" s="16"/>
      <c r="BI753" s="16"/>
      <c r="BK753" s="4"/>
      <c r="BL753" s="4"/>
      <c r="BM753" s="6"/>
      <c r="BN753" s="7"/>
      <c r="BO753" s="4"/>
      <c r="BP753" s="4"/>
      <c r="BQ753" s="4"/>
      <c r="BR753" s="4"/>
      <c r="BS753" s="6"/>
      <c r="BT753" s="7"/>
      <c r="BU753" s="4"/>
      <c r="BV753" s="4"/>
      <c r="BW753" s="4"/>
      <c r="BX753" s="4"/>
      <c r="BY753" s="6"/>
      <c r="BZ753" s="7"/>
      <c r="CA753" s="4"/>
      <c r="CB753" s="4"/>
      <c r="CC753" s="4"/>
      <c r="CD753" s="4"/>
      <c r="CE753" s="6"/>
      <c r="CF753" s="7"/>
      <c r="CG753" s="4"/>
      <c r="CH753" s="4"/>
      <c r="CI753" s="4"/>
      <c r="CJ753" s="4"/>
      <c r="CK753" s="6"/>
      <c r="CL753" s="7"/>
      <c r="CM753" s="4"/>
      <c r="CN753" s="4"/>
      <c r="CO753" s="4"/>
      <c r="CP753" s="4"/>
      <c r="CQ753" s="6"/>
      <c r="CR753" s="7"/>
      <c r="CS753" s="4"/>
      <c r="CT753" s="4"/>
      <c r="CU753" s="4"/>
      <c r="CV753" s="4"/>
      <c r="CW753" s="6"/>
      <c r="CX753" s="7"/>
      <c r="CY753" s="4"/>
      <c r="CZ753" s="4"/>
      <c r="DA753" s="4"/>
      <c r="DB753" s="4"/>
      <c r="DC753" s="6"/>
      <c r="DD753" s="7"/>
      <c r="DE753" s="4"/>
      <c r="DF753" s="4"/>
      <c r="DG753" s="4"/>
      <c r="DH753" s="14"/>
      <c r="DI753" s="14"/>
      <c r="DJ753" s="4"/>
      <c r="DK753" s="3"/>
      <c r="DL753" s="4"/>
      <c r="DM753" s="234"/>
      <c r="DN753" s="4"/>
      <c r="DO753" s="4"/>
      <c r="DP753" s="4"/>
      <c r="DQ753" s="4"/>
      <c r="DR753" s="4"/>
      <c r="DS753" s="4"/>
      <c r="DT753" s="7"/>
      <c r="DU753" s="8"/>
      <c r="DV753" s="4"/>
      <c r="DW753" s="8"/>
      <c r="DX753" s="4"/>
      <c r="DY753" s="4"/>
      <c r="DZ753" s="7"/>
      <c r="EI753" s="11"/>
      <c r="EO753" s="11"/>
      <c r="EP753" s="11"/>
      <c r="EQ753" s="4"/>
      <c r="ER753" s="4"/>
      <c r="ES753" s="4"/>
      <c r="ET753" s="4"/>
      <c r="EU753" s="4"/>
      <c r="EV753" s="4"/>
      <c r="EW753" s="4"/>
      <c r="EX753" s="4"/>
      <c r="EY753" s="4"/>
      <c r="EZ753" s="4"/>
      <c r="FA753" s="4"/>
      <c r="FB753" s="4"/>
      <c r="FC753" s="4"/>
      <c r="FD753" s="4"/>
      <c r="FE753" s="4"/>
      <c r="FI753" s="9"/>
      <c r="FR753" s="9"/>
      <c r="FX753" s="4"/>
      <c r="GC753" s="10"/>
      <c r="GM753" s="10"/>
      <c r="HB753" s="9"/>
      <c r="IJ753" s="4"/>
      <c r="IK753" s="4"/>
      <c r="IN753" t="s">
        <v>1410</v>
      </c>
      <c r="IO753" t="s">
        <v>846</v>
      </c>
      <c r="IP753" t="s">
        <v>386</v>
      </c>
      <c r="IQ753" t="s">
        <v>1411</v>
      </c>
      <c r="IR753">
        <v>124.49</v>
      </c>
      <c r="IS753" s="66">
        <v>105.5</v>
      </c>
      <c r="IT753" s="66">
        <v>0</v>
      </c>
      <c r="IU753" s="9">
        <v>43549</v>
      </c>
      <c r="IV753" s="9">
        <v>43565</v>
      </c>
      <c r="IW753" s="9">
        <v>43699</v>
      </c>
      <c r="IX753" s="9">
        <v>43711</v>
      </c>
    </row>
    <row r="754" spans="1:263" ht="15" customHeight="1">
      <c r="A754" s="19">
        <v>102023013</v>
      </c>
      <c r="B754" s="18" t="s">
        <v>4035</v>
      </c>
      <c r="C754" s="28"/>
      <c r="D754" s="28"/>
      <c r="E754" s="28"/>
      <c r="F754" s="149"/>
      <c r="G754" s="150">
        <v>230001918</v>
      </c>
      <c r="H754" s="28"/>
      <c r="I754" s="28"/>
      <c r="J754" s="28" t="s">
        <v>554</v>
      </c>
      <c r="K754" s="28" t="s">
        <v>306</v>
      </c>
      <c r="L754" s="28" t="s">
        <v>2638</v>
      </c>
      <c r="M754" s="28" t="s">
        <v>426</v>
      </c>
      <c r="N754" s="28"/>
      <c r="O754" s="150"/>
      <c r="P754" s="28" t="s">
        <v>306</v>
      </c>
      <c r="Q754" s="28" t="s">
        <v>1335</v>
      </c>
      <c r="R754" s="28" t="s">
        <v>428</v>
      </c>
      <c r="S754" s="28"/>
      <c r="T754" s="28"/>
      <c r="U754" s="28"/>
      <c r="V754" s="28"/>
      <c r="W754" s="28"/>
      <c r="X754" s="28"/>
      <c r="Y754" s="28"/>
      <c r="Z754" s="28"/>
      <c r="AA754" s="28"/>
      <c r="AB754" s="28"/>
      <c r="AC754" s="28"/>
      <c r="AD754" s="28" t="s">
        <v>4614</v>
      </c>
      <c r="AE754" s="28" t="s">
        <v>311</v>
      </c>
      <c r="AF754" s="28" t="s">
        <v>306</v>
      </c>
      <c r="AG754" s="28" t="s">
        <v>4615</v>
      </c>
      <c r="AH754" s="28" t="s">
        <v>3134</v>
      </c>
      <c r="AI754" s="28" t="s">
        <v>300</v>
      </c>
      <c r="AJ754" s="18" t="s">
        <v>4090</v>
      </c>
      <c r="AK754" s="13" t="s">
        <v>258</v>
      </c>
      <c r="AL754" s="18" t="s">
        <v>259</v>
      </c>
      <c r="AM754" s="18" t="s">
        <v>260</v>
      </c>
      <c r="AN754" s="18"/>
      <c r="AO754" s="18" t="s">
        <v>3134</v>
      </c>
      <c r="AP754" s="13" t="s">
        <v>258</v>
      </c>
      <c r="AQ754" s="18" t="s">
        <v>300</v>
      </c>
      <c r="AR754" s="18" t="s">
        <v>301</v>
      </c>
      <c r="AS754" s="18"/>
      <c r="AT754" s="18"/>
      <c r="AU754" s="18"/>
      <c r="AV754" s="18"/>
      <c r="AW754" s="18"/>
      <c r="AX754" s="13"/>
      <c r="AY754" s="13"/>
      <c r="AZ754" s="13"/>
      <c r="BA754" s="13"/>
      <c r="BB754" s="13"/>
      <c r="BC754" s="48"/>
      <c r="BD754" s="114"/>
      <c r="BE754" s="143">
        <v>45008</v>
      </c>
      <c r="BF754" s="48"/>
      <c r="BG754" s="19"/>
      <c r="BH754" s="48"/>
      <c r="BI754" s="48"/>
      <c r="BJ754" s="48"/>
      <c r="BK754" s="48"/>
      <c r="BL754" s="20">
        <f ca="1">SUM(EH754)+220</f>
        <v>6715.0978749999995</v>
      </c>
      <c r="BM754" s="22">
        <f ca="1">PMT(10%/12,12,BL754,0,0)</f>
        <v>-590.36378751697703</v>
      </c>
      <c r="BN754" s="22">
        <f ca="1">SUM(BM754*-1)</f>
        <v>590.36378751697703</v>
      </c>
      <c r="BO754" s="14">
        <f>SUM(EP754*0.0052)/12</f>
        <v>101.44333333333333</v>
      </c>
      <c r="BP754" s="22">
        <f ca="1">SUM(BN754+BO754)</f>
        <v>691.80712085031041</v>
      </c>
      <c r="BQ754" s="14"/>
      <c r="BR754" s="14">
        <f>SUM(BQ754*0.1)</f>
        <v>0</v>
      </c>
      <c r="BS754" s="14">
        <f ca="1">SUM(BT754*BU754)</f>
        <v>0</v>
      </c>
      <c r="BT754" s="17">
        <f>SUM((BQ754+BR754)*0.00833333333333333)</f>
        <v>0</v>
      </c>
      <c r="BU754" s="23">
        <f ca="1">MONTH(TODAY())+49</f>
        <v>53</v>
      </c>
      <c r="BV754" s="14">
        <f ca="1">SUM(BQ754,BR754,BS754)</f>
        <v>0</v>
      </c>
      <c r="BW754" s="14">
        <f>SUM(EM754*0.0052)</f>
        <v>842.4</v>
      </c>
      <c r="BX754" s="14">
        <f>SUM(BW754*0.1)</f>
        <v>84.240000000000009</v>
      </c>
      <c r="BY754" s="14">
        <f ca="1">SUM(BZ754*CA754)</f>
        <v>316.60199999999986</v>
      </c>
      <c r="BZ754" s="17">
        <f>SUM((BW754+BX754)*0.00833333333333333)</f>
        <v>7.7219999999999969</v>
      </c>
      <c r="CA754" s="23">
        <f ca="1">MONTH(TODAY())+37</f>
        <v>41</v>
      </c>
      <c r="CB754" s="14">
        <f ca="1">SUM(BW754,BX754,BY754)</f>
        <v>1243.2419999999997</v>
      </c>
      <c r="CC754" s="14">
        <f>SUM(EM754*0.0052)</f>
        <v>842.4</v>
      </c>
      <c r="CD754" s="14">
        <f>SUM(CC754*0.1)</f>
        <v>84.240000000000009</v>
      </c>
      <c r="CE754" s="14">
        <f ca="1">SUM(CF754*CG754)</f>
        <v>223.9379999999999</v>
      </c>
      <c r="CF754" s="17">
        <f>SUM((CC754+CD754)*0.00833333333333333)</f>
        <v>7.7219999999999969</v>
      </c>
      <c r="CG754" s="23">
        <f ca="1">MONTH(TODAY())+25</f>
        <v>29</v>
      </c>
      <c r="CH754" s="14">
        <f ca="1">SUM(CC754,CD754,CE754)</f>
        <v>1150.578</v>
      </c>
      <c r="CI754" s="14">
        <f>SUM(EM754*0.0052)/2</f>
        <v>421.2</v>
      </c>
      <c r="CJ754" s="14">
        <f>SUM(CI754*0.1)</f>
        <v>42.120000000000005</v>
      </c>
      <c r="CK754" s="14">
        <f ca="1">SUM(CL754*CM754)</f>
        <v>81.08099999999996</v>
      </c>
      <c r="CL754" s="17">
        <f>SUM((CI754+CJ754)*0.00833333333333333)</f>
        <v>3.8609999999999984</v>
      </c>
      <c r="CM754" s="23">
        <f ca="1">MONTH(TODAY())+17</f>
        <v>21</v>
      </c>
      <c r="CN754" s="23">
        <f ca="1">SUM(CI754,CJ754,CK754)</f>
        <v>544.40099999999995</v>
      </c>
      <c r="CO754" s="14">
        <f>SUM(EM754*0.0052)/2</f>
        <v>421.2</v>
      </c>
      <c r="CP754" s="14">
        <f>SUM(CO754*0.1)</f>
        <v>42.120000000000005</v>
      </c>
      <c r="CQ754" s="14">
        <f ca="1">SUM(CR754*CS754)</f>
        <v>65.636999999999972</v>
      </c>
      <c r="CR754" s="17">
        <f>SUM((CO754+CP754)*0.00833333333333333)</f>
        <v>3.8609999999999984</v>
      </c>
      <c r="CS754" s="23">
        <f ca="1">MONTH(TODAY())+13</f>
        <v>17</v>
      </c>
      <c r="CT754" s="14">
        <f ca="1">SUM(CO754,CP754,CQ754)</f>
        <v>528.95699999999999</v>
      </c>
      <c r="CU754" s="14">
        <f>SUM(EP754*0.0045)/2</f>
        <v>526.72499999999991</v>
      </c>
      <c r="CV754" s="14">
        <f>SUM(CU754*0.1)</f>
        <v>52.672499999999992</v>
      </c>
      <c r="CW754" s="14">
        <f ca="1">SUM(CX754*CY754)</f>
        <v>53.111437499999973</v>
      </c>
      <c r="CX754" s="17">
        <f>SUM((CU754+CV754)*0.00833333333333333)</f>
        <v>4.8283124999999973</v>
      </c>
      <c r="CY754" s="23">
        <f ca="1">MONTH(TODAY())+7</f>
        <v>11</v>
      </c>
      <c r="CZ754" s="14">
        <f ca="1">SUM(CU754,CV754,CW754)</f>
        <v>632.50893749999989</v>
      </c>
      <c r="DA754" s="14">
        <f>SUM(EP754*0.0045)/2</f>
        <v>526.72499999999991</v>
      </c>
      <c r="DB754" s="14">
        <f>SUM(DA754*0.1)</f>
        <v>52.672499999999992</v>
      </c>
      <c r="DC754" s="14">
        <f ca="1">SUM(DD754*DE754)</f>
        <v>24.141562499999985</v>
      </c>
      <c r="DD754" s="17">
        <f>SUM((DA754+DB754)*0.00833333333333333)</f>
        <v>4.8283124999999973</v>
      </c>
      <c r="DE754" s="23">
        <f ca="1">MONTH(TODAY())+1</f>
        <v>5</v>
      </c>
      <c r="DF754" s="14">
        <f ca="1">SUM(DA754,DB754,DC754)</f>
        <v>603.53906249999989</v>
      </c>
      <c r="DG754" s="14">
        <f>SUM(EP754*0.0045)/2</f>
        <v>526.72499999999991</v>
      </c>
      <c r="DH754" s="14">
        <f>SUM(DG754*0.1)</f>
        <v>52.672499999999992</v>
      </c>
      <c r="DI754" s="14">
        <f ca="1">SUM(DJ754*DK754)</f>
        <v>-14.484937499999992</v>
      </c>
      <c r="DJ754" s="17">
        <f>SUM((DG754+DH754)*0.00833333333333333)</f>
        <v>4.8283124999999973</v>
      </c>
      <c r="DK754" s="23">
        <f ca="1">MONTH(TODAY())-7</f>
        <v>-3</v>
      </c>
      <c r="DL754" s="14">
        <f ca="1">SUM(DG754,DH754,DI754)</f>
        <v>564.91256249999992</v>
      </c>
      <c r="DM754" s="14">
        <f>SUM(EP754*0.0045)/2</f>
        <v>526.72499999999991</v>
      </c>
      <c r="DN754" s="14">
        <f>SUM(DM754*0.1)</f>
        <v>52.672499999999992</v>
      </c>
      <c r="DO754" s="14">
        <f ca="1">SUM(DP754*DQ754)</f>
        <v>-33.798187499999983</v>
      </c>
      <c r="DP754" s="17">
        <f>SUM((DM754+DN754)*0.00833333333333333)</f>
        <v>4.8283124999999973</v>
      </c>
      <c r="DQ754" s="23">
        <f ca="1">MONTH(TODAY())-11</f>
        <v>-7</v>
      </c>
      <c r="DR754" s="14">
        <f ca="1">SUM(DM754,DN754,DO754)</f>
        <v>545.5993125</v>
      </c>
      <c r="DS754" s="14">
        <f>SUM(BQ754, BW754, CC754, CI754,CO754,CU754,DA754,DG754,DM754)</f>
        <v>4634.1000000000004</v>
      </c>
      <c r="DT754" s="14">
        <f>SUM(BR754,BX754,CD754, CJ754,CP754,CV754,DB754,DH754,DN754)</f>
        <v>463.41000000000008</v>
      </c>
      <c r="DU754" s="14">
        <f ca="1">SUM(BS754,BY754,CE754, CK754,CQ754,CW754,DC754,DI754,DO754)</f>
        <v>716.22787499999959</v>
      </c>
      <c r="DV754" s="25">
        <f ca="1">SUM(DS754:DU754)</f>
        <v>5813.7378749999998</v>
      </c>
      <c r="DW754" s="47">
        <f ca="1">SUM(DV754/EM754)</f>
        <v>3.5887270833333332E-2</v>
      </c>
      <c r="DX754" s="14">
        <f>20+200+60+160+60</f>
        <v>500</v>
      </c>
      <c r="DY754" s="32">
        <f>COUNTIF(AO754, "*")+COUNTIF(AJ754, "*")+COUNTIF(AA754, "*")+COUNTIF(FA754, "*")+COUNTIF(FG754, "*")+COUNTIF(FM754, "*")+COUNTIF(FQ754, "*")+COUNTIF(FX754, "*")+COUNTIF(AT754, "*")+COUNTIF(GG754, "*")+COUNTIF(GR754, "*")+COUNTIF(HC754, "*")+COUNTIF(HK754, "*")+COUNTIF(HS754, "*")+COUNTIF(IA754, "*")</f>
        <v>2</v>
      </c>
      <c r="DZ754" s="286">
        <f>DY754*0.6+DY754*7.45+7.45+7.81</f>
        <v>31.36</v>
      </c>
      <c r="EA754" s="14"/>
      <c r="EB754" s="14">
        <v>150</v>
      </c>
      <c r="EC754" s="14"/>
      <c r="ED754" s="14"/>
      <c r="EE754" s="14"/>
      <c r="EF754" s="14"/>
      <c r="EG754" s="14">
        <f>SUM(EA754:EF754)</f>
        <v>150</v>
      </c>
      <c r="EH754" s="14">
        <f ca="1">SUM(DV754,DX754,EG754,DZ754,GD754)</f>
        <v>6495.0978749999995</v>
      </c>
      <c r="EI754" s="24" t="s">
        <v>3974</v>
      </c>
      <c r="EJ754" s="23">
        <v>0.65</v>
      </c>
      <c r="EK754" s="14">
        <v>14500</v>
      </c>
      <c r="EL754" s="14">
        <v>147500</v>
      </c>
      <c r="EM754" s="14">
        <f>SUM(EK754+EL754)</f>
        <v>162000</v>
      </c>
      <c r="EN754" s="14">
        <v>16800</v>
      </c>
      <c r="EO754" s="14">
        <v>217300</v>
      </c>
      <c r="EP754" s="14">
        <f>SUM(EN754+EO754)</f>
        <v>234100</v>
      </c>
      <c r="EQ754" s="148" t="s">
        <v>4562</v>
      </c>
      <c r="ER754" s="148" t="s">
        <v>4563</v>
      </c>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7"/>
      <c r="FV754" s="28"/>
      <c r="FW754" s="28"/>
      <c r="FX754" s="28"/>
      <c r="FY754" s="28"/>
      <c r="FZ754" s="28"/>
      <c r="GA754" s="28"/>
      <c r="GB754" s="27"/>
      <c r="GC754" s="28"/>
      <c r="GD754" s="28"/>
      <c r="GE754" s="28"/>
      <c r="GF754" s="28"/>
      <c r="GG754" s="28"/>
      <c r="GH754" s="28"/>
      <c r="GI754" s="28"/>
      <c r="GJ754" s="28"/>
      <c r="GK754" s="27"/>
      <c r="GL754" s="28"/>
      <c r="GM754" s="28"/>
      <c r="GN754" s="28"/>
      <c r="GO754" s="28"/>
      <c r="GP754" s="28"/>
      <c r="GQ754" s="28"/>
      <c r="GR754" s="28"/>
      <c r="GS754" s="28"/>
      <c r="GT754" s="28"/>
      <c r="GU754" s="28"/>
      <c r="GV754" s="27"/>
      <c r="GW754" s="28"/>
      <c r="GX754" s="28"/>
      <c r="GY754" s="28"/>
      <c r="GZ754" s="28"/>
      <c r="HA754" s="28"/>
      <c r="HB754" s="28"/>
      <c r="HC754" s="28"/>
      <c r="HD754" s="28"/>
      <c r="HE754" s="28"/>
      <c r="HF754" s="28"/>
      <c r="HG754" s="27"/>
      <c r="HH754" s="28"/>
      <c r="HI754" s="28"/>
      <c r="HJ754" s="28"/>
      <c r="HK754" s="28"/>
      <c r="HL754" s="28"/>
      <c r="HM754" s="28"/>
      <c r="HN754" s="28"/>
      <c r="HO754" s="27"/>
      <c r="HP754" s="28"/>
      <c r="HQ754" s="28"/>
      <c r="HR754" s="28"/>
      <c r="HS754" s="28"/>
      <c r="HT754" s="28"/>
      <c r="HU754" s="28"/>
      <c r="HV754" s="28"/>
      <c r="HW754" s="27"/>
      <c r="HX754" s="28"/>
      <c r="HY754" s="28"/>
      <c r="HZ754" s="28"/>
      <c r="IA754" s="28"/>
      <c r="IB754" s="28"/>
      <c r="IC754" s="28"/>
      <c r="ID754" s="28"/>
      <c r="IE754" s="27"/>
      <c r="IF754" s="14"/>
      <c r="IG754" s="14"/>
      <c r="IH754" s="28"/>
      <c r="II754" s="28"/>
      <c r="IJ754" s="28"/>
      <c r="IK754" s="28"/>
      <c r="IL754" s="14"/>
      <c r="IM754" s="14"/>
      <c r="IN754" s="14">
        <f ca="1">SUM(IF754-EH754-GD754-IL754)</f>
        <v>-6495.0978749999995</v>
      </c>
      <c r="IO754" s="14"/>
      <c r="IP754" s="14"/>
      <c r="IQ754" s="27"/>
      <c r="IR754" s="27"/>
      <c r="IS754" s="27"/>
      <c r="IT754" s="27"/>
      <c r="IU754" s="27"/>
      <c r="IV754" t="s">
        <v>5913</v>
      </c>
    </row>
    <row r="755" spans="1:263" ht="15" customHeight="1">
      <c r="A755" s="2">
        <v>102018041</v>
      </c>
      <c r="B755" s="4" t="s">
        <v>414</v>
      </c>
      <c r="C755" s="5"/>
      <c r="D755" s="5"/>
      <c r="E755" s="5"/>
      <c r="G755" s="19">
        <v>190002075</v>
      </c>
      <c r="H755" s="19"/>
      <c r="I755" s="19"/>
      <c r="J755" t="s">
        <v>305</v>
      </c>
      <c r="K755" t="s">
        <v>415</v>
      </c>
      <c r="L755" t="s">
        <v>416</v>
      </c>
      <c r="M755" t="s">
        <v>256</v>
      </c>
      <c r="O755" s="1"/>
      <c r="P755" t="s">
        <v>415</v>
      </c>
      <c r="Q755" t="s">
        <v>417</v>
      </c>
      <c r="R755" t="s">
        <v>392</v>
      </c>
      <c r="AJ755" s="4"/>
      <c r="AK755" s="4"/>
      <c r="AO755" s="4"/>
      <c r="AP755" s="5"/>
      <c r="AQ755" s="34"/>
      <c r="AS755" s="5"/>
      <c r="AT755" s="5"/>
      <c r="AU755" s="1"/>
      <c r="AV755" s="1"/>
      <c r="AW755" s="1"/>
      <c r="AX755" s="1"/>
      <c r="AY755" s="1"/>
      <c r="AZ755" s="1"/>
      <c r="BA755" s="1"/>
      <c r="BB755" s="1"/>
      <c r="BC755" s="1"/>
      <c r="BD755" s="1"/>
      <c r="BE755" s="1"/>
      <c r="BF755" s="1"/>
      <c r="BG755" s="5"/>
      <c r="BH755" s="16"/>
      <c r="BI755" s="16"/>
      <c r="BK755" s="4"/>
      <c r="BL755" s="4"/>
      <c r="BM755" s="6"/>
      <c r="BN755" s="7"/>
      <c r="BO755" s="4"/>
      <c r="BQ755" s="4"/>
      <c r="BR755" s="4"/>
      <c r="BS755" s="6"/>
      <c r="BT755" s="7"/>
      <c r="BU755" s="4"/>
      <c r="BV755" s="4"/>
      <c r="BW755" s="4"/>
      <c r="BX755" s="4"/>
      <c r="BY755" s="6"/>
      <c r="BZ755" s="7"/>
      <c r="CA755" s="4"/>
      <c r="CB755" s="4"/>
      <c r="CC755" s="4"/>
      <c r="CD755" s="4"/>
      <c r="CE755" s="6"/>
      <c r="CF755" s="7"/>
      <c r="CG755" s="4"/>
      <c r="CH755" s="6"/>
      <c r="CI755" s="4"/>
      <c r="CJ755" s="4"/>
      <c r="CK755" s="6"/>
      <c r="CL755" s="7"/>
      <c r="CM755" s="4"/>
      <c r="CN755" s="4"/>
      <c r="CO755" s="4"/>
      <c r="CP755" s="4"/>
      <c r="CQ755" s="6"/>
      <c r="CR755" s="7"/>
      <c r="CS755" s="4"/>
      <c r="CT755" s="4"/>
      <c r="CU755" s="4"/>
      <c r="CV755" s="4"/>
      <c r="CW755" s="6"/>
      <c r="CX755" s="7"/>
      <c r="CY755" s="4"/>
      <c r="CZ755" s="4"/>
      <c r="DA755" s="4"/>
      <c r="DB755" s="4"/>
      <c r="DC755" s="6"/>
      <c r="DD755" s="7"/>
      <c r="DE755" s="4"/>
      <c r="DF755" s="4"/>
      <c r="DG755" s="4"/>
      <c r="DH755" s="4"/>
      <c r="DI755" s="6"/>
      <c r="DJ755" s="7"/>
      <c r="DK755" s="4"/>
      <c r="DL755" s="4"/>
      <c r="DM755" s="4"/>
      <c r="DN755" s="4"/>
      <c r="DO755" s="4"/>
      <c r="DP755" s="4"/>
      <c r="DR755" s="4"/>
      <c r="DS755" s="4"/>
      <c r="DT755" s="4"/>
      <c r="DU755" s="4"/>
      <c r="DV755" s="4"/>
      <c r="DW755" s="4"/>
      <c r="DX755" s="4"/>
      <c r="DY755" s="7"/>
      <c r="DZ755" s="4"/>
      <c r="EA755" s="4"/>
      <c r="EB755" s="34"/>
      <c r="EC755" s="4"/>
      <c r="ED755" s="4"/>
      <c r="EM755" s="11"/>
      <c r="ES755" s="11"/>
      <c r="ET755" s="11"/>
      <c r="EU755" s="4"/>
      <c r="EV755" s="4"/>
      <c r="EW755" s="4"/>
      <c r="EX755" s="4"/>
      <c r="EY755" s="4"/>
      <c r="EZ755" s="4"/>
      <c r="FA755" s="4"/>
      <c r="FB755" s="4"/>
      <c r="FC755" s="4"/>
      <c r="FD755" s="4"/>
      <c r="FE755" s="4"/>
      <c r="FF755" s="4"/>
      <c r="FG755" s="4"/>
      <c r="FH755" s="4"/>
      <c r="FL755" s="9"/>
      <c r="FU755" s="9"/>
      <c r="GE755" s="10"/>
      <c r="GO755" s="10"/>
      <c r="HD755" s="9"/>
    </row>
    <row r="756" spans="1:263" ht="15" customHeight="1">
      <c r="A756" s="2">
        <v>102017021</v>
      </c>
      <c r="B756" t="s">
        <v>827</v>
      </c>
      <c r="E756" t="s">
        <v>828</v>
      </c>
      <c r="F756">
        <v>180001429</v>
      </c>
      <c r="J756" t="s">
        <v>829</v>
      </c>
      <c r="K756" t="s">
        <v>830</v>
      </c>
      <c r="L756" t="s">
        <v>831</v>
      </c>
      <c r="M756" t="s">
        <v>392</v>
      </c>
      <c r="O756" s="1"/>
      <c r="P756" t="s">
        <v>832</v>
      </c>
      <c r="Q756" t="s">
        <v>502</v>
      </c>
      <c r="R756" t="s">
        <v>354</v>
      </c>
      <c r="T756" s="1"/>
      <c r="AE756" s="1"/>
      <c r="AJ756" s="4"/>
      <c r="AK756" s="4"/>
      <c r="AL756" s="14"/>
      <c r="AM756" s="34"/>
      <c r="AP756" s="13"/>
      <c r="AQ756" s="63"/>
      <c r="AR756" s="34"/>
      <c r="AS756" s="5"/>
      <c r="AT756" s="13"/>
      <c r="AU756" s="1"/>
      <c r="AV756" s="1"/>
      <c r="AW756" s="1"/>
      <c r="AX756" s="1"/>
      <c r="AY756" s="15"/>
      <c r="AZ756" s="15"/>
      <c r="BA756" s="1"/>
      <c r="BB756" s="1"/>
      <c r="BC756" s="1"/>
      <c r="BD756" s="1"/>
      <c r="BE756" s="15"/>
      <c r="BF756" s="15"/>
      <c r="BG756" s="5"/>
      <c r="BH756" s="16"/>
      <c r="BI756" s="16"/>
      <c r="BK756" s="4"/>
      <c r="BL756" s="4"/>
      <c r="BM756" s="6"/>
      <c r="BN756" s="7"/>
      <c r="BO756" s="4"/>
      <c r="BQ756" s="4"/>
      <c r="BR756" s="4"/>
      <c r="BS756" s="6"/>
      <c r="BT756" s="7"/>
      <c r="BU756" s="4"/>
      <c r="BV756" s="4"/>
      <c r="BW756" s="4"/>
      <c r="BX756" s="4"/>
      <c r="BY756" s="6"/>
      <c r="BZ756" s="7"/>
      <c r="CA756" s="4"/>
      <c r="CC756" s="4"/>
      <c r="CD756" s="4"/>
      <c r="CE756" s="6"/>
      <c r="CF756" s="7"/>
      <c r="CG756" s="4"/>
      <c r="CH756" s="4"/>
      <c r="CI756" s="4"/>
      <c r="CJ756" s="4"/>
      <c r="CK756" s="6"/>
      <c r="CL756" s="7"/>
      <c r="CM756" s="4"/>
      <c r="CN756" s="4"/>
      <c r="CO756" s="4"/>
      <c r="CP756" s="4"/>
      <c r="CQ756" s="6"/>
      <c r="CR756" s="7"/>
      <c r="CS756" s="4"/>
      <c r="CT756" s="4"/>
      <c r="CU756" s="4"/>
      <c r="CV756" s="4"/>
      <c r="CW756" s="6"/>
      <c r="CX756" s="7"/>
      <c r="CY756" s="4"/>
      <c r="CZ756" s="4"/>
      <c r="DA756" s="4"/>
      <c r="DB756" s="4"/>
      <c r="DC756" s="6"/>
      <c r="DD756" s="7"/>
      <c r="DE756" s="4"/>
      <c r="DF756" s="4"/>
      <c r="DG756" s="4"/>
      <c r="DH756" s="4"/>
      <c r="DI756" s="6"/>
      <c r="DJ756" s="7"/>
      <c r="DK756" s="4"/>
      <c r="DL756" s="4"/>
      <c r="DM756" s="4"/>
      <c r="DN756" s="4"/>
      <c r="DO756" s="4"/>
      <c r="DP756" s="4"/>
      <c r="DQ756" s="3"/>
      <c r="DR756" s="4"/>
      <c r="DS756" s="4"/>
      <c r="DT756" s="4"/>
      <c r="DU756" s="4"/>
      <c r="DV756" s="4"/>
      <c r="DW756" s="4"/>
      <c r="DX756" s="4"/>
      <c r="DY756" s="4"/>
      <c r="DZ756" s="4"/>
      <c r="EA756" s="4"/>
      <c r="EB756" s="4"/>
      <c r="EC756" s="4"/>
      <c r="ED756" s="4"/>
      <c r="FL756" s="9"/>
      <c r="FM756" s="10"/>
      <c r="FT756" s="10"/>
      <c r="FU756" s="9"/>
      <c r="GG756" s="9"/>
      <c r="GQ756" s="18"/>
      <c r="GR756" s="9"/>
      <c r="HC756" s="9"/>
      <c r="HK756" s="9"/>
      <c r="HS756" s="9"/>
      <c r="IK756" s="9"/>
      <c r="IL756" s="18"/>
      <c r="IM756" s="18"/>
      <c r="IN756" s="18"/>
      <c r="IO756" s="18"/>
      <c r="IP756" s="18"/>
      <c r="IQ756" s="18"/>
      <c r="IR756" s="18"/>
      <c r="IS756" s="18"/>
      <c r="IT756" s="18"/>
      <c r="IU756" s="18"/>
    </row>
    <row r="757" spans="1:263" ht="15" customHeight="1">
      <c r="A757" s="2">
        <v>102018002</v>
      </c>
      <c r="B757" t="s">
        <v>1100</v>
      </c>
      <c r="J757" t="s">
        <v>829</v>
      </c>
      <c r="K757" t="s">
        <v>830</v>
      </c>
      <c r="L757" t="s">
        <v>831</v>
      </c>
      <c r="M757" t="s">
        <v>392</v>
      </c>
      <c r="O757" s="1"/>
      <c r="T757" s="1"/>
      <c r="AJ757" s="11"/>
      <c r="AK757" s="11"/>
      <c r="AO757" s="4"/>
      <c r="AP757" s="5"/>
      <c r="AQ757" s="34"/>
      <c r="AR757" s="34"/>
      <c r="AS757" s="29"/>
      <c r="AT757" s="1"/>
      <c r="AU757" s="1"/>
      <c r="AV757" s="1"/>
      <c r="AW757" s="1"/>
      <c r="AX757" s="1"/>
      <c r="AY757" s="1"/>
      <c r="AZ757" s="1"/>
      <c r="BA757" s="1"/>
      <c r="BB757" s="1"/>
      <c r="BC757" s="1"/>
      <c r="BD757" s="1"/>
      <c r="BE757" s="1"/>
      <c r="BF757" s="1"/>
      <c r="BG757" s="5"/>
      <c r="BH757" s="16"/>
      <c r="BI757" s="16"/>
      <c r="BJ757" s="4"/>
      <c r="BK757" s="4"/>
      <c r="BL757" s="4"/>
      <c r="BM757" s="6"/>
      <c r="BN757" s="7"/>
      <c r="BO757" s="4"/>
      <c r="BQ757" s="4"/>
      <c r="BR757" s="4"/>
      <c r="BS757" s="6"/>
      <c r="BT757" s="7"/>
      <c r="BU757" s="4"/>
      <c r="BV757" s="4"/>
      <c r="BW757" s="4"/>
      <c r="BX757" s="4"/>
      <c r="BY757" s="6"/>
      <c r="BZ757" s="7"/>
      <c r="CA757" s="4"/>
      <c r="CB757" s="4"/>
      <c r="CC757" s="4"/>
      <c r="CD757" s="4"/>
      <c r="CE757" s="6"/>
      <c r="CF757" s="7"/>
      <c r="CG757" s="4"/>
      <c r="CH757" s="4"/>
      <c r="CI757" s="4"/>
      <c r="CJ757" s="4"/>
      <c r="CK757" s="6"/>
      <c r="CL757" s="7"/>
      <c r="CM757" s="4"/>
      <c r="CN757" s="4"/>
      <c r="CO757" s="4"/>
      <c r="CP757" s="4"/>
      <c r="CQ757" s="6"/>
      <c r="CR757" s="7"/>
      <c r="CS757" s="4"/>
      <c r="CT757" s="4"/>
      <c r="CU757" s="4"/>
      <c r="CV757" s="4"/>
      <c r="CW757" s="6"/>
      <c r="CX757" s="7"/>
      <c r="CY757" s="4"/>
      <c r="CZ757" s="4"/>
      <c r="DA757" s="4"/>
      <c r="DB757" s="4"/>
      <c r="DC757" s="6"/>
      <c r="DD757" s="7"/>
      <c r="DE757" s="4"/>
      <c r="DF757" s="4"/>
      <c r="DG757" s="4"/>
      <c r="DH757" s="14"/>
      <c r="DI757" s="14"/>
      <c r="DJ757" s="4"/>
      <c r="DL757" s="4"/>
      <c r="DM757" s="234"/>
      <c r="DN757" s="4"/>
      <c r="DO757" s="4"/>
      <c r="DP757" s="4"/>
      <c r="DQ757" s="3"/>
      <c r="DR757" s="3"/>
      <c r="DS757" s="3"/>
      <c r="DT757" s="3"/>
      <c r="DU757" s="8"/>
      <c r="DV757" s="4"/>
      <c r="DW757" s="8"/>
      <c r="DX757" s="4"/>
      <c r="DY757" s="4"/>
      <c r="DZ757" s="7"/>
      <c r="EA757" s="4"/>
      <c r="EB757" s="4"/>
      <c r="EC757" s="4"/>
      <c r="ED757" s="4"/>
      <c r="EE757" s="4"/>
      <c r="EF757" s="4"/>
      <c r="EG757" s="4"/>
      <c r="EH757" s="4"/>
      <c r="EI757" s="4"/>
      <c r="EJ757" s="4"/>
      <c r="EK757" s="4"/>
      <c r="EL757" s="4"/>
      <c r="FI757" s="9"/>
      <c r="FJ757" s="10"/>
      <c r="FQ757" s="10"/>
      <c r="FR757" s="9"/>
      <c r="FX757" s="4"/>
      <c r="GE757" s="9"/>
      <c r="IJ757" s="4"/>
      <c r="IK757" s="4"/>
    </row>
    <row r="758" spans="1:263" ht="15" customHeight="1">
      <c r="A758" s="2">
        <v>102020024</v>
      </c>
      <c r="B758" t="s">
        <v>1603</v>
      </c>
      <c r="D758" s="1"/>
      <c r="E758" t="s">
        <v>1886</v>
      </c>
      <c r="F758">
        <v>200003751</v>
      </c>
      <c r="J758" t="s">
        <v>311</v>
      </c>
      <c r="K758" t="s">
        <v>415</v>
      </c>
      <c r="L758" t="s">
        <v>1604</v>
      </c>
      <c r="M758" t="s">
        <v>354</v>
      </c>
      <c r="T758" s="1"/>
      <c r="AD758" s="1"/>
      <c r="AI758" s="4"/>
      <c r="AJ758" s="4"/>
      <c r="AK758" s="4"/>
      <c r="AL758" s="4"/>
      <c r="AP758" s="13"/>
      <c r="AQ758" s="63"/>
      <c r="AR758" s="34"/>
      <c r="AS758" s="13"/>
      <c r="AT758" s="1"/>
      <c r="AU758" s="1"/>
      <c r="AV758" s="1"/>
      <c r="AW758" s="1"/>
      <c r="AX758" s="1"/>
      <c r="AY758" s="1"/>
      <c r="AZ758" s="1"/>
      <c r="BA758" s="1"/>
      <c r="BB758" s="1"/>
      <c r="BC758" s="1"/>
      <c r="BD758" s="1"/>
      <c r="BE758" s="1"/>
      <c r="BF758" s="1"/>
      <c r="BG758" s="5"/>
      <c r="BH758" s="16"/>
      <c r="BI758" s="16"/>
      <c r="BK758" s="4"/>
      <c r="BL758" s="4"/>
      <c r="BM758" s="6"/>
      <c r="BN758" s="7"/>
      <c r="BO758" s="4"/>
      <c r="BQ758" s="4"/>
      <c r="BR758" s="4"/>
      <c r="BS758" s="6"/>
      <c r="BT758" s="7"/>
      <c r="BU758" s="4"/>
      <c r="BV758" s="4"/>
      <c r="BW758" s="4"/>
      <c r="BX758" s="4"/>
      <c r="BY758" s="6"/>
      <c r="BZ758" s="7"/>
      <c r="CA758" s="4"/>
      <c r="CC758" s="4"/>
      <c r="CD758" s="4"/>
      <c r="CE758" s="6"/>
      <c r="CF758" s="7"/>
      <c r="CG758" s="4"/>
      <c r="CH758" s="4"/>
      <c r="CI758" s="4"/>
      <c r="CJ758" s="4"/>
      <c r="CK758" s="6"/>
      <c r="CL758" s="7"/>
      <c r="CM758" s="4"/>
      <c r="CN758" s="4"/>
      <c r="CO758" s="4"/>
      <c r="CP758" s="4"/>
      <c r="CQ758" s="6"/>
      <c r="CR758" s="7"/>
      <c r="CS758" s="4"/>
      <c r="CT758" s="4"/>
      <c r="CU758" s="4"/>
      <c r="CV758" s="4"/>
      <c r="CW758" s="6"/>
      <c r="CX758" s="7"/>
      <c r="CY758" s="4"/>
      <c r="CZ758" s="4"/>
      <c r="DA758" s="4"/>
      <c r="DB758" s="4"/>
      <c r="DC758" s="4"/>
      <c r="DD758" s="7"/>
      <c r="DE758" s="4"/>
      <c r="DF758" s="234"/>
      <c r="DG758" s="4"/>
      <c r="DH758" s="4"/>
      <c r="DI758" s="6"/>
      <c r="DJ758" s="7"/>
      <c r="DK758" s="4"/>
      <c r="DL758" s="4"/>
      <c r="DM758" s="4"/>
      <c r="DN758" s="4"/>
      <c r="DO758" s="4"/>
      <c r="DP758" s="34"/>
      <c r="DQ758" s="4"/>
      <c r="DR758" s="4"/>
      <c r="DS758" s="4"/>
      <c r="DT758" s="4"/>
      <c r="DU758" s="4"/>
      <c r="DV758" s="4"/>
      <c r="DW758" s="4"/>
      <c r="DX758" s="4"/>
      <c r="DY758" s="4"/>
      <c r="DZ758" s="4"/>
      <c r="EA758" s="4"/>
      <c r="EB758" s="4"/>
      <c r="EC758" s="4"/>
      <c r="ED758" s="4"/>
      <c r="EE758" s="4"/>
      <c r="EF758" s="4"/>
      <c r="EG758" s="4"/>
      <c r="EH758" s="4"/>
      <c r="EI758" s="4"/>
      <c r="FQ758" s="9"/>
      <c r="FR758" s="10"/>
      <c r="FY758" s="10"/>
      <c r="GK758" s="9"/>
      <c r="GU758" s="18"/>
      <c r="GV758" s="9"/>
      <c r="HG758" s="9"/>
      <c r="HO758" s="9"/>
      <c r="HW758" s="9"/>
      <c r="JB758" s="18"/>
      <c r="JC758" s="18"/>
    </row>
    <row r="759" spans="1:263" ht="15" customHeight="1">
      <c r="A759" s="2">
        <v>102019092</v>
      </c>
      <c r="B759" t="s">
        <v>1462</v>
      </c>
      <c r="F759" s="9"/>
      <c r="G759" s="9"/>
      <c r="H759" s="9"/>
      <c r="I759" s="9"/>
      <c r="K759" t="s">
        <v>1142</v>
      </c>
      <c r="L759" t="s">
        <v>1463</v>
      </c>
      <c r="O759" s="1"/>
      <c r="T759" s="1"/>
      <c r="X759" s="1"/>
      <c r="AG759" s="272"/>
      <c r="AJ759" s="4"/>
      <c r="AK759" s="4"/>
      <c r="AO759" s="4"/>
      <c r="AP759" s="5"/>
      <c r="AS759" s="5"/>
      <c r="AT759" s="5"/>
      <c r="AU759" s="1"/>
      <c r="AV759" s="1"/>
      <c r="AW759" s="1"/>
      <c r="AX759" s="1"/>
      <c r="AY759" s="1"/>
      <c r="AZ759" s="1"/>
      <c r="BA759" s="1"/>
      <c r="BB759" s="1"/>
      <c r="BC759" s="1"/>
      <c r="BD759" s="1"/>
      <c r="BE759" s="1"/>
      <c r="BF759" s="1"/>
      <c r="BG759" s="5"/>
      <c r="BH759" s="16"/>
      <c r="BI759" s="16"/>
      <c r="BJ759" s="4"/>
      <c r="BK759" s="4"/>
      <c r="BL759" s="4"/>
      <c r="BM759" s="6"/>
      <c r="BN759" s="7"/>
      <c r="BO759" s="4"/>
      <c r="BP759" s="4"/>
      <c r="BQ759" s="4"/>
      <c r="BR759" s="4"/>
      <c r="BS759" s="6"/>
      <c r="BT759" s="7"/>
      <c r="BU759" s="4"/>
      <c r="BV759" s="4"/>
      <c r="BW759" s="4"/>
      <c r="BX759" s="4"/>
      <c r="BY759" s="6"/>
      <c r="BZ759" s="7"/>
      <c r="CA759" s="4"/>
      <c r="CB759" s="4"/>
      <c r="CC759" s="4"/>
      <c r="CD759" s="4"/>
      <c r="CE759" s="6"/>
      <c r="CF759" s="7"/>
      <c r="CG759" s="4"/>
      <c r="CH759" s="4"/>
      <c r="CI759" s="4"/>
      <c r="CJ759" s="4"/>
      <c r="CK759" s="6"/>
      <c r="CL759" s="7"/>
      <c r="CM759" s="4"/>
      <c r="CN759" s="4"/>
      <c r="CO759" s="4"/>
      <c r="CP759" s="4"/>
      <c r="CQ759" s="6"/>
      <c r="CR759" s="7"/>
      <c r="CS759" s="4"/>
      <c r="CT759" s="4"/>
      <c r="CU759" s="4"/>
      <c r="CV759" s="4"/>
      <c r="CW759" s="6"/>
      <c r="CX759" s="7"/>
      <c r="CY759" s="4"/>
      <c r="CZ759" s="4"/>
      <c r="DA759" s="4"/>
      <c r="DB759" s="4"/>
      <c r="DC759" s="4"/>
      <c r="DD759" s="3"/>
      <c r="DE759" s="4"/>
      <c r="DF759" s="234"/>
      <c r="DG759" s="4"/>
      <c r="DH759" s="4"/>
      <c r="DI759" s="4"/>
      <c r="DJ759" s="4"/>
      <c r="DK759" s="4"/>
      <c r="DL759" s="4"/>
      <c r="DM759" s="7"/>
      <c r="DN759" s="8"/>
      <c r="DO759" s="4"/>
      <c r="DP759" s="8"/>
      <c r="DQ759" s="8"/>
      <c r="DR759" s="8"/>
      <c r="DS759" s="35"/>
      <c r="EB759" s="11"/>
      <c r="EH759" s="11"/>
      <c r="EI759" s="11"/>
      <c r="EJ759" s="4"/>
      <c r="EK759" s="4"/>
      <c r="EL759" s="4"/>
      <c r="EM759" s="4"/>
      <c r="EN759" s="4"/>
      <c r="EO759" s="4"/>
      <c r="EP759" s="4"/>
      <c r="EQ759" s="4"/>
      <c r="ER759" s="4"/>
      <c r="ES759" s="4"/>
      <c r="ET759" s="4"/>
      <c r="EU759" s="4"/>
      <c r="EV759" s="4"/>
      <c r="EW759" s="4"/>
      <c r="EX759" s="4"/>
      <c r="FB759" s="9"/>
      <c r="FK759" s="9"/>
      <c r="FQ759" s="4"/>
      <c r="FV759" s="10"/>
      <c r="GF759" s="10"/>
      <c r="GU759" s="9"/>
      <c r="IC759" s="4"/>
      <c r="ID759" s="4"/>
      <c r="IE759" s="9"/>
      <c r="IL759" s="18"/>
      <c r="IM759" s="18"/>
      <c r="IN759" s="18"/>
      <c r="IW759" s="240"/>
      <c r="IX759" s="240"/>
      <c r="IY759" s="240"/>
    </row>
    <row r="760" spans="1:263" ht="15" customHeight="1">
      <c r="A760" s="2">
        <v>102017019</v>
      </c>
      <c r="B760" t="s">
        <v>825</v>
      </c>
      <c r="G760">
        <v>180000228</v>
      </c>
      <c r="J760" t="s">
        <v>311</v>
      </c>
      <c r="K760" t="s">
        <v>826</v>
      </c>
      <c r="L760" t="s">
        <v>420</v>
      </c>
      <c r="M760" t="s">
        <v>396</v>
      </c>
      <c r="O760" s="1"/>
      <c r="P760" s="18"/>
      <c r="Q760" s="18"/>
      <c r="R760" s="18"/>
      <c r="S760" s="18"/>
      <c r="T760" s="13"/>
      <c r="U760" s="18"/>
      <c r="V760" s="18"/>
      <c r="W760" s="18"/>
      <c r="X760" s="18"/>
      <c r="Y760" s="18"/>
      <c r="AE760" s="1"/>
      <c r="AJ760" s="4"/>
      <c r="AK760" s="4"/>
      <c r="AL760" s="14"/>
      <c r="AM760" s="34"/>
      <c r="AP760" s="13"/>
      <c r="AQ760" s="34"/>
      <c r="AR760" s="34"/>
      <c r="AS760" s="5"/>
      <c r="AT760" s="13"/>
      <c r="AU760" s="1"/>
      <c r="AV760" s="1"/>
      <c r="AW760" s="1"/>
      <c r="AX760" s="15"/>
      <c r="AY760" s="15"/>
      <c r="AZ760" s="15"/>
      <c r="BA760" s="1"/>
      <c r="BB760" s="1"/>
      <c r="BC760" s="1"/>
      <c r="BD760" s="1"/>
      <c r="BE760" s="1"/>
      <c r="BF760" s="1"/>
      <c r="BG760" s="5"/>
      <c r="BH760" s="16"/>
      <c r="BI760" s="16"/>
      <c r="BJ760" s="4"/>
      <c r="BK760" s="4"/>
      <c r="BL760" s="4"/>
      <c r="BM760" s="6"/>
      <c r="BN760" s="7"/>
      <c r="BO760" s="4"/>
      <c r="BQ760" s="4"/>
      <c r="BR760" s="4"/>
      <c r="BS760" s="6"/>
      <c r="BT760" s="7"/>
      <c r="BU760" s="4"/>
      <c r="BV760" s="4"/>
      <c r="BW760" s="4"/>
      <c r="BX760" s="4"/>
      <c r="BY760" s="17"/>
      <c r="BZ760" s="7"/>
      <c r="CA760" s="4"/>
      <c r="CB760" s="4"/>
      <c r="CC760" s="4"/>
      <c r="CD760" s="4"/>
      <c r="CE760" s="6"/>
      <c r="CF760" s="7"/>
      <c r="CG760" s="4"/>
      <c r="CH760" s="4"/>
      <c r="CI760" s="4"/>
      <c r="CJ760" s="4"/>
      <c r="CK760" s="6"/>
      <c r="CL760" s="7"/>
      <c r="CM760" s="4"/>
      <c r="CN760" s="4"/>
      <c r="CO760" s="4"/>
      <c r="CP760" s="4"/>
      <c r="CQ760" s="6"/>
      <c r="CR760" s="7"/>
      <c r="CS760" s="4"/>
      <c r="CT760" s="4"/>
      <c r="CU760" s="4"/>
      <c r="CV760" s="4"/>
      <c r="CW760" s="6"/>
      <c r="CX760" s="7"/>
      <c r="CY760" s="4"/>
      <c r="CZ760" s="4"/>
      <c r="DA760" s="4"/>
      <c r="DB760" s="4"/>
      <c r="DC760" s="6"/>
      <c r="DD760" s="7"/>
      <c r="DE760" s="4"/>
      <c r="DF760" s="4"/>
      <c r="DG760" s="4"/>
      <c r="DH760" s="14"/>
      <c r="DI760" s="14"/>
      <c r="DJ760" s="4"/>
      <c r="DK760" s="3"/>
      <c r="DL760" s="4"/>
      <c r="DM760" s="234"/>
      <c r="DN760" s="4"/>
      <c r="DO760" s="4"/>
      <c r="DP760" s="4"/>
      <c r="DQ760" s="4"/>
      <c r="DR760" s="4"/>
      <c r="DS760" s="4"/>
      <c r="DT760" s="4"/>
      <c r="DU760" s="8"/>
      <c r="DV760" s="4"/>
      <c r="DW760" s="8"/>
      <c r="DX760" s="4"/>
      <c r="DY760" s="4"/>
      <c r="DZ760" s="7"/>
      <c r="EA760" s="232"/>
      <c r="EB760" s="232"/>
      <c r="EC760" s="232"/>
      <c r="FI760" s="9"/>
      <c r="FJ760" s="10"/>
      <c r="FQ760" s="10"/>
      <c r="FR760" s="9"/>
      <c r="FX760" s="4"/>
      <c r="GE760" s="9"/>
      <c r="IJ760" s="4"/>
      <c r="IK760" s="4"/>
    </row>
    <row r="761" spans="1:263" ht="15" customHeight="1">
      <c r="A761" s="19">
        <v>102021040</v>
      </c>
      <c r="B761" t="s">
        <v>2050</v>
      </c>
      <c r="J761" t="s">
        <v>253</v>
      </c>
      <c r="K761" t="s">
        <v>2051</v>
      </c>
      <c r="L761" t="s">
        <v>2052</v>
      </c>
      <c r="M761" t="s">
        <v>2053</v>
      </c>
      <c r="AF761" s="3"/>
      <c r="AG761" s="272"/>
      <c r="AL761" s="3"/>
      <c r="AN761" t="s">
        <v>604</v>
      </c>
      <c r="AO761" s="1" t="s">
        <v>258</v>
      </c>
      <c r="AP761" s="3" t="s">
        <v>259</v>
      </c>
      <c r="AR761"/>
      <c r="AW761" s="2"/>
      <c r="AX761" s="48"/>
      <c r="AY761" s="70"/>
      <c r="AZ761" s="2"/>
      <c r="BA761" s="2"/>
      <c r="BB761" s="2"/>
      <c r="BC761" s="2"/>
      <c r="BD761" s="2"/>
      <c r="BE761" s="2"/>
      <c r="BF761" s="20"/>
      <c r="BG761" s="22"/>
      <c r="BH761" s="22"/>
      <c r="BI761" s="14"/>
      <c r="BJ761" s="14"/>
      <c r="BK761" s="14"/>
      <c r="BL761" s="17"/>
      <c r="BM761" s="23"/>
      <c r="BN761" s="14"/>
      <c r="BO761" s="14"/>
      <c r="BP761" s="14"/>
      <c r="BQ761" s="14"/>
      <c r="BR761" s="17"/>
      <c r="BS761" s="23"/>
      <c r="BT761" s="14"/>
      <c r="BU761" s="14"/>
      <c r="BV761" s="14"/>
      <c r="BW761" s="14"/>
      <c r="BX761" s="17"/>
      <c r="BY761" s="23"/>
      <c r="BZ761" s="14"/>
      <c r="CA761" s="14"/>
      <c r="CB761" s="14"/>
      <c r="CC761" s="14"/>
      <c r="CD761" s="17"/>
      <c r="CE761" s="23"/>
      <c r="CF761" s="14"/>
      <c r="CG761" s="14"/>
      <c r="CH761" s="14"/>
      <c r="CI761" s="14"/>
      <c r="CJ761" s="17"/>
      <c r="CK761" s="23"/>
      <c r="CL761" s="14"/>
      <c r="CM761" s="14"/>
      <c r="CN761" s="14"/>
      <c r="CO761" s="14"/>
      <c r="CP761" s="17"/>
      <c r="CQ761" s="23"/>
      <c r="CR761" s="14"/>
      <c r="CS761" s="14"/>
      <c r="CT761" s="14"/>
      <c r="CU761" s="14"/>
      <c r="CV761" s="17"/>
      <c r="CW761" s="23"/>
      <c r="CX761" s="14"/>
      <c r="CY761" s="14"/>
      <c r="CZ761" s="14"/>
      <c r="DA761" s="14"/>
      <c r="DB761" s="17"/>
      <c r="DC761" s="23"/>
      <c r="DD761" s="14"/>
      <c r="DE761" s="14"/>
      <c r="DF761" s="14"/>
      <c r="DG761" s="14"/>
      <c r="DH761" s="14">
        <f>SUM(DE761:DG761)</f>
        <v>0</v>
      </c>
      <c r="DI761" s="47">
        <f>SUM(DH761/DX761)</f>
        <v>0</v>
      </c>
      <c r="DJ761" s="14">
        <f>39+195</f>
        <v>234</v>
      </c>
      <c r="DK761" s="32">
        <f>COUNTIF(DQ761, "*")+COUNTIF(AN761, "*")+COUNTIF(AJ761, "*")+COUNTIF(AA761, "*")+COUNTIF(EN761, "*")+COUNTIF(ET761, "*")+COUNTIF(EZ761, "*")+COUNTIF(FD761, "*")+COUNTIF(FK761, "*")+COUNTIF(FS761, "*")+COUNTIF(FZ761, "*")+COUNTIF(GK761, "*")+COUNTIF(GV761, "*")+COUNTIF(HD761, "*")+COUNTIF(HL761, "*")+COUNTIF(HT761, "*")+COUNTIF(IB761, "*")</f>
        <v>3</v>
      </c>
      <c r="DL761" s="14">
        <f>DK761*0.5+DK761*6.36</f>
        <v>20.580000000000002</v>
      </c>
      <c r="DM761" s="14">
        <v>150</v>
      </c>
      <c r="DN761" s="14">
        <f>SUM(DH761,DJ761,DT761, DM761, DL761,FW761)</f>
        <v>449.10999999999996</v>
      </c>
      <c r="DO761" s="14"/>
      <c r="DP761" s="14">
        <v>44.53</v>
      </c>
      <c r="DQ761" s="14"/>
      <c r="DR761" s="23"/>
      <c r="DS761" s="25"/>
      <c r="DT761" s="14">
        <f>SUM(DO761:DS761)</f>
        <v>44.53</v>
      </c>
      <c r="DU761" s="24" t="s">
        <v>1997</v>
      </c>
      <c r="DV761" s="25">
        <v>145200</v>
      </c>
      <c r="DW761" s="25">
        <v>239300</v>
      </c>
      <c r="DX761" s="25">
        <f>SUM(DV761+DW761)</f>
        <v>384500</v>
      </c>
      <c r="DY761" s="36">
        <v>61.71</v>
      </c>
      <c r="DZ761" s="18" t="s">
        <v>2319</v>
      </c>
      <c r="EA761" t="s">
        <v>2320</v>
      </c>
      <c r="FC761" t="s">
        <v>2321</v>
      </c>
      <c r="FD761" t="s">
        <v>2322</v>
      </c>
      <c r="FF761" t="s">
        <v>284</v>
      </c>
      <c r="FG761" t="s">
        <v>285</v>
      </c>
      <c r="FH761" s="9">
        <v>37714</v>
      </c>
      <c r="FI761" t="s">
        <v>2323</v>
      </c>
      <c r="FJ761" t="s">
        <v>2321</v>
      </c>
      <c r="FK761" t="s">
        <v>2322</v>
      </c>
      <c r="FM761" t="s">
        <v>284</v>
      </c>
      <c r="FN761" t="s">
        <v>285</v>
      </c>
      <c r="FO761" s="9">
        <v>39252</v>
      </c>
      <c r="FP761" t="s">
        <v>2324</v>
      </c>
      <c r="IJ761" s="18"/>
      <c r="IM761" s="4"/>
    </row>
    <row r="762" spans="1:263" ht="15" customHeight="1">
      <c r="A762" s="2">
        <v>102019055</v>
      </c>
      <c r="B762" s="4" t="s">
        <v>647</v>
      </c>
      <c r="C762" s="1"/>
      <c r="D762" s="1"/>
      <c r="E762" s="1"/>
      <c r="F762" s="3"/>
      <c r="J762" t="s">
        <v>554</v>
      </c>
      <c r="K762" t="s">
        <v>511</v>
      </c>
      <c r="L762" t="s">
        <v>648</v>
      </c>
      <c r="M762" t="s">
        <v>403</v>
      </c>
      <c r="O762" s="1"/>
      <c r="P762" t="s">
        <v>511</v>
      </c>
      <c r="Q762" t="s">
        <v>649</v>
      </c>
      <c r="R762" t="s">
        <v>650</v>
      </c>
      <c r="AB762" s="1"/>
      <c r="AE762" s="18"/>
      <c r="AF762" s="18"/>
      <c r="AG762" s="18"/>
      <c r="AH762" s="18"/>
      <c r="AI762" s="18"/>
      <c r="AJ762" s="24"/>
      <c r="AK762" s="4"/>
      <c r="AL762" s="4"/>
      <c r="AO762" s="4"/>
      <c r="AP762" s="13"/>
      <c r="AQ762" s="34"/>
      <c r="AR762" s="34"/>
      <c r="AS762" s="5"/>
      <c r="AT762" s="13"/>
      <c r="AU762" s="1"/>
      <c r="AV762" s="1"/>
      <c r="AW762" s="1"/>
      <c r="AX762" s="1"/>
      <c r="AY762" s="1"/>
      <c r="AZ762" s="1"/>
      <c r="BA762" s="1"/>
      <c r="BB762" s="1"/>
      <c r="BC762" s="1"/>
      <c r="BD762" s="1"/>
      <c r="BE762" s="1"/>
      <c r="BF762" s="1"/>
      <c r="BG762" s="5"/>
      <c r="BH762" s="16"/>
      <c r="BI762" s="16"/>
      <c r="BJ762" s="4"/>
      <c r="BK762" s="4"/>
      <c r="BL762" s="4"/>
      <c r="BM762" s="6"/>
      <c r="BN762" s="7"/>
      <c r="BO762" s="4"/>
      <c r="BQ762" s="4"/>
      <c r="BR762" s="4"/>
      <c r="BS762" s="6"/>
      <c r="BT762" s="7"/>
      <c r="BU762" s="4"/>
      <c r="BV762" s="4"/>
      <c r="BW762" s="4"/>
      <c r="BX762" s="4"/>
      <c r="BY762" s="6"/>
      <c r="BZ762" s="7"/>
      <c r="CA762" s="4"/>
      <c r="CB762" s="4"/>
      <c r="CC762" s="4"/>
      <c r="CD762" s="4"/>
      <c r="CE762" s="6"/>
      <c r="CF762" s="7"/>
      <c r="CG762" s="4"/>
      <c r="CH762" s="4"/>
      <c r="CI762" s="4"/>
      <c r="CJ762" s="4"/>
      <c r="CK762" s="6"/>
      <c r="CL762" s="7"/>
      <c r="CM762" s="4"/>
      <c r="CN762" s="4"/>
      <c r="CO762" s="4"/>
      <c r="CP762" s="4"/>
      <c r="CQ762" s="6"/>
      <c r="CR762" s="7"/>
      <c r="CS762" s="4"/>
      <c r="CT762" s="4"/>
      <c r="CU762" s="4"/>
      <c r="CV762" s="4"/>
      <c r="CW762" s="6"/>
      <c r="CX762" s="7"/>
      <c r="CY762" s="4"/>
      <c r="CZ762" s="4"/>
      <c r="DA762" s="4"/>
      <c r="DB762" s="4"/>
      <c r="DC762" s="6"/>
      <c r="DD762" s="7"/>
      <c r="DE762" s="4"/>
      <c r="DF762" s="18"/>
      <c r="DG762" s="4"/>
      <c r="DH762" s="14"/>
      <c r="DI762" s="14"/>
      <c r="DJ762" s="4"/>
      <c r="DK762" s="3"/>
      <c r="DL762" s="4"/>
      <c r="DM762" s="234"/>
      <c r="DN762" s="4"/>
      <c r="DO762" s="4"/>
      <c r="DP762" s="4"/>
      <c r="DQ762" s="4"/>
      <c r="DR762" s="4"/>
      <c r="DS762" s="4"/>
      <c r="DT762" s="4"/>
      <c r="DU762" s="8"/>
      <c r="DV762" s="4"/>
      <c r="DW762" s="8"/>
      <c r="DX762" s="4"/>
      <c r="DY762" s="4"/>
      <c r="DZ762" s="7"/>
      <c r="FI762" s="9"/>
      <c r="FJ762" s="10"/>
      <c r="FQ762" s="10"/>
      <c r="FR762" s="9"/>
      <c r="FX762" s="4"/>
      <c r="GE762" s="9"/>
      <c r="IJ762" s="4"/>
      <c r="IK762" s="4"/>
      <c r="IN762" t="s">
        <v>1410</v>
      </c>
      <c r="IO762" t="s">
        <v>846</v>
      </c>
      <c r="IP762" t="s">
        <v>386</v>
      </c>
      <c r="IS762" s="66">
        <v>55.5</v>
      </c>
      <c r="IT762" s="66">
        <v>0</v>
      </c>
      <c r="IU762" s="9">
        <v>43549</v>
      </c>
      <c r="IV762" s="9">
        <v>43565</v>
      </c>
      <c r="IW762" s="9">
        <v>43699</v>
      </c>
      <c r="IX762" s="9">
        <v>43711</v>
      </c>
    </row>
    <row r="763" spans="1:263" ht="15" customHeight="1">
      <c r="A763" s="2">
        <v>102019045</v>
      </c>
      <c r="B763" s="4" t="s">
        <v>1360</v>
      </c>
      <c r="C763" s="4"/>
      <c r="E763" s="3"/>
      <c r="F763" s="2"/>
      <c r="G763" s="2"/>
      <c r="H763" s="2"/>
      <c r="J763" t="s">
        <v>311</v>
      </c>
      <c r="K763" t="s">
        <v>306</v>
      </c>
      <c r="L763" t="s">
        <v>741</v>
      </c>
      <c r="M763" t="s">
        <v>396</v>
      </c>
      <c r="O763" s="1"/>
      <c r="T763" s="1"/>
      <c r="AH763" s="1"/>
      <c r="AJ763" s="4"/>
      <c r="AK763" s="4"/>
      <c r="AO763" s="4"/>
      <c r="AP763" s="5"/>
      <c r="AS763" s="5"/>
      <c r="AT763" s="5"/>
      <c r="AU763" s="1"/>
      <c r="AV763" s="1"/>
      <c r="AW763" s="1"/>
      <c r="AX763" s="1"/>
      <c r="AY763" s="1"/>
      <c r="AZ763" s="1"/>
      <c r="BA763" s="1"/>
      <c r="BB763" s="1"/>
      <c r="BC763" s="1"/>
      <c r="BD763" s="1"/>
      <c r="BE763" s="1"/>
      <c r="BF763" s="1"/>
      <c r="BG763" s="5"/>
      <c r="BH763" s="16"/>
      <c r="BI763" s="16"/>
      <c r="BK763" s="4"/>
      <c r="BL763" s="4"/>
      <c r="BM763" s="6"/>
      <c r="BN763" s="7"/>
      <c r="BO763" s="4"/>
      <c r="BP763" s="4"/>
      <c r="BQ763" s="4"/>
      <c r="BR763" s="4"/>
      <c r="BS763" s="6"/>
      <c r="BT763" s="7"/>
      <c r="BU763" s="4"/>
      <c r="BV763" s="4"/>
      <c r="BW763" s="4"/>
      <c r="BX763" s="4"/>
      <c r="BY763" s="6"/>
      <c r="BZ763" s="7"/>
      <c r="CA763" s="4"/>
      <c r="CB763" s="4"/>
      <c r="CC763" s="4"/>
      <c r="CD763" s="4"/>
      <c r="CE763" s="6"/>
      <c r="CF763" s="7"/>
      <c r="CG763" s="4"/>
      <c r="CH763" s="4"/>
      <c r="CI763" s="4"/>
      <c r="CJ763" s="4"/>
      <c r="CK763" s="6"/>
      <c r="CL763" s="7"/>
      <c r="CM763" s="4"/>
      <c r="CN763" s="4"/>
      <c r="CO763" s="4"/>
      <c r="CP763" s="4"/>
      <c r="CQ763" s="6"/>
      <c r="CR763" s="7"/>
      <c r="CS763" s="4"/>
      <c r="CT763" s="4"/>
      <c r="CU763" s="4"/>
      <c r="CV763" s="4"/>
      <c r="CW763" s="6"/>
      <c r="CX763" s="7"/>
      <c r="CY763" s="4"/>
      <c r="CZ763" s="4"/>
      <c r="DA763" s="4"/>
      <c r="DB763" s="4"/>
      <c r="DC763" s="6"/>
      <c r="DD763" s="7"/>
      <c r="DE763" s="4"/>
      <c r="DF763" s="4"/>
      <c r="DG763" s="4"/>
      <c r="DH763" s="14"/>
      <c r="DI763" s="14"/>
      <c r="DJ763" s="4"/>
      <c r="DK763" s="3"/>
      <c r="DL763" s="4"/>
      <c r="DM763" s="234"/>
      <c r="DN763" s="4"/>
      <c r="DO763" s="4"/>
      <c r="DP763" s="4"/>
      <c r="DQ763" s="4"/>
      <c r="DR763" s="4"/>
      <c r="DS763" s="4"/>
      <c r="DT763" s="7"/>
      <c r="DU763" s="8"/>
      <c r="DV763" s="4"/>
      <c r="DW763" s="8"/>
      <c r="DX763" s="4"/>
      <c r="DY763" s="4"/>
      <c r="DZ763" s="7"/>
      <c r="EI763" s="11"/>
      <c r="EO763" s="11"/>
      <c r="EP763" s="11"/>
      <c r="EQ763" s="4"/>
      <c r="ER763" s="4"/>
      <c r="ES763" s="4"/>
      <c r="ET763" s="4"/>
      <c r="EU763" s="4"/>
      <c r="EV763" s="4"/>
      <c r="EW763" s="4"/>
      <c r="EX763" s="4"/>
      <c r="EY763" s="4"/>
      <c r="EZ763" s="4"/>
      <c r="FA763" s="4"/>
      <c r="FB763" s="4"/>
      <c r="FC763" s="4"/>
      <c r="FD763" s="4"/>
      <c r="FE763" s="4"/>
      <c r="FI763" s="9"/>
      <c r="FR763" s="9"/>
      <c r="FX763" s="4"/>
      <c r="GC763" s="10"/>
      <c r="GM763" s="10"/>
      <c r="HB763" s="9"/>
      <c r="IJ763" s="4"/>
      <c r="IK763" s="4"/>
      <c r="IL763" s="4"/>
      <c r="IM763" s="4"/>
    </row>
    <row r="764" spans="1:263" ht="15" customHeight="1">
      <c r="A764" s="2">
        <v>102018033</v>
      </c>
      <c r="B764" s="4" t="s">
        <v>1141</v>
      </c>
      <c r="J764" t="s">
        <v>796</v>
      </c>
      <c r="K764" t="s">
        <v>1142</v>
      </c>
      <c r="L764" t="s">
        <v>1143</v>
      </c>
      <c r="M764" t="s">
        <v>354</v>
      </c>
      <c r="O764" s="1" t="s">
        <v>258</v>
      </c>
      <c r="T764" s="1"/>
      <c r="AJ764" s="4"/>
      <c r="AK764" s="4"/>
      <c r="AM764" s="34"/>
      <c r="AO764" s="4"/>
      <c r="AP764" s="5"/>
      <c r="AQ764" s="34"/>
      <c r="AS764" s="1"/>
      <c r="AT764" s="1"/>
      <c r="AU764" s="29"/>
      <c r="AV764" s="1"/>
      <c r="AW764" s="1"/>
      <c r="AX764" s="1"/>
      <c r="AY764" s="1"/>
      <c r="AZ764" s="1"/>
      <c r="BA764" s="1"/>
      <c r="BB764" s="1"/>
      <c r="BC764" s="1"/>
      <c r="BD764" s="1"/>
      <c r="BE764" s="1"/>
      <c r="BF764" s="1"/>
      <c r="BG764" s="5"/>
      <c r="BH764" s="16"/>
      <c r="BI764" s="16"/>
      <c r="BK764" s="4"/>
      <c r="BL764" s="4"/>
      <c r="BM764" s="6"/>
      <c r="BN764" s="7"/>
      <c r="BO764" s="4"/>
      <c r="BP764" s="6"/>
      <c r="BQ764" s="4"/>
      <c r="BR764" s="4"/>
      <c r="BS764" s="6"/>
      <c r="BT764" s="7"/>
      <c r="BU764" s="4"/>
      <c r="BV764" s="4"/>
      <c r="BW764" s="4"/>
      <c r="BX764" s="4"/>
      <c r="BY764" s="6"/>
      <c r="BZ764" s="7"/>
      <c r="CA764" s="4"/>
      <c r="CB764" s="4"/>
      <c r="CC764" s="4"/>
      <c r="CD764" s="4"/>
      <c r="CE764" s="6"/>
      <c r="CF764" s="7"/>
      <c r="CG764" s="4"/>
      <c r="CH764" s="4"/>
      <c r="CI764" s="4"/>
      <c r="CJ764" s="4"/>
      <c r="CK764" s="6"/>
      <c r="CL764" s="7"/>
      <c r="CM764" s="4"/>
      <c r="CN764" s="4"/>
      <c r="CO764" s="4"/>
      <c r="CP764" s="4"/>
      <c r="CQ764" s="6"/>
      <c r="CR764" s="7"/>
      <c r="CS764" s="4"/>
      <c r="CT764" s="4"/>
      <c r="CU764" s="4"/>
      <c r="CV764" s="4"/>
      <c r="CW764" s="6"/>
      <c r="CX764" s="7"/>
      <c r="CY764" s="4"/>
      <c r="CZ764" s="4"/>
      <c r="DA764" s="4"/>
      <c r="DB764" s="4"/>
      <c r="DC764" s="6"/>
      <c r="DD764" s="7"/>
      <c r="DE764" s="4"/>
      <c r="DF764" s="4"/>
      <c r="DG764" s="4"/>
      <c r="DH764" s="14"/>
      <c r="DI764" s="14"/>
      <c r="DJ764" s="4"/>
      <c r="DL764" s="4"/>
      <c r="DM764" s="234"/>
      <c r="DN764" s="4"/>
      <c r="DO764" s="4"/>
      <c r="DP764" s="4"/>
      <c r="DQ764" s="7"/>
      <c r="DR764" s="7"/>
      <c r="DS764" s="4"/>
      <c r="DT764" s="4"/>
      <c r="DU764" s="8"/>
      <c r="DV764" s="4"/>
      <c r="DW764" s="8"/>
      <c r="DX764" s="4"/>
      <c r="DY764" s="4"/>
      <c r="DZ764" s="7"/>
      <c r="EG764" s="11"/>
      <c r="EM764" s="11"/>
      <c r="EN764" s="4"/>
      <c r="EO764" s="4"/>
      <c r="EP764" s="4"/>
      <c r="EQ764" s="4"/>
      <c r="ER764" s="4"/>
      <c r="ES764" s="4"/>
      <c r="ET764" s="4"/>
      <c r="EU764" s="4"/>
      <c r="EV764" s="4"/>
      <c r="EW764" s="4"/>
      <c r="EX764" s="4"/>
      <c r="EY764" s="4"/>
      <c r="EZ764" s="4"/>
      <c r="FA764" s="4"/>
      <c r="FB764" s="4"/>
      <c r="FC764" s="4"/>
      <c r="FI764" s="9"/>
      <c r="FR764" s="9"/>
      <c r="FX764" s="4"/>
      <c r="GA764" s="10"/>
      <c r="GK764" s="10"/>
      <c r="GZ764" s="9"/>
      <c r="IJ764" s="4"/>
      <c r="IK764" s="4"/>
      <c r="IW764" s="18"/>
      <c r="IX764" s="18"/>
      <c r="IY764" s="18"/>
    </row>
    <row r="765" spans="1:263" ht="15" customHeight="1">
      <c r="A765" s="19">
        <v>102023038</v>
      </c>
      <c r="B765" s="18" t="s">
        <v>4270</v>
      </c>
      <c r="D765" s="1"/>
      <c r="E765" s="3"/>
      <c r="F765" s="3"/>
      <c r="J765" s="18" t="s">
        <v>554</v>
      </c>
      <c r="K765" s="18" t="s">
        <v>4264</v>
      </c>
      <c r="L765" s="130" t="s">
        <v>4269</v>
      </c>
      <c r="M765" s="130"/>
      <c r="N765" s="18" t="s">
        <v>341</v>
      </c>
      <c r="O765" s="252"/>
      <c r="P765" s="130" t="s">
        <v>400</v>
      </c>
      <c r="Q765" s="130" t="s">
        <v>4268</v>
      </c>
      <c r="R765" s="130" t="s">
        <v>403</v>
      </c>
      <c r="S765" s="130"/>
      <c r="AD765" t="s">
        <v>4530</v>
      </c>
      <c r="AE765" t="s">
        <v>253</v>
      </c>
      <c r="AF765" t="s">
        <v>4532</v>
      </c>
      <c r="AG765" s="43" t="s">
        <v>4533</v>
      </c>
      <c r="AH765" t="s">
        <v>4531</v>
      </c>
      <c r="AI765" t="s">
        <v>259</v>
      </c>
      <c r="AJ765" s="18" t="s">
        <v>4267</v>
      </c>
      <c r="AK765" s="18" t="s">
        <v>258</v>
      </c>
      <c r="AL765" s="18" t="s">
        <v>259</v>
      </c>
      <c r="AM765" s="18" t="s">
        <v>260</v>
      </c>
      <c r="AN765" s="18"/>
      <c r="AO765" s="18" t="s">
        <v>4266</v>
      </c>
      <c r="AP765" s="18" t="s">
        <v>258</v>
      </c>
      <c r="AQ765" s="18" t="s">
        <v>259</v>
      </c>
      <c r="AR765" s="18" t="s">
        <v>260</v>
      </c>
      <c r="AX765" s="1"/>
      <c r="AY765" s="1"/>
      <c r="AZ765" s="1"/>
      <c r="BA765" s="1"/>
      <c r="BB765" s="1"/>
      <c r="BC765" s="2"/>
      <c r="BD765" s="115"/>
      <c r="BE765" s="115"/>
      <c r="BF765" s="2"/>
      <c r="BG765" s="2"/>
      <c r="BH765" s="2"/>
      <c r="BI765" s="2"/>
      <c r="BJ765" s="2"/>
      <c r="BK765" s="2"/>
      <c r="BL765" s="20">
        <f ca="1">SUM(DP765)+220</f>
        <v>599.95949999999993</v>
      </c>
      <c r="BM765" s="22">
        <f ca="1">PMT(10%/12,12,BL765,0,0)</f>
        <v>-52.745971744572934</v>
      </c>
      <c r="BN765" s="22">
        <f ca="1">SUM(BM765*-1)</f>
        <v>52.745971744572934</v>
      </c>
      <c r="BO765" s="25">
        <f>SUM(DX765*0.0052)/12</f>
        <v>15.729999999999999</v>
      </c>
      <c r="BP765" s="22">
        <f ca="1">SUM(BN765+BO765)</f>
        <v>68.475971744572931</v>
      </c>
      <c r="BQ765" s="25"/>
      <c r="BR765" s="25">
        <f>SUM(BQ765*0.1)</f>
        <v>0</v>
      </c>
      <c r="BS765" s="25">
        <f ca="1">SUM(BT765*BU765)</f>
        <v>0</v>
      </c>
      <c r="BT765" s="128">
        <f>SUM((BQ765+BR765)*0.00833333333333333)</f>
        <v>0</v>
      </c>
      <c r="BU765" s="36">
        <f ca="1">MONTH(TODAY())+49</f>
        <v>53</v>
      </c>
      <c r="BV765" s="25">
        <f ca="1">SUM(BQ765,BR765,BS765)</f>
        <v>0</v>
      </c>
      <c r="BW765" s="25"/>
      <c r="BX765" s="25">
        <f>SUM(BW765*0.1)</f>
        <v>0</v>
      </c>
      <c r="BY765" s="25">
        <f ca="1">SUM(BZ765*CA765)</f>
        <v>0</v>
      </c>
      <c r="BZ765" s="128">
        <f>SUM((BW765+BX765)*0.00833333333333333)</f>
        <v>0</v>
      </c>
      <c r="CA765" s="36">
        <f ca="1">MONTH(TODAY())+37</f>
        <v>41</v>
      </c>
      <c r="CB765" s="25">
        <f ca="1">SUM(BW765,BX765,BY765)</f>
        <v>0</v>
      </c>
      <c r="CC765" s="25">
        <v>0</v>
      </c>
      <c r="CD765" s="25">
        <f>SUM(CC765*0.1)</f>
        <v>0</v>
      </c>
      <c r="CE765" s="25">
        <f ca="1">SUM(CF765*CG765)</f>
        <v>0</v>
      </c>
      <c r="CF765" s="128">
        <f>SUM((CC765+CD765)*0.00833333333333333)</f>
        <v>0</v>
      </c>
      <c r="CG765" s="36">
        <f ca="1">MONTH(TODAY())+25</f>
        <v>29</v>
      </c>
      <c r="CH765" s="25">
        <f ca="1">SUM(CC765,CD765,CE765)</f>
        <v>0</v>
      </c>
      <c r="CI765" s="25">
        <f>SUM(DU765*0.0052)-45</f>
        <v>126.6</v>
      </c>
      <c r="CJ765" s="25">
        <f>SUM(CI765*0.1)</f>
        <v>12.66</v>
      </c>
      <c r="CK765" s="25">
        <f ca="1">SUM(CL765*CM765)</f>
        <v>19.72849999999999</v>
      </c>
      <c r="CL765" s="128">
        <f>SUM((CI765+CJ765)*0.00833333333333333)</f>
        <v>1.1604999999999994</v>
      </c>
      <c r="CM765" s="36">
        <f ca="1">MONTH(TODAY())+13</f>
        <v>17</v>
      </c>
      <c r="CN765" s="25">
        <f ca="1">SUM(CI765,CJ765,CK765)</f>
        <v>158.98849999999999</v>
      </c>
      <c r="CO765" s="25">
        <f>SUM(DU765*0.0052)/2</f>
        <v>85.8</v>
      </c>
      <c r="CP765" s="25">
        <f>SUM(CO765*0.1)</f>
        <v>8.58</v>
      </c>
      <c r="CQ765" s="25">
        <f ca="1">SUM(CR765*CS765)</f>
        <v>7.0784999999999965</v>
      </c>
      <c r="CR765" s="128">
        <f>SUM((CO765+CP765)*0.00833333333333333)</f>
        <v>0.78649999999999964</v>
      </c>
      <c r="CS765" s="36">
        <f ca="1">MONTH(TODAY())+5</f>
        <v>9</v>
      </c>
      <c r="CT765" s="36">
        <f ca="1">SUM(CO765,CP765,CQ765)</f>
        <v>101.45849999999999</v>
      </c>
      <c r="CU765" s="25">
        <f>SUM(DU765*0.0052)/2</f>
        <v>85.8</v>
      </c>
      <c r="CV765" s="25">
        <f>SUM(CU765*0.1)</f>
        <v>8.58</v>
      </c>
      <c r="CW765" s="25">
        <f ca="1">SUM(CX765*CY765)</f>
        <v>3.9324999999999983</v>
      </c>
      <c r="CX765" s="128">
        <f>SUM((CU765+CV765)*0.00833333333333333)</f>
        <v>0.78649999999999964</v>
      </c>
      <c r="CY765" s="36">
        <f ca="1">MONTH(TODAY())+1</f>
        <v>5</v>
      </c>
      <c r="CZ765" s="36">
        <f ca="1">SUM(CU765,CV765,CW765)</f>
        <v>98.3125</v>
      </c>
      <c r="DA765" s="25">
        <f>SUM( BQ765, BW765, CC765, CI765, CO765,CU765)</f>
        <v>298.2</v>
      </c>
      <c r="DB765" s="25">
        <f>SUM(BR765,BX765,CD765,CJ765, CP765,CV765)</f>
        <v>29.82</v>
      </c>
      <c r="DC765" s="25">
        <f ca="1">SUM(BS765,BY765,CE765,CK765, CQ765,CW765)</f>
        <v>30.739499999999985</v>
      </c>
      <c r="DD765" s="25">
        <f ca="1">SUM(DA765:DC765)</f>
        <v>358.75949999999995</v>
      </c>
      <c r="DE765" s="129">
        <f ca="1">SUM(DD765/DU765)</f>
        <v>1.0871499999999999E-2</v>
      </c>
      <c r="DF765" s="25">
        <v>20</v>
      </c>
      <c r="DG765" s="146">
        <f>COUNTIF(DL765, "*")+COUNTIF(AO765, "*")+COUNTIF(AJ765, "*")+COUNTIF(AA765, "*")+COUNTIF(EM765, "*")+COUNTIF(ES765, "*")+COUNTIF(EY765, "*")+COUNTIF(FC765, "*")+COUNTIF(FJ765, "*")+COUNTIF(AT765, "*")+COUNTIF(FS765, "*")+COUNTIF(GD765, "*")+COUNTIF(GO765, "*")+COUNTIF(GW765, "*")+COUNTIF(HE765, "*")+COUNTIF(HM765, "*")+COUNTIF(HU765, "*")</f>
        <v>2</v>
      </c>
      <c r="DH765" s="25">
        <f>DG765*0.6</f>
        <v>1.2</v>
      </c>
      <c r="DI765" s="8"/>
      <c r="DJ765" s="8"/>
      <c r="DK765" s="8"/>
      <c r="DL765" s="8"/>
      <c r="DM765" s="2"/>
      <c r="DN765" s="8"/>
      <c r="DO765" s="25">
        <f>SUM(DJ765:DN765)</f>
        <v>0</v>
      </c>
      <c r="DP765" s="25">
        <f ca="1">SUM(DD765,DF765,DO765, DI765, DH765,FP765)</f>
        <v>379.95949999999993</v>
      </c>
      <c r="DQ765" s="18" t="s">
        <v>3879</v>
      </c>
      <c r="DR765" s="130">
        <v>2.93</v>
      </c>
      <c r="DS765" s="14">
        <v>25700</v>
      </c>
      <c r="DT765" s="14">
        <v>7300</v>
      </c>
      <c r="DU765" s="14">
        <v>33000</v>
      </c>
      <c r="DV765" s="14">
        <v>27700</v>
      </c>
      <c r="DW765" s="14">
        <v>8600</v>
      </c>
      <c r="DX765" s="14">
        <f>SUM(DV765+DW765)</f>
        <v>36300</v>
      </c>
      <c r="FG765" s="9"/>
      <c r="FN765" s="9"/>
      <c r="IA765" s="9"/>
      <c r="IL765" s="14">
        <f ca="1">SUM(IB765-DP765-FP765-IJ765)</f>
        <v>-379.95949999999993</v>
      </c>
      <c r="IM765" s="9"/>
      <c r="IN765" s="9"/>
      <c r="IO765" s="9"/>
      <c r="IP765" s="9"/>
      <c r="IQ765" s="9"/>
    </row>
    <row r="766" spans="1:263" ht="15" customHeight="1">
      <c r="A766" s="2">
        <v>102019093</v>
      </c>
      <c r="B766" t="s">
        <v>1478</v>
      </c>
      <c r="F766" s="9"/>
      <c r="G766" s="9"/>
      <c r="H766" s="9"/>
      <c r="I766" s="9"/>
      <c r="K766" t="s">
        <v>664</v>
      </c>
      <c r="L766" t="s">
        <v>1479</v>
      </c>
      <c r="O766" s="1"/>
      <c r="T766" s="1"/>
      <c r="AF766" s="3"/>
      <c r="AG766"/>
      <c r="BG766" s="5"/>
      <c r="BH766" s="16"/>
      <c r="BI766" s="16"/>
      <c r="BJ766" s="4"/>
      <c r="BK766" s="4"/>
      <c r="BL766" s="4"/>
      <c r="BM766" s="6"/>
      <c r="BN766" s="7"/>
      <c r="BO766" s="4"/>
      <c r="BP766" s="4"/>
      <c r="BQ766" s="4"/>
      <c r="BR766" s="4"/>
      <c r="BS766" s="6"/>
      <c r="BT766" s="7"/>
      <c r="BU766" s="4"/>
      <c r="BV766" s="4"/>
      <c r="BW766" s="4"/>
      <c r="BX766" s="4"/>
      <c r="BY766" s="6"/>
      <c r="BZ766" s="7"/>
      <c r="CA766" s="4"/>
      <c r="CB766" s="4"/>
      <c r="CC766" s="4"/>
      <c r="CD766" s="4"/>
      <c r="CE766" s="6"/>
      <c r="CF766" s="7"/>
      <c r="CG766" s="4"/>
      <c r="CH766" s="4"/>
      <c r="CI766" s="4"/>
      <c r="CJ766" s="4"/>
      <c r="CK766" s="6"/>
      <c r="CL766" s="7"/>
      <c r="CM766" s="4"/>
      <c r="CN766" s="4"/>
      <c r="CO766" s="4"/>
      <c r="CP766" s="4"/>
      <c r="CQ766" s="6"/>
      <c r="CR766" s="7"/>
      <c r="CS766" s="4"/>
      <c r="CT766" s="4"/>
      <c r="CU766" s="4"/>
      <c r="CV766" s="4"/>
      <c r="CW766" s="6"/>
      <c r="CX766" s="7"/>
      <c r="CY766" s="4"/>
      <c r="CZ766" s="4"/>
      <c r="DA766" s="4"/>
      <c r="DB766" s="4"/>
      <c r="DC766" s="4"/>
      <c r="DD766" s="3"/>
      <c r="DE766" s="4"/>
      <c r="DF766" s="234"/>
      <c r="DG766" s="4"/>
      <c r="DH766" s="4"/>
      <c r="DI766" s="4"/>
      <c r="DJ766" s="4"/>
      <c r="DK766" s="4"/>
      <c r="DL766" s="4"/>
      <c r="DM766" s="7"/>
      <c r="DN766" s="8"/>
      <c r="DO766" s="4"/>
      <c r="DP766" s="8"/>
      <c r="DQ766" s="8"/>
      <c r="DR766" s="8"/>
      <c r="DS766" s="2"/>
      <c r="IW766" s="243"/>
      <c r="IX766" s="243"/>
      <c r="IY766" s="243"/>
    </row>
    <row r="767" spans="1:263" ht="15" customHeight="1">
      <c r="A767">
        <v>102024012</v>
      </c>
      <c r="B767" t="s">
        <v>5062</v>
      </c>
      <c r="D767" s="1"/>
      <c r="E767" t="s">
        <v>5792</v>
      </c>
      <c r="F767" s="2">
        <v>240002153</v>
      </c>
      <c r="G767" s="3" t="s">
        <v>5856</v>
      </c>
      <c r="J767" t="s">
        <v>253</v>
      </c>
      <c r="K767" t="s">
        <v>4532</v>
      </c>
      <c r="L767" t="s">
        <v>5116</v>
      </c>
      <c r="O767" s="3"/>
      <c r="AG767" s="43"/>
      <c r="AK767" s="1"/>
      <c r="AM767"/>
      <c r="AN767"/>
      <c r="AO767" t="s">
        <v>5117</v>
      </c>
      <c r="AP767" s="1" t="s">
        <v>258</v>
      </c>
      <c r="AQ767" t="s">
        <v>259</v>
      </c>
      <c r="AR767" t="s">
        <v>260</v>
      </c>
      <c r="AS767" s="10"/>
      <c r="AT767" s="10"/>
      <c r="AU767" s="10"/>
      <c r="AV767" s="10"/>
      <c r="AW767" s="10"/>
      <c r="AX767" s="1"/>
      <c r="AY767" s="1" t="s">
        <v>258</v>
      </c>
      <c r="AZ767" s="1"/>
      <c r="BA767" s="1" t="s">
        <v>258</v>
      </c>
      <c r="BB767" s="1" t="s">
        <v>258</v>
      </c>
      <c r="BC767" s="15">
        <v>45419</v>
      </c>
      <c r="BD767" s="115">
        <v>45382</v>
      </c>
      <c r="BE767" s="144">
        <v>45386</v>
      </c>
      <c r="BF767" s="70">
        <v>45450</v>
      </c>
      <c r="BG767" s="2" t="s">
        <v>318</v>
      </c>
      <c r="BH767" s="70">
        <v>45436</v>
      </c>
      <c r="BI767" s="70">
        <v>45443</v>
      </c>
      <c r="BJ767" s="2"/>
      <c r="BK767" s="2"/>
      <c r="BL767" s="20">
        <f ca="1">SUM(EH767)+220</f>
        <v>3939.9705999999992</v>
      </c>
      <c r="BM767" s="22">
        <f ca="1">PMT(10%/12,12,BL767,0,0)</f>
        <v>-346.38601095915317</v>
      </c>
      <c r="BN767" s="22">
        <f ca="1">SUM(BM767*-1)</f>
        <v>346.38601095915317</v>
      </c>
      <c r="BO767" s="14">
        <f>SUM(EP767*0.0052)/12</f>
        <v>46.41</v>
      </c>
      <c r="BP767" s="22">
        <f ca="1">SUM(BN767+BO767)</f>
        <v>392.79601095915314</v>
      </c>
      <c r="BQ767" s="14"/>
      <c r="BR767" s="14">
        <f>SUM(BQ767*0.1)</f>
        <v>0</v>
      </c>
      <c r="BS767" s="14">
        <f ca="1">SUM(BT767*BU767)</f>
        <v>0</v>
      </c>
      <c r="BT767" s="17">
        <f>SUM((BQ767+BR767)*0.00833333333333333)</f>
        <v>0</v>
      </c>
      <c r="BU767" s="23">
        <f ca="1">MONTH(TODAY())+49</f>
        <v>53</v>
      </c>
      <c r="BV767" s="14">
        <f ca="1">SUM(BQ767,BR767,BS767)</f>
        <v>0</v>
      </c>
      <c r="BW767" s="14">
        <v>0</v>
      </c>
      <c r="BX767" s="14">
        <f>SUM(BW767*0.1)</f>
        <v>0</v>
      </c>
      <c r="BY767" s="14">
        <f ca="1">SUM(BZ767*CA767)</f>
        <v>0</v>
      </c>
      <c r="BZ767" s="17">
        <f>SUM((BW767+BX767)*0.00833333333333333)</f>
        <v>0</v>
      </c>
      <c r="CA767" s="23">
        <f ca="1">MONTH(TODAY())+37</f>
        <v>41</v>
      </c>
      <c r="CB767" s="14">
        <f ca="1">SUM(BW767,BX767,BY767)</f>
        <v>0</v>
      </c>
      <c r="CC767" s="14">
        <f>SUM(EM767*0.0052)</f>
        <v>437.84</v>
      </c>
      <c r="CD767" s="14">
        <f>SUM(CC767*0.1)</f>
        <v>43.783999999999999</v>
      </c>
      <c r="CE767" s="14">
        <f ca="1">SUM(CF767*CG767)</f>
        <v>116.39246666666661</v>
      </c>
      <c r="CF767" s="17">
        <f>SUM((CC767+CD767)*0.00833333333333333)</f>
        <v>4.0135333333333314</v>
      </c>
      <c r="CG767" s="23">
        <f ca="1">MONTH(TODAY())+25</f>
        <v>29</v>
      </c>
      <c r="CH767" s="14">
        <f ca="1">SUM(CC767,CD767,CE767)</f>
        <v>598.01646666666659</v>
      </c>
      <c r="CI767" s="14">
        <f>SUM(EM767*0.0052)/2</f>
        <v>218.92</v>
      </c>
      <c r="CJ767" s="14">
        <f>SUM(CI767*0.1)</f>
        <v>21.891999999999999</v>
      </c>
      <c r="CK767" s="14">
        <f ca="1">SUM(CL767*CM767)</f>
        <v>42.142099999999978</v>
      </c>
      <c r="CL767" s="17">
        <f>SUM((CI767+CJ767)*0.00833333333333333)</f>
        <v>2.0067666666666657</v>
      </c>
      <c r="CM767" s="23">
        <f ca="1">MONTH(TODAY())+17</f>
        <v>21</v>
      </c>
      <c r="CN767" s="23">
        <f ca="1">SUM(CI767,CJ767,CK767)</f>
        <v>282.95409999999998</v>
      </c>
      <c r="CO767" s="14">
        <f>SUM(EM767*0.0052)/2</f>
        <v>218.92</v>
      </c>
      <c r="CP767" s="14">
        <f>SUM(CO767*0.1)</f>
        <v>21.891999999999999</v>
      </c>
      <c r="CQ767" s="14">
        <f ca="1">SUM(CR767*CS767)</f>
        <v>34.115033333333315</v>
      </c>
      <c r="CR767" s="17">
        <f>SUM((CO767+CP767)*0.00833333333333333)</f>
        <v>2.0067666666666657</v>
      </c>
      <c r="CS767" s="23">
        <f ca="1">MONTH(TODAY())+13</f>
        <v>17</v>
      </c>
      <c r="CT767" s="23">
        <f ca="1">SUM(CO767,CP767,CQ767)</f>
        <v>274.92703333333327</v>
      </c>
      <c r="CU767" s="14">
        <f>SUM(EP767*0.0045)/2</f>
        <v>240.97499999999999</v>
      </c>
      <c r="CV767" s="14">
        <f>SUM(CU767*0.1)</f>
        <v>24.0975</v>
      </c>
      <c r="CW767" s="14">
        <f ca="1">SUM(CX767*CY767)</f>
        <v>24.298312499999987</v>
      </c>
      <c r="CX767" s="17">
        <f>SUM((CU767+CV767)*0.00833333333333333)</f>
        <v>2.2089374999999989</v>
      </c>
      <c r="CY767" s="23">
        <f ca="1">MONTH(TODAY())+7</f>
        <v>11</v>
      </c>
      <c r="CZ767" s="23">
        <f ca="1">SUM(CU767,CV767,CW767)</f>
        <v>289.3708125</v>
      </c>
      <c r="DA767" s="14">
        <f>SUM(EP767*0.0045)/2</f>
        <v>240.97499999999999</v>
      </c>
      <c r="DB767" s="14">
        <f>SUM(DA767*0.1)</f>
        <v>24.0975</v>
      </c>
      <c r="DC767" s="14">
        <f ca="1">SUM(DD767*DE767)</f>
        <v>11.044687499999995</v>
      </c>
      <c r="DD767" s="17">
        <f>SUM((DA767+DB767)*0.00833333333333333)</f>
        <v>2.2089374999999989</v>
      </c>
      <c r="DE767" s="23">
        <f ca="1">MONTH(TODAY())+1</f>
        <v>5</v>
      </c>
      <c r="DF767" s="14">
        <f ca="1">SUM(DA767,DB767,DC767)</f>
        <v>276.1171875</v>
      </c>
      <c r="DG767" s="14">
        <f>SUM(EP767*0.0045)/2</f>
        <v>240.97499999999999</v>
      </c>
      <c r="DH767" s="14">
        <f>0</f>
        <v>0</v>
      </c>
      <c r="DI767" s="14">
        <f>0</f>
        <v>0</v>
      </c>
      <c r="DJ767" s="17">
        <f>SUM((DG767+DH767)*0.00833333333333333)</f>
        <v>2.0081249999999993</v>
      </c>
      <c r="DK767" s="23">
        <f ca="1">MONTH(TODAY())+7</f>
        <v>11</v>
      </c>
      <c r="DL767" s="23">
        <f>SUM(DG767,DH767,DI767)</f>
        <v>240.97499999999999</v>
      </c>
      <c r="DM767" s="14">
        <f>0</f>
        <v>0</v>
      </c>
      <c r="DN767" s="14">
        <f>0</f>
        <v>0</v>
      </c>
      <c r="DO767" s="14">
        <f ca="1">SUM(DP767*DQ767)</f>
        <v>0</v>
      </c>
      <c r="DP767" s="17">
        <f>SUM((DM767+DN767)*0.00833333333333333)</f>
        <v>0</v>
      </c>
      <c r="DQ767" s="23">
        <f ca="1">MONTH(TODAY())+1</f>
        <v>5</v>
      </c>
      <c r="DR767" s="14">
        <f ca="1">SUM(DM767,DN767,DO767)</f>
        <v>0</v>
      </c>
      <c r="DS767" s="14">
        <f>SUM(BQ767, BW767, CC767, CI767,CO767,CU767,DA767,DG767,DM767)</f>
        <v>1598.6049999999998</v>
      </c>
      <c r="DT767" s="14">
        <f>SUM(BR767,BX767,CD767, CJ767,CP767,CV767,DB767,DH767,DN767)</f>
        <v>135.76300000000001</v>
      </c>
      <c r="DU767" s="14">
        <f ca="1">SUM(BS767,BY767,CE767, CK767,CQ767,CW767,DC767,DI767,DO767)</f>
        <v>227.99259999999987</v>
      </c>
      <c r="DV767" s="25">
        <f ca="1">SUM(DS767:DU767)</f>
        <v>1962.3605999999995</v>
      </c>
      <c r="DW767" s="47">
        <f ca="1">SUM(DV767/EM767)</f>
        <v>2.3305945368171016E-2</v>
      </c>
      <c r="DX767" s="14">
        <f>40+10+200+200+40+40+40+40</f>
        <v>610</v>
      </c>
      <c r="DY767" s="32">
        <f>COUNTIF(AO767, "*")+COUNTIF(AJ767, "*")+COUNTIF(AA767, "*")+COUNTIF(FA767, "*")+COUNTIF(FG767, "*")+COUNTIF(FM767, "*")+COUNTIF(FQ767, "*")+COUNTIF(FX767, "*")+COUNTIF(AT767, "*")+COUNTIF(GG767, "*")+COUNTIF(GR767, "*")+COUNTIF(HC767, "*")+COUNTIF(HK767, "*")+COUNTIF(HS767, "*")+COUNTIF(IA767, "*")</f>
        <v>1</v>
      </c>
      <c r="DZ767" s="14">
        <f>DY767*0.64+DY767*8</f>
        <v>8.64</v>
      </c>
      <c r="EA767" s="4">
        <v>150</v>
      </c>
      <c r="EB767" s="4">
        <f>27.96+867.26</f>
        <v>895.22</v>
      </c>
      <c r="EC767" s="4">
        <v>93.75</v>
      </c>
      <c r="ED767" s="4"/>
      <c r="EF767" s="4"/>
      <c r="EG767" s="14">
        <f>SUM(EB767:EF767)</f>
        <v>988.97</v>
      </c>
      <c r="EH767" s="14">
        <f ca="1">SUM(DV767,DX767,EG767, EA767, DZ767,GD767)</f>
        <v>3719.9705999999992</v>
      </c>
      <c r="EI767" s="24" t="s">
        <v>4944</v>
      </c>
      <c r="EJ767" s="130">
        <v>2</v>
      </c>
      <c r="EK767" s="14">
        <v>21000</v>
      </c>
      <c r="EL767" s="14">
        <v>63200</v>
      </c>
      <c r="EM767" s="14">
        <f>SUM(EK767+EL767)</f>
        <v>84200</v>
      </c>
      <c r="EN767" s="14">
        <v>23000</v>
      </c>
      <c r="EO767" s="14">
        <v>84100</v>
      </c>
      <c r="EP767" s="14">
        <f>SUM(EN767+EO767)</f>
        <v>107100</v>
      </c>
      <c r="EQ767" s="10" t="s">
        <v>5283</v>
      </c>
      <c r="ER767" s="10" t="s">
        <v>5284</v>
      </c>
      <c r="ES767" s="10"/>
      <c r="ET767" s="10"/>
      <c r="EU767" s="10"/>
      <c r="EV767" s="10"/>
      <c r="EW767" s="10"/>
      <c r="EX767" s="10"/>
      <c r="GD767" s="4"/>
      <c r="IE767" s="9"/>
      <c r="IN767" s="4"/>
      <c r="IO767" s="4"/>
      <c r="IP767" s="4"/>
      <c r="IQ767" s="9"/>
      <c r="IR767" s="9"/>
      <c r="IS767" s="9"/>
      <c r="IT767" s="9"/>
      <c r="IU767" s="9"/>
    </row>
    <row r="768" spans="1:263" ht="15" customHeight="1">
      <c r="A768" s="2">
        <v>102017022</v>
      </c>
      <c r="B768" t="s">
        <v>835</v>
      </c>
      <c r="E768" t="s">
        <v>836</v>
      </c>
      <c r="F768">
        <v>180001392</v>
      </c>
      <c r="J768" t="s">
        <v>829</v>
      </c>
      <c r="K768" t="s">
        <v>830</v>
      </c>
      <c r="L768" t="s">
        <v>831</v>
      </c>
      <c r="M768" t="s">
        <v>392</v>
      </c>
      <c r="O768" s="1"/>
      <c r="T768" s="1"/>
      <c r="AE768" s="1"/>
      <c r="AJ768" s="4"/>
      <c r="AK768" s="4"/>
      <c r="AL768" s="14"/>
      <c r="AM768" s="34"/>
      <c r="AP768" s="13"/>
      <c r="AQ768" s="63"/>
      <c r="AR768" s="34"/>
      <c r="AS768" s="5"/>
      <c r="AT768" s="13"/>
      <c r="AU768" s="1"/>
      <c r="AV768" s="1"/>
      <c r="AW768" s="1"/>
      <c r="AX768" s="1"/>
      <c r="AY768" s="15"/>
      <c r="AZ768" s="15"/>
      <c r="BA768" s="1"/>
      <c r="BB768" s="1"/>
      <c r="BC768" s="1"/>
      <c r="BD768" s="1"/>
      <c r="BE768" s="15"/>
      <c r="BF768" s="15"/>
      <c r="BG768" s="5"/>
      <c r="BH768" s="16"/>
      <c r="BI768" s="16"/>
      <c r="BK768" s="4"/>
      <c r="BL768" s="4"/>
      <c r="BM768" s="6"/>
      <c r="BN768" s="7"/>
      <c r="BO768" s="4"/>
      <c r="BQ768" s="4"/>
      <c r="BR768" s="4"/>
      <c r="BS768" s="6"/>
      <c r="BT768" s="7"/>
      <c r="BU768" s="4"/>
      <c r="BV768" s="4"/>
      <c r="BW768" s="4"/>
      <c r="BX768" s="4"/>
      <c r="BY768" s="6"/>
      <c r="BZ768" s="7"/>
      <c r="CA768" s="4"/>
      <c r="CC768" s="4"/>
      <c r="CD768" s="4"/>
      <c r="CE768" s="6"/>
      <c r="CF768" s="7"/>
      <c r="CG768" s="4"/>
      <c r="CH768" s="4"/>
      <c r="CI768" s="4"/>
      <c r="CJ768" s="4"/>
      <c r="CK768" s="6"/>
      <c r="CL768" s="7"/>
      <c r="CM768" s="4"/>
      <c r="CN768" s="4"/>
      <c r="CO768" s="4"/>
      <c r="CP768" s="4"/>
      <c r="CQ768" s="6"/>
      <c r="CR768" s="7"/>
      <c r="CS768" s="4"/>
      <c r="CT768" s="4"/>
      <c r="CU768" s="4"/>
      <c r="CV768" s="4"/>
      <c r="CW768" s="6"/>
      <c r="CX768" s="7"/>
      <c r="CY768" s="4"/>
      <c r="CZ768" s="4"/>
      <c r="DA768" s="4"/>
      <c r="DB768" s="4"/>
      <c r="DC768" s="6"/>
      <c r="DD768" s="7"/>
      <c r="DE768" s="4"/>
      <c r="DF768" s="4"/>
      <c r="DG768" s="4"/>
      <c r="DH768" s="4"/>
      <c r="DI768" s="6"/>
      <c r="DJ768" s="7"/>
      <c r="DK768" s="4"/>
      <c r="DL768" s="4"/>
      <c r="DM768" s="4"/>
      <c r="DN768" s="4"/>
      <c r="DO768" s="4"/>
      <c r="DP768" s="4"/>
      <c r="DQ768" s="3"/>
      <c r="DR768" s="4"/>
      <c r="DS768" s="4"/>
      <c r="DT768" s="4"/>
      <c r="DU768" s="4"/>
      <c r="DV768" s="4"/>
      <c r="DW768" s="4"/>
      <c r="DX768" s="4"/>
      <c r="DY768" s="4"/>
      <c r="DZ768" s="4"/>
      <c r="EA768" s="4"/>
      <c r="EB768" s="4"/>
      <c r="EC768" s="4"/>
      <c r="ED768" s="4"/>
      <c r="FL768" s="9"/>
      <c r="FM768" s="10"/>
      <c r="FT768" s="10"/>
      <c r="FU768" s="9"/>
      <c r="GG768" s="9"/>
      <c r="GQ768" s="18"/>
      <c r="GR768" s="9"/>
      <c r="HC768" s="9"/>
      <c r="HK768" s="9"/>
      <c r="HS768" s="9"/>
      <c r="IK768" s="9"/>
      <c r="IL768" s="9"/>
      <c r="IS768" s="4"/>
      <c r="IT768" s="4"/>
      <c r="JB768" s="18"/>
      <c r="JC768" s="18"/>
    </row>
    <row r="769" spans="1:263" ht="15" customHeight="1">
      <c r="A769" s="2">
        <v>102020017</v>
      </c>
      <c r="B769" t="s">
        <v>1585</v>
      </c>
      <c r="J769" t="s">
        <v>253</v>
      </c>
      <c r="K769" t="s">
        <v>399</v>
      </c>
      <c r="L769" t="s">
        <v>781</v>
      </c>
      <c r="M769" t="s">
        <v>256</v>
      </c>
      <c r="AG769" s="248"/>
      <c r="BG769" s="5"/>
      <c r="BH769" s="16"/>
      <c r="BI769" s="16"/>
      <c r="BJ769" s="4"/>
      <c r="BK769" s="4"/>
      <c r="BL769" s="4"/>
      <c r="BM769" s="6"/>
      <c r="BN769" s="7"/>
      <c r="BO769" s="4"/>
      <c r="BP769" s="4"/>
      <c r="BQ769" s="4"/>
      <c r="BR769" s="4"/>
      <c r="BS769" s="6"/>
      <c r="BT769" s="7"/>
      <c r="BU769" s="4"/>
      <c r="BV769" s="4"/>
      <c r="BW769" s="4"/>
      <c r="BX769" s="4"/>
      <c r="BY769" s="6"/>
      <c r="BZ769" s="7"/>
      <c r="CA769" s="4"/>
      <c r="CB769" s="4"/>
      <c r="CC769" s="4"/>
      <c r="CD769" s="4"/>
      <c r="CE769" s="6"/>
      <c r="CF769" s="7"/>
      <c r="CG769" s="4"/>
      <c r="CH769" s="4"/>
      <c r="CI769" s="4"/>
      <c r="CJ769" s="4"/>
      <c r="CK769" s="6"/>
      <c r="CL769" s="7"/>
      <c r="CM769" s="4"/>
      <c r="CN769" s="4"/>
      <c r="CO769" s="4"/>
      <c r="CP769" s="4"/>
      <c r="CQ769" s="6"/>
      <c r="CR769" s="7"/>
      <c r="CS769" s="4"/>
      <c r="CT769" s="4"/>
      <c r="CU769" s="4"/>
      <c r="CV769" s="4"/>
      <c r="CW769" s="6"/>
      <c r="CX769" s="7"/>
      <c r="CY769" s="4"/>
      <c r="CZ769" s="4"/>
      <c r="DA769" s="4"/>
      <c r="DB769" s="4"/>
      <c r="DC769" s="4"/>
      <c r="DD769" s="3"/>
      <c r="DE769" s="4"/>
      <c r="DF769" s="234"/>
      <c r="DG769" s="4"/>
      <c r="DH769" s="4"/>
      <c r="DI769" s="4"/>
      <c r="DJ769" s="4"/>
      <c r="DK769" s="4"/>
      <c r="DL769" s="4"/>
      <c r="DM769" s="7"/>
      <c r="DN769" s="8"/>
      <c r="DO769" s="4"/>
      <c r="DP769" s="8"/>
      <c r="DQ769" s="8"/>
      <c r="DR769" s="8"/>
      <c r="DS769" s="2"/>
    </row>
    <row r="770" spans="1:263" ht="15" customHeight="1">
      <c r="A770" s="19">
        <v>102019094</v>
      </c>
      <c r="B770" s="18" t="s">
        <v>768</v>
      </c>
      <c r="C770" s="13"/>
      <c r="D770" s="13"/>
      <c r="E770" s="18"/>
      <c r="F770" s="27"/>
      <c r="G770" s="27"/>
      <c r="H770" s="27"/>
      <c r="I770" s="27"/>
      <c r="J770" s="18"/>
      <c r="K770" s="18" t="s">
        <v>769</v>
      </c>
      <c r="L770" s="18" t="s">
        <v>770</v>
      </c>
      <c r="M770" s="18"/>
      <c r="N770" s="18"/>
      <c r="O770" s="13"/>
      <c r="P770" s="18"/>
      <c r="Q770" s="18"/>
      <c r="R770" s="18"/>
      <c r="S770" s="18"/>
      <c r="T770" s="13"/>
      <c r="U770" s="18"/>
      <c r="V770" s="18"/>
      <c r="W770" s="18"/>
      <c r="X770" s="18"/>
      <c r="Y770" s="18"/>
      <c r="Z770" s="18"/>
      <c r="AA770" s="18"/>
      <c r="AB770" s="18"/>
      <c r="AC770" s="18"/>
      <c r="AD770" s="18"/>
      <c r="AE770" s="18"/>
      <c r="AF770" s="231"/>
      <c r="AG770" s="18"/>
      <c r="AH770" s="18"/>
      <c r="AI770" s="18"/>
      <c r="AJ770" s="14"/>
      <c r="AK770" s="18"/>
      <c r="AL770" s="18"/>
      <c r="AM770" s="24"/>
      <c r="AN770" s="24"/>
      <c r="AO770" s="14"/>
      <c r="AP770" s="20"/>
      <c r="AQ770" s="24"/>
      <c r="AR770" s="24"/>
      <c r="AS770" s="20"/>
      <c r="AT770" s="20"/>
      <c r="AU770" s="13"/>
      <c r="AV770" s="13"/>
      <c r="AW770" s="13"/>
      <c r="AX770" s="19"/>
      <c r="AY770" s="19"/>
      <c r="AZ770" s="19"/>
      <c r="BA770" s="19"/>
      <c r="BB770" s="19"/>
      <c r="BC770" s="19"/>
      <c r="BD770" s="19"/>
      <c r="BE770" s="19"/>
      <c r="BF770" s="19"/>
      <c r="BG770" s="20"/>
      <c r="BH770" s="22"/>
      <c r="BI770" s="22"/>
      <c r="BJ770" s="14"/>
      <c r="BK770" s="14"/>
      <c r="BL770" s="14"/>
      <c r="BM770" s="17"/>
      <c r="BN770" s="23"/>
      <c r="BO770" s="14"/>
      <c r="BP770" s="14"/>
      <c r="BQ770" s="14"/>
      <c r="BR770" s="14"/>
      <c r="BS770" s="17"/>
      <c r="BT770" s="23"/>
      <c r="BU770" s="14"/>
      <c r="BV770" s="14"/>
      <c r="BW770" s="14"/>
      <c r="BX770" s="14"/>
      <c r="BY770" s="17"/>
      <c r="BZ770" s="23"/>
      <c r="CA770" s="14"/>
      <c r="CB770" s="14"/>
      <c r="CC770" s="14"/>
      <c r="CD770" s="14"/>
      <c r="CE770" s="17"/>
      <c r="CF770" s="23"/>
      <c r="CG770" s="14"/>
      <c r="CH770" s="14"/>
      <c r="CI770" s="14"/>
      <c r="CJ770" s="14"/>
      <c r="CK770" s="17"/>
      <c r="CL770" s="23"/>
      <c r="CM770" s="14"/>
      <c r="CN770" s="14"/>
      <c r="CO770" s="14"/>
      <c r="CP770" s="14"/>
      <c r="CQ770" s="17"/>
      <c r="CR770" s="23"/>
      <c r="CS770" s="14"/>
      <c r="CT770" s="14"/>
      <c r="CU770" s="14"/>
      <c r="CV770" s="14"/>
      <c r="CW770" s="17"/>
      <c r="CX770" s="23"/>
      <c r="CY770" s="14"/>
      <c r="CZ770" s="14"/>
      <c r="DA770" s="14"/>
      <c r="DB770" s="14"/>
      <c r="DC770" s="14"/>
      <c r="DD770" s="14"/>
      <c r="DE770" s="47"/>
      <c r="DF770" s="24"/>
      <c r="DG770" s="14"/>
      <c r="DH770" s="32"/>
      <c r="DI770" s="14"/>
      <c r="DJ770" s="14"/>
      <c r="DK770" s="14"/>
      <c r="DL770" s="14"/>
      <c r="DM770" s="14"/>
      <c r="DN770" s="14"/>
      <c r="DO770" s="23"/>
      <c r="DP770" s="25"/>
      <c r="DQ770" s="14"/>
      <c r="DR770" s="25"/>
      <c r="DS770" s="25"/>
      <c r="DT770" s="25"/>
      <c r="DU770" s="36"/>
      <c r="DV770" s="275"/>
      <c r="DW770" s="18"/>
      <c r="DX770" s="18"/>
      <c r="DY770" s="18"/>
      <c r="DZ770" s="18"/>
      <c r="EA770" s="18"/>
      <c r="EB770" s="18"/>
      <c r="EC770" s="18"/>
      <c r="ED770" s="30"/>
      <c r="EE770" s="18"/>
      <c r="EF770" s="18"/>
      <c r="EG770" s="18"/>
      <c r="EH770" s="18"/>
      <c r="EI770" s="18"/>
      <c r="EJ770" s="30"/>
      <c r="EK770" s="30"/>
      <c r="EL770" s="14"/>
      <c r="EM770" s="14"/>
      <c r="EN770" s="14"/>
      <c r="EO770" s="14"/>
      <c r="EP770" s="14"/>
      <c r="EQ770" s="14"/>
      <c r="ER770" s="14"/>
      <c r="ES770" s="14"/>
      <c r="ET770" s="14"/>
      <c r="EU770" s="14"/>
      <c r="EV770" s="14"/>
      <c r="EW770" s="14"/>
      <c r="EX770" s="14"/>
      <c r="EY770" s="14"/>
      <c r="EZ770" s="14"/>
      <c r="FA770" s="18"/>
      <c r="FB770" s="18"/>
      <c r="FC770" s="18"/>
      <c r="FD770" s="27"/>
      <c r="FE770" s="18"/>
      <c r="FF770" s="18"/>
      <c r="FG770" s="18"/>
      <c r="FH770" s="18"/>
      <c r="FI770" s="18"/>
      <c r="FJ770" s="18"/>
      <c r="FK770" s="18"/>
      <c r="FL770" s="18"/>
      <c r="FM770" s="27"/>
      <c r="FN770" s="18"/>
      <c r="FO770" s="18"/>
      <c r="FP770" s="18"/>
      <c r="FQ770" s="18"/>
      <c r="FR770" s="18"/>
      <c r="FS770" s="14"/>
      <c r="FT770" s="18"/>
      <c r="FU770" s="18"/>
      <c r="FV770" s="18"/>
      <c r="FW770" s="18"/>
      <c r="FX770" s="28"/>
      <c r="FY770" s="18"/>
      <c r="FZ770" s="18"/>
      <c r="GA770" s="18"/>
      <c r="GB770" s="18"/>
      <c r="GC770" s="18"/>
      <c r="GD770" s="18"/>
      <c r="GE770" s="18"/>
      <c r="GF770" s="18"/>
      <c r="GG770" s="18"/>
      <c r="GH770" s="28"/>
      <c r="GI770" s="18"/>
      <c r="GJ770" s="18"/>
      <c r="GK770" s="18"/>
      <c r="GL770" s="18"/>
      <c r="GM770" s="18"/>
      <c r="GN770" s="18"/>
      <c r="GO770" s="18"/>
      <c r="GP770" s="18"/>
      <c r="GQ770" s="18"/>
      <c r="GR770" s="18"/>
      <c r="GS770" s="18"/>
      <c r="GT770" s="18"/>
      <c r="GU770" s="18"/>
      <c r="GV770" s="18"/>
      <c r="GW770" s="27"/>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27"/>
      <c r="IE770" s="14"/>
      <c r="IF770" s="14"/>
      <c r="IG770" s="27"/>
      <c r="IH770" s="18"/>
      <c r="II770" s="18"/>
      <c r="IJ770" s="18"/>
      <c r="IK770" s="18"/>
      <c r="IL770" s="18"/>
      <c r="IM770" s="18"/>
      <c r="IN770" s="18"/>
      <c r="IO770" s="18"/>
      <c r="IP770" s="18"/>
      <c r="IQ770" s="18"/>
      <c r="IR770" s="18"/>
      <c r="IS770" s="18"/>
      <c r="IT770" s="18"/>
      <c r="IU770" s="18"/>
      <c r="IV770" s="18"/>
    </row>
    <row r="771" spans="1:263" ht="15" customHeight="1">
      <c r="A771" s="2">
        <v>102018105</v>
      </c>
      <c r="B771" t="s">
        <v>1304</v>
      </c>
      <c r="E771" s="3" t="s">
        <v>1305</v>
      </c>
      <c r="F771" s="3"/>
      <c r="J771" t="s">
        <v>311</v>
      </c>
      <c r="K771" t="s">
        <v>1306</v>
      </c>
      <c r="L771" t="s">
        <v>1096</v>
      </c>
      <c r="M771" t="s">
        <v>396</v>
      </c>
      <c r="O771" s="1"/>
      <c r="T771" s="1"/>
      <c r="AJ771" s="4"/>
      <c r="AK771" s="4"/>
      <c r="AO771" s="4"/>
      <c r="AP771" s="5"/>
      <c r="AS771" s="5"/>
      <c r="AT771" s="5"/>
      <c r="AU771" s="1"/>
      <c r="AV771" s="1"/>
      <c r="AW771" s="1"/>
      <c r="AX771" s="1"/>
      <c r="AY771" s="1"/>
      <c r="AZ771" s="1"/>
      <c r="BA771" s="1"/>
      <c r="BB771" s="1"/>
      <c r="BC771" s="1"/>
      <c r="BD771" s="1"/>
      <c r="BE771" s="1"/>
      <c r="BF771" s="1"/>
      <c r="BG771" s="5"/>
      <c r="BH771" s="16"/>
      <c r="BI771" s="16"/>
      <c r="BJ771" s="4"/>
      <c r="BK771" s="4"/>
      <c r="BL771" s="4"/>
      <c r="BM771" s="6"/>
      <c r="BN771" s="7"/>
      <c r="BO771" s="4"/>
      <c r="BQ771" s="4"/>
      <c r="BR771" s="4"/>
      <c r="BS771" s="6"/>
      <c r="BT771" s="7"/>
      <c r="BU771" s="4"/>
      <c r="BV771" s="4"/>
      <c r="BW771" s="4"/>
      <c r="BX771" s="4"/>
      <c r="BY771" s="6"/>
      <c r="BZ771" s="7"/>
      <c r="CA771" s="4"/>
      <c r="CB771" s="4"/>
      <c r="CC771" s="4"/>
      <c r="CD771" s="4"/>
      <c r="CE771" s="6"/>
      <c r="CF771" s="7"/>
      <c r="CG771" s="4"/>
      <c r="CH771" s="4"/>
      <c r="CI771" s="4"/>
      <c r="CJ771" s="4"/>
      <c r="CK771" s="6"/>
      <c r="CL771" s="7"/>
      <c r="CM771" s="4"/>
      <c r="CN771" s="4"/>
      <c r="CO771" s="4"/>
      <c r="CP771" s="4"/>
      <c r="CQ771" s="6"/>
      <c r="CR771" s="7"/>
      <c r="CS771" s="4"/>
      <c r="CT771" s="4"/>
      <c r="CU771" s="4"/>
      <c r="CV771" s="4"/>
      <c r="CW771" s="6"/>
      <c r="CX771" s="7"/>
      <c r="CY771" s="4"/>
      <c r="CZ771" s="4"/>
      <c r="DA771" s="4"/>
      <c r="DB771" s="4"/>
      <c r="DC771" s="6"/>
      <c r="DD771" s="7"/>
      <c r="DE771" s="4"/>
      <c r="DF771" s="4"/>
      <c r="DG771" s="14"/>
      <c r="DH771" s="14"/>
      <c r="DI771" s="4"/>
      <c r="DJ771" s="3"/>
      <c r="DK771" s="4"/>
      <c r="DL771" s="234"/>
      <c r="DM771" s="4"/>
      <c r="DN771" s="4"/>
      <c r="DO771" s="4"/>
      <c r="DP771" s="4"/>
      <c r="DQ771" s="4"/>
      <c r="DR771" s="4"/>
      <c r="DS771" s="4"/>
      <c r="DT771" s="8"/>
      <c r="DU771" s="4"/>
      <c r="DV771" s="8"/>
      <c r="DW771" s="4"/>
      <c r="DX771" s="4"/>
      <c r="EG771" s="11"/>
      <c r="EM771" s="11"/>
      <c r="EN771" s="11"/>
      <c r="EO771" s="4"/>
      <c r="EP771" s="4"/>
      <c r="EQ771" s="4"/>
      <c r="ER771" s="4"/>
      <c r="ES771" s="4"/>
      <c r="ET771" s="4"/>
      <c r="EU771" s="4"/>
      <c r="EV771" s="4"/>
      <c r="EW771" s="4"/>
      <c r="EX771" s="4"/>
      <c r="EY771" s="4"/>
      <c r="EZ771" s="4"/>
      <c r="FA771" s="4"/>
      <c r="FB771" s="4"/>
      <c r="FC771" s="4"/>
      <c r="FG771" s="9"/>
      <c r="FP771" s="9"/>
      <c r="FZ771" s="10"/>
      <c r="GJ771" s="10"/>
      <c r="GY771" s="9"/>
      <c r="IK771" s="4"/>
      <c r="IL771" s="9"/>
      <c r="IN771" t="s">
        <v>1356</v>
      </c>
      <c r="IO771" t="s">
        <v>809</v>
      </c>
      <c r="IP771" t="s">
        <v>386</v>
      </c>
      <c r="IS771" s="4">
        <v>99.67</v>
      </c>
      <c r="IT771" s="4"/>
    </row>
    <row r="772" spans="1:263" ht="15" customHeight="1">
      <c r="A772" s="2">
        <v>102018014</v>
      </c>
      <c r="B772" t="s">
        <v>1107</v>
      </c>
      <c r="C772" s="3"/>
      <c r="D772" s="3"/>
      <c r="E772" s="3"/>
      <c r="F772" s="3"/>
      <c r="G772" s="3"/>
      <c r="H772" s="3"/>
      <c r="J772" t="s">
        <v>253</v>
      </c>
      <c r="K772" t="s">
        <v>780</v>
      </c>
      <c r="L772" t="s">
        <v>1106</v>
      </c>
      <c r="M772" t="s">
        <v>256</v>
      </c>
      <c r="O772" s="1"/>
      <c r="T772" s="1"/>
      <c r="AA772" s="4"/>
      <c r="AB772" s="4"/>
      <c r="AC772" s="4"/>
      <c r="AJ772" s="11"/>
      <c r="AK772" s="11"/>
      <c r="AO772" s="4"/>
      <c r="AP772" s="5"/>
      <c r="AQ772" s="34"/>
      <c r="AR772" s="34"/>
      <c r="AS772" s="29"/>
      <c r="AT772" s="1"/>
      <c r="AU772" s="1"/>
      <c r="AV772" s="1"/>
      <c r="AW772" s="1"/>
      <c r="AX772" s="1"/>
      <c r="AY772" s="1"/>
      <c r="AZ772" s="15"/>
      <c r="BA772" s="1"/>
      <c r="BB772" s="1"/>
      <c r="BC772" s="1"/>
      <c r="BD772" s="1"/>
      <c r="BE772" s="1"/>
      <c r="BF772" s="1"/>
      <c r="BG772" s="5"/>
      <c r="BH772" s="16"/>
      <c r="BI772" s="16"/>
      <c r="BJ772" s="4"/>
      <c r="BK772" s="4"/>
      <c r="BL772" s="4"/>
      <c r="BM772" s="6"/>
      <c r="BN772" s="7"/>
      <c r="BO772" s="4"/>
      <c r="BQ772" s="4"/>
      <c r="BR772" s="4"/>
      <c r="BS772" s="6"/>
      <c r="BT772" s="7"/>
      <c r="BU772" s="4"/>
      <c r="BV772" s="4"/>
      <c r="BW772" s="4"/>
      <c r="BX772" s="4"/>
      <c r="BY772" s="6"/>
      <c r="BZ772" s="7"/>
      <c r="CA772" s="4"/>
      <c r="CB772" s="4"/>
      <c r="CC772" s="4"/>
      <c r="CD772" s="4"/>
      <c r="CE772" s="6"/>
      <c r="CF772" s="7"/>
      <c r="CG772" s="4"/>
      <c r="CH772" s="4"/>
      <c r="CI772" s="4"/>
      <c r="CJ772" s="4"/>
      <c r="CK772" s="6"/>
      <c r="CL772" s="7"/>
      <c r="CM772" s="4"/>
      <c r="CN772" s="4"/>
      <c r="CO772" s="4"/>
      <c r="CP772" s="4"/>
      <c r="CQ772" s="6"/>
      <c r="CR772" s="7"/>
      <c r="CS772" s="4"/>
      <c r="CT772" s="4"/>
      <c r="CU772" s="4"/>
      <c r="CV772" s="4"/>
      <c r="CW772" s="6"/>
      <c r="CX772" s="7"/>
      <c r="CY772" s="4"/>
      <c r="CZ772" s="4"/>
      <c r="DA772" s="4"/>
      <c r="DB772" s="4"/>
      <c r="DC772" s="6"/>
      <c r="DD772" s="7"/>
      <c r="DE772" s="4"/>
      <c r="DF772" s="4"/>
      <c r="DG772" s="14"/>
      <c r="DH772" s="14"/>
      <c r="DI772" s="4"/>
      <c r="DK772" s="4"/>
      <c r="DL772" s="4"/>
      <c r="DM772" s="4"/>
      <c r="DN772" s="4"/>
      <c r="DO772" s="3"/>
      <c r="DP772" s="3"/>
      <c r="DQ772" s="3"/>
      <c r="DR772" s="3"/>
      <c r="DS772" s="3"/>
      <c r="DT772" s="4"/>
      <c r="DU772" s="4"/>
      <c r="DV772" s="4"/>
      <c r="DW772" s="4"/>
      <c r="DX772" s="4"/>
      <c r="DY772" s="4"/>
      <c r="DZ772" s="4"/>
      <c r="EA772" s="4"/>
      <c r="EB772" s="4"/>
      <c r="EC772" s="4"/>
      <c r="ED772" s="4"/>
      <c r="EE772" s="4"/>
      <c r="EF772" s="4"/>
      <c r="EG772" s="4"/>
      <c r="EH772" s="4"/>
      <c r="EI772" s="4"/>
      <c r="EL772" s="4"/>
      <c r="EM772" s="4"/>
      <c r="EN772" s="4"/>
      <c r="FF772" s="9"/>
      <c r="FG772" s="10"/>
      <c r="FN772" s="10"/>
      <c r="FO772" s="9"/>
      <c r="GA772" s="9"/>
      <c r="IJ772" s="4"/>
      <c r="IZ772" s="12"/>
      <c r="JA772" s="12"/>
      <c r="JB772" s="12"/>
      <c r="JC772" s="12"/>
    </row>
    <row r="773" spans="1:263" ht="15" customHeight="1">
      <c r="A773" s="2">
        <v>102018013</v>
      </c>
      <c r="B773" t="s">
        <v>1105</v>
      </c>
      <c r="J773" t="s">
        <v>253</v>
      </c>
      <c r="K773" t="s">
        <v>780</v>
      </c>
      <c r="L773" t="s">
        <v>1106</v>
      </c>
      <c r="M773" t="s">
        <v>256</v>
      </c>
      <c r="O773" s="1"/>
      <c r="T773" s="1"/>
      <c r="AJ773" s="11"/>
      <c r="AK773" s="11"/>
      <c r="AO773" s="4"/>
      <c r="AP773" s="5"/>
      <c r="AQ773" s="34"/>
      <c r="AR773" s="34"/>
      <c r="AS773" s="29"/>
      <c r="AT773" s="1"/>
      <c r="AU773" s="1"/>
      <c r="AV773" s="1"/>
      <c r="AW773" s="1"/>
      <c r="AX773" s="1"/>
      <c r="AY773" s="15"/>
      <c r="AZ773" s="15"/>
      <c r="BA773" s="1"/>
      <c r="BB773" s="1"/>
      <c r="BC773" s="1"/>
      <c r="BD773" s="1"/>
      <c r="BE773" s="1"/>
      <c r="BF773" s="1"/>
      <c r="BG773" s="5"/>
      <c r="BH773" s="16"/>
      <c r="BI773" s="16"/>
      <c r="BK773" s="4"/>
      <c r="BL773" s="4"/>
      <c r="BM773" s="6"/>
      <c r="BN773" s="7"/>
      <c r="BO773" s="4"/>
      <c r="BQ773" s="4"/>
      <c r="BR773" s="4"/>
      <c r="BS773" s="6"/>
      <c r="BT773" s="7"/>
      <c r="BU773" s="4"/>
      <c r="BV773" s="4"/>
      <c r="BW773" s="4"/>
      <c r="BX773" s="4"/>
      <c r="BY773" s="6"/>
      <c r="BZ773" s="7"/>
      <c r="CA773" s="4"/>
      <c r="CC773" s="4"/>
      <c r="CD773" s="4"/>
      <c r="CE773" s="6"/>
      <c r="CF773" s="7"/>
      <c r="CG773" s="4"/>
      <c r="CH773" s="4"/>
      <c r="CI773" s="4"/>
      <c r="CJ773" s="4"/>
      <c r="CK773" s="6"/>
      <c r="CL773" s="7"/>
      <c r="CM773" s="4"/>
      <c r="CN773" s="4"/>
      <c r="CO773" s="4"/>
      <c r="CP773" s="4"/>
      <c r="CQ773" s="6"/>
      <c r="CR773" s="7"/>
      <c r="CS773" s="4"/>
      <c r="CT773" s="4"/>
      <c r="CU773" s="4"/>
      <c r="CV773" s="4"/>
      <c r="CW773" s="6"/>
      <c r="CX773" s="7"/>
      <c r="CY773" s="4"/>
      <c r="CZ773" s="4"/>
      <c r="DA773" s="4"/>
      <c r="DB773" s="4"/>
      <c r="DC773" s="6"/>
      <c r="DD773" s="7"/>
      <c r="DE773" s="4"/>
      <c r="DF773" s="4"/>
      <c r="DG773" s="4"/>
      <c r="DH773" s="4"/>
      <c r="DI773" s="6"/>
      <c r="DJ773" s="7"/>
      <c r="DK773" s="4"/>
      <c r="DL773" s="4"/>
      <c r="DM773" s="4"/>
      <c r="DN773" s="4"/>
      <c r="DO773" s="4"/>
      <c r="DP773" s="4"/>
      <c r="DR773" s="4"/>
      <c r="DS773" s="4"/>
      <c r="DT773" s="4"/>
      <c r="DU773" s="4"/>
      <c r="DV773" s="3"/>
      <c r="DW773" s="3"/>
      <c r="DX773" s="3"/>
      <c r="DY773" s="3"/>
      <c r="DZ773" s="3"/>
      <c r="EA773" s="4"/>
      <c r="EB773" s="4"/>
      <c r="EC773" s="4"/>
      <c r="ED773" s="4"/>
      <c r="EE773" s="4"/>
      <c r="EF773" s="4"/>
      <c r="EG773" s="4"/>
      <c r="EH773" s="4"/>
      <c r="EI773" s="4"/>
      <c r="EJ773" s="4"/>
      <c r="EK773" s="4"/>
      <c r="EL773" s="4"/>
      <c r="EM773" s="4"/>
      <c r="EN773" s="4"/>
      <c r="EO773" s="4"/>
      <c r="EP773" s="4"/>
      <c r="FL773" s="9"/>
      <c r="FM773" s="10"/>
      <c r="FT773" s="10"/>
      <c r="FU773" s="9"/>
      <c r="GG773" s="9"/>
      <c r="IQ773" s="18"/>
      <c r="IR773" s="18"/>
      <c r="IS773" s="18"/>
      <c r="IT773" s="18"/>
      <c r="IU773" s="18"/>
      <c r="IV773" s="18"/>
    </row>
    <row r="774" spans="1:263" ht="15" customHeight="1">
      <c r="A774" s="2">
        <v>102018015</v>
      </c>
      <c r="B774" s="4" t="s">
        <v>1108</v>
      </c>
      <c r="J774" t="s">
        <v>253</v>
      </c>
      <c r="K774" t="s">
        <v>780</v>
      </c>
      <c r="L774" t="s">
        <v>1106</v>
      </c>
      <c r="M774" t="s">
        <v>256</v>
      </c>
      <c r="O774" s="1"/>
      <c r="T774" s="1"/>
      <c r="AJ774" s="11"/>
      <c r="AK774" s="11"/>
      <c r="AO774" s="4"/>
      <c r="AP774" s="5"/>
      <c r="AQ774" s="34"/>
      <c r="AS774" s="29"/>
      <c r="AT774" s="1"/>
      <c r="AU774" s="1"/>
      <c r="AV774" s="1"/>
      <c r="AW774" s="1"/>
      <c r="AX774" s="1"/>
      <c r="AY774" s="1"/>
      <c r="AZ774" s="1"/>
      <c r="BA774" s="1"/>
      <c r="BB774" s="1"/>
      <c r="BC774" s="1"/>
      <c r="BD774" s="1"/>
      <c r="BE774" s="5"/>
      <c r="BF774" s="16"/>
      <c r="BG774" s="16"/>
      <c r="BI774" s="4"/>
      <c r="BJ774" s="4"/>
      <c r="BK774" s="6"/>
      <c r="BL774" s="7"/>
      <c r="BM774" s="4"/>
      <c r="BO774" s="4"/>
      <c r="BP774" s="4"/>
      <c r="BQ774" s="6"/>
      <c r="BR774" s="7"/>
      <c r="BS774" s="4"/>
      <c r="BT774" s="4"/>
      <c r="BU774" s="4"/>
      <c r="BV774" s="4"/>
      <c r="BW774" s="6"/>
      <c r="BX774" s="7"/>
      <c r="BY774" s="4"/>
      <c r="CA774" s="4"/>
      <c r="CB774" s="4"/>
      <c r="CC774" s="6"/>
      <c r="CD774" s="7"/>
      <c r="CE774" s="4"/>
      <c r="CF774" s="4"/>
      <c r="CG774" s="4"/>
      <c r="CH774" s="4"/>
      <c r="CI774" s="6"/>
      <c r="CJ774" s="7"/>
      <c r="CK774" s="4"/>
      <c r="CL774" s="4"/>
      <c r="CM774" s="4"/>
      <c r="CN774" s="4"/>
      <c r="CO774" s="6"/>
      <c r="CP774" s="7"/>
      <c r="CQ774" s="4"/>
      <c r="CR774" s="4"/>
      <c r="CS774" s="4"/>
      <c r="CT774" s="4"/>
      <c r="CU774" s="6"/>
      <c r="CV774" s="7"/>
      <c r="CW774" s="4"/>
      <c r="CX774" s="4"/>
      <c r="CY774" s="4"/>
      <c r="CZ774" s="4"/>
      <c r="DA774" s="6"/>
      <c r="DB774" s="7"/>
      <c r="DC774" s="4"/>
      <c r="DD774" s="4"/>
      <c r="DE774" s="4"/>
      <c r="DF774" s="4"/>
      <c r="DG774" s="6"/>
      <c r="DH774" s="7"/>
      <c r="DI774" s="4"/>
      <c r="DJ774" s="4"/>
      <c r="DK774" s="4"/>
      <c r="DL774" s="4"/>
      <c r="DM774" s="4"/>
      <c r="DO774" s="4"/>
      <c r="DQ774" s="4"/>
      <c r="DS774" s="4"/>
      <c r="DT774" s="4"/>
      <c r="DU774" s="4"/>
      <c r="DV774" s="4"/>
      <c r="DW774" s="4"/>
      <c r="DX774" s="4"/>
      <c r="DY774" s="3"/>
      <c r="DZ774" s="3"/>
      <c r="EA774" s="3"/>
      <c r="EB774" s="3"/>
      <c r="EC774" s="3"/>
      <c r="ED774" s="4"/>
      <c r="EH774" s="4"/>
      <c r="EI774" s="4"/>
      <c r="EJ774" s="4"/>
      <c r="EK774" s="4"/>
      <c r="EL774" s="4"/>
      <c r="EM774" s="4"/>
      <c r="EN774" s="4"/>
      <c r="EO774" s="4"/>
      <c r="EP774" s="4"/>
      <c r="EQ774" s="4"/>
      <c r="ER774" s="4"/>
      <c r="ES774" s="4"/>
      <c r="FN774" s="9"/>
      <c r="FO774" s="10"/>
      <c r="FV774" s="10"/>
      <c r="GH774" s="9"/>
      <c r="IZ774" s="12"/>
      <c r="JA774" s="12"/>
      <c r="JB774" s="12"/>
      <c r="JC774" s="12"/>
    </row>
    <row r="775" spans="1:263" ht="15" customHeight="1">
      <c r="A775" s="211">
        <v>102024093</v>
      </c>
      <c r="B775" s="200" t="s">
        <v>5395</v>
      </c>
      <c r="C775" s="201"/>
      <c r="D775" s="202"/>
      <c r="E775" s="203" t="s">
        <v>5879</v>
      </c>
      <c r="F775" s="204">
        <v>240003054</v>
      </c>
      <c r="G775" s="203"/>
      <c r="H775" s="201"/>
      <c r="I775" s="201"/>
      <c r="J775" s="201" t="s">
        <v>554</v>
      </c>
      <c r="K775" s="201" t="s">
        <v>1481</v>
      </c>
      <c r="L775" s="201" t="s">
        <v>2082</v>
      </c>
      <c r="M775" s="201" t="s">
        <v>428</v>
      </c>
      <c r="N775" s="201"/>
      <c r="O775" s="203"/>
      <c r="P775" s="201" t="s">
        <v>1481</v>
      </c>
      <c r="Q775" s="201" t="s">
        <v>1054</v>
      </c>
      <c r="R775" s="201" t="s">
        <v>598</v>
      </c>
      <c r="S775" s="201"/>
      <c r="T775" s="201"/>
      <c r="U775" s="201"/>
      <c r="V775" s="201"/>
      <c r="W775" s="201"/>
      <c r="X775" s="201"/>
      <c r="Y775" s="201"/>
      <c r="Z775" s="201"/>
      <c r="AA775" s="201"/>
      <c r="AB775" s="201"/>
      <c r="AC775" s="201"/>
      <c r="AD775" s="201"/>
      <c r="AE775" s="201"/>
      <c r="AF775" s="201"/>
      <c r="AG775" s="205"/>
      <c r="AH775" s="201"/>
      <c r="AI775" s="201"/>
      <c r="AJ775" s="200"/>
      <c r="AK775" s="206"/>
      <c r="AL775" s="200"/>
      <c r="AM775" s="200"/>
      <c r="AN775" s="200"/>
      <c r="AO775" s="200" t="s">
        <v>5396</v>
      </c>
      <c r="AP775" s="206" t="s">
        <v>258</v>
      </c>
      <c r="AQ775" s="96" t="s">
        <v>329</v>
      </c>
      <c r="AR775" s="200" t="s">
        <v>260</v>
      </c>
      <c r="AS775" s="200"/>
      <c r="AT775" s="200"/>
      <c r="AU775" s="200"/>
      <c r="AV775" s="200"/>
      <c r="AW775" s="206"/>
      <c r="AX775" s="200"/>
      <c r="AY775" s="206" t="s">
        <v>258</v>
      </c>
      <c r="AZ775" s="206" t="s">
        <v>258</v>
      </c>
      <c r="BA775" s="206" t="s">
        <v>258</v>
      </c>
      <c r="BB775" s="206" t="s">
        <v>258</v>
      </c>
      <c r="BC775" s="289">
        <v>45469</v>
      </c>
      <c r="BD775" s="210">
        <v>45408</v>
      </c>
      <c r="BE775" s="227">
        <v>45425</v>
      </c>
      <c r="BF775" s="207">
        <v>45534</v>
      </c>
      <c r="BG775" s="190" t="s">
        <v>319</v>
      </c>
      <c r="BH775" s="290">
        <v>45520</v>
      </c>
      <c r="BI775" s="290">
        <v>45527</v>
      </c>
      <c r="BJ775" s="207">
        <v>45545</v>
      </c>
      <c r="BK775" s="207" t="s">
        <v>5895</v>
      </c>
      <c r="BL775" s="190">
        <f ca="1">SUM(EB775)+220</f>
        <v>4515.3719999999994</v>
      </c>
      <c r="BM775" s="191">
        <f ca="1">PMT(10%/12,12,BL775,0,0)</f>
        <v>-396.97293555354281</v>
      </c>
      <c r="BN775" s="191">
        <f ca="1">SUM(BM775*-1)</f>
        <v>396.97293555354281</v>
      </c>
      <c r="BO775" s="192">
        <f>SUM(EJ775*0.0052)/12</f>
        <v>41.21</v>
      </c>
      <c r="BP775" s="191">
        <f ca="1">SUM(BN775+BO775)</f>
        <v>438.18293555354279</v>
      </c>
      <c r="BQ775" s="192">
        <v>0</v>
      </c>
      <c r="BR775" s="192">
        <f>SUM(BQ775*0.1)</f>
        <v>0</v>
      </c>
      <c r="BS775" s="192">
        <f ca="1">SUM(BT775*BU775)</f>
        <v>0</v>
      </c>
      <c r="BT775" s="193">
        <f>SUM((BQ775+BR775)*0.00833333333333333)</f>
        <v>0</v>
      </c>
      <c r="BU775" s="194">
        <f ca="1">MONTH(TODAY())+37</f>
        <v>41</v>
      </c>
      <c r="BV775" s="192">
        <f ca="1">SUM(BQ775,BR775,BS775)</f>
        <v>0</v>
      </c>
      <c r="BW775" s="192">
        <v>0</v>
      </c>
      <c r="BX775" s="192">
        <f>SUM(BW775*0.1)</f>
        <v>0</v>
      </c>
      <c r="BY775" s="192">
        <f ca="1">SUM(BZ775*CA775)</f>
        <v>0</v>
      </c>
      <c r="BZ775" s="193">
        <f>SUM((BW775+BX775)*0.00833333333333333)</f>
        <v>0</v>
      </c>
      <c r="CA775" s="194">
        <f ca="1">MONTH(TODAY())+37</f>
        <v>41</v>
      </c>
      <c r="CB775" s="192">
        <f ca="1">SUM(BW775,BX775,BY775)</f>
        <v>0</v>
      </c>
      <c r="CC775" s="192">
        <f>SUM(EG775*0.0052)/2</f>
        <v>198.89999999999998</v>
      </c>
      <c r="CD775" s="192">
        <f>SUM(CC775*0.1)</f>
        <v>19.89</v>
      </c>
      <c r="CE775" s="192">
        <f ca="1">SUM(CF775*CG775)</f>
        <v>60.167249999999967</v>
      </c>
      <c r="CF775" s="193">
        <f>SUM((CC775+CD775)*0.00833333333333333)</f>
        <v>1.8232499999999989</v>
      </c>
      <c r="CG775" s="194">
        <f ca="1">MONTH(TODAY())+29</f>
        <v>33</v>
      </c>
      <c r="CH775" s="194">
        <f ca="1">SUM(CC775,CD775,CE775)</f>
        <v>278.95724999999993</v>
      </c>
      <c r="CI775" s="192">
        <f>SUM(EG775*0.0052)/2</f>
        <v>198.89999999999998</v>
      </c>
      <c r="CJ775" s="192">
        <f>SUM(CI775*0.1)</f>
        <v>19.89</v>
      </c>
      <c r="CK775" s="192">
        <f ca="1">SUM(CL775*CM775)</f>
        <v>52.874249999999968</v>
      </c>
      <c r="CL775" s="193">
        <f>SUM((CI775+CJ775)*0.00833333333333333)</f>
        <v>1.8232499999999989</v>
      </c>
      <c r="CM775" s="194">
        <f ca="1">MONTH(TODAY())+25</f>
        <v>29</v>
      </c>
      <c r="CN775" s="192">
        <f ca="1">SUM(CI775,CJ775,CK775)</f>
        <v>271.66424999999992</v>
      </c>
      <c r="CO775" s="192">
        <f>SUM(EJ775*0.0045)/2</f>
        <v>213.97499999999999</v>
      </c>
      <c r="CP775" s="192">
        <f>SUM(CO775*0.1)</f>
        <v>21.397500000000001</v>
      </c>
      <c r="CQ775" s="192">
        <f ca="1">SUM(CR775*CS775)</f>
        <v>45.113062499999984</v>
      </c>
      <c r="CR775" s="193">
        <f>SUM((CO775+CP775)*0.00833333333333333)</f>
        <v>1.9614374999999993</v>
      </c>
      <c r="CS775" s="194">
        <f ca="1">MONTH(TODAY())+19</f>
        <v>23</v>
      </c>
      <c r="CT775" s="192">
        <f ca="1">SUM(CO775,CP775,CQ775)</f>
        <v>280.48556250000001</v>
      </c>
      <c r="CU775" s="192">
        <f>SUM(EJ775*0.0045)/2</f>
        <v>213.97499999999999</v>
      </c>
      <c r="CV775" s="192">
        <f>SUM(CU775*0.1)</f>
        <v>21.397500000000001</v>
      </c>
      <c r="CW775" s="192">
        <f ca="1">SUM(CX775*CY775)</f>
        <v>33.344437499999991</v>
      </c>
      <c r="CX775" s="193">
        <f>SUM((CU775+CV775)*0.00833333333333333)</f>
        <v>1.9614374999999993</v>
      </c>
      <c r="CY775" s="194">
        <f ca="1">MONTH(TODAY())+13</f>
        <v>17</v>
      </c>
      <c r="CZ775" s="192">
        <f ca="1">SUM(CU775,CV775,CW775)</f>
        <v>268.71693749999997</v>
      </c>
      <c r="DA775" s="192">
        <f>SUM(EJ775*0.0045)/2</f>
        <v>213.97499999999999</v>
      </c>
      <c r="DB775" s="192">
        <f>SUM(DA775*0.1)</f>
        <v>21.397500000000001</v>
      </c>
      <c r="DC775" s="192">
        <f ca="1">SUM(DD775*DE775)</f>
        <v>21.575812499999991</v>
      </c>
      <c r="DD775" s="193">
        <f>SUM((DA775+DB775)*0.00833333333333333)</f>
        <v>1.9614374999999993</v>
      </c>
      <c r="DE775" s="194">
        <f ca="1">MONTH(TODAY())+7</f>
        <v>11</v>
      </c>
      <c r="DF775" s="192">
        <f ca="1">SUM(DA775,DB775,DC775)</f>
        <v>256.94831249999999</v>
      </c>
      <c r="DG775" s="192">
        <f>SUM(EJ775*0.0045)/2</f>
        <v>213.97499999999999</v>
      </c>
      <c r="DH775" s="192">
        <f>SUM(DG775*0.1)</f>
        <v>21.397500000000001</v>
      </c>
      <c r="DI775" s="192">
        <f ca="1">SUM(DJ775*DK775)</f>
        <v>9.8071874999999959</v>
      </c>
      <c r="DJ775" s="193">
        <f>SUM((DG775+DH775)*0.00833333333333333)</f>
        <v>1.9614374999999993</v>
      </c>
      <c r="DK775" s="194">
        <f ca="1">MONTH(TODAY())+1</f>
        <v>5</v>
      </c>
      <c r="DL775" s="192">
        <f ca="1">SUM(DG775,DH775,DI775)</f>
        <v>245.1796875</v>
      </c>
      <c r="DM775" s="192">
        <f>SUM(BQ775, BW775, CC775,CI775,CO775,CU775,DA775,DG775)</f>
        <v>1253.6999999999998</v>
      </c>
      <c r="DN775" s="192">
        <f>SUM(BR775,BX775, CD775,CJ775,CP775,CV775,DB775,DH775)</f>
        <v>125.37</v>
      </c>
      <c r="DO775" s="192">
        <f ca="1">SUM(BS775,BY775, CE775,CK775,CQ775,CW775,DC775,DI775)</f>
        <v>222.88199999999989</v>
      </c>
      <c r="DP775" s="195">
        <f ca="1">SUM(DM775:DO775)</f>
        <v>1601.9519999999995</v>
      </c>
      <c r="DQ775" s="196">
        <f ca="1">SUM(DP775/EG775)</f>
        <v>2.0940549019607835E-2</v>
      </c>
      <c r="DR775" s="192">
        <f>20+10+200+200+100+40+40+100</f>
        <v>710</v>
      </c>
      <c r="DS775" s="197">
        <f>COUNTIF(AO775, "*")+COUNTIF(AJ775, "*")+COUNTIF(AA775, "*")+COUNTIF(EU775, "*")+COUNTIF(FA775, "*")+COUNTIF(FG775, "*")+COUNTIF(FK775, "*")+COUNTIF(FR775, "*")+COUNTIF(AS775, "*")+COUNTIF(GA775, "*")+COUNTIF(GL775, "*")+COUNTIF(GW775, "*")+COUNTIF(HE775, "*")+COUNTIF(HM775, "*")+COUNTIF(HU775, "*")</f>
        <v>6</v>
      </c>
      <c r="DT775" s="192">
        <f>0.64+DS775*8</f>
        <v>48.64</v>
      </c>
      <c r="DU775" s="208">
        <f>32.53+827</f>
        <v>859.53</v>
      </c>
      <c r="DV775" s="208">
        <v>200</v>
      </c>
      <c r="DW775" s="208">
        <f>93.75+177.5</f>
        <v>271.25</v>
      </c>
      <c r="DX775" s="208"/>
      <c r="DY775" s="192">
        <f>IF(SUM(EE775*0.004)&lt;100, 100, SUM(EE775*0.004))</f>
        <v>144</v>
      </c>
      <c r="DZ775" s="208">
        <v>460</v>
      </c>
      <c r="EA775" s="192">
        <f>SUM(DU775:DZ775)</f>
        <v>1934.78</v>
      </c>
      <c r="EB775" s="192">
        <f ca="1">SUM(DP775,DR775,EA775,DT775,FX775)</f>
        <v>4295.3719999999994</v>
      </c>
      <c r="EC775" s="198" t="s">
        <v>5914</v>
      </c>
      <c r="ED775" s="194">
        <v>5</v>
      </c>
      <c r="EE775" s="192">
        <v>36000</v>
      </c>
      <c r="EF775" s="192">
        <v>40500</v>
      </c>
      <c r="EG775" s="192">
        <f>SUM(EE775+EF775)</f>
        <v>76500</v>
      </c>
      <c r="EH775" s="192">
        <v>38000</v>
      </c>
      <c r="EI775" s="192">
        <v>57100</v>
      </c>
      <c r="EJ775" s="192">
        <f>SUM(EH775+EI775)</f>
        <v>95100</v>
      </c>
      <c r="EK775" s="201" t="s">
        <v>5639</v>
      </c>
      <c r="EL775" s="201" t="s">
        <v>5640</v>
      </c>
      <c r="EM775" s="201" t="s">
        <v>5641</v>
      </c>
      <c r="EN775" s="201"/>
      <c r="EO775" s="201"/>
      <c r="EP775" s="201"/>
      <c r="EQ775" s="201"/>
      <c r="ER775" s="201"/>
      <c r="ES775" s="201" t="s">
        <v>5642</v>
      </c>
      <c r="ET775" s="201"/>
      <c r="EU775" s="201" t="s">
        <v>5396</v>
      </c>
      <c r="EV775" s="201"/>
      <c r="EW775" s="201" t="s">
        <v>329</v>
      </c>
      <c r="EX775" s="201" t="s">
        <v>260</v>
      </c>
      <c r="EY775" s="201" t="s">
        <v>5643</v>
      </c>
      <c r="EZ775" s="201"/>
      <c r="FA775" s="201" t="s">
        <v>5644</v>
      </c>
      <c r="FB775" s="201"/>
      <c r="FC775" s="201" t="s">
        <v>267</v>
      </c>
      <c r="FD775" s="201" t="s">
        <v>260</v>
      </c>
      <c r="FE775" s="201" t="s">
        <v>5645</v>
      </c>
      <c r="FF775" s="201"/>
      <c r="FG775" s="201" t="s">
        <v>5646</v>
      </c>
      <c r="FH775" s="201" t="s">
        <v>438</v>
      </c>
      <c r="FI775" s="201" t="s">
        <v>260</v>
      </c>
      <c r="FJ775" s="201"/>
      <c r="FK775" s="201"/>
      <c r="FL775" s="201"/>
      <c r="FM775" s="201"/>
      <c r="FN775" s="201"/>
      <c r="FO775" s="209"/>
      <c r="FP775" s="201"/>
      <c r="FQ775" s="201"/>
      <c r="FR775" s="201"/>
      <c r="FS775" s="201"/>
      <c r="FT775" s="201"/>
      <c r="FU775" s="201"/>
      <c r="FV775" s="209"/>
      <c r="FW775" s="201"/>
      <c r="FX775" s="201"/>
      <c r="FY775" s="201" t="s">
        <v>297</v>
      </c>
      <c r="FZ775" s="201" t="s">
        <v>5647</v>
      </c>
      <c r="GA775" s="201" t="s">
        <v>553</v>
      </c>
      <c r="GB775" s="201"/>
      <c r="GC775" s="201" t="s">
        <v>5648</v>
      </c>
      <c r="GD775" s="201" t="s">
        <v>301</v>
      </c>
      <c r="GE775" s="209">
        <v>41778</v>
      </c>
      <c r="GF775" s="201" t="s">
        <v>5649</v>
      </c>
      <c r="GG775" s="201"/>
      <c r="GH775" s="201"/>
      <c r="GI775" s="201"/>
      <c r="GJ775" s="201" t="s">
        <v>382</v>
      </c>
      <c r="GK775" s="201" t="s">
        <v>383</v>
      </c>
      <c r="GL775" s="201" t="s">
        <v>384</v>
      </c>
      <c r="GM775" s="201" t="s">
        <v>385</v>
      </c>
      <c r="GN775" s="201" t="s">
        <v>386</v>
      </c>
      <c r="GO775" s="201" t="s">
        <v>260</v>
      </c>
      <c r="GP775" s="209">
        <v>44749</v>
      </c>
      <c r="GQ775" s="201" t="s">
        <v>5650</v>
      </c>
      <c r="GR775" s="201"/>
      <c r="GS775" s="201"/>
      <c r="GT775" s="201"/>
      <c r="GU775" s="201"/>
      <c r="GV775" s="201"/>
      <c r="GW775" s="201"/>
      <c r="GX775" s="201"/>
      <c r="GY775" s="201"/>
      <c r="GZ775" s="201"/>
      <c r="HA775" s="209"/>
      <c r="HB775" s="201"/>
      <c r="HC775" s="201"/>
      <c r="HD775" s="201"/>
      <c r="HE775" s="201"/>
      <c r="HF775" s="201"/>
      <c r="HG775" s="201"/>
      <c r="HH775" s="201"/>
      <c r="HI775" s="209"/>
      <c r="HJ775" s="201"/>
      <c r="HK775" s="201"/>
      <c r="HL775" s="201"/>
      <c r="HM775" s="201"/>
      <c r="HN775" s="201"/>
      <c r="HO775" s="201"/>
      <c r="HP775" s="201"/>
      <c r="HQ775" s="209"/>
      <c r="HR775" s="201"/>
      <c r="HS775" s="201"/>
      <c r="HT775" s="201"/>
      <c r="HU775" s="201"/>
      <c r="HV775" s="201"/>
      <c r="HW775" s="201"/>
      <c r="HX775" s="201"/>
      <c r="HY775" s="209"/>
      <c r="HZ775" s="208"/>
      <c r="IA775" s="208"/>
      <c r="IB775" s="201"/>
      <c r="IC775" s="201"/>
      <c r="ID775" s="201"/>
      <c r="IE775" s="201"/>
      <c r="IF775" s="208"/>
      <c r="IG775" s="208"/>
      <c r="IH775" s="208"/>
      <c r="II775" s="208"/>
      <c r="IJ775" s="208"/>
      <c r="IK775" s="209"/>
      <c r="IL775" s="209"/>
      <c r="IM775" s="209"/>
      <c r="IN775" s="209"/>
      <c r="IO775" s="209"/>
      <c r="IP775" s="229" t="s">
        <v>5913</v>
      </c>
      <c r="IQ775" s="200"/>
      <c r="IR775" s="200"/>
      <c r="IS775" s="200"/>
      <c r="IT775" s="200"/>
      <c r="IU775" s="200"/>
      <c r="IV775" s="200"/>
      <c r="IW775" s="200"/>
      <c r="IX775" s="200"/>
      <c r="IY775" s="200"/>
      <c r="IZ775" s="200"/>
      <c r="JA775" s="200"/>
      <c r="JB775" s="200"/>
      <c r="JC775" s="200"/>
    </row>
    <row r="776" spans="1:263" ht="15" customHeight="1">
      <c r="A776" s="2">
        <v>102018079</v>
      </c>
      <c r="B776" s="4" t="s">
        <v>1248</v>
      </c>
      <c r="C776" s="3"/>
      <c r="D776" s="3"/>
      <c r="E776" s="3"/>
      <c r="F776" s="3"/>
      <c r="G776" s="3"/>
      <c r="H776" s="3"/>
      <c r="J776" t="s">
        <v>253</v>
      </c>
      <c r="K776" t="s">
        <v>1245</v>
      </c>
      <c r="L776" t="s">
        <v>1246</v>
      </c>
      <c r="M776" t="s">
        <v>426</v>
      </c>
      <c r="O776" s="1" t="s">
        <v>258</v>
      </c>
      <c r="P776" t="s">
        <v>1245</v>
      </c>
      <c r="Q776" t="s">
        <v>1249</v>
      </c>
      <c r="T776" s="1"/>
      <c r="AF776" s="3"/>
      <c r="AJ776" s="4"/>
      <c r="AK776" s="4"/>
      <c r="AO776" s="4"/>
      <c r="AP776" s="5"/>
      <c r="AS776" s="5"/>
      <c r="AT776" s="5"/>
      <c r="AU776" s="1"/>
      <c r="AV776" s="1"/>
      <c r="AW776" s="1"/>
      <c r="AX776" s="1"/>
      <c r="AY776" s="1"/>
      <c r="AZ776" s="1"/>
      <c r="BA776" s="1"/>
      <c r="BB776" s="1"/>
      <c r="BC776" s="1"/>
      <c r="BD776" s="1"/>
      <c r="BE776" s="1"/>
      <c r="BF776" s="1"/>
      <c r="BG776" s="5"/>
      <c r="BH776" s="16"/>
      <c r="BI776" s="16"/>
      <c r="BK776" s="4"/>
      <c r="BL776" s="4"/>
      <c r="BM776" s="6"/>
      <c r="BN776" s="7"/>
      <c r="BO776" s="4"/>
      <c r="BP776" s="4"/>
      <c r="BQ776" s="4"/>
      <c r="BR776" s="4"/>
      <c r="BS776" s="6"/>
      <c r="BT776" s="7"/>
      <c r="BU776" s="4"/>
      <c r="BV776" s="4"/>
      <c r="BW776" s="4"/>
      <c r="BX776" s="4"/>
      <c r="BY776" s="6"/>
      <c r="BZ776" s="7"/>
      <c r="CA776" s="4"/>
      <c r="CB776" s="4"/>
      <c r="CC776" s="4"/>
      <c r="CD776" s="4"/>
      <c r="CE776" s="6"/>
      <c r="CF776" s="7"/>
      <c r="CG776" s="4"/>
      <c r="CH776" s="4"/>
      <c r="CI776" s="4"/>
      <c r="CJ776" s="4"/>
      <c r="CK776" s="6"/>
      <c r="CL776" s="7"/>
      <c r="CM776" s="4"/>
      <c r="CN776" s="4"/>
      <c r="CO776" s="4"/>
      <c r="CP776" s="4"/>
      <c r="CQ776" s="6"/>
      <c r="CR776" s="7"/>
      <c r="CS776" s="4"/>
      <c r="CT776" s="4"/>
      <c r="CU776" s="4"/>
      <c r="CV776" s="4"/>
      <c r="CW776" s="6"/>
      <c r="CX776" s="7"/>
      <c r="CY776" s="4"/>
      <c r="CZ776" s="4"/>
      <c r="DA776" s="4"/>
      <c r="DB776" s="4"/>
      <c r="DC776" s="6"/>
      <c r="DD776" s="7"/>
      <c r="DE776" s="4"/>
      <c r="DF776" s="4"/>
      <c r="DG776" s="14"/>
      <c r="DH776" s="14"/>
      <c r="DI776" s="4"/>
      <c r="DJ776" s="3"/>
      <c r="DK776" s="4"/>
      <c r="DL776" s="234"/>
      <c r="DM776" s="4"/>
      <c r="DN776" s="4"/>
      <c r="DO776" s="4"/>
      <c r="DP776" s="4"/>
      <c r="DQ776" s="4"/>
      <c r="DR776" s="4"/>
      <c r="DS776" s="7"/>
      <c r="DT776" s="4"/>
      <c r="DU776" s="4"/>
      <c r="DV776" s="8"/>
      <c r="DW776" s="4"/>
      <c r="DX776" s="4"/>
      <c r="EG776" s="11"/>
      <c r="EM776" s="11"/>
      <c r="EN776" s="11"/>
      <c r="EO776" s="4"/>
      <c r="EP776" s="4"/>
      <c r="EQ776" s="4"/>
      <c r="ER776" s="4"/>
      <c r="ES776" s="4"/>
      <c r="ET776" s="4"/>
      <c r="EU776" s="4"/>
      <c r="EV776" s="4"/>
      <c r="EW776" s="4"/>
      <c r="EX776" s="4"/>
      <c r="EY776" s="4"/>
      <c r="EZ776" s="4"/>
      <c r="FA776" s="4"/>
      <c r="FB776" s="4"/>
      <c r="FC776" s="4"/>
      <c r="FG776" s="9"/>
      <c r="FP776" s="9"/>
      <c r="FZ776" s="10"/>
      <c r="GJ776" s="10"/>
      <c r="GY776" s="9"/>
      <c r="IK776" s="4"/>
    </row>
    <row r="777" spans="1:263" ht="15" customHeight="1">
      <c r="A777" s="2">
        <v>102017023</v>
      </c>
      <c r="B777" t="s">
        <v>837</v>
      </c>
      <c r="E777" t="s">
        <v>838</v>
      </c>
      <c r="F777">
        <v>170006439</v>
      </c>
      <c r="J777" t="s">
        <v>829</v>
      </c>
      <c r="K777" t="s">
        <v>419</v>
      </c>
      <c r="L777" t="s">
        <v>839</v>
      </c>
      <c r="O777" s="1" t="s">
        <v>258</v>
      </c>
      <c r="T777" s="1"/>
      <c r="AE777" s="1"/>
      <c r="AJ777" s="4"/>
      <c r="AK777" s="4"/>
      <c r="AL777" s="4"/>
      <c r="AP777" s="13"/>
      <c r="AR777" s="34"/>
      <c r="AS777" s="5"/>
      <c r="AT777" s="13"/>
      <c r="AU777" s="1"/>
      <c r="AV777" s="1"/>
      <c r="AW777" s="1"/>
      <c r="AX777" s="15"/>
      <c r="AY777" s="15"/>
      <c r="AZ777" s="15"/>
      <c r="BA777" s="21"/>
      <c r="BB777" s="13"/>
      <c r="BC777" s="15"/>
      <c r="BD777" s="15"/>
      <c r="BE777" s="15"/>
      <c r="BF777" s="15"/>
      <c r="BG777" s="5"/>
      <c r="BH777" s="16"/>
      <c r="BI777" s="16"/>
      <c r="BK777" s="4"/>
      <c r="BL777" s="4"/>
      <c r="BM777" s="6"/>
      <c r="BN777" s="7"/>
      <c r="BO777" s="4"/>
      <c r="BQ777" s="4"/>
      <c r="BR777" s="4"/>
      <c r="BS777" s="6"/>
      <c r="BT777" s="7"/>
      <c r="BU777" s="4"/>
      <c r="BV777" s="4"/>
      <c r="BW777" s="4"/>
      <c r="BX777" s="4"/>
      <c r="BY777" s="6"/>
      <c r="BZ777" s="7"/>
      <c r="CA777" s="4"/>
      <c r="CC777" s="4"/>
      <c r="CD777" s="4"/>
      <c r="CE777" s="6"/>
      <c r="CF777" s="7"/>
      <c r="CG777" s="4"/>
      <c r="CH777" s="4"/>
      <c r="CI777" s="4"/>
      <c r="CJ777" s="4"/>
      <c r="CK777" s="6"/>
      <c r="CL777" s="7"/>
      <c r="CM777" s="4"/>
      <c r="CN777" s="4"/>
      <c r="CO777" s="4"/>
      <c r="CP777" s="4"/>
      <c r="CQ777" s="6"/>
      <c r="CR777" s="7"/>
      <c r="CS777" s="4"/>
      <c r="CT777" s="4"/>
      <c r="CU777" s="4"/>
      <c r="CV777" s="4"/>
      <c r="CW777" s="6"/>
      <c r="CX777" s="7"/>
      <c r="CY777" s="4"/>
      <c r="CZ777" s="4"/>
      <c r="DA777" s="4"/>
      <c r="DB777" s="4"/>
      <c r="DC777" s="6"/>
      <c r="DD777" s="7"/>
      <c r="DE777" s="4"/>
      <c r="DF777" s="4"/>
      <c r="DG777" s="4"/>
      <c r="DH777" s="4"/>
      <c r="DI777" s="6"/>
      <c r="DJ777" s="7"/>
      <c r="DK777" s="4"/>
      <c r="DL777" s="4"/>
      <c r="DM777" s="4"/>
      <c r="DN777" s="4"/>
      <c r="DO777" s="4"/>
      <c r="DP777" s="4"/>
      <c r="DQ777" s="3"/>
      <c r="DR777" s="4"/>
      <c r="DS777" s="4"/>
      <c r="DT777" s="4"/>
      <c r="DU777" s="4"/>
      <c r="DV777" s="4"/>
      <c r="DW777" s="4"/>
      <c r="DX777" s="4"/>
      <c r="DY777" s="4"/>
      <c r="DZ777" s="4"/>
      <c r="EA777" s="4"/>
      <c r="EB777" s="4"/>
      <c r="EC777" s="4"/>
      <c r="ED777" s="4"/>
      <c r="EE777" s="238"/>
      <c r="EF777" s="238"/>
      <c r="EG777" s="238"/>
      <c r="FL777" s="9"/>
      <c r="FM777" s="10"/>
      <c r="FT777" s="10"/>
      <c r="FU777" s="9"/>
      <c r="GG777" s="9"/>
      <c r="IK777" s="9"/>
      <c r="IP777" s="4"/>
      <c r="IQ777" s="9">
        <v>43160</v>
      </c>
      <c r="IR777" s="9">
        <v>43312</v>
      </c>
      <c r="IS777" s="9">
        <v>43328</v>
      </c>
    </row>
    <row r="778" spans="1:263" ht="15" customHeight="1">
      <c r="A778" s="2">
        <v>102020085</v>
      </c>
      <c r="B778" t="s">
        <v>837</v>
      </c>
      <c r="E778" t="s">
        <v>838</v>
      </c>
      <c r="F778">
        <v>170006439</v>
      </c>
      <c r="J778" t="s">
        <v>829</v>
      </c>
      <c r="K778" t="s">
        <v>419</v>
      </c>
      <c r="L778" t="s">
        <v>839</v>
      </c>
      <c r="O778" s="1" t="s">
        <v>258</v>
      </c>
      <c r="T778" s="1"/>
      <c r="AE778" s="1"/>
      <c r="AJ778" s="4" t="s">
        <v>328</v>
      </c>
      <c r="AK778" s="4"/>
      <c r="AL778" s="4" t="s">
        <v>329</v>
      </c>
      <c r="AP778" s="13"/>
      <c r="AR778" s="34"/>
      <c r="AS778" s="5"/>
      <c r="AT778" s="13"/>
      <c r="AU778" s="1"/>
      <c r="AV778" s="1"/>
      <c r="AW778" s="1"/>
      <c r="AX778" s="70"/>
      <c r="AY778" s="70"/>
      <c r="AZ778" s="70"/>
      <c r="BA778" s="48"/>
      <c r="BB778" s="19"/>
      <c r="BC778" s="70"/>
      <c r="BD778" s="70"/>
      <c r="BE778" s="70"/>
      <c r="BF778" s="70"/>
      <c r="BG778" s="20"/>
      <c r="BH778" s="22"/>
      <c r="BI778" s="22"/>
      <c r="BK778" s="4"/>
      <c r="BL778" s="4"/>
      <c r="BM778" s="6"/>
      <c r="BN778" s="7"/>
      <c r="BO778" s="4"/>
      <c r="BQ778" s="4"/>
      <c r="BR778" s="4"/>
      <c r="BS778" s="6"/>
      <c r="BT778" s="7"/>
      <c r="BU778" s="4"/>
      <c r="BV778" s="4"/>
      <c r="BW778" s="4"/>
      <c r="BX778" s="6"/>
      <c r="BY778" s="7"/>
      <c r="BZ778" s="4"/>
      <c r="CA778" s="4"/>
      <c r="CB778" s="4"/>
      <c r="CC778" s="4"/>
      <c r="CD778" s="6"/>
      <c r="CE778" s="7"/>
      <c r="CF778" s="4"/>
      <c r="CG778" s="4"/>
      <c r="CH778" s="4"/>
      <c r="CI778" s="4"/>
      <c r="CJ778" s="6"/>
      <c r="CK778" s="7"/>
      <c r="CL778" s="4"/>
      <c r="CM778" s="4"/>
      <c r="CN778" s="4"/>
      <c r="CO778" s="4"/>
      <c r="CP778" s="6"/>
      <c r="CQ778" s="7"/>
      <c r="CR778" s="4"/>
      <c r="CS778" s="4"/>
      <c r="CT778" s="4"/>
      <c r="CU778" s="4"/>
      <c r="CV778" s="6"/>
      <c r="CW778" s="7"/>
      <c r="CX778" s="4"/>
      <c r="CY778" s="4"/>
      <c r="CZ778" s="4"/>
      <c r="DA778" s="4"/>
      <c r="DB778" s="4"/>
      <c r="DC778" s="4"/>
      <c r="DD778" s="3"/>
      <c r="DE778" s="4"/>
      <c r="DF778" s="4"/>
      <c r="DG778" s="4"/>
      <c r="DH778" s="4"/>
      <c r="DI778" s="4"/>
      <c r="DJ778" s="4"/>
      <c r="DK778" s="4"/>
      <c r="DL778" s="4"/>
      <c r="DM778" s="4"/>
      <c r="DN778" s="4"/>
      <c r="DO778" s="4"/>
      <c r="DP778" s="4"/>
      <c r="DQ778" s="4"/>
      <c r="DR778" s="4">
        <v>5800</v>
      </c>
      <c r="DS778" s="4"/>
      <c r="DT778" s="4">
        <f>SUM(DR778+DS778)</f>
        <v>5800</v>
      </c>
      <c r="DU778" s="4">
        <v>1</v>
      </c>
      <c r="DV778" s="238" t="s">
        <v>843</v>
      </c>
      <c r="DW778" s="238" t="s">
        <v>844</v>
      </c>
      <c r="DX778" s="238" t="s">
        <v>845</v>
      </c>
      <c r="FC778" s="9"/>
      <c r="FD778" s="10"/>
      <c r="FL778" s="10"/>
      <c r="FM778" s="9"/>
      <c r="FY778" s="9"/>
      <c r="ID778" s="9">
        <v>43400</v>
      </c>
      <c r="IE778" s="4">
        <v>4356.75</v>
      </c>
      <c r="II778" t="s">
        <v>1410</v>
      </c>
      <c r="IJ778" t="s">
        <v>846</v>
      </c>
      <c r="IK778" t="s">
        <v>386</v>
      </c>
      <c r="IZ778" s="18"/>
      <c r="JA778" s="18"/>
    </row>
    <row r="779" spans="1:263" ht="15" customHeight="1">
      <c r="A779" s="19">
        <v>102021108</v>
      </c>
      <c r="B779" t="s">
        <v>2678</v>
      </c>
      <c r="D779" s="1"/>
      <c r="J779" t="s">
        <v>554</v>
      </c>
      <c r="K779" t="s">
        <v>2679</v>
      </c>
      <c r="L779" t="s">
        <v>1310</v>
      </c>
      <c r="P779" t="s">
        <v>2679</v>
      </c>
      <c r="Q779" t="s">
        <v>2680</v>
      </c>
      <c r="AG779" s="248"/>
      <c r="AJ779" s="18" t="s">
        <v>328</v>
      </c>
      <c r="AL779" s="3" t="s">
        <v>329</v>
      </c>
      <c r="AO779" t="s">
        <v>2681</v>
      </c>
      <c r="AP779" s="1" t="s">
        <v>258</v>
      </c>
      <c r="AQ779" s="3" t="s">
        <v>329</v>
      </c>
      <c r="AR779" s="3" t="s">
        <v>260</v>
      </c>
      <c r="AS779" s="1"/>
      <c r="AT779" s="1"/>
      <c r="AU779" s="1"/>
      <c r="AV779" s="1"/>
      <c r="AW779" s="1"/>
      <c r="AX779" s="2"/>
      <c r="AY779" s="2"/>
      <c r="AZ779" s="70"/>
      <c r="BA779" s="2"/>
      <c r="BB779" s="2"/>
      <c r="BC779" s="2"/>
      <c r="BD779" s="2"/>
      <c r="BE779" s="2"/>
      <c r="BF779" s="2"/>
      <c r="BG779" s="20"/>
      <c r="BH779" s="22"/>
      <c r="BI779" s="22"/>
      <c r="BJ779" s="14"/>
      <c r="BK779" s="22"/>
      <c r="BL779" s="14"/>
      <c r="BM779" s="14"/>
      <c r="BN779" s="14"/>
      <c r="BO779" s="17"/>
      <c r="BP779" s="23"/>
      <c r="BQ779" s="14"/>
      <c r="BR779" s="14"/>
      <c r="BS779" s="14"/>
      <c r="BT779" s="14"/>
      <c r="BU779" s="17"/>
      <c r="BV779" s="23"/>
      <c r="BW779" s="14"/>
      <c r="BX779" s="14"/>
      <c r="BY779" s="14"/>
      <c r="BZ779" s="14"/>
      <c r="CA779" s="17"/>
      <c r="CB779" s="23"/>
      <c r="CC779" s="14"/>
      <c r="CD779" s="14"/>
      <c r="CE779" s="14"/>
      <c r="CF779" s="14"/>
      <c r="CG779" s="17"/>
      <c r="CH779" s="23"/>
      <c r="CI779" s="14"/>
      <c r="CJ779" s="14"/>
      <c r="CK779" s="14"/>
      <c r="CL779" s="14"/>
      <c r="CM779" s="17"/>
      <c r="CN779" s="23"/>
      <c r="CO779" s="14"/>
      <c r="CP779" s="14"/>
      <c r="CQ779" s="14"/>
      <c r="CR779" s="14"/>
      <c r="CS779" s="17"/>
      <c r="CT779" s="23"/>
      <c r="CU779" s="14"/>
      <c r="CV779" s="14"/>
      <c r="DA779" s="14"/>
      <c r="DB779" s="14"/>
      <c r="DC779" s="14"/>
      <c r="DD779" s="14"/>
      <c r="DE779" s="14"/>
      <c r="DF779" s="47"/>
      <c r="DG779" s="14"/>
      <c r="DH779" s="32"/>
      <c r="DI779" s="14"/>
      <c r="DK779" s="14">
        <f>SUM(DE779,DG779,DQ779, DJ779, DI779,FS779)</f>
        <v>0</v>
      </c>
      <c r="DQ779" s="14">
        <f>SUM(DL779:DP779)</f>
        <v>0</v>
      </c>
      <c r="DR779" s="24" t="s">
        <v>1944</v>
      </c>
      <c r="DS779" s="4">
        <v>58200</v>
      </c>
      <c r="DT779" s="4">
        <v>0</v>
      </c>
      <c r="DU779" s="25">
        <f>SUM(DS779+DT779)</f>
        <v>58200</v>
      </c>
      <c r="DV779" s="35">
        <v>21.54</v>
      </c>
    </row>
    <row r="780" spans="1:263" ht="15" customHeight="1">
      <c r="A780" s="2">
        <v>102019095</v>
      </c>
      <c r="B780" t="s">
        <v>1480</v>
      </c>
      <c r="F780" s="9"/>
      <c r="G780" s="9"/>
      <c r="H780" s="9"/>
      <c r="I780" s="9"/>
      <c r="K780" t="s">
        <v>1481</v>
      </c>
      <c r="L780" t="s">
        <v>1482</v>
      </c>
      <c r="O780" s="1"/>
      <c r="T780" s="1"/>
      <c r="X780" s="1"/>
      <c r="AF780" s="3"/>
      <c r="AG780" s="272"/>
      <c r="AJ780" s="4"/>
      <c r="AK780" s="4"/>
      <c r="AO780" s="4"/>
      <c r="AP780" s="5"/>
      <c r="AS780" s="5"/>
      <c r="AT780" s="5"/>
      <c r="AU780" s="1"/>
      <c r="AV780" s="1"/>
      <c r="AW780" s="1"/>
      <c r="AX780" s="1"/>
      <c r="AY780" s="15"/>
      <c r="AZ780" s="15"/>
      <c r="BA780" s="15"/>
      <c r="BB780" s="1"/>
      <c r="BC780" s="21"/>
      <c r="BD780" s="15"/>
      <c r="BE780" s="15"/>
      <c r="BF780" s="1"/>
      <c r="BG780" s="5"/>
      <c r="BH780" s="16"/>
      <c r="BI780" s="16"/>
      <c r="BJ780" s="4"/>
      <c r="BK780" s="4"/>
      <c r="BL780" s="4"/>
      <c r="BM780" s="6"/>
      <c r="BN780" s="7"/>
      <c r="BO780" s="4"/>
      <c r="BP780" s="4"/>
      <c r="BQ780" s="4"/>
      <c r="BR780" s="4"/>
      <c r="BS780" s="6"/>
      <c r="BT780" s="7"/>
      <c r="BU780" s="4"/>
      <c r="BV780" s="4"/>
      <c r="BW780" s="4"/>
      <c r="BX780" s="4"/>
      <c r="BY780" s="6"/>
      <c r="BZ780" s="7"/>
      <c r="CA780" s="4"/>
      <c r="CB780" s="4"/>
      <c r="CC780" s="4"/>
      <c r="CD780" s="4"/>
      <c r="CE780" s="6"/>
      <c r="CF780" s="7"/>
      <c r="CG780" s="4"/>
      <c r="CH780" s="4"/>
      <c r="CI780" s="4"/>
      <c r="CJ780" s="4"/>
      <c r="CK780" s="6"/>
      <c r="CL780" s="7"/>
      <c r="CM780" s="4"/>
      <c r="CN780" s="4"/>
      <c r="CO780" s="4"/>
      <c r="CP780" s="4"/>
      <c r="CQ780" s="6"/>
      <c r="CR780" s="7"/>
      <c r="CS780" s="4"/>
      <c r="CT780" s="4"/>
      <c r="CU780" s="4"/>
      <c r="CV780" s="4"/>
      <c r="CW780" s="6"/>
      <c r="CX780" s="7"/>
      <c r="CY780" s="4"/>
      <c r="CZ780" s="4"/>
      <c r="DA780" s="4"/>
      <c r="DB780" s="4"/>
      <c r="DC780" s="4"/>
      <c r="DD780" s="3"/>
      <c r="DE780" s="4"/>
      <c r="DF780" s="234"/>
      <c r="DG780" s="4"/>
      <c r="DH780" s="4"/>
      <c r="DI780" s="4"/>
      <c r="DJ780" s="4"/>
      <c r="DK780" s="4"/>
      <c r="DL780" s="4"/>
      <c r="DM780" s="4"/>
      <c r="DN780" s="8"/>
      <c r="DO780" s="4"/>
      <c r="DP780" s="8"/>
      <c r="DQ780" s="8"/>
      <c r="DR780" s="8"/>
      <c r="DS780" s="35"/>
      <c r="EB780" s="11"/>
      <c r="EH780" s="11"/>
      <c r="EI780" s="11"/>
      <c r="EJ780" s="4"/>
      <c r="EK780" s="4"/>
      <c r="EL780" s="4"/>
      <c r="EM780" s="4"/>
      <c r="EN780" s="4"/>
      <c r="EO780" s="4"/>
      <c r="EP780" s="4"/>
      <c r="EQ780" s="4"/>
      <c r="ER780" s="4"/>
      <c r="ES780" s="4"/>
      <c r="ET780" s="4"/>
      <c r="EU780" s="4"/>
      <c r="EV780" s="4"/>
      <c r="EW780" s="4"/>
      <c r="EX780" s="4"/>
      <c r="FB780" s="9"/>
      <c r="FK780" s="9"/>
      <c r="FQ780" s="4"/>
      <c r="FV780" s="10"/>
      <c r="GF780" s="10"/>
      <c r="GU780" s="9"/>
      <c r="IC780" s="4"/>
      <c r="ID780" s="4"/>
      <c r="IE780" s="9"/>
      <c r="IZ780" s="240"/>
      <c r="JA780" s="240"/>
    </row>
    <row r="781" spans="1:263" ht="15" customHeight="1">
      <c r="A781" s="2">
        <v>102018080</v>
      </c>
      <c r="B781" s="4" t="s">
        <v>1250</v>
      </c>
      <c r="C781" s="3"/>
      <c r="D781" s="3"/>
      <c r="E781" s="3"/>
      <c r="F781" s="3"/>
      <c r="G781" s="3"/>
      <c r="H781" s="3"/>
      <c r="J781" t="s">
        <v>305</v>
      </c>
      <c r="K781" t="s">
        <v>1245</v>
      </c>
      <c r="L781" t="s">
        <v>453</v>
      </c>
      <c r="M781" t="s">
        <v>326</v>
      </c>
      <c r="O781" s="1"/>
      <c r="P781" t="s">
        <v>1245</v>
      </c>
      <c r="Q781" t="s">
        <v>1171</v>
      </c>
      <c r="R781" t="s">
        <v>403</v>
      </c>
      <c r="T781" s="1"/>
      <c r="AJ781" s="4"/>
      <c r="AK781" s="4"/>
      <c r="AO781" s="4"/>
      <c r="AP781" s="5"/>
      <c r="AS781" s="5"/>
      <c r="AT781" s="5"/>
      <c r="AU781" s="1"/>
      <c r="AV781" s="1"/>
      <c r="AW781" s="1"/>
      <c r="AX781" s="1"/>
      <c r="AY781" s="1"/>
      <c r="AZ781" s="1"/>
      <c r="BA781" s="1"/>
      <c r="BB781" s="1"/>
      <c r="BC781" s="1"/>
      <c r="BD781" s="1"/>
      <c r="BE781" s="1"/>
      <c r="BF781" s="1"/>
      <c r="BG781" s="5"/>
      <c r="BH781" s="16"/>
      <c r="BI781" s="16"/>
      <c r="BK781" s="4"/>
      <c r="BL781" s="4"/>
      <c r="BM781" s="6"/>
      <c r="BN781" s="7"/>
      <c r="BO781" s="4"/>
      <c r="BP781" s="4"/>
      <c r="BQ781" s="4"/>
      <c r="BR781" s="4"/>
      <c r="BS781" s="6"/>
      <c r="BT781" s="7"/>
      <c r="BU781" s="4"/>
      <c r="BV781" s="4"/>
      <c r="BW781" s="4"/>
      <c r="BX781" s="4"/>
      <c r="BY781" s="6"/>
      <c r="BZ781" s="7"/>
      <c r="CA781" s="4"/>
      <c r="CB781" s="4"/>
      <c r="CC781" s="4"/>
      <c r="CD781" s="4"/>
      <c r="CE781" s="6"/>
      <c r="CF781" s="7"/>
      <c r="CG781" s="4"/>
      <c r="CH781" s="4"/>
      <c r="CI781" s="4"/>
      <c r="CJ781" s="4"/>
      <c r="CK781" s="6"/>
      <c r="CL781" s="7"/>
      <c r="CM781" s="4"/>
      <c r="CN781" s="4"/>
      <c r="CO781" s="4"/>
      <c r="CP781" s="4"/>
      <c r="CQ781" s="6"/>
      <c r="CR781" s="7"/>
      <c r="CS781" s="4"/>
      <c r="CT781" s="4"/>
      <c r="CU781" s="4"/>
      <c r="CV781" s="4"/>
      <c r="CW781" s="6"/>
      <c r="CX781" s="7"/>
      <c r="CY781" s="4"/>
      <c r="CZ781" s="4"/>
      <c r="DA781" s="4"/>
      <c r="DB781" s="4"/>
      <c r="DC781" s="6"/>
      <c r="DD781" s="7"/>
      <c r="DE781" s="4"/>
      <c r="DF781" s="4"/>
      <c r="DG781" s="14"/>
      <c r="DH781" s="14"/>
      <c r="DI781" s="4"/>
      <c r="DJ781" s="3"/>
      <c r="DK781" s="4"/>
      <c r="DL781" s="234"/>
      <c r="DM781" s="4"/>
      <c r="DN781" s="4"/>
      <c r="DO781" s="4"/>
      <c r="DP781" s="4"/>
      <c r="DQ781" s="4"/>
      <c r="DR781" s="4"/>
      <c r="DS781" s="7"/>
      <c r="DT781" s="8"/>
      <c r="DU781" s="4"/>
      <c r="DV781" s="8"/>
      <c r="DW781" s="4"/>
      <c r="DX781" s="4"/>
      <c r="EG781" s="11"/>
      <c r="EM781" s="11"/>
      <c r="EN781" s="11"/>
      <c r="EO781" s="4"/>
      <c r="EP781" s="4"/>
      <c r="EQ781" s="4"/>
      <c r="ER781" s="4"/>
      <c r="ES781" s="4"/>
      <c r="ET781" s="4"/>
      <c r="EU781" s="4"/>
      <c r="EV781" s="4"/>
      <c r="EW781" s="4"/>
      <c r="EX781" s="4"/>
      <c r="EY781" s="4"/>
      <c r="EZ781" s="4"/>
      <c r="FA781" s="4"/>
      <c r="FB781" s="4"/>
      <c r="FC781" s="4"/>
      <c r="FG781" s="9"/>
      <c r="FP781" s="9"/>
      <c r="FZ781" s="10"/>
      <c r="GJ781" s="10"/>
      <c r="GY781" s="9"/>
      <c r="IK781" s="4"/>
    </row>
    <row r="782" spans="1:263" ht="15" customHeight="1">
      <c r="A782" s="2">
        <v>102018077</v>
      </c>
      <c r="B782" s="4" t="s">
        <v>1244</v>
      </c>
      <c r="C782" s="3"/>
      <c r="D782" s="3"/>
      <c r="E782" s="3"/>
      <c r="F782" s="3"/>
      <c r="G782" s="3"/>
      <c r="H782" s="3"/>
      <c r="J782" t="s">
        <v>253</v>
      </c>
      <c r="K782" t="s">
        <v>1245</v>
      </c>
      <c r="L782" t="s">
        <v>1246</v>
      </c>
      <c r="M782" t="s">
        <v>426</v>
      </c>
      <c r="O782" s="1" t="s">
        <v>258</v>
      </c>
      <c r="T782" s="1"/>
      <c r="AF782" s="3"/>
      <c r="AJ782" s="4"/>
      <c r="AK782" s="4"/>
      <c r="AO782" s="4"/>
      <c r="AP782" s="5"/>
      <c r="AS782" s="5"/>
      <c r="AT782" s="5"/>
      <c r="AU782" s="1"/>
      <c r="AV782" s="1"/>
      <c r="AW782" s="1"/>
      <c r="AX782" s="1"/>
      <c r="AY782" s="1"/>
      <c r="AZ782" s="15"/>
      <c r="BA782" s="1"/>
      <c r="BB782" s="1"/>
      <c r="BC782" s="1"/>
      <c r="BD782" s="1"/>
      <c r="BE782" s="1"/>
      <c r="BF782" s="1"/>
      <c r="BG782" s="5"/>
      <c r="BH782" s="16"/>
      <c r="BI782" s="16"/>
      <c r="BJ782" s="4"/>
      <c r="BK782" s="4"/>
      <c r="BL782" s="4"/>
      <c r="BM782" s="6"/>
      <c r="BN782" s="7"/>
      <c r="BO782" s="4"/>
      <c r="BQ782" s="4"/>
      <c r="BR782" s="4"/>
      <c r="BS782" s="6"/>
      <c r="BT782" s="7"/>
      <c r="BU782" s="4"/>
      <c r="BV782" s="4"/>
      <c r="BW782" s="4"/>
      <c r="BX782" s="4"/>
      <c r="BY782" s="6"/>
      <c r="BZ782" s="7"/>
      <c r="CA782" s="4"/>
      <c r="CB782" s="4"/>
      <c r="CC782" s="4"/>
      <c r="CD782" s="4"/>
      <c r="CE782" s="6"/>
      <c r="CF782" s="7"/>
      <c r="CG782" s="4"/>
      <c r="CH782" s="4"/>
      <c r="CI782" s="4"/>
      <c r="CJ782" s="4"/>
      <c r="CK782" s="6"/>
      <c r="CL782" s="7"/>
      <c r="CM782" s="4"/>
      <c r="CN782" s="4"/>
      <c r="CO782" s="4"/>
      <c r="CP782" s="4"/>
      <c r="CQ782" s="6"/>
      <c r="CR782" s="7"/>
      <c r="CS782" s="4"/>
      <c r="CT782" s="4"/>
      <c r="CU782" s="4"/>
      <c r="CV782" s="4"/>
      <c r="CW782" s="6"/>
      <c r="CX782" s="7"/>
      <c r="CY782" s="4"/>
      <c r="CZ782" s="4"/>
      <c r="DA782" s="4"/>
      <c r="DB782" s="4"/>
      <c r="DC782" s="6"/>
      <c r="DD782" s="7"/>
      <c r="DE782" s="4"/>
      <c r="DF782" s="4"/>
      <c r="DG782" s="14"/>
      <c r="DH782" s="14"/>
      <c r="DI782" s="4"/>
      <c r="DJ782" s="3"/>
      <c r="DK782" s="4"/>
      <c r="DL782" s="234"/>
      <c r="DM782" s="4"/>
      <c r="DN782" s="4"/>
      <c r="DO782" s="4"/>
      <c r="DP782" s="4"/>
      <c r="DQ782" s="4"/>
      <c r="DR782" s="4"/>
      <c r="DS782" s="4"/>
      <c r="DT782" s="8"/>
      <c r="DU782" s="4"/>
      <c r="DV782" s="8"/>
      <c r="DW782" s="4"/>
      <c r="DX782" s="4"/>
      <c r="EG782" s="11"/>
      <c r="EM782" s="11"/>
      <c r="EN782" s="11"/>
      <c r="EO782" s="4"/>
      <c r="EP782" s="4"/>
      <c r="EQ782" s="4"/>
      <c r="ER782" s="4"/>
      <c r="ES782" s="4"/>
      <c r="ET782" s="4"/>
      <c r="EU782" s="4"/>
      <c r="EV782" s="4"/>
      <c r="EW782" s="4"/>
      <c r="EX782" s="4"/>
      <c r="EY782" s="4"/>
      <c r="EZ782" s="4"/>
      <c r="FA782" s="4"/>
      <c r="FB782" s="4"/>
      <c r="FC782" s="4"/>
      <c r="FG782" s="9"/>
      <c r="FP782" s="9"/>
      <c r="FQ782" s="18"/>
      <c r="FR782" s="18"/>
      <c r="FS782" s="18"/>
      <c r="FT782" s="18"/>
      <c r="FU782" s="18"/>
      <c r="FZ782" s="10"/>
      <c r="GB782" s="9"/>
      <c r="GK782" s="10"/>
      <c r="GM782" s="9"/>
      <c r="GX782" s="9"/>
      <c r="IK782" s="4"/>
    </row>
    <row r="783" spans="1:263" ht="15" customHeight="1">
      <c r="A783" s="2">
        <v>102024164</v>
      </c>
      <c r="B783" t="s">
        <v>5548</v>
      </c>
      <c r="C783" s="10"/>
      <c r="D783" s="161"/>
      <c r="E783" s="147" t="s">
        <v>5889</v>
      </c>
      <c r="F783" s="160">
        <v>240003194</v>
      </c>
      <c r="G783" s="147"/>
      <c r="H783" s="10"/>
      <c r="I783" s="10"/>
      <c r="J783" s="10" t="s">
        <v>253</v>
      </c>
      <c r="K783" s="10" t="s">
        <v>5549</v>
      </c>
      <c r="L783" s="10" t="s">
        <v>443</v>
      </c>
      <c r="M783" s="10" t="s">
        <v>403</v>
      </c>
      <c r="N783" s="10"/>
      <c r="O783" s="147"/>
      <c r="P783" s="10"/>
      <c r="Q783" s="10"/>
      <c r="R783" s="10"/>
      <c r="S783" s="10"/>
      <c r="T783" s="10"/>
      <c r="U783" s="10"/>
      <c r="V783" s="10"/>
      <c r="W783" s="10"/>
      <c r="X783" s="10"/>
      <c r="Y783" s="10"/>
      <c r="Z783" s="10"/>
      <c r="AA783" s="10"/>
      <c r="AB783" s="10"/>
      <c r="AC783" s="10"/>
      <c r="AD783" s="10"/>
      <c r="AE783" s="10"/>
      <c r="AF783" s="10"/>
      <c r="AG783" s="141"/>
      <c r="AH783" s="10"/>
      <c r="AI783" s="10"/>
      <c r="AJ783" s="18" t="s">
        <v>328</v>
      </c>
      <c r="AK783" s="1"/>
      <c r="AL783" s="18" t="s">
        <v>329</v>
      </c>
      <c r="AM783"/>
      <c r="AN783" t="s">
        <v>5597</v>
      </c>
      <c r="AO783" t="s">
        <v>5550</v>
      </c>
      <c r="AP783" s="1" t="s">
        <v>258</v>
      </c>
      <c r="AQ783" s="18" t="s">
        <v>756</v>
      </c>
      <c r="AR783" t="s">
        <v>757</v>
      </c>
      <c r="AX783" s="1"/>
      <c r="AY783" s="1"/>
      <c r="AZ783" s="1" t="s">
        <v>258</v>
      </c>
      <c r="BA783" s="1" t="s">
        <v>258</v>
      </c>
      <c r="BB783" s="1" t="s">
        <v>258</v>
      </c>
      <c r="BC783" s="70">
        <v>45475</v>
      </c>
      <c r="BD783" s="115">
        <v>45415</v>
      </c>
      <c r="BE783" s="144">
        <v>45433</v>
      </c>
      <c r="BF783" s="70">
        <v>45534</v>
      </c>
      <c r="BG783" s="20" t="s">
        <v>319</v>
      </c>
      <c r="BH783" s="21">
        <v>45520</v>
      </c>
      <c r="BI783" s="21">
        <v>45527</v>
      </c>
      <c r="BJ783" s="70">
        <v>45548</v>
      </c>
      <c r="BK783" s="70" t="s">
        <v>319</v>
      </c>
      <c r="BL783" s="20">
        <f ca="1">SUM(EB783)+220</f>
        <v>3583.1348000000003</v>
      </c>
      <c r="BM783" s="22">
        <f ca="1">PMT(10%/12,12,BL783,0,0)</f>
        <v>-315.01447500672299</v>
      </c>
      <c r="BN783" s="22">
        <f ca="1">SUM(BM783*-1)</f>
        <v>315.01447500672299</v>
      </c>
      <c r="BO783" s="14">
        <f>SUM(EJ783*0.0052)/12</f>
        <v>14.04</v>
      </c>
      <c r="BP783" s="22">
        <f ca="1">SUM(BN783+BO783)</f>
        <v>329.05447500672301</v>
      </c>
      <c r="BQ783" s="14">
        <v>0</v>
      </c>
      <c r="BR783" s="14">
        <f>SUM(BQ783*0.1)</f>
        <v>0</v>
      </c>
      <c r="BS783" s="14">
        <f ca="1">SUM(BT783*BU783)</f>
        <v>0</v>
      </c>
      <c r="BT783" s="17">
        <f>SUM((BQ783+BR783)*0.00833333333333333)</f>
        <v>0</v>
      </c>
      <c r="BU783" s="23">
        <f ca="1">MONTH(TODAY())+37</f>
        <v>41</v>
      </c>
      <c r="BV783" s="14">
        <f ca="1">SUM(BQ783,BR783,BS783)</f>
        <v>0</v>
      </c>
      <c r="BW783" s="14">
        <v>0</v>
      </c>
      <c r="BX783" s="14">
        <f>SUM(BW783*0.1)</f>
        <v>0</v>
      </c>
      <c r="BY783" s="14">
        <f ca="1">SUM(BZ783*CA783)</f>
        <v>0</v>
      </c>
      <c r="BZ783" s="17">
        <f>SUM((BW783+BX783)*0.00833333333333333)</f>
        <v>0</v>
      </c>
      <c r="CA783" s="23">
        <f ca="1">MONTH(TODAY())+37</f>
        <v>41</v>
      </c>
      <c r="CB783" s="14">
        <f ca="1">SUM(BW783,BX783,BY783)</f>
        <v>0</v>
      </c>
      <c r="CC783" s="14">
        <f>SUM(EG783*0.0052)/2</f>
        <v>74.88</v>
      </c>
      <c r="CD783" s="14">
        <f>SUM(CC783*0.1)</f>
        <v>7.4879999999999995</v>
      </c>
      <c r="CE783" s="14">
        <f ca="1">SUM(CF783*CG783)</f>
        <v>22.651199999999989</v>
      </c>
      <c r="CF783" s="17">
        <f>SUM((CC783+CD783)*0.00833333333333333)</f>
        <v>0.68639999999999968</v>
      </c>
      <c r="CG783" s="23">
        <f ca="1">MONTH(TODAY())+29</f>
        <v>33</v>
      </c>
      <c r="CH783" s="23">
        <f ca="1">SUM(CC783,CD783,CE783)</f>
        <v>105.01919999999998</v>
      </c>
      <c r="CI783" s="14">
        <f>SUM(EG783*0.0052)/2</f>
        <v>74.88</v>
      </c>
      <c r="CJ783" s="14">
        <f>SUM(CI783*0.1)</f>
        <v>7.4879999999999995</v>
      </c>
      <c r="CK783" s="14">
        <f ca="1">SUM(CL783*CM783)</f>
        <v>19.905599999999989</v>
      </c>
      <c r="CL783" s="17">
        <f>SUM((CI783+CJ783)*0.00833333333333333)</f>
        <v>0.68639999999999968</v>
      </c>
      <c r="CM783" s="23">
        <f ca="1">MONTH(TODAY())+25</f>
        <v>29</v>
      </c>
      <c r="CN783" s="14">
        <f ca="1">SUM(CI783,CJ783,CK783)</f>
        <v>102.27359999999999</v>
      </c>
      <c r="CO783" s="14">
        <f>SUM(EJ783*0.0045)/2</f>
        <v>72.899999999999991</v>
      </c>
      <c r="CP783" s="14">
        <f>SUM(CO783*0.1)</f>
        <v>7.2899999999999991</v>
      </c>
      <c r="CQ783" s="14">
        <f ca="1">SUM(CR783*CS783)</f>
        <v>15.369749999999993</v>
      </c>
      <c r="CR783" s="17">
        <f>SUM((CO783+CP783)*0.00833333333333333)</f>
        <v>0.66824999999999968</v>
      </c>
      <c r="CS783" s="23">
        <f ca="1">MONTH(TODAY())+19</f>
        <v>23</v>
      </c>
      <c r="CT783" s="14">
        <f ca="1">SUM(CO783,CP783,CQ783)</f>
        <v>95.559749999999994</v>
      </c>
      <c r="CU783" s="14">
        <f>SUM(EJ783*0.0045)/2</f>
        <v>72.899999999999991</v>
      </c>
      <c r="CV783" s="14">
        <f>SUM(CU783*0.1)</f>
        <v>7.2899999999999991</v>
      </c>
      <c r="CW783" s="14">
        <f ca="1">SUM(CX783*CY783)</f>
        <v>11.360249999999995</v>
      </c>
      <c r="CX783" s="17">
        <f>SUM((CU783+CV783)*0.00833333333333333)</f>
        <v>0.66824999999999968</v>
      </c>
      <c r="CY783" s="23">
        <f ca="1">MONTH(TODAY())+13</f>
        <v>17</v>
      </c>
      <c r="CZ783" s="14">
        <f ca="1">SUM(CU783,CV783,CW783)</f>
        <v>91.550249999999991</v>
      </c>
      <c r="DA783" s="14">
        <f>SUM(EJ783*0.0045)/2</f>
        <v>72.899999999999991</v>
      </c>
      <c r="DB783" s="14">
        <f>SUM(DA783*0.1)</f>
        <v>7.2899999999999991</v>
      </c>
      <c r="DC783" s="14">
        <f ca="1">SUM(DD783*DE783)</f>
        <v>7.3507499999999961</v>
      </c>
      <c r="DD783" s="17">
        <f>SUM((DA783+DB783)*0.00833333333333333)</f>
        <v>0.66824999999999968</v>
      </c>
      <c r="DE783" s="23">
        <f ca="1">MONTH(TODAY())+7</f>
        <v>11</v>
      </c>
      <c r="DF783" s="14">
        <f ca="1">SUM(DA783,DB783,DC783)</f>
        <v>87.540749999999989</v>
      </c>
      <c r="DG783" s="14">
        <f>SUM(EJ783*0.0045)/2</f>
        <v>72.899999999999991</v>
      </c>
      <c r="DH783" s="14">
        <f>SUM(DG783*0.1)</f>
        <v>7.2899999999999991</v>
      </c>
      <c r="DI783" s="14">
        <f ca="1">SUM(DJ783*DK783)</f>
        <v>3.3412499999999983</v>
      </c>
      <c r="DJ783" s="17">
        <f>SUM((DG783+DH783)*0.00833333333333333)</f>
        <v>0.66824999999999968</v>
      </c>
      <c r="DK783" s="23">
        <f ca="1">MONTH(TODAY())+1</f>
        <v>5</v>
      </c>
      <c r="DL783" s="14">
        <f ca="1">SUM(DG783,DH783,DI783)</f>
        <v>83.53125</v>
      </c>
      <c r="DM783" s="14">
        <f>SUM(BQ783, BW783, CC783,CI783,CO783,CU783,DA783,DG783)</f>
        <v>441.3599999999999</v>
      </c>
      <c r="DN783" s="14">
        <f>SUM(BR783,BX783, CD783,CJ783,CP783,CV783,DB783,DH783)</f>
        <v>44.135999999999996</v>
      </c>
      <c r="DO783" s="14">
        <f ca="1">SUM(BS783,BY783, CE783,CK783,CQ783,CW783,DC783,DI783)</f>
        <v>79.978799999999964</v>
      </c>
      <c r="DP783" s="25">
        <f ca="1">SUM(DM783:DO783)</f>
        <v>565.47479999999985</v>
      </c>
      <c r="DQ783" s="47">
        <f ca="1">SUM(DP783/EG783)</f>
        <v>1.9634541666666661E-2</v>
      </c>
      <c r="DR783" s="14">
        <f>20+10+200+200+40+40+100+40</f>
        <v>650</v>
      </c>
      <c r="DS783" s="32">
        <f>COUNTIF(AO783, "*")+COUNTIF(AJ783, "*")+COUNTIF(AA783, "*")+COUNTIF(EU783, "*")+COUNTIF(FA783, "*")+COUNTIF(FG783, "*")+COUNTIF(FK783, "*")+COUNTIF(FR783, "*")+COUNTIF(AT783, "*")+COUNTIF(GA783, "*")+COUNTIF(GL783, "*")+COUNTIF(GW783, "*")+COUNTIF(HE783, "*")+COUNTIF(HM783, "*")+COUNTIF(HU783, "*")</f>
        <v>3</v>
      </c>
      <c r="DT783" s="14">
        <f>1.28+DS783*8</f>
        <v>25.28</v>
      </c>
      <c r="DU783" s="4">
        <f>26.67+867.26</f>
        <v>893.93</v>
      </c>
      <c r="DV783" s="4">
        <v>253</v>
      </c>
      <c r="DW783" s="4">
        <f>93.75+172.5</f>
        <v>266.25</v>
      </c>
      <c r="DX783" s="4">
        <v>134</v>
      </c>
      <c r="DY783" s="14">
        <f>IF(SUM(EE783*0.004)&lt;100, 100, SUM(EE783*0.004))</f>
        <v>115.2</v>
      </c>
      <c r="DZ783" s="4">
        <v>460</v>
      </c>
      <c r="EA783" s="14">
        <f>SUM(DU783:DZ783)</f>
        <v>2122.38</v>
      </c>
      <c r="EB783" s="14">
        <f ca="1">SUM(DP783,DR783,EA783,DT783,FX783)</f>
        <v>3363.1348000000003</v>
      </c>
      <c r="EC783" s="24" t="s">
        <v>5914</v>
      </c>
      <c r="ED783" s="23">
        <f>1.05+0.95</f>
        <v>2</v>
      </c>
      <c r="EE783" s="14">
        <f>15100+13700</f>
        <v>28800</v>
      </c>
      <c r="EF783" s="14">
        <v>0</v>
      </c>
      <c r="EG783" s="14">
        <f>SUM(EE783+EF783)</f>
        <v>28800</v>
      </c>
      <c r="EH783" s="14">
        <f>17000+15400</f>
        <v>32400</v>
      </c>
      <c r="EI783" s="14">
        <v>0</v>
      </c>
      <c r="EJ783" s="14">
        <f>SUM(EH783+EI783)</f>
        <v>32400</v>
      </c>
      <c r="EK783" s="10" t="s">
        <v>5737</v>
      </c>
      <c r="EL783" s="10" t="s">
        <v>5738</v>
      </c>
      <c r="EM783" s="10"/>
      <c r="EN783" s="10"/>
      <c r="EO783" s="10"/>
      <c r="EP783" s="10"/>
      <c r="EQ783" s="10"/>
      <c r="ER783" s="10"/>
      <c r="ES783" s="10" t="s">
        <v>5858</v>
      </c>
      <c r="ET783" s="10"/>
      <c r="EU783" s="10" t="s">
        <v>5859</v>
      </c>
      <c r="EV783" s="10"/>
      <c r="EW783" s="10" t="s">
        <v>756</v>
      </c>
      <c r="EX783" s="10" t="s">
        <v>757</v>
      </c>
      <c r="EY783" s="10"/>
      <c r="EZ783" s="10"/>
      <c r="FA783" s="10"/>
      <c r="FB783" s="10"/>
      <c r="FC783" s="10"/>
      <c r="FD783" s="10"/>
      <c r="FE783" s="10"/>
      <c r="FF783" s="10"/>
      <c r="FG783" s="10"/>
      <c r="FH783" s="10"/>
      <c r="FI783" s="10"/>
      <c r="FJ783" s="10"/>
      <c r="FK783" s="10"/>
      <c r="FL783" s="10"/>
      <c r="FM783" s="10"/>
      <c r="FN783" s="10"/>
      <c r="FO783" s="9"/>
      <c r="FP783" s="10"/>
      <c r="FQ783" s="10"/>
      <c r="FR783" s="10"/>
      <c r="FS783" s="10"/>
      <c r="FT783" s="10"/>
      <c r="FU783" s="10"/>
      <c r="FV783" s="9"/>
      <c r="FW783" s="10"/>
      <c r="FX783" s="10"/>
      <c r="FY783" s="10"/>
      <c r="FZ783" s="10"/>
      <c r="GA783" s="10"/>
      <c r="GB783" s="10"/>
      <c r="GC783" s="10"/>
      <c r="GD783" s="10"/>
      <c r="GE783" s="9"/>
      <c r="GF783" s="10"/>
      <c r="GG783" s="10"/>
      <c r="GH783" s="10"/>
      <c r="GI783" s="10"/>
      <c r="GJ783" s="10"/>
      <c r="GK783" s="10"/>
      <c r="GL783" s="10"/>
      <c r="GM783" s="10"/>
      <c r="GN783" s="10"/>
      <c r="GO783" s="10"/>
      <c r="GP783" s="9"/>
      <c r="GQ783" s="10"/>
      <c r="GR783" s="10"/>
      <c r="GS783" s="10"/>
      <c r="GT783" s="10"/>
      <c r="GU783" s="10"/>
      <c r="GV783" s="10"/>
      <c r="GW783" s="10"/>
      <c r="GX783" s="10"/>
      <c r="GY783" s="10"/>
      <c r="GZ783" s="10"/>
      <c r="HA783" s="9"/>
      <c r="HB783" s="10"/>
      <c r="HC783" s="10"/>
      <c r="HD783" s="10"/>
      <c r="HE783" s="10"/>
      <c r="HF783" s="10"/>
      <c r="HG783" s="10"/>
      <c r="HH783" s="10"/>
      <c r="HI783" s="9"/>
      <c r="HJ783" s="10"/>
      <c r="HK783" s="10"/>
      <c r="HL783" s="10"/>
      <c r="HM783" s="10"/>
      <c r="HN783" s="10"/>
      <c r="HO783" s="10"/>
      <c r="HP783" s="10"/>
      <c r="HQ783" s="9"/>
      <c r="HR783" s="10"/>
      <c r="HS783" s="10"/>
      <c r="HT783" s="10"/>
      <c r="HU783" s="10"/>
      <c r="HV783" s="10"/>
      <c r="HW783" s="10"/>
      <c r="HX783" s="10"/>
      <c r="HY783" s="9"/>
      <c r="HZ783" s="4"/>
      <c r="IA783" s="4"/>
      <c r="IB783" s="10"/>
      <c r="IC783" s="10"/>
      <c r="ID783" s="10"/>
      <c r="IE783" s="10"/>
      <c r="IF783" s="4"/>
      <c r="IG783" s="4"/>
      <c r="IH783" s="4"/>
      <c r="II783" s="4"/>
      <c r="IJ783" s="4"/>
      <c r="IK783" s="9"/>
      <c r="IL783" s="9"/>
      <c r="IM783" s="9"/>
      <c r="IN783" s="9"/>
      <c r="IO783" s="9"/>
      <c r="IP783" t="s">
        <v>5913</v>
      </c>
    </row>
    <row r="784" spans="1:263" ht="15" customHeight="1">
      <c r="A784" s="2">
        <v>102018078</v>
      </c>
      <c r="B784" s="4" t="s">
        <v>1247</v>
      </c>
      <c r="C784" s="3"/>
      <c r="D784" s="3"/>
      <c r="E784" s="3"/>
      <c r="F784" s="3"/>
      <c r="G784" s="3"/>
      <c r="H784" s="3"/>
      <c r="J784" t="s">
        <v>253</v>
      </c>
      <c r="K784" t="s">
        <v>1245</v>
      </c>
      <c r="L784" t="s">
        <v>1246</v>
      </c>
      <c r="M784" t="s">
        <v>426</v>
      </c>
      <c r="O784" s="1" t="s">
        <v>258</v>
      </c>
      <c r="T784" s="1"/>
      <c r="AH784" s="1"/>
      <c r="AK784" s="4"/>
      <c r="AL784" s="4"/>
      <c r="AP784" s="5"/>
      <c r="AQ784" s="34"/>
      <c r="AS784" s="3"/>
      <c r="AT784" s="5"/>
      <c r="AU784" s="5"/>
      <c r="AV784" s="1"/>
      <c r="AW784" s="1"/>
      <c r="AX784" s="1"/>
      <c r="AY784" s="1"/>
      <c r="AZ784" s="15"/>
      <c r="BA784" s="1"/>
      <c r="BB784" s="1"/>
      <c r="BC784" s="1"/>
      <c r="BD784" s="1"/>
      <c r="BE784" s="1"/>
      <c r="BF784" s="1"/>
      <c r="BG784" s="1"/>
      <c r="BH784" s="5"/>
      <c r="BI784" s="16"/>
      <c r="BJ784" s="16"/>
      <c r="BL784" s="4"/>
      <c r="BM784" s="4"/>
      <c r="BN784" s="6"/>
      <c r="BO784" s="7"/>
      <c r="BP784" s="4"/>
      <c r="BQ784" s="4"/>
      <c r="BR784" s="4"/>
      <c r="BS784" s="4"/>
      <c r="BT784" s="6"/>
      <c r="BU784" s="7"/>
      <c r="BV784" s="4"/>
      <c r="BW784" s="4"/>
      <c r="BX784" s="4"/>
      <c r="BY784" s="4"/>
      <c r="BZ784" s="6"/>
      <c r="CA784" s="7"/>
      <c r="CB784" s="4"/>
      <c r="CC784" s="4"/>
      <c r="CD784" s="4"/>
      <c r="CE784" s="4"/>
      <c r="CF784" s="6"/>
      <c r="CG784" s="7"/>
      <c r="CH784" s="4"/>
      <c r="CI784" s="4"/>
      <c r="CJ784" s="4"/>
      <c r="CK784" s="4"/>
      <c r="CL784" s="6"/>
      <c r="CM784" s="7"/>
      <c r="CN784" s="4"/>
      <c r="CO784" s="4"/>
      <c r="CP784" s="4"/>
      <c r="CQ784" s="4"/>
      <c r="CR784" s="6"/>
      <c r="CS784" s="7"/>
      <c r="CT784" s="4"/>
      <c r="CU784" s="4"/>
      <c r="CV784" s="4"/>
      <c r="CW784" s="4"/>
      <c r="CX784" s="6"/>
      <c r="CY784" s="7"/>
      <c r="CZ784" s="4"/>
      <c r="DA784" s="4"/>
      <c r="DB784" s="4"/>
      <c r="DC784" s="4"/>
      <c r="DD784" s="6"/>
      <c r="DE784" s="7"/>
      <c r="DF784" s="4"/>
      <c r="DG784" s="4"/>
      <c r="DH784" s="4"/>
      <c r="DI784" s="14"/>
      <c r="DJ784" s="14"/>
      <c r="DK784" s="4"/>
      <c r="DL784" s="3"/>
      <c r="DM784" s="4"/>
      <c r="DN784" s="234"/>
      <c r="DO784" s="4"/>
      <c r="DP784" s="4"/>
      <c r="DQ784" s="4"/>
      <c r="DR784" s="4"/>
      <c r="DS784" s="4"/>
      <c r="DT784" s="4"/>
      <c r="DU784" s="7"/>
      <c r="DV784" s="8"/>
      <c r="DW784" s="4"/>
      <c r="DX784" s="8"/>
      <c r="DY784" s="4"/>
      <c r="DZ784" s="4"/>
      <c r="EA784" s="7"/>
      <c r="EJ784" s="11"/>
      <c r="EQ784" s="11"/>
      <c r="EZ784" s="4"/>
      <c r="FA784" s="4"/>
      <c r="FB784" s="4"/>
      <c r="FE784" s="4"/>
      <c r="FF784" s="4"/>
      <c r="FJ784" s="9"/>
      <c r="FS784" s="9"/>
      <c r="FT784" s="18"/>
      <c r="FU784" s="18"/>
      <c r="FV784" s="18"/>
      <c r="FW784" s="18"/>
      <c r="FX784" s="18"/>
      <c r="FY784" s="4"/>
      <c r="GD784" s="10"/>
      <c r="GN784" s="10"/>
      <c r="HC784" s="9"/>
      <c r="IK784" s="4"/>
    </row>
    <row r="785" spans="1:263" s="18" customFormat="1" ht="15" customHeight="1">
      <c r="A785" s="19">
        <v>102022219</v>
      </c>
      <c r="B785" t="s">
        <v>2931</v>
      </c>
      <c r="C785"/>
      <c r="D785" s="1"/>
      <c r="E785" s="3"/>
      <c r="F785" s="3"/>
      <c r="G785" s="3">
        <v>220001838</v>
      </c>
      <c r="H785"/>
      <c r="I785"/>
      <c r="J785" t="s">
        <v>554</v>
      </c>
      <c r="K785" t="s">
        <v>3303</v>
      </c>
      <c r="L785" t="s">
        <v>776</v>
      </c>
      <c r="M785" t="s">
        <v>469</v>
      </c>
      <c r="N785"/>
      <c r="O785" s="3"/>
      <c r="P785" t="s">
        <v>3303</v>
      </c>
      <c r="Q785" t="s">
        <v>1335</v>
      </c>
      <c r="R785" t="s">
        <v>1584</v>
      </c>
      <c r="S785"/>
      <c r="T785"/>
      <c r="U785"/>
      <c r="V785"/>
      <c r="W785"/>
      <c r="X785"/>
      <c r="Y785"/>
      <c r="Z785"/>
      <c r="AA785"/>
      <c r="AB785"/>
      <c r="AC785"/>
      <c r="AD785"/>
      <c r="AE785"/>
      <c r="AF785"/>
      <c r="AG785" s="43" t="s">
        <v>3364</v>
      </c>
      <c r="AH785"/>
      <c r="AI785"/>
      <c r="AJ785" t="s">
        <v>3304</v>
      </c>
      <c r="AK785" t="s">
        <v>3300</v>
      </c>
      <c r="AL785" t="s">
        <v>329</v>
      </c>
      <c r="AM785" t="s">
        <v>260</v>
      </c>
      <c r="AN785"/>
      <c r="AO785" t="s">
        <v>3305</v>
      </c>
      <c r="AP785" s="3"/>
      <c r="AQ785" t="s">
        <v>329</v>
      </c>
      <c r="AR785"/>
      <c r="AS785"/>
      <c r="AT785"/>
      <c r="AU785"/>
      <c r="AV785"/>
      <c r="AW785"/>
      <c r="AX785" s="1"/>
      <c r="AY785" s="1"/>
      <c r="AZ785" s="1"/>
      <c r="BA785" s="1"/>
      <c r="BB785" s="1"/>
      <c r="BC785" s="2"/>
      <c r="BD785" s="116"/>
      <c r="BE785" s="115"/>
      <c r="BF785" s="2"/>
      <c r="BG785" s="2"/>
      <c r="BH785" s="2"/>
      <c r="BI785" s="2"/>
      <c r="BJ785" s="2"/>
      <c r="BK785" s="2"/>
      <c r="BL785" s="20">
        <f ca="1">SUM(EB785)+220</f>
        <v>587.66533333333336</v>
      </c>
      <c r="BM785" s="22">
        <f ca="1">PMT(10%/12,12,BL785,0,0)</f>
        <v>-51.665119174319337</v>
      </c>
      <c r="BN785" s="22">
        <f ca="1">SUM(BM785*-1)</f>
        <v>51.665119174319337</v>
      </c>
      <c r="BO785" s="14">
        <f>SUM(EJ785*0.0052)/12</f>
        <v>25.306666666666668</v>
      </c>
      <c r="BP785" s="22">
        <f ca="1">SUM(BN785+BO785)</f>
        <v>76.971785840986001</v>
      </c>
      <c r="BQ785" s="14"/>
      <c r="BR785" s="14">
        <f>SUM(BQ785*0.1)</f>
        <v>0</v>
      </c>
      <c r="BS785" s="14">
        <f ca="1">SUM(BT785*BU785)</f>
        <v>0</v>
      </c>
      <c r="BT785" s="17">
        <f>SUM((BQ785+BR785)*0.00833333333333333)</f>
        <v>0</v>
      </c>
      <c r="BU785" s="23">
        <f ca="1">MONTH(TODAY())+49</f>
        <v>53</v>
      </c>
      <c r="BV785" s="14">
        <f ca="1">SUM(BQ785,BR785,BS785)</f>
        <v>0</v>
      </c>
      <c r="BW785" s="14"/>
      <c r="BX785" s="14">
        <f>SUM(BW785*0.1)</f>
        <v>0</v>
      </c>
      <c r="BY785" s="14">
        <f ca="1">SUM(BZ785*CA785)</f>
        <v>0</v>
      </c>
      <c r="BZ785" s="17">
        <f>SUM((BW785+BX785)*0.00833333333333333)</f>
        <v>0</v>
      </c>
      <c r="CA785" s="23">
        <f ca="1">MONTH(TODAY())+37</f>
        <v>41</v>
      </c>
      <c r="CB785" s="14">
        <f ca="1">SUM(BW785,BX785,BY785)</f>
        <v>0</v>
      </c>
      <c r="CC785" s="14">
        <v>0</v>
      </c>
      <c r="CD785" s="14">
        <v>0</v>
      </c>
      <c r="CE785" s="14">
        <f ca="1">SUM(CF785*CG785)</f>
        <v>0</v>
      </c>
      <c r="CF785" s="17">
        <f>SUM((CC785+CD785)*0.00833333333333333)</f>
        <v>0</v>
      </c>
      <c r="CG785" s="23">
        <f ca="1">MONTH(TODAY())+25</f>
        <v>29</v>
      </c>
      <c r="CH785" s="14">
        <f ca="1">SUM(CC785,CD785,CE785)</f>
        <v>0</v>
      </c>
      <c r="CI785" s="14">
        <v>0</v>
      </c>
      <c r="CJ785" s="14">
        <f>SUM(CI785*0.1)</f>
        <v>0</v>
      </c>
      <c r="CK785" s="14">
        <v>0</v>
      </c>
      <c r="CL785" s="17">
        <f>SUM((CI785+CJ785)*0.00833333333333333)</f>
        <v>0</v>
      </c>
      <c r="CM785" s="23">
        <f ca="1">MONTH(TODAY())+13</f>
        <v>17</v>
      </c>
      <c r="CN785" s="14">
        <f>SUM(CI785,CJ785,CK785)</f>
        <v>0</v>
      </c>
      <c r="CO785" s="14">
        <v>0</v>
      </c>
      <c r="CP785" s="14">
        <f>SUM(CO785*0.1)</f>
        <v>0</v>
      </c>
      <c r="CQ785" s="14">
        <f ca="1">SUM(CR785*CS785)</f>
        <v>0</v>
      </c>
      <c r="CR785" s="17">
        <f>SUM((CO785+CP785)*0.00833333333333333)</f>
        <v>0</v>
      </c>
      <c r="CS785" s="23">
        <f ca="1">MONTH(TODAY())+5</f>
        <v>9</v>
      </c>
      <c r="CT785" s="23">
        <f ca="1">SUM(CO785,CP785,CQ785)</f>
        <v>0</v>
      </c>
      <c r="CU785" s="14">
        <v>11</v>
      </c>
      <c r="CV785" s="14">
        <v>0.96</v>
      </c>
      <c r="CW785" s="14">
        <f ca="1">SUM(CX785*CY785)</f>
        <v>0.49833333333333313</v>
      </c>
      <c r="CX785" s="17">
        <f>SUM((CU785+CV785)*0.00833333333333333)</f>
        <v>9.9666666666666626E-2</v>
      </c>
      <c r="CY785" s="23">
        <f ca="1">MONTH(TODAY())+1</f>
        <v>5</v>
      </c>
      <c r="CZ785" s="23">
        <f ca="1">SUM(CU785,CV785,CW785)</f>
        <v>12.458333333333334</v>
      </c>
      <c r="DA785" s="14">
        <f>SUM(EJ785*0.0045)/2</f>
        <v>131.39999999999998</v>
      </c>
      <c r="DB785" s="14">
        <v>0.96</v>
      </c>
      <c r="DC785" s="14">
        <f ca="1">SUM(DD785*DE785)</f>
        <v>-1.1029999999999993</v>
      </c>
      <c r="DD785" s="17">
        <f>SUM((DA785+DB785)*0.00833333333333333)</f>
        <v>1.1029999999999993</v>
      </c>
      <c r="DE785" s="23">
        <f ca="1">MONTH(TODAY())-5</f>
        <v>-1</v>
      </c>
      <c r="DF785" s="23">
        <f ca="1">SUM(DA785,DB785,DC785)</f>
        <v>131.25699999999998</v>
      </c>
      <c r="DG785" s="14">
        <v>0</v>
      </c>
      <c r="DH785" s="14">
        <v>0</v>
      </c>
      <c r="DI785" s="14">
        <v>0</v>
      </c>
      <c r="DJ785" s="17">
        <f>SUM((DG785+DH785)*0.00833333333333333)</f>
        <v>0</v>
      </c>
      <c r="DK785" s="23">
        <f ca="1">MONTH(TODAY())+1</f>
        <v>5</v>
      </c>
      <c r="DL785" s="23">
        <f>SUM(DG785,DH785,DI785)</f>
        <v>0</v>
      </c>
      <c r="DM785" s="14">
        <f>SUM( BQ785, BW785, CC785, CI785, CO785,CU785,DA785,DG785)</f>
        <v>142.39999999999998</v>
      </c>
      <c r="DN785" s="14">
        <f>SUM(BR785,BX785,CD785,CJ785, CP785,CV785,DB785,DH785)</f>
        <v>1.92</v>
      </c>
      <c r="DO785" s="14">
        <f ca="1">SUM(BS785,BY785,CE785,CK785, CQ785,CW785,DC785,DI785)</f>
        <v>-0.60466666666666624</v>
      </c>
      <c r="DP785" s="25">
        <f ca="1">SUM(DM785:DO785)</f>
        <v>143.71533333333329</v>
      </c>
      <c r="DQ785" s="47">
        <f ca="1">SUM(DP785/EG785)</f>
        <v>2.8124331376386162E-3</v>
      </c>
      <c r="DR785" s="14">
        <f>19.5+156+40</f>
        <v>215.5</v>
      </c>
      <c r="DS785" s="32">
        <f>COUNTIF(DX785, "*")+COUNTIF(AO785, "*")+COUNTIF(AJ785, "*")+COUNTIF(AA785, "*")+COUNTIF(EY785, "*")+COUNTIF(FE785, "*")+COUNTIF(FK785, "*")+COUNTIF(FO785, "*")+COUNTIF(FV785, "*")+COUNTIF(AT785, "*")+COUNTIF(GE785, "*")+COUNTIF(GP785, "*")+COUNTIF(HA785, "*")+COUNTIF(HI785, "*")+COUNTIF(HQ785, "*")+COUNTIF(HY785, "*")+COUNTIF(IG785, "*")</f>
        <v>2</v>
      </c>
      <c r="DT785" s="14">
        <f>DS785*0.5+7.45</f>
        <v>8.4499999999999993</v>
      </c>
      <c r="DU785" s="4"/>
      <c r="DV785" s="4"/>
      <c r="DW785" s="4"/>
      <c r="DX785" s="4"/>
      <c r="DY785"/>
      <c r="DZ785" s="4"/>
      <c r="EA785" s="14">
        <f>SUM(DV785:DZ785)</f>
        <v>0</v>
      </c>
      <c r="EB785" s="14">
        <f ca="1">SUM(DP785,DR785,EA785, DU785, DT785,GB785)</f>
        <v>367.66533333333331</v>
      </c>
      <c r="EC785" s="24" t="s">
        <v>2773</v>
      </c>
      <c r="ED785" s="7">
        <v>2.6</v>
      </c>
      <c r="EE785" s="4">
        <v>24000</v>
      </c>
      <c r="EF785" s="4">
        <v>27100</v>
      </c>
      <c r="EG785" s="14">
        <f>SUM(EE785+EF785)</f>
        <v>51100</v>
      </c>
      <c r="EH785" s="14">
        <v>26000</v>
      </c>
      <c r="EI785" s="14">
        <v>32400</v>
      </c>
      <c r="EJ785" s="14">
        <f>SUM(EH785+EI785)</f>
        <v>58400</v>
      </c>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s="9"/>
      <c r="IN785"/>
      <c r="IO785"/>
      <c r="IP785"/>
      <c r="IQ785"/>
      <c r="IR785"/>
      <c r="IS785"/>
      <c r="IT785"/>
      <c r="IU785"/>
      <c r="IV785"/>
      <c r="IW785"/>
      <c r="IX785" s="14">
        <f ca="1">SUM(IN785-EB785-GB785-IV785)</f>
        <v>-367.66533333333331</v>
      </c>
      <c r="IY785" s="9"/>
      <c r="IZ785" s="9"/>
      <c r="JA785" s="9"/>
      <c r="JB785" s="9"/>
      <c r="JC785" s="9"/>
    </row>
    <row r="786" spans="1:263" s="18" customFormat="1" ht="15" customHeight="1">
      <c r="A786" s="2">
        <v>102023017</v>
      </c>
      <c r="B786" t="s">
        <v>4017</v>
      </c>
      <c r="C786" s="10"/>
      <c r="D786" s="10"/>
      <c r="E786" s="10"/>
      <c r="F786" s="160"/>
      <c r="G786" s="147">
        <v>230001073</v>
      </c>
      <c r="H786" s="10"/>
      <c r="I786" s="10"/>
      <c r="J786" s="10" t="s">
        <v>253</v>
      </c>
      <c r="K786" s="10" t="s">
        <v>1215</v>
      </c>
      <c r="L786" s="10" t="s">
        <v>4018</v>
      </c>
      <c r="M786" s="10" t="s">
        <v>354</v>
      </c>
      <c r="N786" s="10"/>
      <c r="O786" s="147"/>
      <c r="P786" s="10"/>
      <c r="Q786" s="10"/>
      <c r="R786" s="10"/>
      <c r="S786" s="10"/>
      <c r="T786" s="10"/>
      <c r="U786" s="10"/>
      <c r="V786" s="10"/>
      <c r="W786" s="10"/>
      <c r="X786" s="10"/>
      <c r="Y786" s="10"/>
      <c r="Z786" s="10"/>
      <c r="AA786" s="10"/>
      <c r="AB786" s="10"/>
      <c r="AC786" s="10"/>
      <c r="AD786" s="10"/>
      <c r="AE786" s="10"/>
      <c r="AF786" s="10"/>
      <c r="AG786" s="10" t="s">
        <v>4521</v>
      </c>
      <c r="AH786" s="10"/>
      <c r="AI786" s="10"/>
      <c r="AJ786" t="s">
        <v>4095</v>
      </c>
      <c r="AK786" s="1" t="s">
        <v>258</v>
      </c>
      <c r="AL786" t="s">
        <v>329</v>
      </c>
      <c r="AM786" t="s">
        <v>260</v>
      </c>
      <c r="AN786"/>
      <c r="AO786" t="s">
        <v>4520</v>
      </c>
      <c r="AP786" s="1" t="s">
        <v>258</v>
      </c>
      <c r="AQ786" t="s">
        <v>329</v>
      </c>
      <c r="AR786" t="s">
        <v>260</v>
      </c>
      <c r="AS786"/>
      <c r="AT786"/>
      <c r="AU786"/>
      <c r="AV786"/>
      <c r="AW786"/>
      <c r="AX786" s="1"/>
      <c r="AY786" s="1"/>
      <c r="AZ786" s="1"/>
      <c r="BA786" s="1"/>
      <c r="BB786" s="1"/>
      <c r="BC786" s="70"/>
      <c r="BD786" s="115"/>
      <c r="BE786" s="144"/>
      <c r="BF786" s="70"/>
      <c r="BG786" s="2"/>
      <c r="BH786" s="70"/>
      <c r="BI786" s="70"/>
      <c r="BJ786" s="70"/>
      <c r="BK786" s="70"/>
      <c r="BL786" s="20">
        <f ca="1">SUM(EH786)+220</f>
        <v>5233.798233333333</v>
      </c>
      <c r="BM786" s="22">
        <f ca="1">PMT(10%/12,12,BL786,0,0)</f>
        <v>-460.13401526635676</v>
      </c>
      <c r="BN786" s="22">
        <f ca="1">SUM(BM786*-1)</f>
        <v>460.13401526635676</v>
      </c>
      <c r="BO786" s="14">
        <f>SUM(EP786*0.0052)/12</f>
        <v>82.506666666666661</v>
      </c>
      <c r="BP786" s="22">
        <f ca="1">SUM(BN786+BO786)</f>
        <v>542.64068193302342</v>
      </c>
      <c r="BQ786" s="14"/>
      <c r="BR786" s="14">
        <f>SUM(BQ786*0.1)</f>
        <v>0</v>
      </c>
      <c r="BS786" s="14">
        <f ca="1">SUM(BT786*BU786)</f>
        <v>0</v>
      </c>
      <c r="BT786" s="17">
        <f>SUM((BQ786+BR786)*0.00833333333333333)</f>
        <v>0</v>
      </c>
      <c r="BU786" s="23">
        <f ca="1">MONTH(TODAY())+49</f>
        <v>53</v>
      </c>
      <c r="BV786" s="14">
        <f ca="1">SUM(BQ786,BR786,BS786)</f>
        <v>0</v>
      </c>
      <c r="BW786" s="14">
        <f>SUM(EM786*0.0052)</f>
        <v>749.31999999999994</v>
      </c>
      <c r="BX786" s="14">
        <f>SUM(BW786*0.1)</f>
        <v>74.932000000000002</v>
      </c>
      <c r="BY786" s="14">
        <f ca="1">SUM(BZ786*CA786)</f>
        <v>281.61943333333318</v>
      </c>
      <c r="BZ786" s="17">
        <f>SUM((BW786+BX786)*0.00833333333333333)</f>
        <v>6.8687666666666631</v>
      </c>
      <c r="CA786" s="23">
        <f ca="1">MONTH(TODAY())+37</f>
        <v>41</v>
      </c>
      <c r="CB786" s="14">
        <f ca="1">SUM(BW786,BX786,BY786)</f>
        <v>1105.8714333333332</v>
      </c>
      <c r="CC786" s="14">
        <f>SUM(EM786*0.0052)</f>
        <v>749.31999999999994</v>
      </c>
      <c r="CD786" s="14">
        <f>SUM(CC786*0.1)</f>
        <v>74.932000000000002</v>
      </c>
      <c r="CE786" s="14">
        <f ca="1">SUM(CF786*CG786)</f>
        <v>199.19423333333324</v>
      </c>
      <c r="CF786" s="17">
        <f>SUM((CC786+CD786)*0.00833333333333333)</f>
        <v>6.8687666666666631</v>
      </c>
      <c r="CG786" s="23">
        <f ca="1">MONTH(TODAY())+25</f>
        <v>29</v>
      </c>
      <c r="CH786" s="14">
        <f ca="1">SUM(CC786,CD786,CE786)</f>
        <v>1023.4462333333332</v>
      </c>
      <c r="CI786" s="14">
        <f>SUM(EM786*0.0052)/2</f>
        <v>374.65999999999997</v>
      </c>
      <c r="CJ786" s="14">
        <f>SUM(CI786*0.1)</f>
        <v>37.466000000000001</v>
      </c>
      <c r="CK786" s="14">
        <f ca="1">SUM(CL786*CM786)</f>
        <v>72.122049999999959</v>
      </c>
      <c r="CL786" s="17">
        <f>SUM((CI786+CJ786)*0.00833333333333333)</f>
        <v>3.4343833333333316</v>
      </c>
      <c r="CM786" s="23">
        <f ca="1">MONTH(TODAY())+17</f>
        <v>21</v>
      </c>
      <c r="CN786" s="23">
        <f ca="1">SUM(CI786,CJ786,CK786)</f>
        <v>484.24804999999992</v>
      </c>
      <c r="CO786" s="14">
        <f>SUM(EM786*0.0052)/2</f>
        <v>374.65999999999997</v>
      </c>
      <c r="CP786" s="14">
        <f>SUM(CO786*0.1)</f>
        <v>37.466000000000001</v>
      </c>
      <c r="CQ786" s="14">
        <f ca="1">SUM(CR786*CS786)</f>
        <v>58.384516666666634</v>
      </c>
      <c r="CR786" s="17">
        <f>SUM((CO786+CP786)*0.00833333333333333)</f>
        <v>3.4343833333333316</v>
      </c>
      <c r="CS786" s="23">
        <f ca="1">MONTH(TODAY())+13</f>
        <v>17</v>
      </c>
      <c r="CT786" s="14">
        <f ca="1">SUM(CO786,CP786,CQ786)</f>
        <v>470.5105166666666</v>
      </c>
      <c r="CU786" s="14">
        <f>SUM(EP786*0.0045)/2</f>
        <v>428.4</v>
      </c>
      <c r="CV786" s="14">
        <f>SUM(CU786*0.1)</f>
        <v>42.84</v>
      </c>
      <c r="CW786" s="14">
        <f ca="1">SUM(CX786*CY786)</f>
        <v>43.196999999999981</v>
      </c>
      <c r="CX786" s="17">
        <f>SUM((CU786+CV786)*0.00833333333333333)</f>
        <v>3.9269999999999983</v>
      </c>
      <c r="CY786" s="23">
        <f ca="1">MONTH(TODAY())+7</f>
        <v>11</v>
      </c>
      <c r="CZ786" s="14">
        <f ca="1">SUM(CU786,CV786,CW786)</f>
        <v>514.43700000000001</v>
      </c>
      <c r="DA786" s="14">
        <f>SUM(EP786*0.0045)/2</f>
        <v>428.4</v>
      </c>
      <c r="DB786" s="14">
        <f>SUM(DA786*0.1)</f>
        <v>42.84</v>
      </c>
      <c r="DC786" s="14">
        <f ca="1">SUM(DD786*DE786)</f>
        <v>19.634999999999991</v>
      </c>
      <c r="DD786" s="17">
        <f>SUM((DA786+DB786)*0.00833333333333333)</f>
        <v>3.9269999999999983</v>
      </c>
      <c r="DE786" s="23">
        <f ca="1">MONTH(TODAY())+1</f>
        <v>5</v>
      </c>
      <c r="DF786" s="14">
        <f ca="1">SUM(DA786,DB786,DC786)</f>
        <v>490.875</v>
      </c>
      <c r="DG786" s="14">
        <f>SUM(EP786*0.0045)/2</f>
        <v>428.4</v>
      </c>
      <c r="DH786" s="14">
        <f>SUM(DG786*0.1)</f>
        <v>42.84</v>
      </c>
      <c r="DI786" s="14">
        <f ca="1">SUM(DJ786*DK786)</f>
        <v>-11.780999999999995</v>
      </c>
      <c r="DJ786" s="17">
        <f>SUM((DG786+DH786)*0.00833333333333333)</f>
        <v>3.9269999999999983</v>
      </c>
      <c r="DK786" s="23">
        <f ca="1">MONTH(TODAY())-7</f>
        <v>-3</v>
      </c>
      <c r="DL786" s="14">
        <f ca="1">SUM(DG786,DH786,DI786)</f>
        <v>459.459</v>
      </c>
      <c r="DM786" s="14">
        <f>SUM(EP786*0.0045)/2</f>
        <v>428.4</v>
      </c>
      <c r="DN786" s="14">
        <f>SUM(DM786*0.1)</f>
        <v>42.84</v>
      </c>
      <c r="DO786" s="14">
        <f ca="1">SUM(DP786*DQ786)</f>
        <v>-27.488999999999987</v>
      </c>
      <c r="DP786" s="17">
        <f>SUM((DM786+DN786)*0.00833333333333333)</f>
        <v>3.9269999999999983</v>
      </c>
      <c r="DQ786" s="23">
        <f ca="1">MONTH(TODAY())-11</f>
        <v>-7</v>
      </c>
      <c r="DR786" s="14">
        <f ca="1">SUM(DM786,DN786,DO786)</f>
        <v>443.75100000000003</v>
      </c>
      <c r="DS786" s="14">
        <f>SUM(BQ786, BW786, CC786, CI786,CO786,CU786,DA786,DG786,DM786)</f>
        <v>3961.56</v>
      </c>
      <c r="DT786" s="14">
        <f>SUM(BR786,BX786,CD786, CJ786,CP786,CV786,DB786,DH786,DN786)</f>
        <v>396.15600000000006</v>
      </c>
      <c r="DU786" s="14">
        <f ca="1">SUM(BS786,BY786,CE786, CK786,CQ786,CW786,DC786,DI786,DO786)</f>
        <v>634.88223333333303</v>
      </c>
      <c r="DV786" s="25">
        <f ca="1">SUM(DS786:DU786)</f>
        <v>4992.5982333333332</v>
      </c>
      <c r="DW786" s="47">
        <f ca="1">SUM(DV786/EM786)</f>
        <v>3.4646760814249361E-2</v>
      </c>
      <c r="DX786" s="14">
        <v>20</v>
      </c>
      <c r="DY786" s="32">
        <f>COUNTIF(AO786, "*")+COUNTIF(AJ786, "*")+COUNTIF(AA786, "*")+COUNTIF(FA786, "*")+COUNTIF(FG786, "*")+COUNTIF(FM786, "*")+COUNTIF(FQ786, "*")+COUNTIF(FX786, "*")+COUNTIF(AT786, "*")+COUNTIF(GG786, "*")+COUNTIF(GR786, "*")+COUNTIF(HC786, "*")+COUNTIF(HK786, "*")+COUNTIF(HS786, "*")+COUNTIF(IA786, "*")</f>
        <v>2</v>
      </c>
      <c r="DZ786" s="14">
        <f>DY786*0.6</f>
        <v>1.2</v>
      </c>
      <c r="EA786" s="4"/>
      <c r="EB786" s="4"/>
      <c r="EC786" s="4"/>
      <c r="ED786" s="4"/>
      <c r="EE786" s="4"/>
      <c r="EF786" s="4"/>
      <c r="EG786" s="14">
        <f>SUM(EA786:EF786)</f>
        <v>0</v>
      </c>
      <c r="EH786" s="14">
        <f ca="1">SUM(DV786,DX786,EG786,DZ786,GD786)</f>
        <v>5013.798233333333</v>
      </c>
      <c r="EI786" s="24" t="s">
        <v>3974</v>
      </c>
      <c r="EJ786" s="7">
        <v>1</v>
      </c>
      <c r="EK786" s="4">
        <v>16000</v>
      </c>
      <c r="EL786" s="4">
        <v>128100</v>
      </c>
      <c r="EM786" s="14">
        <f>SUM(EK786+EL786)</f>
        <v>144100</v>
      </c>
      <c r="EN786" s="14">
        <v>18000</v>
      </c>
      <c r="EO786" s="14">
        <v>172400</v>
      </c>
      <c r="EP786" s="14">
        <f>SUM(EN786+EO786)</f>
        <v>190400</v>
      </c>
      <c r="EQ786" s="10"/>
      <c r="ER786" s="10"/>
      <c r="ES786" s="10"/>
      <c r="ET786" s="10"/>
      <c r="EU786" s="10"/>
      <c r="EV786" s="10"/>
      <c r="EW786" s="10"/>
      <c r="EX786" s="10"/>
      <c r="EY786" s="10"/>
      <c r="EZ786" s="10"/>
      <c r="FA786" s="10"/>
      <c r="FB786" s="10"/>
      <c r="FC786" s="10"/>
      <c r="FD786" s="10"/>
      <c r="FE786" s="10"/>
      <c r="FF786" s="10"/>
      <c r="FG786" s="10"/>
      <c r="FH786" s="10"/>
      <c r="FI786" s="10"/>
      <c r="FJ786" s="10"/>
      <c r="FK786" s="10"/>
      <c r="FL786" s="10"/>
      <c r="FM786" s="10"/>
      <c r="FN786" s="10"/>
      <c r="FO786" s="10"/>
      <c r="FP786" s="10"/>
      <c r="FQ786" s="10"/>
      <c r="FR786" s="10"/>
      <c r="FS786" s="10"/>
      <c r="FT786" s="10"/>
      <c r="FU786" s="9"/>
      <c r="FV786" s="10"/>
      <c r="FW786" s="10"/>
      <c r="FX786" s="10"/>
      <c r="FY786" s="10"/>
      <c r="FZ786" s="10"/>
      <c r="GA786" s="10"/>
      <c r="GB786" s="9"/>
      <c r="GC786" s="10"/>
      <c r="GD786" s="10"/>
      <c r="GE786" s="10"/>
      <c r="GF786" s="10"/>
      <c r="GG786" s="10"/>
      <c r="GH786" s="10"/>
      <c r="GI786" s="10"/>
      <c r="GJ786" s="10"/>
      <c r="GK786" s="9"/>
      <c r="GL786" s="10"/>
      <c r="GM786" s="10"/>
      <c r="GN786" s="10"/>
      <c r="GO786" s="10"/>
      <c r="GP786" s="10"/>
      <c r="GQ786" s="10"/>
      <c r="GR786" s="10"/>
      <c r="GS786" s="10"/>
      <c r="GT786" s="10"/>
      <c r="GU786" s="10"/>
      <c r="GV786" s="9"/>
      <c r="GW786" s="10"/>
      <c r="GX786" s="10"/>
      <c r="GY786" s="10"/>
      <c r="GZ786" s="10"/>
      <c r="HA786" s="10"/>
      <c r="HB786" s="10"/>
      <c r="HC786" s="10"/>
      <c r="HD786" s="10"/>
      <c r="HE786" s="10"/>
      <c r="HF786" s="10"/>
      <c r="HG786" s="9"/>
      <c r="HH786" s="10"/>
      <c r="HI786" s="10"/>
      <c r="HJ786" s="10"/>
      <c r="HK786" s="10"/>
      <c r="HL786" s="10"/>
      <c r="HM786" s="10"/>
      <c r="HN786" s="10"/>
      <c r="HO786" s="9"/>
      <c r="HP786" s="10"/>
      <c r="HQ786" s="10"/>
      <c r="HR786" s="10"/>
      <c r="HS786" s="10"/>
      <c r="HT786" s="10"/>
      <c r="HU786" s="10"/>
      <c r="HV786" s="10"/>
      <c r="HW786" s="9"/>
      <c r="HX786" s="10"/>
      <c r="HY786" s="10"/>
      <c r="HZ786" s="10"/>
      <c r="IA786" s="10"/>
      <c r="IB786" s="10"/>
      <c r="IC786" s="10"/>
      <c r="ID786" s="10"/>
      <c r="IE786" s="9"/>
      <c r="IF786" s="4"/>
      <c r="IG786" s="4"/>
      <c r="IH786" s="10"/>
      <c r="II786" s="10"/>
      <c r="IJ786" s="10"/>
      <c r="IK786" s="10"/>
      <c r="IL786" s="4"/>
      <c r="IM786" s="4"/>
      <c r="IN786" s="14">
        <f ca="1">SUM(IF786-EH786-GD786-IL786)</f>
        <v>-5013.798233333333</v>
      </c>
      <c r="IO786" s="14"/>
      <c r="IP786" s="14"/>
      <c r="IQ786" s="9"/>
      <c r="IR786" s="9"/>
      <c r="IS786" s="9"/>
      <c r="IT786" s="9"/>
      <c r="IU786" s="9"/>
      <c r="IV786" s="27" t="s">
        <v>5913</v>
      </c>
      <c r="IW786"/>
      <c r="IX786"/>
      <c r="IY786"/>
      <c r="IZ786"/>
      <c r="JA786"/>
      <c r="JB786"/>
      <c r="JC786"/>
    </row>
    <row r="787" spans="1:263" s="18" customFormat="1" ht="15" customHeight="1">
      <c r="A787" s="18">
        <v>102023121</v>
      </c>
      <c r="B787" s="18" t="s">
        <v>4375</v>
      </c>
      <c r="C787" s="10"/>
      <c r="D787" s="161" t="s">
        <v>5931</v>
      </c>
      <c r="E787" s="147"/>
      <c r="F787" s="160"/>
      <c r="G787" s="147">
        <v>230002059</v>
      </c>
      <c r="H787" s="10"/>
      <c r="I787" s="10"/>
      <c r="J787" s="28" t="s">
        <v>253</v>
      </c>
      <c r="K787" s="28" t="s">
        <v>993</v>
      </c>
      <c r="L787" s="28" t="s">
        <v>4453</v>
      </c>
      <c r="M787" s="28" t="s">
        <v>326</v>
      </c>
      <c r="N787" s="28"/>
      <c r="O787" s="149"/>
      <c r="P787" s="28"/>
      <c r="Q787" s="28"/>
      <c r="R787" s="28"/>
      <c r="S787" s="28"/>
      <c r="T787" s="10"/>
      <c r="U787" s="10"/>
      <c r="V787" s="10"/>
      <c r="W787" s="10"/>
      <c r="X787" s="10"/>
      <c r="Y787" s="10"/>
      <c r="Z787" s="10"/>
      <c r="AA787" s="10"/>
      <c r="AB787" s="10"/>
      <c r="AC787" s="10"/>
      <c r="AD787" s="10" t="s">
        <v>4536</v>
      </c>
      <c r="AE787" s="10" t="s">
        <v>311</v>
      </c>
      <c r="AF787" s="10" t="s">
        <v>4535</v>
      </c>
      <c r="AG787" s="141" t="s">
        <v>4534</v>
      </c>
      <c r="AH787" s="28" t="s">
        <v>4454</v>
      </c>
      <c r="AI787" s="10" t="s">
        <v>329</v>
      </c>
      <c r="AJ787"/>
      <c r="AK787" s="1"/>
      <c r="AL787"/>
      <c r="AM787"/>
      <c r="AN787" t="s">
        <v>4452</v>
      </c>
      <c r="AO787" s="18" t="s">
        <v>4454</v>
      </c>
      <c r="AP787" s="1" t="s">
        <v>258</v>
      </c>
      <c r="AQ787" s="18" t="s">
        <v>329</v>
      </c>
      <c r="AR787" s="18" t="s">
        <v>260</v>
      </c>
      <c r="AS787"/>
      <c r="AT787"/>
      <c r="AU787"/>
      <c r="AV787"/>
      <c r="AW787"/>
      <c r="AX787" s="1"/>
      <c r="AY787" s="1"/>
      <c r="AZ787" s="1"/>
      <c r="BA787" s="1"/>
      <c r="BB787" s="1"/>
      <c r="BC787" s="70"/>
      <c r="BD787" s="115"/>
      <c r="BE787" s="144"/>
      <c r="BF787" s="70"/>
      <c r="BG787" s="2"/>
      <c r="BH787" s="70"/>
      <c r="BI787" s="70"/>
      <c r="BJ787" s="70"/>
      <c r="BK787" s="70"/>
      <c r="BL787" s="20">
        <f ca="1">SUM(EH787)+220</f>
        <v>1903.4902124999999</v>
      </c>
      <c r="BM787" s="22">
        <f ca="1">PMT(10%/12,12,BL787,0,0)</f>
        <v>-167.34703086557698</v>
      </c>
      <c r="BN787" s="22">
        <f ca="1">SUM(BM787*-1)</f>
        <v>167.34703086557698</v>
      </c>
      <c r="BO787" s="14">
        <f>SUM(EP787*0.0052)/12</f>
        <v>31.59</v>
      </c>
      <c r="BP787" s="22">
        <f ca="1">SUM(BN787+BO787)</f>
        <v>198.93703086557699</v>
      </c>
      <c r="BQ787" s="14"/>
      <c r="BR787" s="14">
        <f>SUM(BQ787*0.1)</f>
        <v>0</v>
      </c>
      <c r="BS787" s="14">
        <f ca="1">SUM(BT787*BU787)</f>
        <v>0</v>
      </c>
      <c r="BT787" s="17">
        <f>SUM((BQ787+BR787)*0.00833333333333333)</f>
        <v>0</v>
      </c>
      <c r="BU787" s="23">
        <f ca="1">MONTH(TODAY())+49</f>
        <v>53</v>
      </c>
      <c r="BV787" s="14">
        <f ca="1">SUM(BQ787,BR787,BS787)</f>
        <v>0</v>
      </c>
      <c r="BW787" s="14">
        <v>0</v>
      </c>
      <c r="BX787" s="14">
        <f>SUM(BW787*0.1)</f>
        <v>0</v>
      </c>
      <c r="BY787" s="14">
        <f ca="1">SUM(BZ787*CA787)</f>
        <v>0</v>
      </c>
      <c r="BZ787" s="17">
        <f>SUM((BW787+BX787)*0.00833333333333333)</f>
        <v>0</v>
      </c>
      <c r="CA787" s="23">
        <f ca="1">MONTH(TODAY())+37</f>
        <v>41</v>
      </c>
      <c r="CB787" s="14">
        <f ca="1">SUM(BW787,BX787,BY787)</f>
        <v>0</v>
      </c>
      <c r="CC787" s="14">
        <f>SUM(EM787*0.0052)-175.95</f>
        <v>132.41000000000003</v>
      </c>
      <c r="CD787" s="14">
        <f>SUM(CC787*0.1)</f>
        <v>13.241000000000003</v>
      </c>
      <c r="CE787" s="14">
        <f ca="1">SUM(CF787*CG787)</f>
        <v>35.198991666666657</v>
      </c>
      <c r="CF787" s="17">
        <f>SUM((CC787+CD787)*0.00833333333333333)</f>
        <v>1.2137583333333331</v>
      </c>
      <c r="CG787" s="23">
        <f ca="1">MONTH(TODAY())+25</f>
        <v>29</v>
      </c>
      <c r="CH787" s="14">
        <f ca="1">SUM(CC787,CD787,CE787)</f>
        <v>180.84999166666671</v>
      </c>
      <c r="CI787" s="14">
        <f>SUM(EM787*0.0052)/2</f>
        <v>154.18</v>
      </c>
      <c r="CJ787" s="14">
        <f>SUM(CI787*0.1)</f>
        <v>15.418000000000001</v>
      </c>
      <c r="CK787" s="14">
        <f ca="1">SUM(CL787*CM787)</f>
        <v>29.679649999999988</v>
      </c>
      <c r="CL787" s="17">
        <f>SUM((CI787+CJ787)*0.00833333333333333)</f>
        <v>1.4133166666666661</v>
      </c>
      <c r="CM787" s="23">
        <f ca="1">MONTH(TODAY())+17</f>
        <v>21</v>
      </c>
      <c r="CN787" s="23">
        <f ca="1">SUM(CI787,CJ787,CK787)</f>
        <v>199.27764999999999</v>
      </c>
      <c r="CO787" s="14">
        <f>SUM(EM787*0.0052)/2</f>
        <v>154.18</v>
      </c>
      <c r="CP787" s="14">
        <f>SUM(CO787*0.1)</f>
        <v>15.418000000000001</v>
      </c>
      <c r="CQ787" s="14">
        <f ca="1">SUM(CR787*CS787)</f>
        <v>24.026383333333325</v>
      </c>
      <c r="CR787" s="17">
        <f>SUM((CO787+CP787)*0.00833333333333333)</f>
        <v>1.4133166666666661</v>
      </c>
      <c r="CS787" s="23">
        <f ca="1">MONTH(TODAY())+13</f>
        <v>17</v>
      </c>
      <c r="CT787" s="14">
        <f ca="1">SUM(CO787,CP787,CQ787)</f>
        <v>193.62438333333333</v>
      </c>
      <c r="CU787" s="14">
        <f>SUM(EP787*0.0045)/2</f>
        <v>164.02499999999998</v>
      </c>
      <c r="CV787" s="14">
        <f>SUM(CU787*0.1)</f>
        <v>16.4025</v>
      </c>
      <c r="CW787" s="14">
        <f ca="1">SUM(CX787*CY787)</f>
        <v>16.53918749999999</v>
      </c>
      <c r="CX787" s="17">
        <f>SUM((CU787+CV787)*0.00833333333333333)</f>
        <v>1.5035624999999992</v>
      </c>
      <c r="CY787" s="23">
        <f ca="1">MONTH(TODAY())+7</f>
        <v>11</v>
      </c>
      <c r="CZ787" s="14">
        <f ca="1">SUM(CU787,CV787,CW787)</f>
        <v>196.96668749999998</v>
      </c>
      <c r="DA787" s="14">
        <f>SUM(EP787*0.0045)/2</f>
        <v>164.02499999999998</v>
      </c>
      <c r="DB787" s="14">
        <f>SUM(DA787*0.1)</f>
        <v>16.4025</v>
      </c>
      <c r="DC787" s="14">
        <f ca="1">SUM(DD787*DE787)</f>
        <v>7.5178124999999962</v>
      </c>
      <c r="DD787" s="17">
        <f>SUM((DA787+DB787)*0.00833333333333333)</f>
        <v>1.5035624999999992</v>
      </c>
      <c r="DE787" s="23">
        <f ca="1">MONTH(TODAY())+1</f>
        <v>5</v>
      </c>
      <c r="DF787" s="14">
        <f ca="1">SUM(DA787,DB787,DC787)</f>
        <v>187.94531249999997</v>
      </c>
      <c r="DG787" s="14">
        <f>SUM(EP787*0.0045)/2</f>
        <v>164.02499999999998</v>
      </c>
      <c r="DH787" s="14">
        <f>SUM(DG787*0.1)</f>
        <v>16.4025</v>
      </c>
      <c r="DI787" s="14">
        <f ca="1">SUM(DJ787*DK787)</f>
        <v>-4.5106874999999977</v>
      </c>
      <c r="DJ787" s="17">
        <f>SUM((DG787+DH787)*0.00833333333333333)</f>
        <v>1.5035624999999992</v>
      </c>
      <c r="DK787" s="23">
        <f ca="1">MONTH(TODAY())-7</f>
        <v>-3</v>
      </c>
      <c r="DL787" s="14">
        <f ca="1">SUM(DG787,DH787,DI787)</f>
        <v>175.91681249999999</v>
      </c>
      <c r="DM787" s="14">
        <f>SUM(EP787*0.0045)/2</f>
        <v>164.02499999999998</v>
      </c>
      <c r="DN787" s="14">
        <f>0</f>
        <v>0</v>
      </c>
      <c r="DO787" s="14">
        <f ca="1">SUM(DP787*DQ787)</f>
        <v>6.8343749999999961</v>
      </c>
      <c r="DP787" s="17">
        <f>SUM((DM787+DN787)*0.00833333333333333)</f>
        <v>1.3668749999999992</v>
      </c>
      <c r="DQ787" s="23">
        <f ca="1">MONTH(TODAY())+1</f>
        <v>5</v>
      </c>
      <c r="DR787" s="14">
        <f ca="1">SUM(DM787,DN787,DO787)</f>
        <v>170.85937499999997</v>
      </c>
      <c r="DS787" s="14">
        <f>SUM(BQ787, BW787, CC787, CI787,CO787,CU787,DA787,DG787,DM787)</f>
        <v>1096.8699999999999</v>
      </c>
      <c r="DT787" s="14">
        <f>SUM(BR787,BX787,CD787, CJ787,CP787,CV787,DB787,DH787,DN787)</f>
        <v>93.284500000000008</v>
      </c>
      <c r="DU787" s="14">
        <f ca="1">SUM(BS787,BY787,CE787, CK787,CQ787,CW787,DC787,DI787,DO787)</f>
        <v>115.28571249999995</v>
      </c>
      <c r="DV787" s="25">
        <f ca="1">SUM(DS787:DU787)</f>
        <v>1305.4402124999999</v>
      </c>
      <c r="DW787" s="47">
        <f ca="1">SUM(DV787/EM787)</f>
        <v>2.2014168844856661E-2</v>
      </c>
      <c r="DX787" s="14">
        <f>20+200</f>
        <v>220</v>
      </c>
      <c r="DY787" s="32">
        <f>COUNTIF(AO787, "*")+COUNTIF(AJ787, "*")+COUNTIF(AA787, "*")+COUNTIF(FA787, "*")+COUNTIF(FG787, "*")+COUNTIF(FM787, "*")+COUNTIF(FQ787, "*")+COUNTIF(FX787, "*")+COUNTIF(AT787, "*")+COUNTIF(GG787, "*")+COUNTIF(GR787, "*")+COUNTIF(HC787, "*")+COUNTIF(HK787, "*")+COUNTIF(HS787, "*")+COUNTIF(IA787, "*")</f>
        <v>1</v>
      </c>
      <c r="DZ787" s="14">
        <f>0.6+DY787*7.45</f>
        <v>8.0500000000000007</v>
      </c>
      <c r="EA787" s="4"/>
      <c r="EB787" s="4">
        <v>150</v>
      </c>
      <c r="EC787" s="4"/>
      <c r="ED787" s="4"/>
      <c r="EE787" s="4"/>
      <c r="EF787" s="4"/>
      <c r="EG787" s="14">
        <f>SUM(EA787:EF787)</f>
        <v>150</v>
      </c>
      <c r="EH787" s="14">
        <f ca="1">SUM(DV787,DX787,EG787,DZ787,GD787)</f>
        <v>1683.4902124999999</v>
      </c>
      <c r="EI787" s="24" t="s">
        <v>3879</v>
      </c>
      <c r="EJ787" s="23">
        <v>0.64</v>
      </c>
      <c r="EK787" s="14">
        <v>11200</v>
      </c>
      <c r="EL787" s="14">
        <v>48100</v>
      </c>
      <c r="EM787" s="14">
        <f>SUM(EK787+EL787)</f>
        <v>59300</v>
      </c>
      <c r="EN787" s="14">
        <v>12700</v>
      </c>
      <c r="EO787" s="14">
        <v>60200</v>
      </c>
      <c r="EP787" s="14">
        <f>SUM(EN787+EO787)</f>
        <v>72900</v>
      </c>
      <c r="EQ787" s="10"/>
      <c r="ER787" s="10"/>
      <c r="ES787" s="10"/>
      <c r="ET787" s="10"/>
      <c r="EU787" s="10"/>
      <c r="EV787" s="10"/>
      <c r="EW787" s="10"/>
      <c r="EX787" s="10"/>
      <c r="EY787" s="10"/>
      <c r="EZ787" s="10"/>
      <c r="FA787" s="10"/>
      <c r="FB787" s="10"/>
      <c r="FC787" s="10"/>
      <c r="FD787" s="10"/>
      <c r="FE787" s="10"/>
      <c r="FF787" s="10"/>
      <c r="FG787" s="10"/>
      <c r="FH787" s="10"/>
      <c r="FI787" s="10"/>
      <c r="FJ787" s="10"/>
      <c r="FK787" s="10"/>
      <c r="FL787" s="10"/>
      <c r="FM787" s="10"/>
      <c r="FN787" s="10"/>
      <c r="FO787" s="10"/>
      <c r="FP787" s="10"/>
      <c r="FQ787" s="10"/>
      <c r="FR787" s="10"/>
      <c r="FS787" s="10"/>
      <c r="FT787" s="10"/>
      <c r="FU787" s="9"/>
      <c r="FV787" s="10"/>
      <c r="FW787" s="10"/>
      <c r="FX787" s="10"/>
      <c r="FY787" s="10"/>
      <c r="FZ787" s="10"/>
      <c r="GA787" s="10"/>
      <c r="GB787" s="9"/>
      <c r="GC787" s="10"/>
      <c r="GD787" s="10"/>
      <c r="GE787" s="10"/>
      <c r="GF787" s="10"/>
      <c r="GG787" s="10"/>
      <c r="GH787" s="10"/>
      <c r="GI787" s="10"/>
      <c r="GJ787" s="10"/>
      <c r="GK787" s="9"/>
      <c r="GL787" s="10"/>
      <c r="GM787" s="10"/>
      <c r="GN787" s="10"/>
      <c r="GO787" s="10"/>
      <c r="GP787" s="10"/>
      <c r="GQ787" s="10"/>
      <c r="GR787" s="10"/>
      <c r="GS787" s="10"/>
      <c r="GT787" s="10"/>
      <c r="GU787" s="10"/>
      <c r="GV787" s="9"/>
      <c r="GW787" s="10"/>
      <c r="GX787" s="10"/>
      <c r="GY787" s="10"/>
      <c r="GZ787" s="10"/>
      <c r="HA787" s="10"/>
      <c r="HB787" s="10"/>
      <c r="HC787" s="10"/>
      <c r="HD787" s="10"/>
      <c r="HE787" s="10"/>
      <c r="HF787" s="10"/>
      <c r="HG787" s="9"/>
      <c r="HH787" s="10"/>
      <c r="HI787" s="10"/>
      <c r="HJ787" s="10"/>
      <c r="HK787" s="10"/>
      <c r="HL787" s="10"/>
      <c r="HM787" s="10"/>
      <c r="HN787" s="10"/>
      <c r="HO787" s="9"/>
      <c r="HP787" s="10"/>
      <c r="HQ787" s="10"/>
      <c r="HR787" s="10"/>
      <c r="HS787" s="10"/>
      <c r="HT787" s="10"/>
      <c r="HU787" s="10"/>
      <c r="HV787" s="10"/>
      <c r="HW787" s="9"/>
      <c r="HX787" s="10"/>
      <c r="HY787" s="10"/>
      <c r="HZ787" s="10"/>
      <c r="IA787" s="10"/>
      <c r="IB787" s="10"/>
      <c r="IC787" s="10"/>
      <c r="ID787" s="10"/>
      <c r="IE787" s="9"/>
      <c r="IF787" s="4"/>
      <c r="IG787" s="4"/>
      <c r="IH787" s="10"/>
      <c r="II787" s="10"/>
      <c r="IJ787" s="10"/>
      <c r="IK787" s="10"/>
      <c r="IL787" s="4"/>
      <c r="IM787" s="4"/>
      <c r="IN787" s="14">
        <f ca="1">SUM(IF787-EH787-GD787-IL787)</f>
        <v>-1683.4902124999999</v>
      </c>
      <c r="IO787" s="14"/>
      <c r="IP787" s="14"/>
      <c r="IQ787" s="9"/>
      <c r="IR787" s="9"/>
      <c r="IS787" s="9"/>
      <c r="IT787" s="9"/>
      <c r="IU787" s="9"/>
      <c r="IV787" s="27" t="s">
        <v>5913</v>
      </c>
      <c r="IW787"/>
      <c r="IX787"/>
      <c r="IY787"/>
      <c r="IZ787"/>
      <c r="JA787"/>
      <c r="JB787"/>
      <c r="JC787"/>
    </row>
    <row r="788" spans="1:263" s="18" customFormat="1" ht="15" customHeight="1">
      <c r="A788" s="2">
        <v>102017086</v>
      </c>
      <c r="B788" t="s">
        <v>1025</v>
      </c>
      <c r="C788"/>
      <c r="D788"/>
      <c r="E788"/>
      <c r="F788" s="2"/>
      <c r="G788">
        <v>180001319</v>
      </c>
      <c r="H788"/>
      <c r="I788"/>
      <c r="J788" t="s">
        <v>305</v>
      </c>
      <c r="K788" t="s">
        <v>1011</v>
      </c>
      <c r="L788" t="s">
        <v>598</v>
      </c>
      <c r="M788" t="s">
        <v>1026</v>
      </c>
      <c r="N788"/>
      <c r="O788" s="1" t="s">
        <v>258</v>
      </c>
      <c r="P788" t="s">
        <v>1011</v>
      </c>
      <c r="Q788" t="s">
        <v>738</v>
      </c>
      <c r="R788" t="s">
        <v>469</v>
      </c>
      <c r="S788"/>
      <c r="T788" s="1"/>
      <c r="U788"/>
      <c r="V788"/>
      <c r="X788"/>
      <c r="Y788"/>
      <c r="Z788"/>
      <c r="AA788"/>
      <c r="AB788"/>
      <c r="AC788"/>
      <c r="AD788"/>
      <c r="AE788" s="1"/>
      <c r="AF788"/>
      <c r="AG788"/>
      <c r="AH788" s="3"/>
      <c r="AI788"/>
      <c r="AJ788" s="4"/>
      <c r="AL788" s="14"/>
      <c r="AM788" s="34"/>
      <c r="AN788" s="3"/>
      <c r="AO788"/>
      <c r="AP788" s="1"/>
      <c r="AQ788" s="3"/>
      <c r="AR788" s="34"/>
      <c r="AS788" s="13"/>
      <c r="AT788" s="1"/>
      <c r="AU788" s="1"/>
      <c r="AV788" s="1"/>
      <c r="AW788" s="1"/>
      <c r="AX788" s="1"/>
      <c r="AY788" s="1"/>
      <c r="AZ788" s="15"/>
      <c r="BA788" s="1"/>
      <c r="BB788" s="1"/>
      <c r="BC788" s="1"/>
      <c r="BD788" s="1"/>
      <c r="BE788" s="1"/>
      <c r="BF788" s="1"/>
      <c r="BG788" s="5"/>
      <c r="BH788" s="16"/>
      <c r="BI788" s="16"/>
      <c r="BJ788"/>
      <c r="BK788" s="4"/>
      <c r="BL788" s="4"/>
      <c r="BM788" s="6"/>
      <c r="BN788" s="7"/>
      <c r="BO788" s="4"/>
      <c r="BP788"/>
      <c r="BQ788" s="4"/>
      <c r="BR788" s="4"/>
      <c r="BS788" s="6"/>
      <c r="BT788" s="7"/>
      <c r="BU788" s="4"/>
      <c r="BV788" s="4"/>
      <c r="BW788" s="4"/>
      <c r="BX788" s="4"/>
      <c r="BY788" s="6"/>
      <c r="BZ788" s="7"/>
      <c r="CA788" s="4"/>
      <c r="CB788"/>
      <c r="CC788" s="4"/>
      <c r="CD788" s="4"/>
      <c r="CE788" s="6"/>
      <c r="CF788" s="7"/>
      <c r="CG788" s="4"/>
      <c r="CH788" s="4"/>
      <c r="CI788" s="4"/>
      <c r="CJ788" s="4"/>
      <c r="CK788" s="6"/>
      <c r="CL788" s="7"/>
      <c r="CM788" s="4"/>
      <c r="CN788" s="4"/>
      <c r="CO788" s="4"/>
      <c r="CP788" s="4"/>
      <c r="CQ788" s="6"/>
      <c r="CR788" s="7"/>
      <c r="CS788" s="4"/>
      <c r="CT788" s="4"/>
      <c r="CU788" s="4"/>
      <c r="CV788" s="4"/>
      <c r="CW788" s="6"/>
      <c r="CX788" s="7"/>
      <c r="CY788" s="4"/>
      <c r="CZ788" s="4"/>
      <c r="DA788" s="4"/>
      <c r="DB788" s="4"/>
      <c r="DC788" s="6"/>
      <c r="DD788" s="7"/>
      <c r="DE788" s="4"/>
      <c r="DF788" s="4"/>
      <c r="DG788" s="4"/>
      <c r="DH788" s="4"/>
      <c r="DI788" s="6"/>
      <c r="DJ788" s="7"/>
      <c r="DK788" s="4"/>
      <c r="DL788" s="4"/>
      <c r="DM788" s="4"/>
      <c r="DN788" s="4"/>
      <c r="DO788" s="4"/>
      <c r="DP788" s="4"/>
      <c r="DQ788" s="3"/>
      <c r="DR788" s="4"/>
      <c r="DS788" s="4"/>
      <c r="DT788" s="4"/>
      <c r="DU788" s="4"/>
      <c r="DV788" s="4"/>
      <c r="DW788" s="4"/>
      <c r="DX788" s="4"/>
      <c r="DY788" s="4"/>
      <c r="DZ788" s="4"/>
      <c r="EA788" s="4"/>
      <c r="EB788" s="4"/>
      <c r="EC788" s="4"/>
      <c r="ED788" s="4"/>
      <c r="EE788"/>
      <c r="EF788"/>
      <c r="EG788"/>
      <c r="EH788"/>
      <c r="EI788"/>
      <c r="EJ788"/>
      <c r="EK788"/>
      <c r="EL788"/>
      <c r="EM788"/>
      <c r="EN788"/>
      <c r="EO788"/>
      <c r="EP788"/>
      <c r="EQ788"/>
      <c r="ER788"/>
      <c r="ES788"/>
      <c r="ET788"/>
      <c r="EU788"/>
      <c r="EV788"/>
      <c r="EW788"/>
      <c r="EX788"/>
      <c r="EY788" s="4"/>
      <c r="EZ788" s="14"/>
      <c r="FA788" s="4"/>
      <c r="FB788"/>
      <c r="FC788"/>
      <c r="FD788"/>
      <c r="FE788"/>
      <c r="FF788"/>
      <c r="FG788"/>
      <c r="FH788"/>
      <c r="FI788"/>
      <c r="FJ788"/>
      <c r="FK788"/>
      <c r="FL788" s="9"/>
      <c r="FM788" s="10"/>
      <c r="FN788"/>
      <c r="FO788"/>
      <c r="FP788"/>
      <c r="FQ788"/>
      <c r="FR788"/>
      <c r="FS788"/>
      <c r="FT788" s="10"/>
      <c r="FU788" s="9"/>
      <c r="FV788"/>
      <c r="FW788"/>
      <c r="FX788"/>
      <c r="FY788"/>
      <c r="FZ788"/>
      <c r="GA788"/>
      <c r="GB788"/>
      <c r="GC788"/>
      <c r="GD788"/>
      <c r="GE788"/>
      <c r="GF788"/>
      <c r="GG788" s="9"/>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s="9"/>
      <c r="IM788"/>
      <c r="IN788"/>
      <c r="IO788"/>
      <c r="IP788"/>
      <c r="IQ788"/>
      <c r="IR788"/>
      <c r="IS788" s="4"/>
      <c r="IT788" s="4"/>
      <c r="IU788" s="27">
        <v>43643</v>
      </c>
      <c r="IV788"/>
      <c r="IW788"/>
      <c r="IX788"/>
      <c r="IY788"/>
      <c r="IZ788"/>
      <c r="JA788"/>
      <c r="JB788"/>
      <c r="JC788"/>
    </row>
    <row r="789" spans="1:263" s="18" customFormat="1" ht="15" customHeight="1">
      <c r="A789" s="2">
        <v>102024167</v>
      </c>
      <c r="B789" t="s">
        <v>5554</v>
      </c>
      <c r="C789"/>
      <c r="D789" s="1"/>
      <c r="E789" s="3"/>
      <c r="F789"/>
      <c r="G789" s="3"/>
      <c r="H789"/>
      <c r="I789"/>
      <c r="J789" t="s">
        <v>554</v>
      </c>
      <c r="K789" t="s">
        <v>695</v>
      </c>
      <c r="L789" t="s">
        <v>3030</v>
      </c>
      <c r="M789" t="s">
        <v>448</v>
      </c>
      <c r="N789"/>
      <c r="O789" s="3"/>
      <c r="P789" t="s">
        <v>695</v>
      </c>
      <c r="Q789" t="s">
        <v>3306</v>
      </c>
      <c r="R789" t="s">
        <v>426</v>
      </c>
      <c r="S789"/>
      <c r="T789"/>
      <c r="U789"/>
      <c r="V789"/>
      <c r="W789"/>
      <c r="X789"/>
      <c r="Y789"/>
      <c r="Z789"/>
      <c r="AA789"/>
      <c r="AB789"/>
      <c r="AC789"/>
      <c r="AD789"/>
      <c r="AE789"/>
      <c r="AF789"/>
      <c r="AG789" s="43"/>
      <c r="AH789"/>
      <c r="AI789"/>
      <c r="AJ789" s="18" t="s">
        <v>328</v>
      </c>
      <c r="AK789" s="1"/>
      <c r="AL789" s="18" t="s">
        <v>329</v>
      </c>
      <c r="AM789"/>
      <c r="AN789"/>
      <c r="AO789" t="s">
        <v>5555</v>
      </c>
      <c r="AP789" s="1" t="s">
        <v>258</v>
      </c>
      <c r="AQ789" s="18" t="s">
        <v>329</v>
      </c>
      <c r="AR789" t="s">
        <v>260</v>
      </c>
      <c r="AS789" s="10"/>
      <c r="AT789" s="10"/>
      <c r="AU789" s="10"/>
      <c r="AV789" s="10"/>
      <c r="AW789" s="10"/>
      <c r="AX789" s="1"/>
      <c r="AY789" s="1"/>
      <c r="AZ789" s="1"/>
      <c r="BA789" s="1"/>
      <c r="BB789" s="1"/>
      <c r="BC789" s="2"/>
      <c r="BD789" s="115">
        <v>45415</v>
      </c>
      <c r="BE789" s="144">
        <v>45442</v>
      </c>
      <c r="BF789" s="2"/>
      <c r="BG789" s="2"/>
      <c r="BH789" s="2"/>
      <c r="BI789" s="2"/>
      <c r="BJ789" s="2"/>
      <c r="BK789" s="2"/>
      <c r="BL789" s="20">
        <f ca="1">SUM(EH789)+220</f>
        <v>897.2213416666666</v>
      </c>
      <c r="BM789" s="22">
        <f ca="1">PMT(10%/12,12,BL789,0,0)</f>
        <v>-78.880010294324578</v>
      </c>
      <c r="BN789" s="22">
        <f ca="1">SUM(BM789*-1)</f>
        <v>78.880010294324578</v>
      </c>
      <c r="BO789" s="14">
        <f>SUM(EP789*0.0052)/12</f>
        <v>7.8</v>
      </c>
      <c r="BP789" s="22">
        <f ca="1">SUM(BN789+BO789)</f>
        <v>86.680010294324575</v>
      </c>
      <c r="BQ789" s="14"/>
      <c r="BR789" s="14">
        <f>SUM(BQ789*0.1)</f>
        <v>0</v>
      </c>
      <c r="BS789" s="14">
        <f ca="1">SUM(BT789*BU789)</f>
        <v>0</v>
      </c>
      <c r="BT789" s="17">
        <f>SUM((BQ789+BR789)*0.00833333333333333)</f>
        <v>0</v>
      </c>
      <c r="BU789" s="23">
        <f ca="1">MONTH(TODAY())+49</f>
        <v>53</v>
      </c>
      <c r="BV789" s="14">
        <f ca="1">SUM(BQ789,BR789,BS789)</f>
        <v>0</v>
      </c>
      <c r="BW789" s="14">
        <v>0</v>
      </c>
      <c r="BX789" s="14">
        <f>SUM(BW789*0.1)</f>
        <v>0</v>
      </c>
      <c r="BY789" s="14">
        <f ca="1">SUM(BZ789*CA789)</f>
        <v>0</v>
      </c>
      <c r="BZ789" s="17">
        <f>SUM((BW789+BX789)*0.00833333333333333)</f>
        <v>0</v>
      </c>
      <c r="CA789" s="23">
        <f ca="1">MONTH(TODAY())+37</f>
        <v>41</v>
      </c>
      <c r="CB789" s="14">
        <f ca="1">SUM(BW789,BX789,BY789)</f>
        <v>0</v>
      </c>
      <c r="CC789" s="14">
        <v>0</v>
      </c>
      <c r="CD789" s="14">
        <f>SUM(CC789*0.1)</f>
        <v>0</v>
      </c>
      <c r="CE789" s="14">
        <f ca="1">SUM(CF789*CG789)</f>
        <v>0</v>
      </c>
      <c r="CF789" s="17">
        <f>SUM((CC789+CD789)*0.00833333333333333)</f>
        <v>0</v>
      </c>
      <c r="CG789" s="23">
        <f ca="1">MONTH(TODAY())+25</f>
        <v>29</v>
      </c>
      <c r="CH789" s="14">
        <f ca="1">SUM(CC789,CD789,CE789)</f>
        <v>0</v>
      </c>
      <c r="CI789" s="14">
        <f>SUM(EM789*0.0052)/2-15.69</f>
        <v>25.910000000000004</v>
      </c>
      <c r="CJ789" s="14">
        <f>SUM(CI789*0.1)</f>
        <v>2.5910000000000006</v>
      </c>
      <c r="CK789" s="14">
        <f ca="1">SUM(CL789*CM789)</f>
        <v>4.9876749999999985</v>
      </c>
      <c r="CL789" s="17">
        <f>SUM((CI789+CJ789)*0.00833333333333333)</f>
        <v>0.23750833333333327</v>
      </c>
      <c r="CM789" s="23">
        <f ca="1">MONTH(TODAY())+17</f>
        <v>21</v>
      </c>
      <c r="CN789" s="23">
        <f ca="1">SUM(CI789,CJ789,CK789)</f>
        <v>33.488675000000001</v>
      </c>
      <c r="CO789" s="14">
        <f>SUM(EM789*0.0052)/2</f>
        <v>41.6</v>
      </c>
      <c r="CP789" s="14">
        <f>SUM(CO789*0.1)</f>
        <v>4.16</v>
      </c>
      <c r="CQ789" s="14">
        <f ca="1">SUM(CR789*CS789)</f>
        <v>6.4826666666666641</v>
      </c>
      <c r="CR789" s="17">
        <f>SUM((CO789+CP789)*0.00833333333333333)</f>
        <v>0.38133333333333319</v>
      </c>
      <c r="CS789" s="23">
        <f ca="1">MONTH(TODAY())+13</f>
        <v>17</v>
      </c>
      <c r="CT789" s="23">
        <f ca="1">SUM(CO789,CP789,CQ789)</f>
        <v>52.242666666666672</v>
      </c>
      <c r="CU789" s="14">
        <f>SUM(EP789*0.0045)/2</f>
        <v>40.5</v>
      </c>
      <c r="CV789" s="14">
        <f>SUM(CU789*0.1)</f>
        <v>4.05</v>
      </c>
      <c r="CW789" s="14">
        <f ca="1">SUM(CX789*CY789)</f>
        <v>4.0837499999999975</v>
      </c>
      <c r="CX789" s="17">
        <f>SUM((CU789+CV789)*0.00833333333333333)</f>
        <v>0.3712499999999998</v>
      </c>
      <c r="CY789" s="23">
        <f ca="1">MONTH(TODAY())+7</f>
        <v>11</v>
      </c>
      <c r="CZ789" s="23">
        <f ca="1">SUM(CU789,CV789,CW789)</f>
        <v>48.633749999999992</v>
      </c>
      <c r="DA789" s="14">
        <f>SUM(EP789*0.0045)/2</f>
        <v>40.5</v>
      </c>
      <c r="DB789" s="14">
        <f>SUM(DA789*0.1)</f>
        <v>4.05</v>
      </c>
      <c r="DC789" s="14">
        <f ca="1">SUM(DD789*DE789)</f>
        <v>1.8562499999999991</v>
      </c>
      <c r="DD789" s="17">
        <f>SUM((DA789+DB789)*0.00833333333333333)</f>
        <v>0.3712499999999998</v>
      </c>
      <c r="DE789" s="23">
        <f ca="1">MONTH(TODAY())+1</f>
        <v>5</v>
      </c>
      <c r="DF789" s="14">
        <f ca="1">SUM(DA789,DB789,DC789)</f>
        <v>46.406249999999993</v>
      </c>
      <c r="DG789" s="14">
        <f>SUM(EP789*0.0045)/2</f>
        <v>40.5</v>
      </c>
      <c r="DH789" s="14">
        <f>0</f>
        <v>0</v>
      </c>
      <c r="DI789" s="14">
        <f>0</f>
        <v>0</v>
      </c>
      <c r="DJ789" s="17">
        <f>SUM((DG789+DH789)*0.00833333333333333)</f>
        <v>0.33749999999999986</v>
      </c>
      <c r="DK789" s="23">
        <f ca="1">MONTH(TODAY())+7</f>
        <v>11</v>
      </c>
      <c r="DL789" s="23">
        <f>SUM(DG789,DH789,DI789)</f>
        <v>40.5</v>
      </c>
      <c r="DM789" s="14">
        <f>0</f>
        <v>0</v>
      </c>
      <c r="DN789" s="14">
        <f>0</f>
        <v>0</v>
      </c>
      <c r="DO789" s="14">
        <f ca="1">SUM(DP789*DQ789)</f>
        <v>0</v>
      </c>
      <c r="DP789" s="17">
        <f>SUM((DM789+DN789)*0.00833333333333333)</f>
        <v>0</v>
      </c>
      <c r="DQ789" s="23">
        <f ca="1">MONTH(TODAY())+1</f>
        <v>5</v>
      </c>
      <c r="DR789" s="14">
        <f ca="1">SUM(DM789,DN789,DO789)</f>
        <v>0</v>
      </c>
      <c r="DS789" s="14">
        <f>SUM(BQ789, BW789, CC789, CI789,CO789,CU789,DA789,DG789,DM789)</f>
        <v>189.01</v>
      </c>
      <c r="DT789" s="14">
        <f>SUM(BR789,BX789,CD789, CJ789,CP789,CV789,DB789,DH789,DN789)</f>
        <v>14.851000000000003</v>
      </c>
      <c r="DU789" s="14">
        <f ca="1">SUM(BS789,BY789,CE789, CK789,CQ789,CW789,DC789,DI789,DO789)</f>
        <v>17.41034166666666</v>
      </c>
      <c r="DV789" s="25">
        <f ca="1">SUM(DS789:DU789)</f>
        <v>221.27134166666664</v>
      </c>
      <c r="DW789" s="47">
        <f ca="1">SUM(DV789/EM789)</f>
        <v>1.3829458854166666E-2</v>
      </c>
      <c r="DX789" s="14">
        <f>20+10+200</f>
        <v>230</v>
      </c>
      <c r="DY789" s="32">
        <f>COUNTIF(AO789, "*")+COUNTIF(AJ789, "*")+COUNTIF(AA789, "*")+COUNTIF(FA789, "*")+COUNTIF(FG789, "*")+COUNTIF(FM789, "*")+COUNTIF(FQ789, "*")+COUNTIF(FX789, "*")+COUNTIF(AS789, "*")+COUNTIF(GG789, "*")+COUNTIF(GR789, "*")+COUNTIF(HC789, "*")+COUNTIF(HK789, "*")+COUNTIF(HS789, "*")+COUNTIF(IA789, "*")</f>
        <v>6</v>
      </c>
      <c r="DZ789" s="14">
        <f>1.28+DY789*8</f>
        <v>49.28</v>
      </c>
      <c r="EA789" s="25">
        <v>150</v>
      </c>
      <c r="EB789" s="4">
        <v>26.67</v>
      </c>
      <c r="EC789" s="4"/>
      <c r="ED789" s="4"/>
      <c r="EE789"/>
      <c r="EF789" s="4"/>
      <c r="EG789" s="14">
        <f>SUM(EB789:EF789)</f>
        <v>26.67</v>
      </c>
      <c r="EH789" s="14">
        <f ca="1">SUM(DV789,DX789,EG789, EA789, DZ789,GD789)</f>
        <v>677.2213416666666</v>
      </c>
      <c r="EI789" s="24" t="s">
        <v>4935</v>
      </c>
      <c r="EJ789" s="23">
        <v>1</v>
      </c>
      <c r="EK789" s="14">
        <v>16000</v>
      </c>
      <c r="EL789" s="14">
        <v>0</v>
      </c>
      <c r="EM789" s="14">
        <f>SUM(EK789+EL789)</f>
        <v>16000</v>
      </c>
      <c r="EN789" s="14">
        <v>18000</v>
      </c>
      <c r="EO789" s="14">
        <v>0</v>
      </c>
      <c r="EP789" s="14">
        <f>SUM(EN789+EO789)</f>
        <v>18000</v>
      </c>
      <c r="EQ789" s="10" t="s">
        <v>5800</v>
      </c>
      <c r="ER789" s="10" t="s">
        <v>5801</v>
      </c>
      <c r="ES789" s="10"/>
      <c r="ET789" s="10"/>
      <c r="EU789" s="10"/>
      <c r="EV789" s="10"/>
      <c r="EW789" s="10"/>
      <c r="EX789" s="10"/>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s="4"/>
      <c r="GE789" t="s">
        <v>5803</v>
      </c>
      <c r="GF789" t="s">
        <v>5802</v>
      </c>
      <c r="GG789" t="s">
        <v>5804</v>
      </c>
      <c r="GH789"/>
      <c r="GI789" t="s">
        <v>5805</v>
      </c>
      <c r="GJ789"/>
      <c r="GK789" s="9">
        <v>38873</v>
      </c>
      <c r="GL789" t="s">
        <v>5806</v>
      </c>
      <c r="GM789"/>
      <c r="GN789"/>
      <c r="GO789"/>
      <c r="GP789" t="s">
        <v>5812</v>
      </c>
      <c r="GQ789" t="s">
        <v>5807</v>
      </c>
      <c r="GR789" t="s">
        <v>5808</v>
      </c>
      <c r="GS789"/>
      <c r="GT789" t="s">
        <v>279</v>
      </c>
      <c r="GU789" t="s">
        <v>268</v>
      </c>
      <c r="GV789" s="9">
        <v>40203</v>
      </c>
      <c r="GW789" t="s">
        <v>5809</v>
      </c>
      <c r="GX789"/>
      <c r="GY789"/>
      <c r="GZ789"/>
      <c r="HA789" t="s">
        <v>5811</v>
      </c>
      <c r="HB789" t="s">
        <v>5810</v>
      </c>
      <c r="HC789" t="s">
        <v>5813</v>
      </c>
      <c r="HD789"/>
      <c r="HE789" t="s">
        <v>5814</v>
      </c>
      <c r="HF789" t="s">
        <v>5815</v>
      </c>
      <c r="HG789" s="9">
        <v>38968</v>
      </c>
      <c r="HH789" t="s">
        <v>5816</v>
      </c>
      <c r="HI789" t="s">
        <v>421</v>
      </c>
      <c r="HJ789" t="s">
        <v>5817</v>
      </c>
      <c r="HK789" t="s">
        <v>5261</v>
      </c>
      <c r="HL789"/>
      <c r="HM789" t="s">
        <v>274</v>
      </c>
      <c r="HN789" t="s">
        <v>275</v>
      </c>
      <c r="HO789" s="9">
        <v>44643</v>
      </c>
      <c r="HP789" t="s">
        <v>5818</v>
      </c>
      <c r="HQ789"/>
      <c r="HR789"/>
      <c r="HS789"/>
      <c r="HT789"/>
      <c r="HU789"/>
      <c r="HV789"/>
      <c r="HW789"/>
      <c r="HX789"/>
      <c r="HY789"/>
      <c r="HZ789"/>
      <c r="IA789"/>
      <c r="IB789"/>
      <c r="IC789"/>
      <c r="ID789"/>
      <c r="IE789" s="9"/>
      <c r="IF789"/>
      <c r="IG789"/>
      <c r="IH789"/>
      <c r="II789"/>
      <c r="IJ789"/>
      <c r="IK789"/>
      <c r="IL789"/>
      <c r="IM789"/>
      <c r="IN789" s="4"/>
      <c r="IO789" s="4"/>
      <c r="IP789" s="4"/>
      <c r="IQ789" s="9"/>
      <c r="IR789" s="9"/>
      <c r="IS789" s="9"/>
      <c r="IT789" s="9"/>
      <c r="IU789" s="9"/>
      <c r="IV789"/>
      <c r="IW789"/>
      <c r="IX789"/>
      <c r="IY789"/>
      <c r="IZ789"/>
      <c r="JA789"/>
      <c r="JB789"/>
      <c r="JC789"/>
    </row>
    <row r="790" spans="1:263" s="18" customFormat="1" ht="15" customHeight="1">
      <c r="A790" s="2">
        <v>102017066</v>
      </c>
      <c r="B790" t="s">
        <v>969</v>
      </c>
      <c r="C790"/>
      <c r="D790"/>
      <c r="E790"/>
      <c r="F790"/>
      <c r="G790"/>
      <c r="H790"/>
      <c r="I790"/>
      <c r="J790" t="s">
        <v>796</v>
      </c>
      <c r="K790" t="s">
        <v>970</v>
      </c>
      <c r="L790" t="s">
        <v>971</v>
      </c>
      <c r="M790" t="s">
        <v>403</v>
      </c>
      <c r="N790"/>
      <c r="O790"/>
      <c r="P790" s="1"/>
      <c r="Q790"/>
      <c r="R790"/>
      <c r="S790"/>
      <c r="T790"/>
      <c r="U790" s="1"/>
      <c r="V790"/>
      <c r="W790"/>
      <c r="X790"/>
      <c r="Y790"/>
      <c r="Z790"/>
      <c r="AA790"/>
      <c r="AB790"/>
      <c r="AC790"/>
      <c r="AD790"/>
      <c r="AE790"/>
      <c r="AF790"/>
      <c r="AG790" s="3"/>
      <c r="AH790" s="3"/>
      <c r="AI790"/>
      <c r="AJ790"/>
      <c r="AK790"/>
      <c r="AL790"/>
      <c r="AM790" s="3"/>
      <c r="AN790" s="3"/>
      <c r="AO790"/>
      <c r="AP790" s="1"/>
      <c r="AQ790" s="3"/>
      <c r="AR790" s="3"/>
      <c r="AS790" s="1"/>
      <c r="AT790" s="1"/>
      <c r="AU790" s="1"/>
      <c r="AV790" s="5"/>
      <c r="AW790" s="16"/>
      <c r="AX790" s="16"/>
      <c r="AY790"/>
      <c r="AZ790" s="4"/>
      <c r="BA790" s="4"/>
      <c r="BB790" s="6"/>
      <c r="BC790" s="7"/>
      <c r="BD790" s="4"/>
      <c r="BE790"/>
      <c r="BF790" s="4"/>
      <c r="BG790" s="4"/>
      <c r="BH790" s="6"/>
      <c r="BI790" s="7"/>
      <c r="BJ790" s="4"/>
      <c r="BK790" s="4"/>
      <c r="BL790" s="4"/>
      <c r="BM790" s="4"/>
      <c r="BN790" s="6"/>
      <c r="BO790" s="7"/>
      <c r="BP790" s="4"/>
      <c r="BQ790"/>
      <c r="BR790" s="4"/>
      <c r="BS790" s="4"/>
      <c r="BT790" s="6"/>
      <c r="BU790" s="7"/>
      <c r="BV790" s="4"/>
      <c r="BW790" s="4"/>
      <c r="BX790" s="4"/>
      <c r="BY790" s="4"/>
      <c r="BZ790" s="6"/>
      <c r="CA790" s="7"/>
      <c r="CB790" s="4"/>
      <c r="CC790" s="4"/>
      <c r="CD790" s="4"/>
      <c r="CE790" s="4"/>
      <c r="CF790" s="6"/>
      <c r="CG790" s="7"/>
      <c r="CH790" s="4"/>
      <c r="CI790" s="4"/>
      <c r="CJ790" s="4"/>
      <c r="CK790" s="4"/>
      <c r="CL790" s="6"/>
      <c r="CM790" s="7"/>
      <c r="CN790" s="4"/>
      <c r="CO790" s="4"/>
      <c r="CP790" s="4"/>
      <c r="CQ790" s="4"/>
      <c r="CR790" s="6"/>
      <c r="CS790" s="7"/>
      <c r="CT790" s="4"/>
      <c r="CU790"/>
      <c r="CV790" s="4"/>
      <c r="CW790" s="4"/>
      <c r="CX790" s="6"/>
      <c r="CY790" s="7"/>
      <c r="CZ790" s="4"/>
      <c r="DA790" s="4"/>
      <c r="DB790" s="4"/>
      <c r="DC790" s="4"/>
      <c r="DD790" s="4"/>
      <c r="DE790"/>
      <c r="DF790" s="4"/>
      <c r="DG790" s="4"/>
      <c r="DH790" s="4"/>
      <c r="DI790" s="4"/>
      <c r="DJ790" s="4"/>
      <c r="DK790" s="4"/>
      <c r="DL790" s="4"/>
      <c r="DM790" s="4"/>
      <c r="DN790" s="4"/>
      <c r="DO790" s="4"/>
      <c r="DP790" s="4"/>
      <c r="DQ790" s="4"/>
      <c r="DR790" s="4"/>
      <c r="DS790" s="4"/>
      <c r="DT790" s="4"/>
      <c r="DU790" s="4"/>
      <c r="DV790" s="4"/>
      <c r="DW790"/>
      <c r="DX790" s="4"/>
      <c r="DY790"/>
      <c r="DZ790" s="4"/>
      <c r="EA790" s="4"/>
      <c r="EB790" s="4"/>
      <c r="EC790" s="4"/>
      <c r="ED790"/>
      <c r="EE790" s="4"/>
      <c r="EF790" s="4"/>
      <c r="EG790" s="4"/>
      <c r="EH790"/>
      <c r="EI790" s="4"/>
      <c r="EJ790" s="4"/>
      <c r="EK790" s="4"/>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s="10"/>
      <c r="FU790"/>
      <c r="FV790"/>
      <c r="FW790"/>
      <c r="FX790"/>
      <c r="FY790"/>
      <c r="FZ790"/>
      <c r="GA790" s="10"/>
      <c r="GB790"/>
      <c r="GC790"/>
      <c r="GD790"/>
      <c r="GE790"/>
      <c r="GF790"/>
      <c r="GG790"/>
      <c r="GH790"/>
      <c r="GI790"/>
      <c r="GJ790"/>
      <c r="GK790"/>
      <c r="GL790"/>
      <c r="GM790" s="9"/>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Z790"/>
      <c r="JA790"/>
      <c r="JB790"/>
      <c r="JC790"/>
    </row>
    <row r="791" spans="1:263" s="18" customFormat="1" ht="15" customHeight="1">
      <c r="A791" s="2">
        <v>102017066</v>
      </c>
      <c r="B791" t="s">
        <v>969</v>
      </c>
      <c r="C791"/>
      <c r="D791"/>
      <c r="E791"/>
      <c r="F791"/>
      <c r="G791"/>
      <c r="H791"/>
      <c r="I791"/>
      <c r="J791" t="s">
        <v>796</v>
      </c>
      <c r="K791" t="s">
        <v>970</v>
      </c>
      <c r="L791" t="s">
        <v>971</v>
      </c>
      <c r="M791" t="s">
        <v>403</v>
      </c>
      <c r="N791"/>
      <c r="O791" s="1"/>
      <c r="P791"/>
      <c r="Q791"/>
      <c r="R791"/>
      <c r="S791"/>
      <c r="T791"/>
      <c r="U791"/>
      <c r="V791"/>
      <c r="W791"/>
      <c r="X791"/>
      <c r="Y791"/>
      <c r="Z791"/>
      <c r="AA791"/>
      <c r="AB791" s="3"/>
      <c r="AC791"/>
      <c r="AD791"/>
      <c r="AF791" s="24"/>
      <c r="AG791" s="37"/>
      <c r="AL791" s="24"/>
      <c r="AM791" s="24"/>
      <c r="AO791" s="13"/>
      <c r="AP791" s="24"/>
      <c r="AQ791" s="24"/>
      <c r="AW791" s="19"/>
      <c r="AX791" s="48"/>
      <c r="AY791" s="48"/>
      <c r="AZ791" s="19"/>
      <c r="BA791" s="19"/>
      <c r="BB791" s="19"/>
      <c r="BC791" s="19"/>
      <c r="BD791" s="19"/>
      <c r="BE791" s="19"/>
      <c r="BF791" s="20"/>
      <c r="BG791" s="22"/>
      <c r="BH791" s="22"/>
      <c r="BI791" s="14"/>
      <c r="BJ791" s="14"/>
      <c r="BK791" s="14"/>
      <c r="BL791" s="17"/>
      <c r="BM791" s="23"/>
      <c r="BN791" s="14"/>
      <c r="BO791" s="14"/>
      <c r="BP791" s="14"/>
      <c r="BQ791" s="14"/>
      <c r="BR791" s="17"/>
      <c r="BS791" s="23"/>
      <c r="BT791" s="14"/>
      <c r="BU791" s="14"/>
      <c r="BV791" s="14"/>
      <c r="BW791" s="14"/>
      <c r="BX791" s="17"/>
      <c r="BY791" s="23"/>
      <c r="BZ791" s="14"/>
      <c r="CA791" s="14"/>
      <c r="CB791" s="14"/>
      <c r="CC791" s="14"/>
      <c r="CD791" s="17"/>
      <c r="CE791" s="23"/>
      <c r="CF791" s="14"/>
      <c r="CG791" s="14"/>
      <c r="CH791" s="14"/>
      <c r="CI791" s="14"/>
      <c r="CJ791" s="17"/>
      <c r="CK791" s="23"/>
      <c r="CL791" s="14"/>
      <c r="CM791" s="14"/>
      <c r="CN791" s="14"/>
      <c r="CO791" s="14"/>
      <c r="CP791" s="17"/>
      <c r="CQ791" s="23"/>
      <c r="CR791" s="14"/>
      <c r="CS791" s="14"/>
      <c r="CT791" s="14"/>
      <c r="CU791" s="14"/>
      <c r="CV791" s="17"/>
      <c r="CW791" s="23"/>
      <c r="CX791" s="14"/>
      <c r="CY791" s="14"/>
      <c r="CZ791" s="14"/>
      <c r="DA791" s="14"/>
      <c r="DB791" s="17"/>
      <c r="DC791" s="23"/>
      <c r="DD791" s="14"/>
      <c r="DE791" s="14"/>
      <c r="DF791" s="14"/>
      <c r="DG791" s="14"/>
      <c r="DH791" s="14"/>
      <c r="DI791" s="47"/>
      <c r="DJ791" s="14"/>
      <c r="DK791" s="32"/>
      <c r="DL791" s="14"/>
      <c r="DM791" s="14"/>
      <c r="DN791" s="14"/>
      <c r="DO791" s="14"/>
      <c r="DP791" s="14"/>
      <c r="DQ791" s="14"/>
      <c r="DR791" s="23"/>
      <c r="DS791" s="25"/>
      <c r="DT791" s="14"/>
      <c r="DU791" s="24"/>
      <c r="DV791" s="25"/>
      <c r="DW791" s="25"/>
      <c r="DX791" s="25"/>
      <c r="DY791" s="36"/>
      <c r="IK791"/>
      <c r="IL791"/>
      <c r="IM791"/>
      <c r="IN791"/>
      <c r="IO791"/>
      <c r="IP791"/>
      <c r="IQ791"/>
      <c r="IR791"/>
      <c r="IS791"/>
      <c r="IT791"/>
      <c r="IU791"/>
      <c r="IV791"/>
      <c r="IW791"/>
      <c r="IX791"/>
      <c r="IY791"/>
      <c r="IZ791"/>
      <c r="JA791"/>
      <c r="JB791"/>
      <c r="JC791"/>
    </row>
    <row r="792" spans="1:263" s="18" customFormat="1" ht="15" customHeight="1">
      <c r="A792" s="19">
        <v>102021055</v>
      </c>
      <c r="B792" s="18" t="s">
        <v>2007</v>
      </c>
      <c r="D792" s="13"/>
      <c r="E792" s="24" t="s">
        <v>3805</v>
      </c>
      <c r="F792" s="24">
        <v>220002273</v>
      </c>
      <c r="J792" s="18" t="s">
        <v>253</v>
      </c>
      <c r="K792" s="18" t="s">
        <v>1264</v>
      </c>
      <c r="L792" s="18" t="s">
        <v>957</v>
      </c>
      <c r="M792" s="18" t="s">
        <v>763</v>
      </c>
      <c r="AD792" s="18" t="s">
        <v>3309</v>
      </c>
      <c r="AE792" s="18" t="s">
        <v>311</v>
      </c>
      <c r="AF792" s="18" t="s">
        <v>3310</v>
      </c>
      <c r="AG792" s="26" t="s">
        <v>3308</v>
      </c>
      <c r="AH792" s="18" t="s">
        <v>3311</v>
      </c>
      <c r="AI792" s="18" t="s">
        <v>567</v>
      </c>
      <c r="AJ792" s="18" t="s">
        <v>2182</v>
      </c>
      <c r="AK792" s="18" t="s">
        <v>258</v>
      </c>
      <c r="AL792" s="18" t="s">
        <v>329</v>
      </c>
      <c r="AM792" s="18" t="s">
        <v>260</v>
      </c>
      <c r="AO792" s="24" t="s">
        <v>2162</v>
      </c>
      <c r="AP792" s="24" t="s">
        <v>258</v>
      </c>
      <c r="AQ792" s="18" t="s">
        <v>329</v>
      </c>
      <c r="AR792" s="18" t="s">
        <v>260</v>
      </c>
      <c r="AS792" s="13"/>
      <c r="AT792" s="13"/>
      <c r="AU792" s="13" t="s">
        <v>258</v>
      </c>
      <c r="AV792" s="13" t="s">
        <v>258</v>
      </c>
      <c r="AW792" s="13" t="s">
        <v>258</v>
      </c>
      <c r="AX792" s="48">
        <v>44651</v>
      </c>
      <c r="AY792" s="114">
        <v>44248</v>
      </c>
      <c r="AZ792" s="114">
        <v>44239</v>
      </c>
      <c r="BA792" s="48">
        <v>44722</v>
      </c>
      <c r="BB792" s="19" t="s">
        <v>318</v>
      </c>
      <c r="BC792" s="48">
        <v>44708</v>
      </c>
      <c r="BD792" s="48">
        <v>44715</v>
      </c>
      <c r="BE792" s="48">
        <v>44799</v>
      </c>
      <c r="BF792" s="19" t="s">
        <v>319</v>
      </c>
      <c r="BG792" s="20">
        <f ca="1">SUM(DK792)+214.5</f>
        <v>6345.9602833333329</v>
      </c>
      <c r="BH792" s="22">
        <f ca="1">PMT(10%/12,12,BG792,0,0)</f>
        <v>-557.91072863565296</v>
      </c>
      <c r="BI792" s="22">
        <f ca="1">SUM(BH792*-1)</f>
        <v>557.91072863565296</v>
      </c>
      <c r="BJ792" s="14">
        <f>SUM(DU792*0.0052)/12</f>
        <v>38.306666666666665</v>
      </c>
      <c r="BK792" s="22">
        <f ca="1">SUM(BI792+BJ792)</f>
        <v>596.21739530231957</v>
      </c>
      <c r="BL792" s="14"/>
      <c r="BM792" s="14">
        <f>SUM(BL792*0.1)</f>
        <v>0</v>
      </c>
      <c r="BN792" s="14">
        <f ca="1">SUM(BO792*BP792)</f>
        <v>0</v>
      </c>
      <c r="BO792" s="17">
        <f>SUM((BL792+BM792)*0.00833333333333333)</f>
        <v>0</v>
      </c>
      <c r="BP792" s="23">
        <f ca="1">MONTH(TODAY())+49</f>
        <v>53</v>
      </c>
      <c r="BQ792" s="14">
        <f ca="1">SUM(BL792,BM792,BN792)</f>
        <v>0</v>
      </c>
      <c r="BR792" s="14">
        <v>146.38</v>
      </c>
      <c r="BS792" s="14">
        <f>SUM(BR792*0.1)</f>
        <v>14.638</v>
      </c>
      <c r="BT792" s="14">
        <f ca="1">SUM(BU792*BV792)</f>
        <v>55.014483333333303</v>
      </c>
      <c r="BU792" s="17">
        <f>SUM((BR792+BS792)*0.00833333333333333)</f>
        <v>1.341816666666666</v>
      </c>
      <c r="BV792" s="23">
        <f ca="1">MONTH(TODAY())+37</f>
        <v>41</v>
      </c>
      <c r="BW792" s="14">
        <f ca="1">SUM(BR792,BS792,BT792)</f>
        <v>216.03248333333329</v>
      </c>
      <c r="BX792" s="14">
        <f>SUM(DU792*0.0052)</f>
        <v>459.68</v>
      </c>
      <c r="BY792" s="14">
        <f>SUM(BX792*0.1)</f>
        <v>45.968000000000004</v>
      </c>
      <c r="BZ792" s="14">
        <f ca="1">SUM(CA792*CB792)</f>
        <v>122.19826666666663</v>
      </c>
      <c r="CA792" s="17">
        <f>SUM((BX792+BY792)*0.00833333333333333)</f>
        <v>4.213733333333332</v>
      </c>
      <c r="CB792" s="23">
        <f ca="1">MONTH(TODAY())+25</f>
        <v>29</v>
      </c>
      <c r="CC792" s="14">
        <f ca="1">SUM(BX792,BY792,BZ792)</f>
        <v>627.84626666666668</v>
      </c>
      <c r="CD792" s="14">
        <f>SUM(DU792*0.0052)</f>
        <v>459.68</v>
      </c>
      <c r="CE792" s="14">
        <f>SUM(CD792*0.1)</f>
        <v>45.968000000000004</v>
      </c>
      <c r="CF792" s="14">
        <f ca="1">SUM(CG792*CH792)</f>
        <v>71.633466666666649</v>
      </c>
      <c r="CG792" s="17">
        <f>SUM((CD792+CE792)*0.00833333333333333)</f>
        <v>4.213733333333332</v>
      </c>
      <c r="CH792" s="23">
        <f ca="1">MONTH(TODAY())+13</f>
        <v>17</v>
      </c>
      <c r="CI792" s="14">
        <f ca="1">SUM(CD792,CE792,CF792)</f>
        <v>577.28146666666669</v>
      </c>
      <c r="CJ792" s="14">
        <f>SUM(DU792*0.0052)</f>
        <v>459.68</v>
      </c>
      <c r="CK792" s="14">
        <f>SUM(CJ792*0.1)</f>
        <v>45.968000000000004</v>
      </c>
      <c r="CL792" s="14">
        <f ca="1">SUM(CM792*CN792)</f>
        <v>21.068666666666658</v>
      </c>
      <c r="CM792" s="17">
        <f>SUM((CJ792+CK792)*0.00833333333333333)</f>
        <v>4.213733333333332</v>
      </c>
      <c r="CN792" s="23">
        <f ca="1">MONTH(TODAY())+1</f>
        <v>5</v>
      </c>
      <c r="CO792" s="14">
        <f ca="1">SUM(CJ792,CK792,CL792)</f>
        <v>526.7166666666667</v>
      </c>
      <c r="CP792" s="14">
        <f>SUM(DU792*0.0052)/2</f>
        <v>229.84</v>
      </c>
      <c r="CQ792" s="14">
        <f>SUM(CP792*0.1)</f>
        <v>22.984000000000002</v>
      </c>
      <c r="CR792" s="14">
        <f ca="1">SUM(CS792*CT792)</f>
        <v>-6.320599999999998</v>
      </c>
      <c r="CS792" s="17">
        <f>SUM((CP792+CQ792)*0.00833333333333333)</f>
        <v>2.106866666666666</v>
      </c>
      <c r="CT792" s="23">
        <f ca="1">MONTH(TODAY())-7</f>
        <v>-3</v>
      </c>
      <c r="CU792" s="23">
        <f ca="1">SUM(CP792,CQ792,CR792)</f>
        <v>246.50340000000003</v>
      </c>
      <c r="CV792" s="14">
        <f>SUM(DU792*0.0052)/2</f>
        <v>229.84</v>
      </c>
      <c r="CW792" s="14">
        <v>0</v>
      </c>
      <c r="CX792" s="14">
        <v>0</v>
      </c>
      <c r="CY792" s="17">
        <f>SUM((CV792+CW792)*0.00833333333333333)</f>
        <v>1.9153333333333324</v>
      </c>
      <c r="CZ792" s="23">
        <f ca="1">MONTH(TODAY())-6</f>
        <v>-2</v>
      </c>
      <c r="DA792" s="23">
        <f>SUM(CV792,CW792,CX792)</f>
        <v>229.84</v>
      </c>
      <c r="DB792" s="14">
        <f>SUM(BL792, BR792, BX792, CD792, CJ792, CP792,CV792)</f>
        <v>1985.1</v>
      </c>
      <c r="DC792" s="14">
        <f>SUM(BM792, BS792,BY792,CE792,CK792, CQ792,CW792)</f>
        <v>175.52600000000004</v>
      </c>
      <c r="DD792" s="14">
        <f ca="1">SUM(BN792, BT792,BZ792,CF792,CL792, CR792,CX792)</f>
        <v>263.59428333333324</v>
      </c>
      <c r="DE792" s="14">
        <f ca="1">SUM(DB792:DD792)</f>
        <v>2424.2202833333331</v>
      </c>
      <c r="DF792" s="47">
        <f ca="1">SUM(DE792/DU792)</f>
        <v>2.7423306372549017E-2</v>
      </c>
      <c r="DG792" s="14">
        <f>19.5+19.5+19.5+195+58.5+156+58.5+58.5+195+58.5+195+39+39+39+39+39+19.5+97.5+97.5</f>
        <v>1443</v>
      </c>
      <c r="DH792" s="32">
        <f>COUNTIF(DN792, "*")+COUNTIF(AO792, "*")+COUNTIF(AJ792, "*")+COUNTIF(AA792, "*")+COUNTIF(EK792, "*")+COUNTIF(EQ792, "*")+COUNTIF(EW792, "*")+COUNTIF(FA792, "*")+COUNTIF(FH792, "*")+COUNTIF(FO792, "*")+COUNTIF(FV792, "*")+COUNTIF(GG792, "*")+COUNTIF(GR792, "*")+COUNTIF(GZ792, "*")+COUNTIF(HH792, "*")+COUNTIF(HP792, "*")+COUNTIF(HX792, "*")</f>
        <v>6</v>
      </c>
      <c r="DI792" s="14">
        <f>1+31.85+6.37</f>
        <v>39.22</v>
      </c>
      <c r="DJ792" s="14">
        <f>150+150</f>
        <v>300</v>
      </c>
      <c r="DK792" s="14">
        <f ca="1">SUM(DE792,DG792,DQ792, DJ792, DI792,FS792)</f>
        <v>6131.4602833333329</v>
      </c>
      <c r="DL792" s="14">
        <f>45.62+725.8</f>
        <v>771.42</v>
      </c>
      <c r="DM792" s="14">
        <f>93.75+140</f>
        <v>233.75</v>
      </c>
      <c r="DN792" s="14">
        <v>91.25</v>
      </c>
      <c r="DO792" s="14">
        <f>SUM(DU792*0.004)</f>
        <v>353.6</v>
      </c>
      <c r="DP792" s="25">
        <v>475</v>
      </c>
      <c r="DQ792" s="14">
        <f>SUM(DL792:DP792)</f>
        <v>1925.02</v>
      </c>
      <c r="DR792" s="24" t="s">
        <v>2769</v>
      </c>
      <c r="DS792" s="25">
        <v>26100</v>
      </c>
      <c r="DT792" s="25">
        <v>62300</v>
      </c>
      <c r="DU792" s="25">
        <f>SUM(DS792+DT792)</f>
        <v>88400</v>
      </c>
      <c r="DV792" s="36">
        <v>3.02</v>
      </c>
      <c r="DW792" s="18" t="s">
        <v>2262</v>
      </c>
      <c r="DX792" s="18" t="s">
        <v>2263</v>
      </c>
      <c r="FT792" s="18" t="s">
        <v>833</v>
      </c>
      <c r="FU792" s="18" t="s">
        <v>834</v>
      </c>
      <c r="FV792" s="18" t="s">
        <v>266</v>
      </c>
      <c r="FX792" s="18" t="s">
        <v>267</v>
      </c>
      <c r="FY792" s="18" t="s">
        <v>268</v>
      </c>
      <c r="FZ792" s="27">
        <v>40644</v>
      </c>
      <c r="GA792" s="18" t="s">
        <v>2264</v>
      </c>
      <c r="GE792" s="18" t="s">
        <v>2265</v>
      </c>
      <c r="GF792" s="18" t="s">
        <v>2266</v>
      </c>
      <c r="GG792" s="18" t="s">
        <v>2267</v>
      </c>
      <c r="GI792" s="18" t="s">
        <v>2268</v>
      </c>
      <c r="GJ792" s="18" t="s">
        <v>2269</v>
      </c>
      <c r="GK792" s="27">
        <v>41605</v>
      </c>
      <c r="GL792" s="18" t="s">
        <v>2270</v>
      </c>
      <c r="GP792" s="18" t="s">
        <v>2265</v>
      </c>
      <c r="GQ792" s="18" t="s">
        <v>2266</v>
      </c>
      <c r="GR792" s="18" t="s">
        <v>2267</v>
      </c>
      <c r="GT792" s="18" t="s">
        <v>2268</v>
      </c>
      <c r="GU792" s="18" t="s">
        <v>2269</v>
      </c>
      <c r="GV792" s="27">
        <v>41628</v>
      </c>
      <c r="GW792" s="18" t="s">
        <v>2271</v>
      </c>
      <c r="GX792" s="18" t="s">
        <v>859</v>
      </c>
      <c r="GY792" s="18" t="s">
        <v>2272</v>
      </c>
      <c r="GZ792" s="18" t="s">
        <v>1764</v>
      </c>
      <c r="HB792" s="18" t="s">
        <v>543</v>
      </c>
      <c r="HC792" s="18" t="s">
        <v>544</v>
      </c>
      <c r="HD792" s="27">
        <v>43944</v>
      </c>
      <c r="HE792" s="18" t="s">
        <v>2273</v>
      </c>
      <c r="ID792" s="9">
        <v>44863</v>
      </c>
      <c r="IO792" s="14">
        <f ca="1">SUM(IE792-DK792-FS792-IM792)</f>
        <v>-6131.4602833333329</v>
      </c>
      <c r="IP792" s="27">
        <v>44810</v>
      </c>
      <c r="IQ792" s="27"/>
      <c r="IR792" s="27"/>
      <c r="IS792" s="27"/>
      <c r="IT792" s="27"/>
      <c r="IU792"/>
      <c r="IV792"/>
      <c r="IW792"/>
      <c r="IX792"/>
      <c r="IY792"/>
      <c r="IZ792"/>
      <c r="JA792"/>
      <c r="JB792"/>
      <c r="JC792"/>
    </row>
    <row r="793" spans="1:263" s="18" customFormat="1" ht="15" customHeight="1">
      <c r="A793" s="2">
        <v>102018073</v>
      </c>
      <c r="B793" s="4" t="s">
        <v>1239</v>
      </c>
      <c r="C793" s="3"/>
      <c r="D793" s="3"/>
      <c r="E793" s="3"/>
      <c r="F793" s="3"/>
      <c r="G793" s="3"/>
      <c r="H793" s="3"/>
      <c r="I793"/>
      <c r="J793" t="s">
        <v>305</v>
      </c>
      <c r="K793" t="s">
        <v>1240</v>
      </c>
      <c r="L793" t="s">
        <v>632</v>
      </c>
      <c r="M793" t="s">
        <v>256</v>
      </c>
      <c r="N793"/>
      <c r="O793" s="1" t="s">
        <v>258</v>
      </c>
      <c r="P793" t="s">
        <v>1240</v>
      </c>
      <c r="Q793" t="s">
        <v>781</v>
      </c>
      <c r="R793" t="s">
        <v>354</v>
      </c>
      <c r="S793"/>
      <c r="T793" s="1"/>
      <c r="U793"/>
      <c r="V793"/>
      <c r="W793"/>
      <c r="X793"/>
      <c r="Y793"/>
      <c r="Z793"/>
      <c r="AA793"/>
      <c r="AB793"/>
      <c r="AC793"/>
      <c r="AD793"/>
      <c r="AE793"/>
      <c r="AF793"/>
      <c r="AG793" s="3"/>
      <c r="AH793"/>
      <c r="AI793"/>
      <c r="AJ793" s="4"/>
      <c r="AK793" s="4"/>
      <c r="AL793"/>
      <c r="AM793" s="3"/>
      <c r="AN793" s="3"/>
      <c r="AO793" s="4"/>
      <c r="AP793" s="5"/>
      <c r="AQ793" s="3"/>
      <c r="AR793" s="3"/>
      <c r="AS793" s="5"/>
      <c r="AT793" s="5"/>
      <c r="AU793" s="1"/>
      <c r="AV793" s="1"/>
      <c r="AW793" s="1"/>
      <c r="AX793" s="1"/>
      <c r="AY793" s="1"/>
      <c r="AZ793" s="1"/>
      <c r="BA793" s="1"/>
      <c r="BB793" s="1"/>
      <c r="BC793" s="1"/>
      <c r="BD793" s="1"/>
      <c r="BE793" s="1"/>
      <c r="BF793" s="1"/>
      <c r="BG793" s="5"/>
      <c r="BH793" s="16"/>
      <c r="BI793" s="16"/>
      <c r="BJ793"/>
      <c r="BK793" s="4"/>
      <c r="BL793" s="4"/>
      <c r="BM793" s="6"/>
      <c r="BN793" s="7"/>
      <c r="BO793" s="4"/>
      <c r="BP793"/>
      <c r="BQ793" s="4"/>
      <c r="BR793" s="4"/>
      <c r="BS793" s="6"/>
      <c r="BT793" s="7"/>
      <c r="BU793" s="4"/>
      <c r="BV793"/>
      <c r="BW793" s="4"/>
      <c r="BX793" s="4"/>
      <c r="BY793" s="6"/>
      <c r="BZ793" s="7"/>
      <c r="CA793" s="4"/>
      <c r="CB793" s="4"/>
      <c r="CC793" s="4"/>
      <c r="CD793" s="4"/>
      <c r="CE793" s="6"/>
      <c r="CF793" s="7"/>
      <c r="CG793" s="4"/>
      <c r="CH793" s="6"/>
      <c r="CI793" s="4"/>
      <c r="CJ793" s="4"/>
      <c r="CK793" s="6"/>
      <c r="CL793" s="7"/>
      <c r="CM793" s="4"/>
      <c r="CN793" s="4"/>
      <c r="CO793" s="4"/>
      <c r="CP793" s="4"/>
      <c r="CQ793" s="6"/>
      <c r="CR793" s="7"/>
      <c r="CS793"/>
      <c r="CT793" s="4"/>
      <c r="CU793" s="4"/>
      <c r="CV793" s="4"/>
      <c r="CW793" s="6"/>
      <c r="CX793" s="7"/>
      <c r="CY793" s="4"/>
      <c r="CZ793" s="4"/>
      <c r="DA793" s="4"/>
      <c r="DB793" s="4"/>
      <c r="DC793" s="6"/>
      <c r="DD793" s="7"/>
      <c r="DE793" s="4"/>
      <c r="DF793" s="4"/>
      <c r="DG793" s="4"/>
      <c r="DH793" s="4"/>
      <c r="DI793" s="6"/>
      <c r="DJ793" s="4"/>
      <c r="DK793" s="4"/>
      <c r="DL793" s="4"/>
      <c r="DM793" s="4"/>
      <c r="DN793" s="4"/>
      <c r="DO793" s="4"/>
      <c r="DP793" s="4"/>
      <c r="DQ793" s="4"/>
      <c r="DR793" s="4"/>
      <c r="DS793" s="4"/>
      <c r="DT793" s="4"/>
      <c r="DU793" s="4"/>
      <c r="DV793" s="4"/>
      <c r="DW793" s="4"/>
      <c r="DX793" s="4"/>
      <c r="DY793" s="7"/>
      <c r="DZ793" s="4"/>
      <c r="EA793" s="4"/>
      <c r="EB793" s="34"/>
      <c r="EC793" s="4"/>
      <c r="ED793" s="4"/>
      <c r="EE793"/>
      <c r="EF793"/>
      <c r="EG793"/>
      <c r="EH793"/>
      <c r="EI793"/>
      <c r="EJ793"/>
      <c r="EK793"/>
      <c r="EL793"/>
      <c r="EM793" s="11"/>
      <c r="EN793"/>
      <c r="EO793"/>
      <c r="EP793"/>
      <c r="EQ793"/>
      <c r="ER793"/>
      <c r="ES793" s="11"/>
      <c r="ET793" s="11"/>
      <c r="EU793" s="4"/>
      <c r="EV793" s="4"/>
      <c r="EW793" s="4"/>
      <c r="EX793" s="4"/>
      <c r="EY793" s="4"/>
      <c r="EZ793" s="4"/>
      <c r="FA793" s="4"/>
      <c r="FB793" s="4"/>
      <c r="FC793" s="4"/>
      <c r="FD793" s="4"/>
      <c r="FE793" s="4"/>
      <c r="FF793" s="4"/>
      <c r="FG793" s="4"/>
      <c r="FH793" s="4"/>
      <c r="FI793"/>
      <c r="FJ793"/>
      <c r="FK793"/>
      <c r="FL793" s="9"/>
      <c r="FM793"/>
      <c r="FN793"/>
      <c r="FO793"/>
      <c r="FP793"/>
      <c r="FQ793"/>
      <c r="FR793"/>
      <c r="FS793"/>
      <c r="FT793"/>
      <c r="FU793" s="9"/>
      <c r="FV793"/>
      <c r="FW793"/>
      <c r="FX793"/>
      <c r="FY793"/>
      <c r="FZ793"/>
      <c r="GA793"/>
      <c r="GB793"/>
      <c r="GC793"/>
      <c r="GD793"/>
      <c r="GE793" s="10"/>
      <c r="GF793"/>
      <c r="GG793"/>
      <c r="GH793"/>
      <c r="GI793"/>
      <c r="GJ793"/>
      <c r="GK793"/>
      <c r="GL793"/>
      <c r="GM793"/>
      <c r="GN793"/>
      <c r="GO793" s="10"/>
      <c r="GP793"/>
      <c r="GQ793"/>
      <c r="GR793"/>
      <c r="GS793"/>
      <c r="GT793"/>
      <c r="GU793"/>
      <c r="GV793"/>
      <c r="GW793"/>
      <c r="GX793"/>
      <c r="GY793"/>
      <c r="GZ793"/>
      <c r="HA793"/>
      <c r="HB793"/>
      <c r="HC793"/>
      <c r="HD793" s="9"/>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s="4"/>
      <c r="IM793" s="9"/>
      <c r="IN793"/>
      <c r="IO793"/>
      <c r="IP793"/>
      <c r="IQ793"/>
      <c r="IR793"/>
      <c r="IS793"/>
      <c r="IT793" s="4"/>
      <c r="IU793" s="4"/>
      <c r="IV793"/>
      <c r="IW793"/>
      <c r="IX793"/>
      <c r="IY793"/>
      <c r="IZ793"/>
      <c r="JA793"/>
      <c r="JB793"/>
      <c r="JC793"/>
    </row>
    <row r="794" spans="1:263" s="200" customFormat="1" ht="15" customHeight="1">
      <c r="A794" s="2">
        <v>102020058</v>
      </c>
      <c r="B794" t="s">
        <v>1692</v>
      </c>
      <c r="C794"/>
      <c r="D794" s="1"/>
      <c r="E794"/>
      <c r="F794"/>
      <c r="G794"/>
      <c r="H794"/>
      <c r="I794"/>
      <c r="J794" t="s">
        <v>253</v>
      </c>
      <c r="K794" t="s">
        <v>1693</v>
      </c>
      <c r="L794" t="s">
        <v>447</v>
      </c>
      <c r="M794" t="s">
        <v>403</v>
      </c>
      <c r="N794"/>
      <c r="O794"/>
      <c r="P794"/>
      <c r="Q794"/>
      <c r="R794"/>
      <c r="S794"/>
      <c r="T794"/>
      <c r="U794"/>
      <c r="V794"/>
      <c r="W794"/>
      <c r="X794"/>
      <c r="Y794"/>
      <c r="Z794"/>
      <c r="AA794"/>
      <c r="AB794"/>
      <c r="AC794"/>
      <c r="AD794"/>
      <c r="AE794"/>
      <c r="AF794"/>
      <c r="AG794" s="248"/>
      <c r="AH794"/>
      <c r="AI794"/>
      <c r="AJ794"/>
      <c r="AK794"/>
      <c r="AL794"/>
      <c r="AM794" s="3"/>
      <c r="AN794" s="3"/>
      <c r="AO794"/>
      <c r="AP794" s="1"/>
      <c r="AQ794" s="3"/>
      <c r="AR794" s="3"/>
      <c r="AS794"/>
      <c r="AT794"/>
      <c r="AU794"/>
      <c r="AV794"/>
      <c r="AW794"/>
      <c r="AX794"/>
      <c r="AY794" s="9"/>
      <c r="AZ794" s="9"/>
      <c r="BA794"/>
      <c r="BB794"/>
      <c r="BC794"/>
      <c r="BD794"/>
      <c r="BE794"/>
      <c r="BF794"/>
      <c r="BG794" s="5"/>
      <c r="BH794" s="16"/>
      <c r="BI794" s="16"/>
      <c r="BJ794" s="4"/>
      <c r="BK794" s="4"/>
      <c r="BL794" s="4"/>
      <c r="BM794" s="6"/>
      <c r="BN794" s="7"/>
      <c r="BO794" s="4"/>
      <c r="BP794" s="4"/>
      <c r="BQ794" s="4"/>
      <c r="BR794" s="4"/>
      <c r="BS794" s="6"/>
      <c r="BT794" s="7"/>
      <c r="BU794" s="4"/>
      <c r="BV794" s="4"/>
      <c r="BW794" s="4"/>
      <c r="BX794" s="4"/>
      <c r="BY794" s="6"/>
      <c r="BZ794" s="7"/>
      <c r="CA794" s="4"/>
      <c r="CB794" s="4"/>
      <c r="CC794" s="4"/>
      <c r="CD794" s="4"/>
      <c r="CE794" s="6"/>
      <c r="CF794" s="7"/>
      <c r="CG794" s="4"/>
      <c r="CH794" s="4"/>
      <c r="CI794" s="4"/>
      <c r="CJ794" s="4"/>
      <c r="CK794" s="6"/>
      <c r="CL794" s="7"/>
      <c r="CM794" s="4"/>
      <c r="CN794" s="4"/>
      <c r="CO794" s="4"/>
      <c r="CP794" s="4"/>
      <c r="CQ794" s="6"/>
      <c r="CR794" s="7"/>
      <c r="CS794" s="4"/>
      <c r="CT794" s="4"/>
      <c r="CU794" s="4"/>
      <c r="CV794" s="4"/>
      <c r="CW794" s="6"/>
      <c r="CX794" s="7"/>
      <c r="CY794" s="4"/>
      <c r="CZ794" s="4"/>
      <c r="DA794" s="4"/>
      <c r="DB794" s="4"/>
      <c r="DC794" s="4"/>
      <c r="DD794" s="3"/>
      <c r="DE794" s="4"/>
      <c r="DF794" s="234"/>
      <c r="DG794" s="4"/>
      <c r="DH794" s="4"/>
      <c r="DI794" s="4"/>
      <c r="DJ794" s="4"/>
      <c r="DK794" s="4"/>
      <c r="DL794" s="4"/>
      <c r="DM794" s="7"/>
      <c r="DN794" s="8"/>
      <c r="DO794" s="4"/>
      <c r="DP794" s="8"/>
      <c r="DQ794" s="8"/>
      <c r="DR794" s="8"/>
      <c r="DS794" s="35"/>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s="9"/>
      <c r="FC794"/>
      <c r="FD794"/>
      <c r="FE794"/>
      <c r="FF794"/>
      <c r="FG794"/>
      <c r="FH794"/>
      <c r="FI794"/>
      <c r="FJ794"/>
      <c r="FK794"/>
      <c r="FL794"/>
      <c r="FM794"/>
      <c r="FN794"/>
      <c r="FO794"/>
      <c r="FP794"/>
      <c r="FQ794"/>
      <c r="FR794"/>
      <c r="FS794"/>
      <c r="FT794"/>
      <c r="FU794"/>
      <c r="FV794"/>
      <c r="FW794"/>
      <c r="FX794" s="9"/>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s="18"/>
      <c r="IY794" s="18"/>
      <c r="IZ794"/>
      <c r="JA794"/>
      <c r="JB794"/>
      <c r="JC794"/>
    </row>
    <row r="795" spans="1:263" s="18" customFormat="1" ht="15" customHeight="1">
      <c r="A795" s="19">
        <v>102022057</v>
      </c>
      <c r="B795" t="s">
        <v>1692</v>
      </c>
      <c r="C795"/>
      <c r="D795" s="1"/>
      <c r="E795"/>
      <c r="F795"/>
      <c r="G795"/>
      <c r="H795"/>
      <c r="I795"/>
      <c r="J795" t="s">
        <v>311</v>
      </c>
      <c r="K795" t="s">
        <v>1125</v>
      </c>
      <c r="L795" t="s">
        <v>1079</v>
      </c>
      <c r="M795" t="s">
        <v>392</v>
      </c>
      <c r="N795" t="s">
        <v>341</v>
      </c>
      <c r="O795"/>
      <c r="P795"/>
      <c r="Q795"/>
      <c r="R795"/>
      <c r="S795"/>
      <c r="T795"/>
      <c r="U795"/>
      <c r="V795"/>
      <c r="W795"/>
      <c r="X795"/>
      <c r="Y795"/>
      <c r="Z795"/>
      <c r="AA795"/>
      <c r="AB795"/>
      <c r="AC795"/>
      <c r="AD795"/>
      <c r="AE795"/>
      <c r="AF795"/>
      <c r="AG795" s="248"/>
      <c r="AH795"/>
      <c r="AI795"/>
      <c r="AJ795" t="s">
        <v>3034</v>
      </c>
      <c r="AK795" t="s">
        <v>258</v>
      </c>
      <c r="AL795" s="3" t="s">
        <v>329</v>
      </c>
      <c r="AM795" s="3" t="s">
        <v>260</v>
      </c>
      <c r="AN795" s="3"/>
      <c r="AO795" t="s">
        <v>1117</v>
      </c>
      <c r="AP795" s="1"/>
      <c r="AQ795" s="3" t="s">
        <v>1071</v>
      </c>
      <c r="AR795" s="3"/>
      <c r="AS795" s="1"/>
      <c r="AT795" s="1"/>
      <c r="AU795" s="1"/>
      <c r="AV795" s="1"/>
      <c r="AW795" s="1"/>
      <c r="AX795" s="2"/>
      <c r="AY795" s="116"/>
      <c r="AZ795" s="115"/>
      <c r="BA795" s="2"/>
      <c r="BB795" s="2"/>
      <c r="BC795" s="2"/>
      <c r="BD795" s="2"/>
      <c r="BE795" s="2"/>
      <c r="BF795" s="2"/>
      <c r="BG795" s="20"/>
      <c r="BH795" s="22"/>
      <c r="BI795" s="22"/>
      <c r="BJ795" s="14"/>
      <c r="BK795" s="22"/>
      <c r="BL795" s="14"/>
      <c r="BM795" s="14"/>
      <c r="BN795" s="14"/>
      <c r="BO795" s="17"/>
      <c r="BP795" s="23"/>
      <c r="BQ795" s="14"/>
      <c r="BR795" s="14"/>
      <c r="BS795" s="14"/>
      <c r="BT795" s="14"/>
      <c r="BU795" s="17"/>
      <c r="BV795" s="23"/>
      <c r="BW795" s="14"/>
      <c r="BX795" s="14"/>
      <c r="BY795" s="14"/>
      <c r="BZ795" s="14"/>
      <c r="CA795" s="17"/>
      <c r="CB795" s="23"/>
      <c r="CC795" s="14"/>
      <c r="CD795" s="14"/>
      <c r="CE795" s="14"/>
      <c r="CF795" s="14"/>
      <c r="CG795" s="17"/>
      <c r="CH795" s="23"/>
      <c r="CI795" s="14"/>
      <c r="CJ795" s="14"/>
      <c r="CK795" s="14"/>
      <c r="CL795" s="14"/>
      <c r="CM795" s="17"/>
      <c r="CN795" s="23"/>
      <c r="CO795" s="14"/>
      <c r="CP795" s="14"/>
      <c r="CQ795" s="14"/>
      <c r="CR795" s="14"/>
      <c r="CS795" s="14"/>
      <c r="CT795" s="47"/>
      <c r="CU795" s="14"/>
      <c r="CV795" s="32"/>
      <c r="CW795" s="14"/>
      <c r="CX795" s="4"/>
      <c r="CY795" s="14"/>
      <c r="CZ795" s="4"/>
      <c r="DA795"/>
      <c r="DB795"/>
      <c r="DC795"/>
      <c r="DD795"/>
      <c r="DE795" s="14"/>
      <c r="DF795" s="24"/>
      <c r="DG795" s="4"/>
      <c r="DH795" s="4"/>
      <c r="DI795" s="25"/>
      <c r="DJ795" s="35">
        <v>1.39</v>
      </c>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s="4"/>
      <c r="ID795"/>
      <c r="IE795"/>
      <c r="IF795"/>
      <c r="IG795"/>
      <c r="IH795"/>
      <c r="IL795"/>
      <c r="IM795"/>
      <c r="IN795"/>
      <c r="IO795"/>
      <c r="IP795"/>
      <c r="IQ795"/>
      <c r="IR795"/>
      <c r="IS795"/>
      <c r="IT795"/>
      <c r="IU795"/>
      <c r="IV795"/>
      <c r="IW795"/>
      <c r="IX795"/>
      <c r="IY795"/>
      <c r="IZ795"/>
      <c r="JA795"/>
      <c r="JB795"/>
      <c r="JC795"/>
    </row>
    <row r="796" spans="1:263" s="18" customFormat="1" ht="15" customHeight="1">
      <c r="A796" s="19">
        <v>102021072</v>
      </c>
      <c r="B796" s="18" t="s">
        <v>2078</v>
      </c>
      <c r="D796" s="13"/>
      <c r="J796" s="18" t="s">
        <v>311</v>
      </c>
      <c r="K796" s="18" t="s">
        <v>2079</v>
      </c>
      <c r="L796" s="18" t="s">
        <v>1176</v>
      </c>
      <c r="M796" s="18" t="s">
        <v>448</v>
      </c>
      <c r="U796"/>
      <c r="V796"/>
      <c r="W796"/>
      <c r="X796"/>
      <c r="Y796"/>
      <c r="Z796"/>
      <c r="AA796"/>
      <c r="AB796"/>
      <c r="AC796"/>
      <c r="AF796" s="24"/>
      <c r="AI796"/>
      <c r="AJ796" s="18" t="s">
        <v>2200</v>
      </c>
      <c r="AK796" s="18" t="s">
        <v>258</v>
      </c>
      <c r="AL796" s="18" t="s">
        <v>329</v>
      </c>
      <c r="AM796" s="18" t="s">
        <v>260</v>
      </c>
      <c r="AO796" s="24" t="s">
        <v>2201</v>
      </c>
      <c r="AP796" s="13" t="s">
        <v>258</v>
      </c>
      <c r="AQ796" s="24" t="s">
        <v>1291</v>
      </c>
      <c r="AR796" s="18" t="s">
        <v>1075</v>
      </c>
      <c r="AT796" s="13"/>
      <c r="AU796" s="13"/>
      <c r="AV796" s="13"/>
      <c r="AW796" s="13"/>
      <c r="AX796" s="19"/>
      <c r="AY796" s="70"/>
      <c r="AZ796" s="48"/>
      <c r="BA796" s="19"/>
      <c r="BB796" s="19"/>
      <c r="BC796" s="19"/>
      <c r="BD796" s="19"/>
      <c r="BE796" s="19"/>
      <c r="BF796" s="19"/>
      <c r="BG796" s="20"/>
      <c r="BH796" s="22"/>
      <c r="BI796" s="22"/>
      <c r="BJ796" s="14"/>
      <c r="BK796" s="22"/>
      <c r="BL796" s="14"/>
      <c r="BM796" s="14"/>
      <c r="BN796" s="14"/>
      <c r="BO796" s="17"/>
      <c r="BP796" s="23"/>
      <c r="BQ796" s="14"/>
      <c r="BR796" s="14"/>
      <c r="BS796" s="14"/>
      <c r="BT796" s="14"/>
      <c r="BU796" s="17"/>
      <c r="BV796" s="23"/>
      <c r="BW796" s="14"/>
      <c r="BX796" s="14"/>
      <c r="BY796" s="14"/>
      <c r="BZ796" s="14"/>
      <c r="CA796" s="17"/>
      <c r="CB796" s="23"/>
      <c r="CC796" s="14"/>
      <c r="CD796" s="14"/>
      <c r="CE796" s="14"/>
      <c r="CF796" s="14"/>
      <c r="CG796" s="17"/>
      <c r="CH796" s="23"/>
      <c r="CI796" s="14"/>
      <c r="CJ796" s="14"/>
      <c r="CK796" s="14"/>
      <c r="CL796" s="14"/>
      <c r="CM796" s="17"/>
      <c r="CN796" s="23"/>
      <c r="CO796" s="14"/>
      <c r="CP796" s="14"/>
      <c r="CQ796" s="14"/>
      <c r="CR796" s="14"/>
      <c r="CS796" s="14"/>
      <c r="CT796" s="47"/>
      <c r="CU796" s="14"/>
      <c r="CV796" s="32"/>
      <c r="CW796" s="14"/>
      <c r="CX796" s="14"/>
      <c r="CY796" s="14"/>
      <c r="CZ796" s="14"/>
      <c r="DA796" s="14"/>
      <c r="DB796" s="14"/>
      <c r="DC796" s="23"/>
      <c r="DD796" s="25"/>
      <c r="DE796" s="14"/>
      <c r="DF796" s="24"/>
      <c r="DG796" s="25"/>
      <c r="DH796" s="25"/>
      <c r="DI796" s="25"/>
      <c r="DJ796" s="36">
        <v>1.04</v>
      </c>
      <c r="DK796" s="18" t="s">
        <v>2478</v>
      </c>
      <c r="DL796" s="18" t="s">
        <v>2479</v>
      </c>
      <c r="FH796" s="18" t="s">
        <v>2480</v>
      </c>
      <c r="FI796" s="18" t="s">
        <v>2481</v>
      </c>
      <c r="FJ796" s="18" t="s">
        <v>1752</v>
      </c>
      <c r="FL796" s="18" t="s">
        <v>2482</v>
      </c>
      <c r="FM796" s="18" t="s">
        <v>285</v>
      </c>
      <c r="FN796" s="27">
        <v>43619</v>
      </c>
      <c r="FO796" s="18" t="s">
        <v>2483</v>
      </c>
      <c r="IC796" s="14"/>
      <c r="II796"/>
      <c r="IJ796"/>
      <c r="IK796"/>
      <c r="IL796"/>
      <c r="IM796"/>
      <c r="IN796"/>
      <c r="IO796" s="4"/>
      <c r="IP796"/>
      <c r="IQ796"/>
      <c r="IR796"/>
      <c r="IS796"/>
      <c r="IT796"/>
      <c r="IU796"/>
      <c r="IV796"/>
      <c r="IW796"/>
      <c r="IX796"/>
      <c r="IY796"/>
      <c r="IZ796"/>
      <c r="JA796"/>
      <c r="JB796"/>
      <c r="JC796"/>
    </row>
    <row r="797" spans="1:263" ht="15" customHeight="1">
      <c r="A797" s="2">
        <v>102024160</v>
      </c>
      <c r="B797" t="s">
        <v>5540</v>
      </c>
      <c r="D797" s="1"/>
      <c r="E797" s="3"/>
      <c r="G797" s="3" t="s">
        <v>5241</v>
      </c>
      <c r="J797" t="s">
        <v>554</v>
      </c>
      <c r="K797" t="s">
        <v>5541</v>
      </c>
      <c r="L797" t="s">
        <v>1283</v>
      </c>
      <c r="M797" t="s">
        <v>537</v>
      </c>
      <c r="O797" s="3"/>
      <c r="P797" t="s">
        <v>5541</v>
      </c>
      <c r="Q797" t="s">
        <v>1059</v>
      </c>
      <c r="R797" t="s">
        <v>256</v>
      </c>
      <c r="AG797" s="43"/>
      <c r="AJ797" s="18" t="s">
        <v>328</v>
      </c>
      <c r="AK797" s="1"/>
      <c r="AL797" s="18" t="s">
        <v>329</v>
      </c>
      <c r="AM797"/>
      <c r="AN797"/>
      <c r="AO797" t="s">
        <v>5542</v>
      </c>
      <c r="AP797" s="1" t="s">
        <v>258</v>
      </c>
      <c r="AQ797" s="18" t="s">
        <v>329</v>
      </c>
      <c r="AR797" t="s">
        <v>260</v>
      </c>
      <c r="AS797" s="10"/>
      <c r="AT797" s="10"/>
      <c r="AU797" s="10"/>
      <c r="AV797" s="10"/>
      <c r="AW797" s="10"/>
      <c r="AX797" s="1"/>
      <c r="AY797" s="1"/>
      <c r="AZ797" s="1"/>
      <c r="BA797" s="1"/>
      <c r="BB797" s="1"/>
      <c r="BC797" s="2"/>
      <c r="BD797" s="115">
        <v>45408</v>
      </c>
      <c r="BE797" s="115"/>
      <c r="BF797" s="2"/>
      <c r="BG797" s="2"/>
      <c r="BH797" s="2"/>
      <c r="BI797" s="2"/>
      <c r="BJ797" s="2"/>
      <c r="BK797" s="2"/>
      <c r="BL797" s="20">
        <f ca="1">SUM(EN797)+220</f>
        <v>1174.3582666666666</v>
      </c>
      <c r="BM797" s="22">
        <f ca="1">PMT(10%/12,12,BL797,0,0)</f>
        <v>-103.2447489398962</v>
      </c>
      <c r="BN797" s="22">
        <f ca="1">SUM(BM797*-1)</f>
        <v>103.2447489398962</v>
      </c>
      <c r="BO797" s="14">
        <f>SUM(EV797*0.0052)/12</f>
        <v>30.506666666666664</v>
      </c>
      <c r="BP797" s="22">
        <f ca="1">SUM(BN797+BO797)</f>
        <v>133.75141560656286</v>
      </c>
      <c r="BQ797" s="14"/>
      <c r="BR797" s="14">
        <f>SUM(BQ797*0.1)</f>
        <v>0</v>
      </c>
      <c r="BS797" s="14">
        <f ca="1">SUM(BT797*BU797)</f>
        <v>0</v>
      </c>
      <c r="BT797" s="17">
        <f>SUM((BQ797+BR797)*0.00833333333333333)</f>
        <v>0</v>
      </c>
      <c r="BU797" s="23">
        <f ca="1">MONTH(TODAY())+61</f>
        <v>65</v>
      </c>
      <c r="BV797" s="14">
        <f ca="1">SUM(BQ797,BR797,BS797)</f>
        <v>0</v>
      </c>
      <c r="BW797" s="14"/>
      <c r="BX797" s="14">
        <f>SUM(BW797*0.1)</f>
        <v>0</v>
      </c>
      <c r="BY797" s="14">
        <f ca="1">SUM(BZ797*CA797)</f>
        <v>0</v>
      </c>
      <c r="BZ797" s="17">
        <f>SUM((BW797+BX797)*0.00833333333333333)</f>
        <v>0</v>
      </c>
      <c r="CA797" s="23">
        <f ca="1">MONTH(TODAY())+49</f>
        <v>53</v>
      </c>
      <c r="CB797" s="14">
        <f ca="1">SUM(BW797,BX797,BY797)</f>
        <v>0</v>
      </c>
      <c r="CC797" s="14">
        <v>0</v>
      </c>
      <c r="CD797" s="14">
        <f>SUM(CC797*0.1)</f>
        <v>0</v>
      </c>
      <c r="CE797" s="14">
        <f ca="1">SUM(CF797*CG797)</f>
        <v>0</v>
      </c>
      <c r="CF797" s="17">
        <f>SUM((CC797+CD797)*0.00833333333333333)</f>
        <v>0</v>
      </c>
      <c r="CG797" s="23">
        <f ca="1">MONTH(TODAY())+37</f>
        <v>41</v>
      </c>
      <c r="CH797" s="14">
        <f ca="1">SUM(CC797,CD797,CE797)</f>
        <v>0</v>
      </c>
      <c r="CI797" s="14">
        <v>0</v>
      </c>
      <c r="CJ797" s="14">
        <f>SUM(CI797*0.1)</f>
        <v>0</v>
      </c>
      <c r="CK797" s="14">
        <f ca="1">SUM(CL797*CM797)</f>
        <v>0</v>
      </c>
      <c r="CL797" s="17">
        <f>SUM((CI797+CJ797)*0.00833333333333333)</f>
        <v>0</v>
      </c>
      <c r="CM797" s="23">
        <f ca="1">MONTH(TODAY())+25</f>
        <v>29</v>
      </c>
      <c r="CN797" s="14">
        <f ca="1">SUM(CI797,CJ797,CK797)</f>
        <v>0</v>
      </c>
      <c r="CO797" s="14">
        <f>SUM(ES797*0.0052)/2</f>
        <v>141.44</v>
      </c>
      <c r="CP797" s="14">
        <f>SUM(CO797*0.1)</f>
        <v>14.144</v>
      </c>
      <c r="CQ797" s="14">
        <f ca="1">SUM(CR797*CS797)</f>
        <v>27.227199999999989</v>
      </c>
      <c r="CR797" s="17">
        <f>SUM((CO797+CP797)*0.00833333333333333)</f>
        <v>1.2965333333333329</v>
      </c>
      <c r="CS797" s="23">
        <f ca="1">MONTH(TODAY())+17</f>
        <v>21</v>
      </c>
      <c r="CT797" s="23">
        <f ca="1">SUM(CO797,CP797,CQ797)</f>
        <v>182.81119999999999</v>
      </c>
      <c r="CU797" s="14">
        <f>SUM(ES797*0.0052)/2</f>
        <v>141.44</v>
      </c>
      <c r="CV797" s="14">
        <f>SUM(CU797*0.1)</f>
        <v>14.144</v>
      </c>
      <c r="CW797" s="14">
        <f ca="1">SUM(CX797*CY797)</f>
        <v>22.041066666666659</v>
      </c>
      <c r="CX797" s="17">
        <f>SUM((CU797+CV797)*0.00833333333333333)</f>
        <v>1.2965333333333329</v>
      </c>
      <c r="CY797" s="23">
        <f ca="1">MONTH(TODAY())+13</f>
        <v>17</v>
      </c>
      <c r="CZ797" s="23">
        <f ca="1">SUM(CU797,CV797,CW797)</f>
        <v>177.62506666666667</v>
      </c>
      <c r="DA797" s="14">
        <f>SUM(EV797*0.0045)/2</f>
        <v>158.39999999999998</v>
      </c>
      <c r="DB797" s="14">
        <f>SUM(DA797*0.1)</f>
        <v>15.839999999999998</v>
      </c>
      <c r="DC797" s="14">
        <f ca="1">SUM(DD797*DE797)</f>
        <v>15.971999999999992</v>
      </c>
      <c r="DD797" s="17">
        <f>SUM((DA797+DB797)*0.00833333333333333)</f>
        <v>1.4519999999999993</v>
      </c>
      <c r="DE797" s="23">
        <f ca="1">MONTH(TODAY())+7</f>
        <v>11</v>
      </c>
      <c r="DF797" s="23">
        <f ca="1">SUM(DA797,DB797,DC797)</f>
        <v>190.21199999999996</v>
      </c>
      <c r="DG797" s="14">
        <f>SUM(EV797*0.0045)/2</f>
        <v>158.39999999999998</v>
      </c>
      <c r="DH797" s="14">
        <f>SUM(DG797*0.1)</f>
        <v>15.839999999999998</v>
      </c>
      <c r="DI797" s="14">
        <f ca="1">SUM(DJ797*DK797)</f>
        <v>7.2599999999999962</v>
      </c>
      <c r="DJ797" s="17">
        <f>SUM((DG797+DH797)*0.00833333333333333)</f>
        <v>1.4519999999999993</v>
      </c>
      <c r="DK797" s="23">
        <f ca="1">MONTH(TODAY())+1</f>
        <v>5</v>
      </c>
      <c r="DL797" s="14">
        <f ca="1">SUM(DG797,DH797,DI797)</f>
        <v>181.49999999999997</v>
      </c>
      <c r="DM797" s="14">
        <f>SUM(EV797*0.0045)/2</f>
        <v>158.39999999999998</v>
      </c>
      <c r="DN797" s="14">
        <f>0</f>
        <v>0</v>
      </c>
      <c r="DO797" s="14">
        <f>0</f>
        <v>0</v>
      </c>
      <c r="DP797" s="17">
        <f>SUM((DM797+DN797)*0.00833333333333333)</f>
        <v>1.3199999999999992</v>
      </c>
      <c r="DQ797" s="23">
        <f ca="1">MONTH(TODAY())+7</f>
        <v>11</v>
      </c>
      <c r="DR797" s="23">
        <f>SUM(DM797,DN797,DO797)</f>
        <v>158.39999999999998</v>
      </c>
      <c r="DS797" s="14">
        <f>0</f>
        <v>0</v>
      </c>
      <c r="DT797" s="14">
        <f>0</f>
        <v>0</v>
      </c>
      <c r="DU797" s="14">
        <f ca="1">SUM(DV797*DW797)</f>
        <v>0</v>
      </c>
      <c r="DV797" s="17">
        <f>SUM((DS797+DT797)*0.00833333333333333)</f>
        <v>0</v>
      </c>
      <c r="DW797" s="23">
        <f ca="1">MONTH(TODAY())+1</f>
        <v>5</v>
      </c>
      <c r="DX797" s="14">
        <f ca="1">SUM(DS797,DT797,DU797)</f>
        <v>0</v>
      </c>
      <c r="DY797" s="14">
        <f>SUM( BQ797, BW797, CC797, CI797, CO797,CU797,DA797,DG797,DM797,DS797)</f>
        <v>758.07999999999993</v>
      </c>
      <c r="DZ797" s="14">
        <f>SUM(BR797,BX797,CD797,CJ797, CP797,CV797,DB797,DH797,DN797,DT797)</f>
        <v>59.967999999999996</v>
      </c>
      <c r="EA797" s="14">
        <f ca="1">SUM(BS797,BY797,CE797,CK797, CQ797,CW797,DC797,DI797,DO797,DU797)</f>
        <v>72.500266666666633</v>
      </c>
      <c r="EB797" s="25">
        <f ca="1">SUM(DY797:EA797)</f>
        <v>890.54826666666656</v>
      </c>
      <c r="EC797" s="47">
        <f ca="1">SUM(EB797/ET797)</f>
        <v>1.3019711500974657E-2</v>
      </c>
      <c r="ED797" s="14">
        <f>20+10</f>
        <v>30</v>
      </c>
      <c r="EE797" s="32">
        <f>COUNTIF(AO797, "*")+COUNTIF(AJ797, "*")+COUNTIF(AA797, "*")+COUNTIF(FG797, "*")+COUNTIF(FM797, "*")+COUNTIF(FS797, "*")+COUNTIF(FW797, "*")+COUNTIF(GD797, "*")+COUNTIF(AT797, "*")+COUNTIF(GM797, "*")+COUNTIF(GX797, "*")+COUNTIF(HI797, "*")+COUNTIF(HQ797, "*")+COUNTIF(HY797, "*")+COUNTIF(IG797, "*")</f>
        <v>2</v>
      </c>
      <c r="EF797" s="14">
        <f>EE797*0.64</f>
        <v>1.28</v>
      </c>
      <c r="EG797" s="4"/>
      <c r="EH797" s="4">
        <v>32.53</v>
      </c>
      <c r="EI797" s="4"/>
      <c r="EJ797" s="4"/>
      <c r="EL797" s="4"/>
      <c r="EM797" s="14">
        <f>SUM(EH797:EL797)</f>
        <v>32.53</v>
      </c>
      <c r="EN797" s="14">
        <f ca="1">SUM(EB797,ED797,EM797, EG797, EF797,GJ797)</f>
        <v>954.35826666666651</v>
      </c>
      <c r="EO797" s="24" t="s">
        <v>4935</v>
      </c>
      <c r="EP797" s="23">
        <v>15.56</v>
      </c>
      <c r="EQ797" s="14">
        <v>52400</v>
      </c>
      <c r="ER797" s="14">
        <v>2000</v>
      </c>
      <c r="ES797" s="4">
        <f>SUM(EQ797+ER797)</f>
        <v>54400</v>
      </c>
      <c r="ET797" s="14">
        <v>68400</v>
      </c>
      <c r="EU797" s="14">
        <v>2000</v>
      </c>
      <c r="EV797" s="4">
        <f>SUM(ET797+EU797)</f>
        <v>70400</v>
      </c>
      <c r="EW797" s="10"/>
      <c r="EX797" s="10"/>
      <c r="EY797" s="10"/>
      <c r="EZ797" s="10"/>
      <c r="FA797" s="10"/>
      <c r="FB797" s="10"/>
      <c r="FC797" s="10"/>
      <c r="FD797" s="10"/>
      <c r="GJ797" s="4"/>
      <c r="IK797" s="9"/>
      <c r="IV797" s="4"/>
      <c r="IW797" s="4"/>
      <c r="IX797" s="4"/>
      <c r="IY797" s="9"/>
      <c r="IZ797" s="9"/>
      <c r="JA797" s="9"/>
      <c r="JB797" s="9"/>
      <c r="JC797" s="9"/>
    </row>
    <row r="798" spans="1:263" ht="15" customHeight="1">
      <c r="A798" s="2">
        <v>102019061</v>
      </c>
      <c r="B798" s="4" t="s">
        <v>1389</v>
      </c>
      <c r="D798" s="3"/>
      <c r="E798" s="3"/>
      <c r="F798" s="3"/>
      <c r="G798" s="3"/>
      <c r="H798" s="3"/>
      <c r="J798" t="s">
        <v>434</v>
      </c>
      <c r="K798" t="s">
        <v>1390</v>
      </c>
      <c r="L798" t="s">
        <v>797</v>
      </c>
      <c r="M798" t="s">
        <v>428</v>
      </c>
      <c r="O798" s="1"/>
      <c r="P798" t="s">
        <v>1391</v>
      </c>
      <c r="Q798" t="s">
        <v>1392</v>
      </c>
      <c r="R798" t="s">
        <v>309</v>
      </c>
      <c r="T798" s="1"/>
      <c r="AY798" s="9"/>
      <c r="AZ798" s="9"/>
      <c r="BA798" s="9"/>
      <c r="BC798" s="9"/>
      <c r="BD798" s="9"/>
      <c r="BE798" s="9"/>
      <c r="BG798" s="66"/>
      <c r="BH798" s="66"/>
      <c r="BI798" s="66"/>
      <c r="BK798" s="66"/>
      <c r="BL798" s="66"/>
      <c r="BO798" s="66"/>
      <c r="BQ798" s="66"/>
      <c r="BR798" s="66"/>
      <c r="BU798" s="66"/>
      <c r="BW798" s="66"/>
      <c r="BX798" s="66"/>
      <c r="CA798" s="66"/>
      <c r="CB798" s="66"/>
      <c r="CC798" s="66"/>
      <c r="CD798" s="66"/>
      <c r="CG798" s="66"/>
      <c r="CH798" s="66"/>
      <c r="CI798" s="66"/>
      <c r="CJ798" s="66"/>
      <c r="CM798" s="66"/>
      <c r="CN798" s="66"/>
      <c r="CO798" s="66"/>
      <c r="CP798" s="66"/>
      <c r="CS798" s="66"/>
      <c r="CT798" s="66"/>
      <c r="CU798" s="66"/>
      <c r="CV798" s="66"/>
      <c r="CY798" s="66"/>
      <c r="CZ798" s="66"/>
      <c r="DA798" s="66"/>
      <c r="DB798" s="66"/>
      <c r="DE798" s="66"/>
      <c r="DF798" s="66"/>
      <c r="DG798" s="66"/>
      <c r="DH798" s="66"/>
      <c r="DI798" s="66"/>
      <c r="DJ798" s="66"/>
      <c r="DL798" s="66"/>
      <c r="DN798" s="66"/>
      <c r="DO798" s="66"/>
      <c r="DP798" s="66"/>
      <c r="DQ798" s="66"/>
      <c r="DR798" s="66"/>
      <c r="DS798" s="66"/>
      <c r="DT798" s="66"/>
      <c r="DU798" s="66"/>
      <c r="DV798" s="66"/>
      <c r="DW798" s="66"/>
      <c r="DX798" s="66"/>
      <c r="DY798" s="66"/>
      <c r="FR798" s="9"/>
      <c r="II798" s="9"/>
      <c r="IJ798" s="66"/>
      <c r="IK798" s="66"/>
      <c r="IL798" s="18"/>
      <c r="IM798" s="18"/>
      <c r="IN798" s="14"/>
      <c r="IO798" s="14"/>
      <c r="IP798" s="27">
        <v>43767</v>
      </c>
      <c r="IQ798" s="27">
        <v>43803</v>
      </c>
      <c r="IR798" s="18"/>
      <c r="IS798" s="18"/>
      <c r="IT798" s="18"/>
    </row>
    <row r="799" spans="1:263" ht="15" customHeight="1">
      <c r="A799" s="19">
        <v>102020037</v>
      </c>
      <c r="B799" s="18" t="s">
        <v>1637</v>
      </c>
      <c r="C799" s="18"/>
      <c r="D799" s="13">
        <v>2021</v>
      </c>
      <c r="E799" s="24"/>
      <c r="F799" s="24"/>
      <c r="G799" s="18"/>
      <c r="H799" s="18"/>
      <c r="I799" s="18"/>
      <c r="J799" s="18" t="s">
        <v>311</v>
      </c>
      <c r="K799" s="18" t="s">
        <v>1638</v>
      </c>
      <c r="L799" s="18" t="s">
        <v>1639</v>
      </c>
      <c r="M799" s="18"/>
      <c r="N799" s="18"/>
      <c r="O799" s="18" t="s">
        <v>258</v>
      </c>
      <c r="P799" s="18"/>
      <c r="Q799" s="18"/>
      <c r="R799" s="18"/>
      <c r="S799" s="18"/>
      <c r="T799" s="18"/>
      <c r="U799" s="18"/>
      <c r="V799" s="18"/>
      <c r="W799" s="18"/>
      <c r="X799" s="18"/>
      <c r="Y799" s="18"/>
      <c r="Z799" s="18"/>
      <c r="AA799" s="18"/>
      <c r="AB799" s="18"/>
      <c r="AC799" s="18"/>
      <c r="AD799" s="18"/>
      <c r="AE799" s="18"/>
      <c r="AF799" s="18"/>
      <c r="AG799" s="26"/>
      <c r="AH799" s="18"/>
      <c r="AI799" s="18"/>
      <c r="AJ799" s="18" t="s">
        <v>328</v>
      </c>
      <c r="AK799" s="18"/>
      <c r="AL799" s="18" t="s">
        <v>329</v>
      </c>
      <c r="AM799" s="18"/>
      <c r="AN799" s="18" t="s">
        <v>3930</v>
      </c>
      <c r="AO799" s="24" t="s">
        <v>1640</v>
      </c>
      <c r="AP799" s="24" t="s">
        <v>258</v>
      </c>
      <c r="AQ799" s="18" t="s">
        <v>274</v>
      </c>
      <c r="AR799" s="18" t="s">
        <v>275</v>
      </c>
      <c r="AS799" s="13"/>
      <c r="AT799" s="13"/>
      <c r="AU799" s="13"/>
      <c r="AV799" s="13"/>
      <c r="AW799" s="13"/>
      <c r="AX799" s="19"/>
      <c r="AY799" s="117"/>
      <c r="AZ799" s="114">
        <v>44824</v>
      </c>
      <c r="BA799" s="19"/>
      <c r="BB799" s="19"/>
      <c r="BC799" s="19"/>
      <c r="BD799" s="19"/>
      <c r="BE799" s="19"/>
      <c r="BF799" s="19"/>
      <c r="BG799" s="20">
        <f ca="1">SUM(DK799)+214.5</f>
        <v>303.58019999999999</v>
      </c>
      <c r="BH799" s="22">
        <f ca="1">PMT(10%/12,12,BG799,0,0)</f>
        <v>-26.689522628463759</v>
      </c>
      <c r="BI799" s="22">
        <f ca="1">SUM(BH799*-1)</f>
        <v>26.689522628463759</v>
      </c>
      <c r="BJ799" s="14">
        <f>SUM(DU799*0.0052)/12</f>
        <v>0.51999999999999991</v>
      </c>
      <c r="BK799" s="22">
        <f ca="1">SUM(BI799+BJ799)</f>
        <v>27.209522628463759</v>
      </c>
      <c r="BL799" s="14">
        <v>6.24</v>
      </c>
      <c r="BM799" s="14">
        <f>SUM(BL799*0.1)</f>
        <v>0.62400000000000011</v>
      </c>
      <c r="BN799" s="14">
        <f ca="1">SUM(BO799*BP799)</f>
        <v>3.0315999999999987</v>
      </c>
      <c r="BO799" s="17">
        <f>SUM((BL799+BM799)*0.00833333333333333)</f>
        <v>5.719999999999998E-2</v>
      </c>
      <c r="BP799" s="23">
        <f ca="1">MONTH(TODAY())+49</f>
        <v>53</v>
      </c>
      <c r="BQ799" s="14">
        <f ca="1">SUM(BL799,BM799,BN799)</f>
        <v>9.8956</v>
      </c>
      <c r="BR799" s="14">
        <v>6.24</v>
      </c>
      <c r="BS799" s="14">
        <f>SUM(BR799*0.1)</f>
        <v>0.62400000000000011</v>
      </c>
      <c r="BT799" s="14">
        <f ca="1">SUM(BU799*BV799)</f>
        <v>2.3451999999999993</v>
      </c>
      <c r="BU799" s="17">
        <f>SUM((BR799+BS799)*0.00833333333333333)</f>
        <v>5.719999999999998E-2</v>
      </c>
      <c r="BV799" s="23">
        <f ca="1">MONTH(TODAY())+37</f>
        <v>41</v>
      </c>
      <c r="BW799" s="14">
        <f ca="1">SUM(BR799,BS799,BT799)</f>
        <v>9.2091999999999992</v>
      </c>
      <c r="BX799" s="14">
        <v>6.24</v>
      </c>
      <c r="BY799" s="14">
        <f>SUM(BX799*0.1)</f>
        <v>0.62400000000000011</v>
      </c>
      <c r="BZ799" s="14">
        <f ca="1">SUM(CA799*CB799)</f>
        <v>1.6587999999999994</v>
      </c>
      <c r="CA799" s="17">
        <f>SUM((BX799+BY799)*0.00833333333333333)</f>
        <v>5.719999999999998E-2</v>
      </c>
      <c r="CB799" s="23">
        <f ca="1">MONTH(TODAY())+25</f>
        <v>29</v>
      </c>
      <c r="CC799" s="14">
        <f ca="1">SUM(BX799,BY799,BZ799)</f>
        <v>8.5228000000000002</v>
      </c>
      <c r="CD799" s="14">
        <f>SUM(DU799*0.0052)</f>
        <v>6.2399999999999993</v>
      </c>
      <c r="CE799" s="14">
        <f>SUM(CD799*0.1)</f>
        <v>0.624</v>
      </c>
      <c r="CF799" s="14">
        <f ca="1">SUM(CG799*CH799)</f>
        <v>0.97239999999999938</v>
      </c>
      <c r="CG799" s="17">
        <f>SUM((CD799+CE799)*0.00833333333333333)</f>
        <v>5.7199999999999966E-2</v>
      </c>
      <c r="CH799" s="23">
        <f ca="1">MONTH(TODAY())+13</f>
        <v>17</v>
      </c>
      <c r="CI799" s="14">
        <f ca="1">SUM(CD799,CE799,CF799)</f>
        <v>7.8363999999999985</v>
      </c>
      <c r="CJ799" s="14">
        <f>SUM(DU799*0.0052)</f>
        <v>6.2399999999999993</v>
      </c>
      <c r="CK799" s="14">
        <f>SUM(CJ799*0.1)</f>
        <v>0.624</v>
      </c>
      <c r="CL799" s="14">
        <f ca="1">SUM(CM799*CN799)</f>
        <v>0.28599999999999981</v>
      </c>
      <c r="CM799" s="17">
        <f>SUM((CJ799+CK799)*0.00833333333333333)</f>
        <v>5.7199999999999966E-2</v>
      </c>
      <c r="CN799" s="23">
        <f ca="1">MONTH(TODAY())+1</f>
        <v>5</v>
      </c>
      <c r="CO799" s="14">
        <f ca="1">SUM(CJ799,CK799,CL799)</f>
        <v>7.1499999999999986</v>
      </c>
      <c r="CP799" s="14">
        <f>SUM(DU799*0.0052)/2</f>
        <v>3.1199999999999997</v>
      </c>
      <c r="CQ799" s="14">
        <f>SUM(CP799*0.1)</f>
        <v>0.312</v>
      </c>
      <c r="CR799" s="14">
        <f ca="1">SUM(CS799*CT799)</f>
        <v>-8.5799999999999946E-2</v>
      </c>
      <c r="CS799" s="17">
        <f>SUM((CP799+CQ799)*0.00833333333333333)</f>
        <v>2.8599999999999983E-2</v>
      </c>
      <c r="CT799" s="23">
        <f ca="1">MONTH(TODAY())-7</f>
        <v>-3</v>
      </c>
      <c r="CU799" s="23">
        <f ca="1">SUM(CP799,CQ799,CR799)</f>
        <v>3.3461999999999996</v>
      </c>
      <c r="CV799" s="14">
        <f>SUM(DU799*0.0052)/2</f>
        <v>3.1199999999999997</v>
      </c>
      <c r="CW799" s="14">
        <v>0</v>
      </c>
      <c r="CX799" s="14">
        <v>0</v>
      </c>
      <c r="CY799" s="17">
        <f>SUM((CV799+CW799)*0.00833333333333333)</f>
        <v>2.5999999999999985E-2</v>
      </c>
      <c r="CZ799" s="23">
        <f ca="1">MONTH(TODAY())-6</f>
        <v>-2</v>
      </c>
      <c r="DA799" s="23">
        <f>SUM(CV799,CW799,CX799)</f>
        <v>3.1199999999999997</v>
      </c>
      <c r="DB799" s="14">
        <f>SUM(BL799, BR799, BX799, CD799, CJ799, CP799,CV799)</f>
        <v>37.439999999999991</v>
      </c>
      <c r="DC799" s="14">
        <f>SUM(BM799, BS799,BY799,CE799,CK799, CQ799,CW799)</f>
        <v>3.4320000000000004</v>
      </c>
      <c r="DD799" s="14">
        <f ca="1">SUM(BN799, BT799,BZ799,CF799,CL799, CR799,CX799)</f>
        <v>8.2081999999999944</v>
      </c>
      <c r="DE799" s="14">
        <f ca="1">SUM(DB799:DD799)</f>
        <v>49.080199999999991</v>
      </c>
      <c r="DF799" s="47">
        <f ca="1">SUM(DE799/DU799)</f>
        <v>4.0900166666666661E-2</v>
      </c>
      <c r="DG799" s="14">
        <v>39</v>
      </c>
      <c r="DH799" s="32">
        <f>COUNTIF(DN799, "*")+COUNTIF(AO799, "*")+COUNTIF(AJ799, "*")+COUNTIF(AA799, "*")+COUNTIF(EK799, "*")+COUNTIF(EQ799, "*")+COUNTIF(EW799, "*")+COUNTIF(FA799, "*")+COUNTIF(FH799, "*")+COUNTIF(FO799, "*")+COUNTIF(FV799, "*")+COUNTIF(GG799, "*")+COUNTIF(GR799, "*")+COUNTIF(GZ799, "*")+COUNTIF(HH799, "*")+COUNTIF(HP799, "*")+COUNTIF(HX799, "*")</f>
        <v>2</v>
      </c>
      <c r="DI799" s="14">
        <v>1</v>
      </c>
      <c r="DJ799" s="14"/>
      <c r="DK799" s="14">
        <f ca="1">SUM(DE799,DG799,DQ799, DJ799, DI799,FS799)</f>
        <v>89.080199999999991</v>
      </c>
      <c r="DL799" s="14"/>
      <c r="DM799" s="14"/>
      <c r="DN799" s="14"/>
      <c r="DO799" s="14"/>
      <c r="DP799" s="25"/>
      <c r="DQ799" s="14">
        <f>SUM(DL799:DP799)</f>
        <v>0</v>
      </c>
      <c r="DR799" s="24" t="s">
        <v>3466</v>
      </c>
      <c r="DS799" s="25">
        <v>1200</v>
      </c>
      <c r="DT799" s="25">
        <v>0</v>
      </c>
      <c r="DU799" s="25">
        <f>SUM(DS799+DT799)</f>
        <v>1200</v>
      </c>
      <c r="DV799" s="36">
        <v>0.16</v>
      </c>
      <c r="DW799" s="18" t="s">
        <v>3928</v>
      </c>
      <c r="DX799" s="18" t="s">
        <v>3929</v>
      </c>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27">
        <v>44863</v>
      </c>
      <c r="IE799" s="18"/>
      <c r="IF799" s="18"/>
      <c r="IG799" s="18"/>
      <c r="IH799" s="18"/>
      <c r="II799" s="18"/>
      <c r="IJ799" s="18"/>
      <c r="IK799" s="18"/>
      <c r="IL799" s="18"/>
      <c r="IM799" s="18"/>
      <c r="IN799" s="18"/>
      <c r="IO799" s="14">
        <f ca="1">SUM(IE799-DK799-FS799-IM799)</f>
        <v>-89.080199999999991</v>
      </c>
      <c r="IP799" s="27"/>
      <c r="IQ799" s="27"/>
      <c r="IR799" s="27"/>
      <c r="IS799" s="27"/>
      <c r="IT799" s="27"/>
      <c r="IZ799" s="243"/>
      <c r="JA799" s="243"/>
      <c r="JB799" s="243"/>
      <c r="JC799" s="243"/>
    </row>
    <row r="800" spans="1:263" ht="15" customHeight="1">
      <c r="A800" s="2">
        <v>102018083</v>
      </c>
      <c r="B800" s="4" t="s">
        <v>1256</v>
      </c>
      <c r="C800" s="3"/>
      <c r="D800" s="3"/>
      <c r="E800" s="3"/>
      <c r="F800" s="2"/>
      <c r="G800">
        <v>180000561</v>
      </c>
      <c r="K800" t="s">
        <v>1257</v>
      </c>
      <c r="O800" s="1"/>
      <c r="T800" s="1"/>
      <c r="AJ800" s="4"/>
      <c r="AK800" s="4"/>
      <c r="AO800" s="4"/>
      <c r="AP800" s="5"/>
      <c r="AS800" s="5"/>
      <c r="AT800" s="5"/>
      <c r="AU800" s="1"/>
      <c r="AV800" s="1"/>
      <c r="AW800" s="1"/>
      <c r="AX800" s="1"/>
      <c r="AY800" s="1"/>
      <c r="AZ800" s="1"/>
      <c r="BA800" s="1"/>
      <c r="BB800" s="1"/>
      <c r="BC800" s="1"/>
      <c r="BD800" s="1"/>
      <c r="BE800" s="1"/>
      <c r="BF800" s="1"/>
      <c r="BG800" s="5"/>
      <c r="BH800" s="16"/>
      <c r="BI800" s="16"/>
      <c r="BK800" s="4"/>
      <c r="BL800" s="4"/>
      <c r="BM800" s="6"/>
      <c r="BN800" s="7"/>
      <c r="BO800" s="4"/>
      <c r="BP800" s="4"/>
      <c r="BQ800" s="4"/>
      <c r="BR800" s="4"/>
      <c r="BS800" s="6"/>
      <c r="BT800" s="7"/>
      <c r="BU800" s="4"/>
      <c r="BV800" s="4"/>
      <c r="BW800" s="4"/>
      <c r="BX800" s="4"/>
      <c r="BY800" s="6"/>
      <c r="BZ800" s="7"/>
      <c r="CA800" s="4"/>
      <c r="CB800" s="4"/>
      <c r="CC800" s="4"/>
      <c r="CD800" s="4"/>
      <c r="CE800" s="6"/>
      <c r="CF800" s="7"/>
      <c r="CG800" s="4"/>
      <c r="CH800" s="4"/>
      <c r="CI800" s="4"/>
      <c r="CJ800" s="4"/>
      <c r="CK800" s="6"/>
      <c r="CL800" s="7"/>
      <c r="CM800" s="4"/>
      <c r="CN800" s="4"/>
      <c r="CO800" s="4"/>
      <c r="CP800" s="4"/>
      <c r="CQ800" s="6"/>
      <c r="CR800" s="7"/>
      <c r="CS800" s="4"/>
      <c r="CT800" s="4"/>
      <c r="CU800" s="4"/>
      <c r="CV800" s="4"/>
      <c r="CW800" s="6"/>
      <c r="CX800" s="7"/>
      <c r="CY800" s="4"/>
      <c r="CZ800" s="4"/>
      <c r="DA800" s="4"/>
      <c r="DB800" s="4"/>
      <c r="DC800" s="6"/>
      <c r="DD800" s="7"/>
      <c r="DE800" s="4"/>
      <c r="DF800" s="4"/>
      <c r="DG800" s="14"/>
      <c r="DH800" s="14"/>
      <c r="DI800" s="4"/>
      <c r="DJ800" s="3"/>
      <c r="DK800" s="4"/>
      <c r="DL800" s="234"/>
      <c r="DM800" s="4"/>
      <c r="DN800" s="4"/>
      <c r="DO800" s="4"/>
      <c r="DP800" s="4"/>
      <c r="DQ800" s="4"/>
      <c r="DR800" s="4"/>
      <c r="DS800" s="7"/>
      <c r="DT800" s="8"/>
      <c r="DU800" s="4"/>
      <c r="DV800" s="8"/>
      <c r="DW800" s="4"/>
      <c r="DX800" s="4"/>
      <c r="EG800" s="11"/>
      <c r="EM800" s="11"/>
      <c r="EN800" s="11"/>
      <c r="EO800" s="4"/>
      <c r="EP800" s="4"/>
      <c r="EQ800" s="4"/>
      <c r="ER800" s="4"/>
      <c r="ES800" s="4"/>
      <c r="ET800" s="4"/>
      <c r="EU800" s="4"/>
      <c r="EV800" s="4"/>
      <c r="EW800" s="4"/>
      <c r="EX800" s="4"/>
      <c r="EY800" s="4"/>
      <c r="EZ800" s="4"/>
      <c r="FA800" s="4"/>
      <c r="FB800" s="4"/>
      <c r="FC800" s="4"/>
      <c r="FG800" s="9"/>
      <c r="FP800" s="9"/>
      <c r="FZ800" s="10"/>
      <c r="GJ800" s="10"/>
      <c r="GY800" s="9"/>
      <c r="IK800" s="4"/>
      <c r="IL800" s="9"/>
      <c r="IS800" s="4"/>
      <c r="IT800" s="4"/>
    </row>
    <row r="801" spans="1:265" ht="15" customHeight="1">
      <c r="A801" s="19">
        <v>102020054</v>
      </c>
      <c r="B801" s="18" t="s">
        <v>1684</v>
      </c>
      <c r="C801" s="18"/>
      <c r="D801" s="13"/>
      <c r="E801" s="18" t="s">
        <v>1889</v>
      </c>
      <c r="F801" s="18">
        <v>200003754</v>
      </c>
      <c r="G801" s="18"/>
      <c r="H801" s="18"/>
      <c r="I801" s="18"/>
      <c r="J801" s="18" t="s">
        <v>253</v>
      </c>
      <c r="K801" s="18" t="s">
        <v>1685</v>
      </c>
      <c r="L801" s="18" t="s">
        <v>764</v>
      </c>
      <c r="M801" s="18" t="s">
        <v>426</v>
      </c>
      <c r="N801" s="18"/>
      <c r="O801" s="18"/>
      <c r="P801" s="18"/>
      <c r="Q801" s="18"/>
      <c r="R801" s="18"/>
      <c r="S801" s="18"/>
      <c r="T801" s="18"/>
      <c r="U801" s="18"/>
      <c r="V801" s="18"/>
      <c r="W801" s="18"/>
      <c r="X801" s="18"/>
      <c r="Y801" s="18"/>
      <c r="Z801" s="18"/>
      <c r="AA801" s="18"/>
      <c r="AB801" s="18"/>
      <c r="AC801" s="18"/>
      <c r="AD801" s="18"/>
      <c r="AE801" s="18"/>
      <c r="AF801" s="18"/>
      <c r="AG801" s="231"/>
      <c r="AH801" s="18"/>
      <c r="AI801" s="18"/>
      <c r="AJ801" s="18" t="s">
        <v>328</v>
      </c>
      <c r="AK801" s="18"/>
      <c r="AL801" s="18" t="s">
        <v>329</v>
      </c>
      <c r="AM801" s="24"/>
      <c r="AN801" s="24"/>
      <c r="AO801" s="18" t="s">
        <v>1686</v>
      </c>
      <c r="AP801" s="13" t="s">
        <v>258</v>
      </c>
      <c r="AQ801" s="24" t="s">
        <v>438</v>
      </c>
      <c r="AR801" s="24" t="s">
        <v>260</v>
      </c>
      <c r="AS801" s="13"/>
      <c r="AT801" s="13"/>
      <c r="AU801" s="13"/>
      <c r="AV801" s="13"/>
      <c r="AW801" s="13"/>
      <c r="AX801" s="48"/>
      <c r="AY801" s="48"/>
      <c r="AZ801" s="48"/>
      <c r="BA801" s="48"/>
      <c r="BB801" s="19"/>
      <c r="BC801" s="48"/>
      <c r="BD801" s="48"/>
      <c r="BE801" s="48"/>
      <c r="BF801" s="19"/>
      <c r="BG801" s="20"/>
      <c r="BH801" s="22"/>
      <c r="BI801" s="22"/>
      <c r="BJ801" s="14"/>
      <c r="BK801" s="22"/>
      <c r="BL801" s="14"/>
      <c r="BM801" s="14"/>
      <c r="BN801" s="14"/>
      <c r="BO801" s="17"/>
      <c r="BP801" s="23"/>
      <c r="BQ801" s="14"/>
      <c r="BR801" s="14"/>
      <c r="BS801" s="14"/>
      <c r="BT801" s="14"/>
      <c r="BU801" s="17"/>
      <c r="BV801" s="23"/>
      <c r="BW801" s="14"/>
      <c r="BX801" s="14"/>
      <c r="BY801" s="14"/>
      <c r="BZ801" s="14"/>
      <c r="CA801" s="17"/>
      <c r="CB801" s="23"/>
      <c r="CC801" s="14"/>
      <c r="CD801" s="14"/>
      <c r="CE801" s="14"/>
      <c r="CF801" s="14"/>
      <c r="CG801" s="17"/>
      <c r="CH801" s="23"/>
      <c r="CI801" s="14"/>
      <c r="CJ801" s="14"/>
      <c r="CK801" s="14"/>
      <c r="CL801" s="14"/>
      <c r="CM801" s="17"/>
      <c r="CN801" s="23"/>
      <c r="CO801" s="14"/>
      <c r="CP801" s="14"/>
      <c r="CQ801" s="14"/>
      <c r="CR801" s="14"/>
      <c r="CS801" s="17"/>
      <c r="CT801" s="23"/>
      <c r="CU801" s="14"/>
      <c r="CV801" s="14"/>
      <c r="CW801" s="14"/>
      <c r="CX801" s="14"/>
      <c r="CY801" s="14"/>
      <c r="CZ801" s="14"/>
      <c r="DA801" s="14"/>
      <c r="DB801" s="14"/>
      <c r="DC801" s="14"/>
      <c r="DD801" s="14"/>
      <c r="DE801" s="14"/>
      <c r="DF801" s="47"/>
      <c r="DG801" s="14"/>
      <c r="DH801" s="32"/>
      <c r="DI801" s="14"/>
      <c r="DJ801" s="14">
        <v>200</v>
      </c>
      <c r="DK801" s="14">
        <f>SUM(DE801,DG801,DQ801, DJ801, DI801,FS801)</f>
        <v>1982.25</v>
      </c>
      <c r="DL801" s="14">
        <f>25+733</f>
        <v>758</v>
      </c>
      <c r="DM801" s="14">
        <f>93.75+197.5</f>
        <v>291.25</v>
      </c>
      <c r="DN801" s="14">
        <v>98</v>
      </c>
      <c r="DO801" s="23"/>
      <c r="DP801" s="25">
        <v>635</v>
      </c>
      <c r="DQ801" s="14">
        <f>SUM(DL801:DP801)</f>
        <v>1782.25</v>
      </c>
      <c r="DR801" s="24" t="s">
        <v>418</v>
      </c>
      <c r="DS801" s="25">
        <v>20000</v>
      </c>
      <c r="DT801" s="25">
        <v>2700</v>
      </c>
      <c r="DU801" s="25">
        <f>SUM(DS801+DT801)</f>
        <v>22700</v>
      </c>
      <c r="DV801" s="36">
        <v>1.34</v>
      </c>
      <c r="DW801" s="18" t="s">
        <v>1834</v>
      </c>
      <c r="DX801" s="18" t="s">
        <v>1835</v>
      </c>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row>
    <row r="802" spans="1:265" ht="15" customHeight="1">
      <c r="A802" s="19">
        <v>102020054</v>
      </c>
      <c r="B802" s="18" t="s">
        <v>1684</v>
      </c>
      <c r="C802" s="13"/>
      <c r="D802" s="13"/>
      <c r="E802" s="18" t="s">
        <v>1889</v>
      </c>
      <c r="F802" s="18">
        <v>200003754</v>
      </c>
      <c r="G802" s="18"/>
      <c r="H802" s="18"/>
      <c r="I802" s="18"/>
      <c r="J802" s="18" t="s">
        <v>253</v>
      </c>
      <c r="K802" s="18" t="s">
        <v>1685</v>
      </c>
      <c r="L802" s="18" t="s">
        <v>764</v>
      </c>
      <c r="M802" s="18" t="s">
        <v>426</v>
      </c>
      <c r="N802" s="18"/>
      <c r="O802" s="18"/>
      <c r="P802" s="18"/>
      <c r="Q802" s="18"/>
      <c r="R802" s="18"/>
      <c r="S802" s="18"/>
      <c r="T802" s="18"/>
      <c r="U802" s="18"/>
      <c r="V802" s="18"/>
      <c r="W802" s="18"/>
      <c r="X802" s="18"/>
      <c r="Y802" s="18"/>
      <c r="Z802" s="18"/>
      <c r="AA802" s="18"/>
      <c r="AB802" s="18"/>
      <c r="AC802" s="18"/>
      <c r="AD802" s="18"/>
      <c r="AE802" s="18"/>
      <c r="AF802" s="18"/>
      <c r="AG802" s="37"/>
      <c r="AH802" s="18"/>
      <c r="AI802" s="18"/>
      <c r="AJ802" s="18" t="s">
        <v>328</v>
      </c>
      <c r="AK802" s="18"/>
      <c r="AL802" s="18" t="s">
        <v>329</v>
      </c>
      <c r="AM802" s="18"/>
      <c r="AN802" s="18"/>
      <c r="AO802" s="24" t="s">
        <v>1686</v>
      </c>
      <c r="AP802" s="24" t="s">
        <v>258</v>
      </c>
      <c r="AQ802" s="24" t="s">
        <v>438</v>
      </c>
      <c r="AR802" s="18" t="s">
        <v>260</v>
      </c>
      <c r="AS802" s="13"/>
      <c r="AT802" s="13"/>
      <c r="AU802" s="13" t="s">
        <v>258</v>
      </c>
      <c r="AV802" s="13" t="s">
        <v>258</v>
      </c>
      <c r="AW802" s="13" t="s">
        <v>258</v>
      </c>
      <c r="AX802" s="48">
        <v>44018</v>
      </c>
      <c r="AY802" s="48">
        <v>43982</v>
      </c>
      <c r="AZ802" s="48">
        <v>43972</v>
      </c>
      <c r="BA802" s="48">
        <v>44071</v>
      </c>
      <c r="BB802" s="19" t="s">
        <v>318</v>
      </c>
      <c r="BC802" s="48">
        <v>44057</v>
      </c>
      <c r="BD802" s="48">
        <v>44064</v>
      </c>
      <c r="BE802" s="48">
        <v>44358</v>
      </c>
      <c r="BF802" s="19" t="s">
        <v>319</v>
      </c>
      <c r="BG802" s="20">
        <v>4010.4900000000002</v>
      </c>
      <c r="BH802" s="22">
        <v>-352.58578657708119</v>
      </c>
      <c r="BI802" s="22">
        <v>352.58578657708119</v>
      </c>
      <c r="BJ802" s="14">
        <v>9.836666666666666</v>
      </c>
      <c r="BK802" s="22">
        <v>362.42245324374784</v>
      </c>
      <c r="BL802" s="14"/>
      <c r="BM802" s="14">
        <v>0</v>
      </c>
      <c r="BN802" s="14">
        <v>0</v>
      </c>
      <c r="BO802" s="17">
        <v>0</v>
      </c>
      <c r="BP802" s="23">
        <v>70</v>
      </c>
      <c r="BQ802" s="14">
        <v>0</v>
      </c>
      <c r="BR802" s="14"/>
      <c r="BS802" s="14">
        <v>0</v>
      </c>
      <c r="BT802" s="14">
        <v>0</v>
      </c>
      <c r="BU802" s="17">
        <v>0</v>
      </c>
      <c r="BV802" s="23">
        <v>58</v>
      </c>
      <c r="BW802" s="14">
        <v>0</v>
      </c>
      <c r="BX802" s="14">
        <v>107.64</v>
      </c>
      <c r="BY802" s="14">
        <f>SUM(BX802*0.1)</f>
        <v>10.764000000000001</v>
      </c>
      <c r="BZ802" s="14">
        <f>SUM(CA802*CB802)</f>
        <v>48.348299999999981</v>
      </c>
      <c r="CA802" s="17">
        <f>SUM((BX802+BY802)*0.00833333333333333)</f>
        <v>0.98669999999999958</v>
      </c>
      <c r="CB802" s="23">
        <v>49</v>
      </c>
      <c r="CC802" s="14">
        <f>SUM(BX802,BY802,BZ802)</f>
        <v>166.75229999999999</v>
      </c>
      <c r="CD802" s="14">
        <v>107.64</v>
      </c>
      <c r="CE802" s="14">
        <f>SUM(CD802*0.1)</f>
        <v>10.764000000000001</v>
      </c>
      <c r="CF802" s="14">
        <f>SUM(CG802*CH802)</f>
        <v>36.507899999999985</v>
      </c>
      <c r="CG802" s="17">
        <f>SUM((CD802+CE802)*0.00833333333333333)</f>
        <v>0.98669999999999958</v>
      </c>
      <c r="CH802" s="23">
        <v>37</v>
      </c>
      <c r="CI802" s="14">
        <f>SUM(CD802,CE802,CF802)</f>
        <v>154.91189999999997</v>
      </c>
      <c r="CJ802" s="14">
        <v>118.04</v>
      </c>
      <c r="CK802" s="14">
        <v>11.804000000000002</v>
      </c>
      <c r="CL802" s="14">
        <f>SUM(CM802*CN802)</f>
        <v>27.050833333333319</v>
      </c>
      <c r="CM802" s="17">
        <f>SUM((CJ802+CK802)*0.00833333333333333)</f>
        <v>1.0820333333333327</v>
      </c>
      <c r="CN802" s="23">
        <v>25</v>
      </c>
      <c r="CO802" s="14">
        <f>SUM(CJ802,CK802,CL802)</f>
        <v>156.89483333333331</v>
      </c>
      <c r="CP802" s="14">
        <v>118.03999999999999</v>
      </c>
      <c r="CQ802" s="14">
        <v>11.804</v>
      </c>
      <c r="CR802" s="14">
        <f>SUM(CS802*CT802)</f>
        <v>14.066433333333325</v>
      </c>
      <c r="CS802" s="17">
        <f>SUM((CP802+CQ802)*0.00833333333333333)</f>
        <v>1.0820333333333327</v>
      </c>
      <c r="CT802" s="23">
        <v>13</v>
      </c>
      <c r="CU802" s="14">
        <f>SUM(CP802,CQ802,CR802)</f>
        <v>143.91043333333332</v>
      </c>
      <c r="CV802" s="14">
        <f>SUM(DP802*0.0052)</f>
        <v>118.03999999999999</v>
      </c>
      <c r="CW802" s="14">
        <f>SUM(BL802, BR802, BX802, CD802,CJ802,CP802, CV802)</f>
        <v>569.4</v>
      </c>
      <c r="CX802" s="14">
        <f>SUM(BM802, BS802, BY802, CE802,CK802,CQ802)</f>
        <v>45.13600000000001</v>
      </c>
      <c r="CY802" s="14">
        <f>SUM(BN802, BT802, BZ802, CF802,CL802,CR802)</f>
        <v>125.97346666666661</v>
      </c>
      <c r="CZ802" s="14">
        <f>SUM(CW802:CY802)</f>
        <v>740.50946666666653</v>
      </c>
      <c r="DA802" s="47">
        <v>2.5962114537444934E-2</v>
      </c>
      <c r="DB802" s="14">
        <v>1735.5</v>
      </c>
      <c r="DC802" s="32">
        <v>2</v>
      </c>
      <c r="DD802" s="14">
        <f>15.4+25.03</f>
        <v>40.43</v>
      </c>
      <c r="DE802" s="14">
        <v>200</v>
      </c>
      <c r="DF802" s="18"/>
      <c r="DG802" s="14">
        <f>758+182.42</f>
        <v>940.42</v>
      </c>
      <c r="DH802" s="14">
        <v>291.25</v>
      </c>
      <c r="DI802" s="14">
        <v>98</v>
      </c>
      <c r="DJ802" s="14">
        <v>100</v>
      </c>
      <c r="DK802" s="25">
        <v>635</v>
      </c>
      <c r="DL802" s="14">
        <f>SUM(DG802:DK802)</f>
        <v>2064.67</v>
      </c>
      <c r="DM802" s="24" t="s">
        <v>2299</v>
      </c>
      <c r="DN802" s="25">
        <v>20000</v>
      </c>
      <c r="DO802" s="25">
        <v>2700</v>
      </c>
      <c r="DP802" s="25">
        <v>22700</v>
      </c>
      <c r="DQ802" s="36">
        <v>1.34</v>
      </c>
      <c r="DR802" s="18" t="s">
        <v>1834</v>
      </c>
      <c r="DS802" s="18" t="s">
        <v>1835</v>
      </c>
      <c r="DT802" s="18"/>
      <c r="DU802" s="18"/>
      <c r="DV802" s="18"/>
      <c r="DW802" s="18"/>
      <c r="DX802" s="18"/>
      <c r="DY802" s="18"/>
      <c r="DZ802" s="18"/>
      <c r="EA802" s="18"/>
      <c r="EB802" s="14">
        <f>SUM(CZ802,DB802,DL802, DE802, DD802,FK802)</f>
        <v>4781.1094666666668</v>
      </c>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4"/>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27">
        <v>44499</v>
      </c>
      <c r="IB802" s="18">
        <v>16000</v>
      </c>
      <c r="IC802" s="14">
        <v>1600</v>
      </c>
      <c r="ID802" s="18"/>
      <c r="IE802" s="18"/>
      <c r="IF802" s="18" t="s">
        <v>2739</v>
      </c>
      <c r="IG802" s="18" t="s">
        <v>2740</v>
      </c>
      <c r="IH802" s="18" t="s">
        <v>2741</v>
      </c>
      <c r="II802" s="18"/>
      <c r="IJ802" s="18"/>
      <c r="IK802" s="14">
        <v>145.66999999999999</v>
      </c>
      <c r="IL802" s="14">
        <f>SUM(IB802-EB802-IJ802)</f>
        <v>11218.890533333333</v>
      </c>
      <c r="IM802" s="14"/>
      <c r="IN802" s="14"/>
      <c r="IO802" s="27">
        <v>44349</v>
      </c>
      <c r="IP802" s="27">
        <v>44397</v>
      </c>
      <c r="IQ802" s="27">
        <v>44501</v>
      </c>
      <c r="IR802" s="27">
        <v>44505</v>
      </c>
      <c r="IS802" s="18"/>
      <c r="IT802" s="18"/>
      <c r="IU802" s="18"/>
      <c r="IV802" s="18"/>
      <c r="IW802" s="18"/>
      <c r="IX802" s="18"/>
      <c r="IY802" s="18"/>
      <c r="IZ802" s="18"/>
      <c r="JA802" s="18"/>
      <c r="JB802" s="18"/>
      <c r="JC802" s="18"/>
    </row>
    <row r="803" spans="1:265" ht="15" customHeight="1">
      <c r="A803" s="2">
        <v>102024076</v>
      </c>
      <c r="B803" t="s">
        <v>5367</v>
      </c>
      <c r="D803" s="1"/>
      <c r="E803" s="3"/>
      <c r="G803" s="3"/>
      <c r="J803" t="s">
        <v>253</v>
      </c>
      <c r="K803" s="18" t="s">
        <v>5368</v>
      </c>
      <c r="L803" s="18" t="s">
        <v>1059</v>
      </c>
      <c r="M803" t="s">
        <v>403</v>
      </c>
      <c r="O803" s="3"/>
      <c r="AG803" s="43"/>
      <c r="AJ803" s="18" t="s">
        <v>5369</v>
      </c>
      <c r="AK803" s="1" t="s">
        <v>258</v>
      </c>
      <c r="AL803" s="18" t="s">
        <v>329</v>
      </c>
      <c r="AM803" t="s">
        <v>260</v>
      </c>
      <c r="AN803"/>
      <c r="AO803" t="s">
        <v>5370</v>
      </c>
      <c r="AP803" s="1" t="s">
        <v>258</v>
      </c>
      <c r="AQ803" t="s">
        <v>798</v>
      </c>
      <c r="AR803" t="s">
        <v>1485</v>
      </c>
      <c r="AS803" s="10"/>
      <c r="AT803" s="10"/>
      <c r="AU803" s="10"/>
      <c r="AV803" s="10"/>
      <c r="AW803" s="1"/>
      <c r="AY803" s="1"/>
      <c r="AZ803" s="1"/>
      <c r="BA803" s="1"/>
      <c r="BB803" s="1"/>
      <c r="BC803" s="2"/>
      <c r="BD803" s="115">
        <v>45415</v>
      </c>
      <c r="BE803" s="144">
        <v>45425</v>
      </c>
      <c r="BF803" s="2"/>
      <c r="BG803" s="2"/>
      <c r="BH803" s="2"/>
      <c r="BI803" s="2"/>
      <c r="BJ803" s="2"/>
      <c r="BK803" s="2"/>
      <c r="BL803" s="20">
        <f ca="1">SUM(EN803)+220</f>
        <v>1791.5072</v>
      </c>
      <c r="BM803" s="22">
        <f ca="1">PMT(10%/12,12,BL803,0,0)</f>
        <v>-157.50194496695025</v>
      </c>
      <c r="BN803" s="22">
        <f ca="1">SUM(BM803*-1)</f>
        <v>157.50194496695025</v>
      </c>
      <c r="BO803" s="14">
        <f>SUM(EV803*0.0052)/12</f>
        <v>42.639999999999993</v>
      </c>
      <c r="BP803" s="22">
        <f ca="1">SUM(BN803+BO803)</f>
        <v>200.14194496695023</v>
      </c>
      <c r="BQ803" s="14"/>
      <c r="BR803" s="14">
        <f>SUM(BQ803*0.1)</f>
        <v>0</v>
      </c>
      <c r="BS803" s="14">
        <f ca="1">SUM(BT803*BU803)</f>
        <v>0</v>
      </c>
      <c r="BT803" s="17">
        <f>SUM((BQ803+BR803)*0.00833333333333333)</f>
        <v>0</v>
      </c>
      <c r="BU803" s="23">
        <f ca="1">MONTH(TODAY())+61</f>
        <v>65</v>
      </c>
      <c r="BV803" s="14">
        <f ca="1">SUM(BQ803,BR803,BS803)</f>
        <v>0</v>
      </c>
      <c r="BW803" s="14"/>
      <c r="BX803" s="14">
        <f>SUM(BW803*0.1)</f>
        <v>0</v>
      </c>
      <c r="BY803" s="14">
        <f ca="1">SUM(BZ803*CA803)</f>
        <v>0</v>
      </c>
      <c r="BZ803" s="17">
        <f>SUM((BW803+BX803)*0.00833333333333333)</f>
        <v>0</v>
      </c>
      <c r="CA803" s="23">
        <f ca="1">MONTH(TODAY())+49</f>
        <v>53</v>
      </c>
      <c r="CB803" s="14">
        <f ca="1">SUM(BW803,BX803,BY803)</f>
        <v>0</v>
      </c>
      <c r="CC803" s="14">
        <v>0</v>
      </c>
      <c r="CD803" s="14">
        <f>SUM(CC803*0.1)</f>
        <v>0</v>
      </c>
      <c r="CE803" s="14">
        <f ca="1">SUM(CF803*CG803)</f>
        <v>0</v>
      </c>
      <c r="CF803" s="17">
        <f>SUM((CC803+CD803)*0.00833333333333333)</f>
        <v>0</v>
      </c>
      <c r="CG803" s="23">
        <f ca="1">MONTH(TODAY())+37</f>
        <v>41</v>
      </c>
      <c r="CH803" s="14">
        <f ca="1">SUM(CC803,CD803,CE803)</f>
        <v>0</v>
      </c>
      <c r="CI803" s="14">
        <v>0</v>
      </c>
      <c r="CJ803" s="14">
        <f>SUM(CI803*0.1)</f>
        <v>0</v>
      </c>
      <c r="CK803" s="14">
        <f ca="1">SUM(CL803*CM803)</f>
        <v>0</v>
      </c>
      <c r="CL803" s="17">
        <f>SUM((CI803+CJ803)*0.00833333333333333)</f>
        <v>0</v>
      </c>
      <c r="CM803" s="23">
        <f ca="1">MONTH(TODAY())+25</f>
        <v>29</v>
      </c>
      <c r="CN803" s="14">
        <f ca="1">SUM(CI803,CJ803,CK803)</f>
        <v>0</v>
      </c>
      <c r="CO803" s="14">
        <f>SUM(ES803*0.0052)/2</f>
        <v>215.28</v>
      </c>
      <c r="CP803" s="14">
        <f>SUM(CO803*0.1)</f>
        <v>21.528000000000002</v>
      </c>
      <c r="CQ803" s="14">
        <f ca="1">SUM(CR803*CS803)</f>
        <v>41.44139999999998</v>
      </c>
      <c r="CR803" s="17">
        <f>SUM((CO803+CP803)*0.00833333333333333)</f>
        <v>1.9733999999999992</v>
      </c>
      <c r="CS803" s="23">
        <f ca="1">MONTH(TODAY())+17</f>
        <v>21</v>
      </c>
      <c r="CT803" s="23">
        <f ca="1">SUM(CO803,CP803,CQ803)</f>
        <v>278.24939999999998</v>
      </c>
      <c r="CU803" s="14">
        <f>SUM(ES803*0.0052)/2</f>
        <v>215.28</v>
      </c>
      <c r="CV803" s="14">
        <f>SUM(CU803*0.1)</f>
        <v>21.528000000000002</v>
      </c>
      <c r="CW803" s="14">
        <f ca="1">SUM(CX803*CY803)</f>
        <v>33.547799999999988</v>
      </c>
      <c r="CX803" s="17">
        <f>SUM((CU803+CV803)*0.00833333333333333)</f>
        <v>1.9733999999999992</v>
      </c>
      <c r="CY803" s="23">
        <f ca="1">MONTH(TODAY())+13</f>
        <v>17</v>
      </c>
      <c r="CZ803" s="23">
        <f ca="1">SUM(CU803,CV803,CW803)</f>
        <v>270.35579999999999</v>
      </c>
      <c r="DA803" s="14">
        <f>SUM(EV803*0.0045)/2</f>
        <v>221.39999999999998</v>
      </c>
      <c r="DB803" s="14">
        <f>SUM(DA803*0.1)</f>
        <v>22.14</v>
      </c>
      <c r="DC803" s="14">
        <f ca="1">SUM(DD803*DE803)</f>
        <v>22.324499999999986</v>
      </c>
      <c r="DD803" s="17">
        <f>SUM((DA803+DB803)*0.00833333333333333)</f>
        <v>2.0294999999999987</v>
      </c>
      <c r="DE803" s="23">
        <f ca="1">MONTH(TODAY())+7</f>
        <v>11</v>
      </c>
      <c r="DF803" s="23">
        <f ca="1">SUM(DA803,DB803,DC803)</f>
        <v>265.86449999999996</v>
      </c>
      <c r="DG803" s="14">
        <f>SUM(EV803*0.0045)/2</f>
        <v>221.39999999999998</v>
      </c>
      <c r="DH803" s="14">
        <f>SUM(DG803*0.1)</f>
        <v>22.14</v>
      </c>
      <c r="DI803" s="14">
        <f ca="1">SUM(DJ803*DK803)</f>
        <v>10.147499999999994</v>
      </c>
      <c r="DJ803" s="17">
        <f>SUM((DG803+DH803)*0.00833333333333333)</f>
        <v>2.0294999999999987</v>
      </c>
      <c r="DK803" s="23">
        <f ca="1">MONTH(TODAY())+1</f>
        <v>5</v>
      </c>
      <c r="DL803" s="14">
        <f ca="1">SUM(DG803,DH803,DI803)</f>
        <v>253.68749999999994</v>
      </c>
      <c r="DM803" s="14">
        <f>SUM(EV803*0.0045)/2</f>
        <v>221.39999999999998</v>
      </c>
      <c r="DN803" s="14">
        <f>0</f>
        <v>0</v>
      </c>
      <c r="DO803" s="14">
        <f>0</f>
        <v>0</v>
      </c>
      <c r="DP803" s="17">
        <f>SUM((DM803+DN803)*0.00833333333333333)</f>
        <v>1.8449999999999991</v>
      </c>
      <c r="DQ803" s="23">
        <f ca="1">MONTH(TODAY())+7</f>
        <v>11</v>
      </c>
      <c r="DR803" s="23">
        <f>SUM(DM803,DN803,DO803)</f>
        <v>221.39999999999998</v>
      </c>
      <c r="DS803" s="14">
        <f>0</f>
        <v>0</v>
      </c>
      <c r="DT803" s="14">
        <f>0</f>
        <v>0</v>
      </c>
      <c r="DU803" s="14">
        <f ca="1">SUM(DV803*DW803)</f>
        <v>0</v>
      </c>
      <c r="DV803" s="17">
        <f>SUM((DS803+DT803)*0.00833333333333333)</f>
        <v>0</v>
      </c>
      <c r="DW803" s="23">
        <f ca="1">MONTH(TODAY())+1</f>
        <v>5</v>
      </c>
      <c r="DX803" s="14">
        <f ca="1">SUM(DS803,DT803,DU803)</f>
        <v>0</v>
      </c>
      <c r="DY803" s="14">
        <f>SUM( BQ803, BW803, CC803, CI803, CO803,CU803,DA803,DG803,DM803,DS803)</f>
        <v>1094.76</v>
      </c>
      <c r="DZ803" s="14">
        <f>SUM(BR803,BX803,CD803,CJ803, CP803,CV803,DB803,DH803,DN803,DT803)</f>
        <v>87.335999999999999</v>
      </c>
      <c r="EA803" s="14">
        <f ca="1">SUM(BS803,BY803,CE803,CK803, CQ803,CW803,DC803,DI803,DO803,DU803)</f>
        <v>107.46119999999995</v>
      </c>
      <c r="EB803" s="25">
        <f ca="1">SUM(DY803:EA803)</f>
        <v>1289.5572</v>
      </c>
      <c r="EC803" s="47">
        <f ca="1">SUM(EB803/ES803)</f>
        <v>1.5574362318840579E-2</v>
      </c>
      <c r="ED803" s="14">
        <f>20+10+100</f>
        <v>130</v>
      </c>
      <c r="EE803" s="32">
        <f>COUNTIF(AO803, "*")+COUNTIF(AJ803, "*")+COUNTIF(AA803, "*")+COUNTIF(FG803, "*")+COUNTIF(FM803, "*")+COUNTIF(FS803, "*")+COUNTIF(FW803, "*")+COUNTIF(GD803, "*")+COUNTIF(AS803, "*")+COUNTIF(GM803, "*")+COUNTIF(GX803, "*")+COUNTIF(HI803, "*")+COUNTIF(HQ803, "*")+COUNTIF(HY803, "*")+COUNTIF(IG803, "*")</f>
        <v>3</v>
      </c>
      <c r="EF803" s="14">
        <f>1.28+EE803*8</f>
        <v>25.28</v>
      </c>
      <c r="EG803" s="4">
        <v>100</v>
      </c>
      <c r="EH803" s="4">
        <v>26.67</v>
      </c>
      <c r="EI803" s="4"/>
      <c r="EJ803" s="4"/>
      <c r="EL803" s="4"/>
      <c r="EM803" s="14">
        <f>SUM(EH803:EL803)</f>
        <v>26.67</v>
      </c>
      <c r="EN803" s="14">
        <f ca="1">SUM(EB803,ED803,EM803, EG803, EF803,GJ803)</f>
        <v>1571.5072</v>
      </c>
      <c r="EO803" s="24" t="s">
        <v>4935</v>
      </c>
      <c r="EP803" s="23">
        <v>0.73</v>
      </c>
      <c r="EQ803" s="14">
        <v>11700</v>
      </c>
      <c r="ER803" s="14">
        <v>71100</v>
      </c>
      <c r="ES803" s="14">
        <f>SUM(EQ803+ER803)</f>
        <v>82800</v>
      </c>
      <c r="ET803" s="14">
        <v>11700</v>
      </c>
      <c r="EU803" s="14">
        <v>86700</v>
      </c>
      <c r="EV803" s="14">
        <f>SUM(ET803+EU803)</f>
        <v>98400</v>
      </c>
      <c r="EW803" s="10" t="s">
        <v>5633</v>
      </c>
      <c r="EX803" s="10" t="s">
        <v>5634</v>
      </c>
      <c r="EY803" s="10" t="s">
        <v>5631</v>
      </c>
      <c r="FA803" s="10"/>
      <c r="FB803" s="10"/>
      <c r="FC803" s="10"/>
      <c r="FD803" s="10"/>
      <c r="FV803" t="s">
        <v>5636</v>
      </c>
      <c r="FW803" t="s">
        <v>5637</v>
      </c>
      <c r="FY803" t="s">
        <v>543</v>
      </c>
      <c r="FZ803" t="s">
        <v>544</v>
      </c>
      <c r="GA803" s="9">
        <v>44494</v>
      </c>
      <c r="GB803" t="s">
        <v>5638</v>
      </c>
      <c r="GJ803" s="4"/>
      <c r="IK803" s="9"/>
      <c r="IV803" s="4"/>
      <c r="IW803" s="4"/>
      <c r="IX803" s="4"/>
      <c r="IY803" s="9"/>
      <c r="IZ803" s="9"/>
      <c r="JA803" s="9"/>
      <c r="JB803" s="9"/>
      <c r="JC803" s="9"/>
    </row>
    <row r="804" spans="1:265" ht="15" customHeight="1">
      <c r="A804" s="2">
        <v>102024077</v>
      </c>
      <c r="B804" t="s">
        <v>5371</v>
      </c>
      <c r="D804" s="1"/>
      <c r="E804" s="3"/>
      <c r="G804" s="3"/>
      <c r="J804" t="s">
        <v>253</v>
      </c>
      <c r="K804" s="18" t="s">
        <v>5368</v>
      </c>
      <c r="L804" s="18" t="s">
        <v>1059</v>
      </c>
      <c r="M804" t="s">
        <v>403</v>
      </c>
      <c r="O804" s="3"/>
      <c r="AG804" s="43"/>
      <c r="AJ804" s="18" t="s">
        <v>328</v>
      </c>
      <c r="AK804" s="1"/>
      <c r="AL804" s="18" t="s">
        <v>329</v>
      </c>
      <c r="AM804"/>
      <c r="AN804"/>
      <c r="AO804" t="s">
        <v>5370</v>
      </c>
      <c r="AP804" s="1" t="s">
        <v>258</v>
      </c>
      <c r="AQ804" t="s">
        <v>798</v>
      </c>
      <c r="AR804" t="s">
        <v>1485</v>
      </c>
      <c r="AS804" s="10"/>
      <c r="AT804" s="10"/>
      <c r="AU804" s="10"/>
      <c r="AV804" s="10"/>
      <c r="AW804" s="1"/>
      <c r="AY804" s="1"/>
      <c r="AZ804" s="1"/>
      <c r="BA804" s="1"/>
      <c r="BB804" s="1"/>
      <c r="BC804" s="2"/>
      <c r="BD804" s="116"/>
      <c r="BE804" s="144">
        <v>45425</v>
      </c>
      <c r="BF804" s="2"/>
      <c r="BG804" s="2"/>
      <c r="BH804" s="2"/>
      <c r="BI804" s="2"/>
      <c r="BJ804" s="2"/>
      <c r="BK804" s="2"/>
      <c r="BL804" s="20">
        <f ca="1">SUM(EN804)+220</f>
        <v>605.42110000000002</v>
      </c>
      <c r="BM804" s="22">
        <f ca="1">PMT(10%/12,12,BL804,0,0)</f>
        <v>-53.226133154268368</v>
      </c>
      <c r="BN804" s="22">
        <f ca="1">SUM(BM804*-1)</f>
        <v>53.226133154268368</v>
      </c>
      <c r="BO804" s="14">
        <f>SUM(EV804*0.0052)/12</f>
        <v>4.29</v>
      </c>
      <c r="BP804" s="22">
        <f ca="1">SUM(BN804+BO804)</f>
        <v>57.516133154268367</v>
      </c>
      <c r="BQ804" s="14"/>
      <c r="BR804" s="14">
        <f>SUM(BQ804*0.1)</f>
        <v>0</v>
      </c>
      <c r="BS804" s="14">
        <f ca="1">SUM(BT804*BU804)</f>
        <v>0</v>
      </c>
      <c r="BT804" s="17">
        <f>SUM((BQ804+BR804)*0.00833333333333333)</f>
        <v>0</v>
      </c>
      <c r="BU804" s="23">
        <f ca="1">MONTH(TODAY())+61</f>
        <v>65</v>
      </c>
      <c r="BV804" s="14">
        <f ca="1">SUM(BQ804,BR804,BS804)</f>
        <v>0</v>
      </c>
      <c r="BW804" s="14"/>
      <c r="BX804" s="14">
        <f>SUM(BW804*0.1)</f>
        <v>0</v>
      </c>
      <c r="BY804" s="14">
        <f ca="1">SUM(BZ804*CA804)</f>
        <v>0</v>
      </c>
      <c r="BZ804" s="17">
        <f>SUM((BW804+BX804)*0.00833333333333333)</f>
        <v>0</v>
      </c>
      <c r="CA804" s="23">
        <f ca="1">MONTH(TODAY())+49</f>
        <v>53</v>
      </c>
      <c r="CB804" s="14">
        <f ca="1">SUM(BW804,BX804,BY804)</f>
        <v>0</v>
      </c>
      <c r="CC804" s="14">
        <v>0</v>
      </c>
      <c r="CD804" s="14">
        <f>SUM(CC804*0.1)</f>
        <v>0</v>
      </c>
      <c r="CE804" s="14">
        <f ca="1">SUM(CF804*CG804)</f>
        <v>0</v>
      </c>
      <c r="CF804" s="17">
        <f>SUM((CC804+CD804)*0.00833333333333333)</f>
        <v>0</v>
      </c>
      <c r="CG804" s="23">
        <f ca="1">MONTH(TODAY())+37</f>
        <v>41</v>
      </c>
      <c r="CH804" s="14">
        <f ca="1">SUM(CC804,CD804,CE804)</f>
        <v>0</v>
      </c>
      <c r="CI804" s="14">
        <v>0</v>
      </c>
      <c r="CJ804" s="14">
        <f>SUM(CI804*0.1)</f>
        <v>0</v>
      </c>
      <c r="CK804" s="14">
        <f ca="1">SUM(CL804*CM804)</f>
        <v>0</v>
      </c>
      <c r="CL804" s="17">
        <f>SUM((CI804+CJ804)*0.00833333333333333)</f>
        <v>0</v>
      </c>
      <c r="CM804" s="23">
        <f ca="1">MONTH(TODAY())+25</f>
        <v>29</v>
      </c>
      <c r="CN804" s="14">
        <f ca="1">SUM(CI804,CJ804,CK804)</f>
        <v>0</v>
      </c>
      <c r="CO804" s="14">
        <f>SUM(ES804*0.0052)/2</f>
        <v>25.74</v>
      </c>
      <c r="CP804" s="14">
        <f>SUM(CO804*0.1)</f>
        <v>2.5739999999999998</v>
      </c>
      <c r="CQ804" s="14">
        <f ca="1">SUM(CR804*CS804)</f>
        <v>4.9549499999999984</v>
      </c>
      <c r="CR804" s="17">
        <f>SUM((CO804+CP804)*0.00833333333333333)</f>
        <v>0.23594999999999991</v>
      </c>
      <c r="CS804" s="23">
        <f ca="1">MONTH(TODAY())+17</f>
        <v>21</v>
      </c>
      <c r="CT804" s="23">
        <f ca="1">SUM(CO804,CP804,CQ804)</f>
        <v>33.268949999999997</v>
      </c>
      <c r="CU804" s="14">
        <f>SUM(ES804*0.0052)/2</f>
        <v>25.74</v>
      </c>
      <c r="CV804" s="14">
        <f>SUM(CU804*0.1)</f>
        <v>2.5739999999999998</v>
      </c>
      <c r="CW804" s="14">
        <f ca="1">SUM(CX804*CY804)</f>
        <v>4.0111499999999989</v>
      </c>
      <c r="CX804" s="17">
        <f>SUM((CU804+CV804)*0.00833333333333333)</f>
        <v>0.23594999999999991</v>
      </c>
      <c r="CY804" s="23">
        <f ca="1">MONTH(TODAY())+13</f>
        <v>17</v>
      </c>
      <c r="CZ804" s="23">
        <f ca="1">SUM(CU804,CV804,CW804)</f>
        <v>32.325150000000001</v>
      </c>
      <c r="DA804" s="14">
        <f>SUM(EV804*0.0045)/2</f>
        <v>22.274999999999999</v>
      </c>
      <c r="DB804" s="14">
        <f>SUM(DA804*0.1)</f>
        <v>2.2275</v>
      </c>
      <c r="DC804" s="14">
        <f ca="1">SUM(DD804*DE804)</f>
        <v>2.2460624999999985</v>
      </c>
      <c r="DD804" s="17">
        <f>SUM((DA804+DB804)*0.00833333333333333)</f>
        <v>0.20418749999999988</v>
      </c>
      <c r="DE804" s="23">
        <f ca="1">MONTH(TODAY())+7</f>
        <v>11</v>
      </c>
      <c r="DF804" s="23">
        <f ca="1">SUM(DA804,DB804,DC804)</f>
        <v>26.748562499999995</v>
      </c>
      <c r="DG804" s="14">
        <f>SUM(EV804*0.0045)/2</f>
        <v>22.274999999999999</v>
      </c>
      <c r="DH804" s="14">
        <f>SUM(DG804*0.1)</f>
        <v>2.2275</v>
      </c>
      <c r="DI804" s="14">
        <f ca="1">SUM(DJ804*DK804)</f>
        <v>1.0209374999999994</v>
      </c>
      <c r="DJ804" s="17">
        <f>SUM((DG804+DH804)*0.00833333333333333)</f>
        <v>0.20418749999999988</v>
      </c>
      <c r="DK804" s="23">
        <f ca="1">MONTH(TODAY())+1</f>
        <v>5</v>
      </c>
      <c r="DL804" s="14">
        <f ca="1">SUM(DG804,DH804,DI804)</f>
        <v>25.523437499999996</v>
      </c>
      <c r="DM804" s="14">
        <f>SUM(EV804*0.0045)/2</f>
        <v>22.274999999999999</v>
      </c>
      <c r="DN804" s="14">
        <f>0</f>
        <v>0</v>
      </c>
      <c r="DO804" s="14">
        <f>0</f>
        <v>0</v>
      </c>
      <c r="DP804" s="17">
        <f>SUM((DM804+DN804)*0.00833333333333333)</f>
        <v>0.1856249999999999</v>
      </c>
      <c r="DQ804" s="23">
        <f ca="1">MONTH(TODAY())+7</f>
        <v>11</v>
      </c>
      <c r="DR804" s="23">
        <f>SUM(DM804,DN804,DO804)</f>
        <v>22.274999999999999</v>
      </c>
      <c r="DS804" s="14">
        <f>0</f>
        <v>0</v>
      </c>
      <c r="DT804" s="14">
        <f>0</f>
        <v>0</v>
      </c>
      <c r="DU804" s="14">
        <f ca="1">SUM(DV804*DW804)</f>
        <v>0</v>
      </c>
      <c r="DV804" s="17">
        <f>SUM((DS804+DT804)*0.00833333333333333)</f>
        <v>0</v>
      </c>
      <c r="DW804" s="23">
        <f ca="1">MONTH(TODAY())+1</f>
        <v>5</v>
      </c>
      <c r="DX804" s="14">
        <f ca="1">SUM(DS804,DT804,DU804)</f>
        <v>0</v>
      </c>
      <c r="DY804" s="14">
        <f>SUM( BQ804, BW804, CC804, CI804, CO804,CU804,DA804,DG804,DM804,DS804)</f>
        <v>118.30500000000001</v>
      </c>
      <c r="DZ804" s="14">
        <f>SUM(BR804,BX804,CD804,CJ804, CP804,CV804,DB804,DH804,DN804,DT804)</f>
        <v>9.6029999999999998</v>
      </c>
      <c r="EA804" s="14">
        <f ca="1">SUM(BS804,BY804,CE804,CK804, CQ804,CW804,DC804,DI804,DO804,DU804)</f>
        <v>12.233099999999995</v>
      </c>
      <c r="EB804" s="25">
        <f ca="1">SUM(DY804:EA804)</f>
        <v>140.14109999999999</v>
      </c>
      <c r="EC804" s="47">
        <f ca="1">SUM(EB804/ES804)</f>
        <v>1.4155666666666665E-2</v>
      </c>
      <c r="ED804" s="14">
        <f>20+100</f>
        <v>120</v>
      </c>
      <c r="EE804" s="32">
        <f>COUNTIF(AO804, "*")+COUNTIF(AJ804, "*")+COUNTIF(AA804, "*")+COUNTIF(FG804, "*")+COUNTIF(FM804, "*")+COUNTIF(FS804, "*")+COUNTIF(FW804, "*")+COUNTIF(GD804, "*")+COUNTIF(AS804, "*")+COUNTIF(GM804, "*")+COUNTIF(GX804, "*")+COUNTIF(HI804, "*")+COUNTIF(HQ804, "*")+COUNTIF(HY804, "*")+COUNTIF(IG804, "*")</f>
        <v>3</v>
      </c>
      <c r="EF804" s="14">
        <f>1.28+EE804*8</f>
        <v>25.28</v>
      </c>
      <c r="EG804" s="4">
        <v>100</v>
      </c>
      <c r="EH804" s="4"/>
      <c r="EI804" s="4"/>
      <c r="EJ804" s="4"/>
      <c r="EL804" s="4"/>
      <c r="EM804" s="14">
        <f>SUM(EH804:EL804)</f>
        <v>0</v>
      </c>
      <c r="EN804" s="14">
        <f ca="1">SUM(EB804,ED804,EM804, EG804, EF804,GJ804)</f>
        <v>385.42110000000002</v>
      </c>
      <c r="EO804" s="24" t="s">
        <v>4935</v>
      </c>
      <c r="EP804" s="23">
        <v>0.62</v>
      </c>
      <c r="EQ804" s="14">
        <v>9900</v>
      </c>
      <c r="ER804" s="14">
        <v>0</v>
      </c>
      <c r="ES804" s="14">
        <f>SUM(EQ804+ER804)</f>
        <v>9900</v>
      </c>
      <c r="ET804" s="14">
        <v>9900</v>
      </c>
      <c r="EU804" s="14">
        <v>0</v>
      </c>
      <c r="EV804" s="14">
        <f>SUM(ET804+EU804)</f>
        <v>9900</v>
      </c>
      <c r="EW804" s="10" t="s">
        <v>5632</v>
      </c>
      <c r="EX804" s="10" t="s">
        <v>5635</v>
      </c>
      <c r="EY804" s="10" t="s">
        <v>5631</v>
      </c>
      <c r="EZ804" s="10"/>
      <c r="FA804" s="10"/>
      <c r="FB804" s="10"/>
      <c r="FC804" s="10"/>
      <c r="FD804" s="10"/>
      <c r="FV804" t="s">
        <v>5636</v>
      </c>
      <c r="FW804" t="s">
        <v>5637</v>
      </c>
      <c r="FY804" t="s">
        <v>543</v>
      </c>
      <c r="FZ804" t="s">
        <v>544</v>
      </c>
      <c r="GA804" s="9">
        <v>44494</v>
      </c>
      <c r="GB804" t="s">
        <v>5638</v>
      </c>
      <c r="GJ804" s="4"/>
      <c r="IK804" s="9"/>
      <c r="IV804" s="4"/>
      <c r="IW804" s="4"/>
      <c r="IX804" s="4"/>
      <c r="IY804" s="9"/>
      <c r="IZ804" s="9"/>
      <c r="JA804" s="9"/>
      <c r="JB804" s="9"/>
      <c r="JC804" s="9"/>
    </row>
    <row r="805" spans="1:265" ht="15" customHeight="1">
      <c r="A805" s="19">
        <v>102021101</v>
      </c>
      <c r="B805" s="18" t="s">
        <v>2649</v>
      </c>
      <c r="D805" s="1"/>
      <c r="J805" s="18" t="s">
        <v>554</v>
      </c>
      <c r="K805" s="18" t="s">
        <v>2650</v>
      </c>
      <c r="L805" s="18" t="s">
        <v>420</v>
      </c>
      <c r="M805" s="18" t="s">
        <v>357</v>
      </c>
      <c r="P805" s="18" t="s">
        <v>3411</v>
      </c>
      <c r="Q805" s="18" t="s">
        <v>2651</v>
      </c>
      <c r="R805" s="18" t="s">
        <v>392</v>
      </c>
      <c r="AG805" s="43"/>
      <c r="AM805"/>
      <c r="AN805"/>
      <c r="AO805" s="3" t="s">
        <v>2652</v>
      </c>
      <c r="AP805" s="3" t="s">
        <v>258</v>
      </c>
      <c r="AQ805" s="3" t="s">
        <v>329</v>
      </c>
      <c r="AR805" s="3" t="s">
        <v>260</v>
      </c>
      <c r="AS805" s="1"/>
      <c r="AT805" s="1"/>
      <c r="AU805" s="1"/>
      <c r="AV805" s="1"/>
      <c r="AW805" s="1"/>
      <c r="AX805" s="70">
        <v>44645</v>
      </c>
      <c r="AY805" s="115">
        <v>44598</v>
      </c>
      <c r="AZ805" s="114">
        <v>44615</v>
      </c>
      <c r="BA805" s="2"/>
      <c r="BB805" s="2"/>
      <c r="BC805" s="2"/>
      <c r="BD805" s="2"/>
      <c r="BE805" s="2"/>
      <c r="BF805" s="2"/>
      <c r="BG805" s="20">
        <f ca="1">SUM(CY805)+214.5</f>
        <v>1397.2134000000001</v>
      </c>
      <c r="BH805" s="22">
        <f ca="1">PMT(10%/12,12,BG805,0,0)</f>
        <v>-122.83725571065828</v>
      </c>
      <c r="BI805" s="22">
        <f ca="1">SUM(BH805*-1)</f>
        <v>122.83725571065828</v>
      </c>
      <c r="BJ805" s="14">
        <f>SUM(DI805*0.0052)/12</f>
        <v>16.206666666666667</v>
      </c>
      <c r="BK805" s="22">
        <f ca="1">SUM(BI805+BJ805)</f>
        <v>139.04392237732495</v>
      </c>
      <c r="BL805" s="14"/>
      <c r="BM805" s="14">
        <f>SUM(BL805*0.1)</f>
        <v>0</v>
      </c>
      <c r="BN805" s="14">
        <f ca="1">SUM(BO805*BP805)</f>
        <v>0</v>
      </c>
      <c r="BO805" s="17">
        <f>SUM((BL805+BM805)*0.00833333333333333)</f>
        <v>0</v>
      </c>
      <c r="BP805" s="23">
        <f ca="1">MONTH(TODAY())+49</f>
        <v>53</v>
      </c>
      <c r="BQ805" s="14">
        <f ca="1">SUM(BL805,BM805,BN805)</f>
        <v>0</v>
      </c>
      <c r="BR805" s="14"/>
      <c r="BS805" s="14">
        <f>SUM(BR805*0.1)</f>
        <v>0</v>
      </c>
      <c r="BT805" s="14">
        <f ca="1">SUM(BU805*BV805)</f>
        <v>0</v>
      </c>
      <c r="BU805" s="17">
        <f>SUM((BR805+BS805)*0.00833333333333333)</f>
        <v>0</v>
      </c>
      <c r="BV805" s="23">
        <f ca="1">MONTH(TODAY())+37</f>
        <v>41</v>
      </c>
      <c r="BW805" s="14">
        <f ca="1">SUM(BR805,BS805,BT805)</f>
        <v>0</v>
      </c>
      <c r="BX805" s="14">
        <f>SUM(DI805*0.0052)</f>
        <v>194.48</v>
      </c>
      <c r="BY805" s="14">
        <f>SUM(BX805*0.1)</f>
        <v>19.448</v>
      </c>
      <c r="BZ805" s="14">
        <f ca="1">SUM(CA805*CB805)</f>
        <v>51.699266666666645</v>
      </c>
      <c r="CA805" s="17">
        <f>SUM((BX805+BY805)*0.00833333333333333)</f>
        <v>1.7827333333333326</v>
      </c>
      <c r="CB805" s="23">
        <f ca="1">MONTH(TODAY())+25</f>
        <v>29</v>
      </c>
      <c r="CC805" s="14">
        <f ca="1">SUM(BX805,BY805,BZ805)</f>
        <v>265.62726666666663</v>
      </c>
      <c r="CD805" s="14">
        <f>SUM(DI805*0.0052)</f>
        <v>194.48</v>
      </c>
      <c r="CE805" s="14">
        <f>SUM(CD805*0.1)</f>
        <v>19.448</v>
      </c>
      <c r="CF805" s="14">
        <f ca="1">SUM(CG805*CH805)</f>
        <v>30.306466666666655</v>
      </c>
      <c r="CG805" s="17">
        <f>SUM((CD805+CE805)*0.00833333333333333)</f>
        <v>1.7827333333333326</v>
      </c>
      <c r="CH805" s="23">
        <f ca="1">MONTH(TODAY())+13</f>
        <v>17</v>
      </c>
      <c r="CI805" s="14">
        <f ca="1">SUM(CD805,CE805,CF805)</f>
        <v>244.23446666666666</v>
      </c>
      <c r="CJ805" s="14">
        <f>SUM(DI805*0.0052)</f>
        <v>194.48</v>
      </c>
      <c r="CK805" s="14">
        <f>SUM(CJ805*0.1)</f>
        <v>19.448</v>
      </c>
      <c r="CL805" s="14">
        <f ca="1">SUM(CM805*CN805)</f>
        <v>8.9136666666666624</v>
      </c>
      <c r="CM805" s="17">
        <f>SUM((CJ805+CK805)*0.00833333333333333)</f>
        <v>1.7827333333333326</v>
      </c>
      <c r="CN805" s="23">
        <f ca="1">MONTH(TODAY())+1</f>
        <v>5</v>
      </c>
      <c r="CO805" s="14">
        <f ca="1">SUM(CJ805,CK805,CL805)</f>
        <v>222.84166666666667</v>
      </c>
      <c r="CP805" s="14">
        <f>SUM(BL805, BR805,BX805,CD805,CJ805)</f>
        <v>583.43999999999994</v>
      </c>
      <c r="CQ805" s="14">
        <f>SUM(BM805, BS805,BY805,CE805,CK805)</f>
        <v>58.344000000000001</v>
      </c>
      <c r="CR805" s="14">
        <f ca="1">SUM(BN805, BT805,BZ805,CF805,CL805)</f>
        <v>90.919399999999953</v>
      </c>
      <c r="CS805" s="14">
        <f ca="1">SUM(CP805:CR805)</f>
        <v>732.70339999999999</v>
      </c>
      <c r="CT805" s="47">
        <f ca="1">SUM(CS805/DI805)</f>
        <v>1.9591000000000001E-2</v>
      </c>
      <c r="CU805" s="14">
        <f>19.5+19.5+195</f>
        <v>234</v>
      </c>
      <c r="CV805" s="32">
        <f>COUNTIF(DB805, "*")+COUNTIF(AO805, "*")+COUNTIF(AJ805, "*")+COUNTIF(AA805, "*")+COUNTIF(DY805, "*")+COUNTIF(EE805, "*")+COUNTIF(EK805, "*")+COUNTIF(EO805, "*")+COUNTIF(EV805, "*")+COUNTIF(FC805, "*")+COUNTIF(FJ805, "*")+COUNTIF(FU805, "*")+COUNTIF(GF805, "*")+COUNTIF(GN805, "*")+COUNTIF(GV805, "*")+COUNTIF(HD805, "*")+COUNTIF(HL805, "*")</f>
        <v>3</v>
      </c>
      <c r="CW805" s="14">
        <f>CV805*0.5+CV805*6.66</f>
        <v>21.48</v>
      </c>
      <c r="CX805" s="4">
        <v>150</v>
      </c>
      <c r="CY805" s="14">
        <f ca="1">SUM(CS805,CU805,DE805, CX805, CW805,FG805)</f>
        <v>1182.7134000000001</v>
      </c>
      <c r="CZ805" s="14">
        <v>44.53</v>
      </c>
      <c r="DE805" s="14">
        <f>SUM(CZ805:DD805)</f>
        <v>44.53</v>
      </c>
      <c r="DF805" s="24" t="s">
        <v>2770</v>
      </c>
      <c r="DG805" s="4">
        <v>31400</v>
      </c>
      <c r="DH805" s="4">
        <v>6000</v>
      </c>
      <c r="DI805" s="25">
        <f>SUM(DG805+DH805)</f>
        <v>37400</v>
      </c>
      <c r="DJ805" s="35">
        <v>9.0489999999999995</v>
      </c>
      <c r="DK805" t="s">
        <v>3418</v>
      </c>
      <c r="DL805" t="s">
        <v>3417</v>
      </c>
      <c r="DM805" t="s">
        <v>3419</v>
      </c>
      <c r="DW805" t="s">
        <v>3412</v>
      </c>
      <c r="DY805" t="s">
        <v>3413</v>
      </c>
      <c r="EA805" t="s">
        <v>329</v>
      </c>
      <c r="EB805" t="s">
        <v>260</v>
      </c>
      <c r="EC805" t="s">
        <v>3414</v>
      </c>
      <c r="EE805" s="18" t="s">
        <v>3416</v>
      </c>
      <c r="EF805" t="s">
        <v>3415</v>
      </c>
      <c r="EG805" t="s">
        <v>567</v>
      </c>
      <c r="EH805" t="s">
        <v>821</v>
      </c>
      <c r="IC805" s="4"/>
      <c r="IZ805" s="240"/>
      <c r="JA805" s="240"/>
      <c r="JB805" s="240"/>
      <c r="JC805" s="240"/>
    </row>
    <row r="806" spans="1:265" ht="15" customHeight="1">
      <c r="A806" s="2">
        <v>102017038</v>
      </c>
      <c r="B806" t="s">
        <v>880</v>
      </c>
      <c r="F806">
        <v>180000384</v>
      </c>
      <c r="J806" t="s">
        <v>881</v>
      </c>
      <c r="K806" t="s">
        <v>882</v>
      </c>
      <c r="L806" t="s">
        <v>424</v>
      </c>
      <c r="M806" t="s">
        <v>326</v>
      </c>
      <c r="O806" s="1" t="s">
        <v>258</v>
      </c>
      <c r="P806" t="s">
        <v>882</v>
      </c>
      <c r="Q806" t="s">
        <v>883</v>
      </c>
      <c r="R806" t="s">
        <v>403</v>
      </c>
      <c r="T806" s="1"/>
      <c r="X806" s="18"/>
      <c r="AL806" s="1"/>
      <c r="AW806" s="4"/>
      <c r="AX806" s="4"/>
      <c r="AY806" s="6"/>
      <c r="AZ806" s="7"/>
      <c r="BA806" s="4"/>
      <c r="BC806" s="4"/>
      <c r="BD806" s="4"/>
      <c r="BE806" s="6"/>
      <c r="BF806" s="7"/>
      <c r="BG806" s="4"/>
      <c r="BH806" s="4"/>
      <c r="BI806" s="4"/>
      <c r="BJ806" s="4"/>
      <c r="BK806" s="6"/>
      <c r="BL806" s="7"/>
      <c r="BM806" s="4"/>
      <c r="BO806" s="4"/>
      <c r="BP806" s="4"/>
      <c r="BQ806" s="6"/>
      <c r="BR806" s="7"/>
      <c r="BS806" s="4"/>
      <c r="BT806" s="4"/>
      <c r="BU806" s="4"/>
      <c r="BV806" s="4"/>
      <c r="BW806" s="6"/>
      <c r="BX806" s="7"/>
      <c r="BY806" s="4"/>
      <c r="BZ806" s="4"/>
      <c r="CA806" s="4"/>
      <c r="CB806" s="4"/>
      <c r="CC806" s="6"/>
      <c r="CD806" s="7"/>
      <c r="CE806" s="4"/>
      <c r="CF806" s="4"/>
      <c r="CG806" s="4"/>
      <c r="CH806" s="4"/>
      <c r="CI806" s="6"/>
      <c r="CJ806" s="7"/>
      <c r="CK806" s="4"/>
      <c r="CL806" s="4"/>
      <c r="CM806" s="4"/>
      <c r="CN806" s="4"/>
      <c r="CO806" s="6"/>
      <c r="CP806" s="7"/>
      <c r="CQ806" s="4"/>
      <c r="CR806" s="4"/>
      <c r="CS806" s="4"/>
      <c r="CT806" s="4"/>
      <c r="CU806" s="6"/>
      <c r="CV806" s="7"/>
      <c r="CW806" s="4"/>
      <c r="CX806" s="4"/>
      <c r="CY806" s="4"/>
      <c r="CZ806" s="4"/>
      <c r="DA806" s="4"/>
      <c r="DB806" s="4"/>
      <c r="DC806" s="4"/>
      <c r="DD806" s="4"/>
      <c r="DE806" s="4"/>
      <c r="DF806" s="4"/>
      <c r="DG806" s="4"/>
      <c r="DH806" s="4"/>
      <c r="DI806" s="4"/>
      <c r="DJ806" s="4"/>
      <c r="DK806" s="4"/>
      <c r="DL806" s="4"/>
      <c r="DM806" s="4"/>
      <c r="DN806" s="4"/>
      <c r="DQ806" s="4"/>
      <c r="DR806" s="4"/>
      <c r="DW806" s="18"/>
      <c r="EA806" s="4"/>
      <c r="EC806" s="18"/>
      <c r="EE806" s="4"/>
      <c r="EF806" s="4"/>
      <c r="EG806" s="4"/>
      <c r="EH806" s="3"/>
      <c r="EI806" s="11"/>
      <c r="FR806" s="10"/>
      <c r="FY806" s="10"/>
      <c r="GK806" s="9"/>
    </row>
    <row r="807" spans="1:265" ht="15" customHeight="1">
      <c r="A807" s="2">
        <v>102017014</v>
      </c>
      <c r="B807" t="s">
        <v>801</v>
      </c>
      <c r="E807" t="s">
        <v>802</v>
      </c>
      <c r="F807" s="2">
        <v>170006441</v>
      </c>
      <c r="G807">
        <v>180000383</v>
      </c>
      <c r="J807" t="s">
        <v>510</v>
      </c>
      <c r="K807" t="s">
        <v>803</v>
      </c>
      <c r="L807" t="s">
        <v>804</v>
      </c>
      <c r="O807" s="1" t="s">
        <v>258</v>
      </c>
      <c r="P807" t="s">
        <v>803</v>
      </c>
      <c r="Q807" t="s">
        <v>805</v>
      </c>
      <c r="T807" s="1"/>
      <c r="AE807" s="1"/>
      <c r="AJ807" s="4"/>
      <c r="AK807" s="4"/>
      <c r="AL807" s="14"/>
      <c r="AM807" s="34"/>
      <c r="AR807" s="34"/>
      <c r="AS807" s="5"/>
      <c r="AT807" s="1"/>
      <c r="AU807" s="1"/>
      <c r="AV807" s="1"/>
      <c r="AW807" s="1"/>
      <c r="AX807" s="15"/>
      <c r="AY807" s="15"/>
      <c r="AZ807" s="15"/>
      <c r="BA807" s="21"/>
      <c r="BB807" s="13"/>
      <c r="BC807" s="15"/>
      <c r="BD807" s="15"/>
      <c r="BE807" s="15"/>
      <c r="BF807" s="15"/>
      <c r="BG807" s="5"/>
      <c r="BH807" s="16"/>
      <c r="BI807" s="16"/>
      <c r="BJ807" s="4"/>
      <c r="BK807" s="4"/>
      <c r="BL807" s="4"/>
      <c r="BM807" s="6"/>
      <c r="BN807" s="7"/>
      <c r="BO807" s="4"/>
      <c r="BQ807" s="4"/>
      <c r="BR807" s="4"/>
      <c r="BS807" s="6"/>
      <c r="BT807" s="7"/>
      <c r="BU807" s="4"/>
      <c r="BV807" s="4"/>
      <c r="BW807" s="4"/>
      <c r="BX807" s="4"/>
      <c r="BY807" s="6"/>
      <c r="BZ807" s="7"/>
      <c r="CA807" s="4"/>
      <c r="CB807" s="4"/>
      <c r="CC807" s="4"/>
      <c r="CD807" s="4"/>
      <c r="CE807" s="6"/>
      <c r="CF807" s="7"/>
      <c r="CG807" s="4"/>
      <c r="CH807" s="4"/>
      <c r="CI807" s="4"/>
      <c r="CJ807" s="4"/>
      <c r="CK807" s="6"/>
      <c r="CL807" s="7"/>
      <c r="CM807" s="4"/>
      <c r="CN807" s="4"/>
      <c r="CO807" s="4"/>
      <c r="CP807" s="4"/>
      <c r="CQ807" s="6"/>
      <c r="CR807" s="7"/>
      <c r="CS807" s="4"/>
      <c r="CT807" s="4"/>
      <c r="CU807" s="4"/>
      <c r="CV807" s="4"/>
      <c r="CW807" s="6"/>
      <c r="CX807" s="7"/>
      <c r="CY807" s="4"/>
      <c r="CZ807" s="4"/>
      <c r="DA807" s="4"/>
      <c r="DB807" s="4"/>
      <c r="DC807" s="6"/>
      <c r="DD807" s="7"/>
      <c r="DE807" s="4"/>
      <c r="DF807" s="4"/>
      <c r="DG807" s="4"/>
      <c r="DH807" s="14"/>
      <c r="DI807" s="14"/>
      <c r="DJ807" s="4"/>
      <c r="DK807" s="3"/>
      <c r="DL807" s="4"/>
      <c r="DM807" s="234"/>
      <c r="DN807" s="4"/>
      <c r="DO807" s="4"/>
      <c r="DP807" s="4"/>
      <c r="DQ807" s="4"/>
      <c r="DR807" s="4"/>
      <c r="DS807" s="4"/>
      <c r="DT807" s="4"/>
      <c r="DU807" s="8"/>
      <c r="DV807" s="4"/>
      <c r="DW807" s="8"/>
      <c r="DX807" s="4"/>
      <c r="DY807" s="4"/>
      <c r="DZ807" s="7"/>
      <c r="EA807" s="235"/>
      <c r="EB807" s="235"/>
      <c r="EC807" s="232"/>
      <c r="ED807" s="232"/>
      <c r="EE807" s="232"/>
      <c r="EH807" s="232"/>
      <c r="EI807" s="232"/>
      <c r="EJ807" s="232"/>
      <c r="FI807" s="9"/>
      <c r="FJ807" s="10"/>
      <c r="FQ807" s="10"/>
      <c r="FR807" s="9"/>
      <c r="FX807" s="4"/>
      <c r="GE807" s="9"/>
      <c r="IJ807" s="4"/>
      <c r="IK807" s="4"/>
      <c r="IN807" t="s">
        <v>791</v>
      </c>
      <c r="IO807" t="s">
        <v>267</v>
      </c>
      <c r="IP807" s="4">
        <v>0</v>
      </c>
      <c r="IQ807" s="9">
        <v>43160</v>
      </c>
      <c r="IR807" s="9">
        <v>43312</v>
      </c>
      <c r="IS807" s="9">
        <v>43328</v>
      </c>
      <c r="IT807" s="9">
        <v>43404</v>
      </c>
      <c r="IU807" s="9">
        <v>43406</v>
      </c>
      <c r="IV807" s="9"/>
    </row>
    <row r="808" spans="1:265" ht="15" customHeight="1">
      <c r="A808" s="2">
        <v>102018102</v>
      </c>
      <c r="B808" s="4" t="s">
        <v>1301</v>
      </c>
      <c r="C808" s="4"/>
      <c r="D808" s="4"/>
      <c r="E808" s="3"/>
      <c r="F808" s="2"/>
      <c r="G808">
        <v>170000951</v>
      </c>
      <c r="J808" t="s">
        <v>311</v>
      </c>
      <c r="K808" t="s">
        <v>435</v>
      </c>
      <c r="L808" t="s">
        <v>632</v>
      </c>
      <c r="O808" s="1"/>
      <c r="T808" s="1"/>
      <c r="AJ808" s="4"/>
      <c r="AK808" s="4"/>
      <c r="AO808" s="4"/>
      <c r="AP808" s="5"/>
      <c r="AS808" s="5"/>
      <c r="AT808" s="5"/>
      <c r="AU808" s="1"/>
      <c r="AV808" s="1"/>
      <c r="AW808" s="1"/>
      <c r="AX808" s="1"/>
      <c r="AY808" s="1"/>
      <c r="AZ808" s="1"/>
      <c r="BA808" s="1"/>
      <c r="BB808" s="1"/>
      <c r="BC808" s="1"/>
      <c r="BD808" s="1"/>
      <c r="BE808" s="1"/>
      <c r="BF808" s="1"/>
      <c r="BG808" s="5"/>
      <c r="BH808" s="16"/>
      <c r="BI808" s="16"/>
      <c r="BK808" s="4"/>
      <c r="BL808" s="4"/>
      <c r="BM808" s="6"/>
      <c r="BN808" s="7"/>
      <c r="BO808" s="4"/>
      <c r="BP808" s="4"/>
      <c r="BQ808" s="4"/>
      <c r="BR808" s="4"/>
      <c r="BS808" s="6"/>
      <c r="BT808" s="7"/>
      <c r="BU808" s="4"/>
      <c r="BV808" s="4"/>
      <c r="BW808" s="4"/>
      <c r="BX808" s="4"/>
      <c r="BY808" s="6"/>
      <c r="BZ808" s="7"/>
      <c r="CA808" s="4"/>
      <c r="CB808" s="4"/>
      <c r="CC808" s="4"/>
      <c r="CD808" s="4"/>
      <c r="CE808" s="6"/>
      <c r="CF808" s="7"/>
      <c r="CG808" s="4"/>
      <c r="CH808" s="4"/>
      <c r="CI808" s="4"/>
      <c r="CJ808" s="4"/>
      <c r="CK808" s="6"/>
      <c r="CL808" s="7"/>
      <c r="CM808" s="4"/>
      <c r="CN808" s="4"/>
      <c r="CO808" s="4"/>
      <c r="CP808" s="4"/>
      <c r="CQ808" s="6"/>
      <c r="CR808" s="7"/>
      <c r="CS808" s="4"/>
      <c r="CT808" s="4"/>
      <c r="CU808" s="4"/>
      <c r="CV808" s="4"/>
      <c r="CW808" s="6"/>
      <c r="CX808" s="7"/>
      <c r="CY808" s="4"/>
      <c r="CZ808" s="4"/>
      <c r="DA808" s="4"/>
      <c r="DB808" s="4"/>
      <c r="DC808" s="6"/>
      <c r="DD808" s="7"/>
      <c r="DE808" s="4"/>
      <c r="DF808" s="4"/>
      <c r="DG808" s="14"/>
      <c r="DH808" s="14"/>
      <c r="DI808" s="4"/>
      <c r="DJ808" s="3"/>
      <c r="DK808" s="4"/>
      <c r="DL808" s="234"/>
      <c r="DM808" s="4"/>
      <c r="DN808" s="4"/>
      <c r="DO808" s="4"/>
      <c r="DP808" s="4"/>
      <c r="DQ808" s="4"/>
      <c r="DR808" s="4"/>
      <c r="DS808" s="7"/>
      <c r="DT808" s="4"/>
      <c r="DU808" s="4"/>
      <c r="DV808" s="8"/>
      <c r="DW808" s="4"/>
      <c r="DX808" s="4"/>
      <c r="EG808" s="11"/>
      <c r="EM808" s="11"/>
      <c r="EN808" s="11"/>
      <c r="EO808" s="4"/>
      <c r="EP808" s="4"/>
      <c r="EQ808" s="4"/>
      <c r="ER808" s="4"/>
      <c r="ES808" s="4"/>
      <c r="ET808" s="4"/>
      <c r="EU808" s="4"/>
      <c r="EV808" s="4"/>
      <c r="EW808" s="4"/>
      <c r="EX808" s="4"/>
      <c r="EY808" s="4"/>
      <c r="EZ808" s="4"/>
      <c r="FA808" s="4"/>
      <c r="FB808" s="4"/>
      <c r="FC808" s="4"/>
      <c r="FG808" s="9"/>
      <c r="FP808" s="9"/>
      <c r="FZ808" s="10"/>
      <c r="GJ808" s="10"/>
      <c r="GY808" s="9"/>
      <c r="IK808" s="4"/>
    </row>
    <row r="809" spans="1:265" ht="15" customHeight="1">
      <c r="A809" s="19">
        <v>102020022</v>
      </c>
      <c r="B809" s="18" t="s">
        <v>1595</v>
      </c>
      <c r="C809" s="18"/>
      <c r="D809" s="13"/>
      <c r="E809" s="18" t="s">
        <v>1893</v>
      </c>
      <c r="F809" s="18">
        <v>200003749</v>
      </c>
      <c r="G809" s="18">
        <v>200005484</v>
      </c>
      <c r="H809" s="18"/>
      <c r="I809" s="18"/>
      <c r="J809" s="18" t="s">
        <v>554</v>
      </c>
      <c r="K809" s="18" t="s">
        <v>254</v>
      </c>
      <c r="L809" s="18" t="s">
        <v>420</v>
      </c>
      <c r="M809" s="18"/>
      <c r="N809" s="18"/>
      <c r="O809" s="18"/>
      <c r="P809" s="18" t="s">
        <v>254</v>
      </c>
      <c r="Q809" s="18" t="s">
        <v>1171</v>
      </c>
      <c r="R809" s="18" t="s">
        <v>392</v>
      </c>
      <c r="S809" s="18"/>
      <c r="T809" s="18"/>
      <c r="U809" s="18"/>
      <c r="V809" s="18"/>
      <c r="W809" s="18"/>
      <c r="X809" s="18"/>
      <c r="Y809" s="18"/>
      <c r="Z809" s="18"/>
      <c r="AA809" s="18"/>
      <c r="AB809" s="18"/>
      <c r="AC809" s="18"/>
      <c r="AD809" s="18" t="s">
        <v>1897</v>
      </c>
      <c r="AE809" s="18" t="s">
        <v>253</v>
      </c>
      <c r="AF809" s="18" t="s">
        <v>1898</v>
      </c>
      <c r="AG809" s="231" t="s">
        <v>1899</v>
      </c>
      <c r="AH809" s="14" t="s">
        <v>1597</v>
      </c>
      <c r="AI809" s="18" t="s">
        <v>1598</v>
      </c>
      <c r="AJ809" s="18" t="s">
        <v>1596</v>
      </c>
      <c r="AK809" s="18" t="s">
        <v>258</v>
      </c>
      <c r="AL809" s="18" t="s">
        <v>438</v>
      </c>
      <c r="AM809" s="24" t="s">
        <v>260</v>
      </c>
      <c r="AN809" s="24"/>
      <c r="AO809" s="14" t="s">
        <v>1597</v>
      </c>
      <c r="AP809" s="13"/>
      <c r="AQ809" s="24" t="s">
        <v>1598</v>
      </c>
      <c r="AR809" s="24"/>
      <c r="AS809" s="13"/>
      <c r="AT809" s="13"/>
      <c r="AU809" s="13"/>
      <c r="AV809" s="13"/>
      <c r="AW809" s="13"/>
      <c r="AX809" s="48"/>
      <c r="AY809" s="48"/>
      <c r="AZ809" s="48"/>
      <c r="BA809" s="48"/>
      <c r="BB809" s="19"/>
      <c r="BC809" s="48"/>
      <c r="BD809" s="48"/>
      <c r="BE809" s="19"/>
      <c r="BF809" s="19"/>
      <c r="BG809" s="20"/>
      <c r="BH809" s="22"/>
      <c r="BI809" s="22"/>
      <c r="BJ809" s="14"/>
      <c r="BK809" s="22"/>
      <c r="BL809" s="14"/>
      <c r="BM809" s="14"/>
      <c r="BN809" s="14"/>
      <c r="BO809" s="17"/>
      <c r="BP809" s="23"/>
      <c r="BQ809" s="14"/>
      <c r="BR809" s="14"/>
      <c r="BS809" s="14"/>
      <c r="BT809" s="14"/>
      <c r="BU809" s="17"/>
      <c r="BV809" s="23"/>
      <c r="BW809" s="14"/>
      <c r="BX809" s="14"/>
      <c r="BY809" s="14"/>
      <c r="BZ809" s="14"/>
      <c r="CA809" s="17"/>
      <c r="CB809" s="23"/>
      <c r="CC809" s="14"/>
      <c r="CD809" s="14"/>
      <c r="CE809" s="14"/>
      <c r="CF809" s="14"/>
      <c r="CG809" s="17"/>
      <c r="CH809" s="23"/>
      <c r="CI809" s="14"/>
      <c r="CJ809" s="14"/>
      <c r="CK809" s="14"/>
      <c r="CL809" s="14"/>
      <c r="CM809" s="17"/>
      <c r="CN809" s="23"/>
      <c r="CO809" s="14"/>
      <c r="CP809" s="14"/>
      <c r="CQ809" s="14"/>
      <c r="CR809" s="14"/>
      <c r="CS809" s="17"/>
      <c r="CT809" s="23"/>
      <c r="CU809" s="14"/>
      <c r="CV809" s="14"/>
      <c r="CW809" s="14"/>
      <c r="CX809" s="14"/>
      <c r="CY809" s="14"/>
      <c r="CZ809" s="14"/>
      <c r="DA809" s="47"/>
      <c r="DB809" s="14"/>
      <c r="DC809" s="32"/>
      <c r="DD809" s="14"/>
      <c r="DE809" s="14"/>
      <c r="DF809" s="14"/>
      <c r="DG809" s="14"/>
      <c r="DH809" s="14"/>
      <c r="DI809" s="14"/>
      <c r="DJ809" s="14"/>
      <c r="DK809" s="25"/>
      <c r="DL809" s="14">
        <f>SUM(DG809:DK809)</f>
        <v>0</v>
      </c>
      <c r="DM809" s="24" t="s">
        <v>1997</v>
      </c>
      <c r="DN809" s="25">
        <v>16000</v>
      </c>
      <c r="DO809" s="25">
        <v>66200</v>
      </c>
      <c r="DP809" s="25">
        <f>SUM(DN809+DO809)</f>
        <v>82200</v>
      </c>
      <c r="DQ809" s="36">
        <v>1</v>
      </c>
      <c r="DR809" s="26" t="s">
        <v>1869</v>
      </c>
      <c r="DS809" s="18" t="s">
        <v>1870</v>
      </c>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t="s">
        <v>1871</v>
      </c>
      <c r="EV809" s="18" t="s">
        <v>1872</v>
      </c>
      <c r="EW809" s="18" t="s">
        <v>1873</v>
      </c>
      <c r="EX809" s="18" t="s">
        <v>1750</v>
      </c>
      <c r="EY809" s="18" t="s">
        <v>275</v>
      </c>
      <c r="EZ809" s="27">
        <v>32301</v>
      </c>
      <c r="FA809" s="18" t="s">
        <v>1874</v>
      </c>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4"/>
      <c r="IK809" s="18"/>
      <c r="IL809" s="4"/>
      <c r="IM809" s="4"/>
      <c r="IS809" s="18"/>
      <c r="IT809" s="18"/>
      <c r="IU809" s="18"/>
      <c r="IV809" s="18"/>
    </row>
    <row r="810" spans="1:265" ht="15" customHeight="1">
      <c r="A810" s="19">
        <v>102021035</v>
      </c>
      <c r="B810" s="18" t="s">
        <v>2046</v>
      </c>
      <c r="C810" s="18"/>
      <c r="D810" s="13"/>
      <c r="E810" s="18"/>
      <c r="F810" s="18"/>
      <c r="G810" s="18">
        <v>210000702</v>
      </c>
      <c r="H810" s="18"/>
      <c r="I810" s="18"/>
      <c r="J810" s="18" t="s">
        <v>554</v>
      </c>
      <c r="K810" s="18" t="s">
        <v>435</v>
      </c>
      <c r="L810" s="18" t="s">
        <v>1143</v>
      </c>
      <c r="M810" s="18"/>
      <c r="N810" s="18"/>
      <c r="O810" s="18"/>
      <c r="P810" s="18" t="s">
        <v>435</v>
      </c>
      <c r="Q810" s="18" t="s">
        <v>1177</v>
      </c>
      <c r="R810" s="18" t="s">
        <v>354</v>
      </c>
      <c r="S810" s="18"/>
      <c r="T810" s="18"/>
      <c r="U810" s="18"/>
      <c r="V810" s="18"/>
      <c r="W810" s="18"/>
      <c r="X810" s="18"/>
      <c r="Y810" s="18"/>
      <c r="Z810" s="240"/>
      <c r="AA810" s="240"/>
      <c r="AB810" s="240"/>
      <c r="AC810" s="240"/>
      <c r="AD810" s="18"/>
      <c r="AE810" s="18"/>
      <c r="AF810" s="18"/>
      <c r="AG810" s="24"/>
      <c r="AH810" s="18"/>
      <c r="AI810" s="18"/>
      <c r="AJ810" s="18"/>
      <c r="AK810" s="18"/>
      <c r="AL810" s="18"/>
      <c r="AM810" s="24"/>
      <c r="AN810" s="24"/>
      <c r="AO810" s="18" t="s">
        <v>2158</v>
      </c>
      <c r="AP810" s="13" t="s">
        <v>258</v>
      </c>
      <c r="AQ810" s="24" t="s">
        <v>438</v>
      </c>
      <c r="AR810" s="18" t="s">
        <v>260</v>
      </c>
      <c r="AS810" s="13"/>
      <c r="AT810" s="13"/>
      <c r="AU810" s="13"/>
      <c r="AV810" s="13"/>
      <c r="AW810" s="13"/>
      <c r="AX810" s="19"/>
      <c r="AY810" s="19"/>
      <c r="AZ810" s="48"/>
      <c r="BA810" s="19"/>
      <c r="BB810" s="19"/>
      <c r="BC810" s="19"/>
      <c r="BD810" s="19"/>
      <c r="BE810" s="19"/>
      <c r="BF810" s="19"/>
      <c r="BG810" s="20"/>
      <c r="BH810" s="22"/>
      <c r="BI810" s="22"/>
      <c r="BJ810" s="14"/>
      <c r="BK810" s="22"/>
      <c r="BL810" s="14"/>
      <c r="BM810" s="14"/>
      <c r="BN810" s="14"/>
      <c r="BO810" s="17"/>
      <c r="BP810" s="23"/>
      <c r="BQ810" s="14"/>
      <c r="BR810" s="14"/>
      <c r="BS810" s="14"/>
      <c r="BT810" s="14"/>
      <c r="BU810" s="17"/>
      <c r="BV810" s="23"/>
      <c r="BW810" s="14"/>
      <c r="BX810" s="14"/>
      <c r="BY810" s="14"/>
      <c r="BZ810" s="14"/>
      <c r="CA810" s="17"/>
      <c r="CB810" s="23"/>
      <c r="CC810" s="14"/>
      <c r="CD810" s="14"/>
      <c r="CE810" s="14"/>
      <c r="CF810" s="14"/>
      <c r="CG810" s="17"/>
      <c r="CH810" s="23"/>
      <c r="CI810" s="14"/>
      <c r="CJ810" s="14"/>
      <c r="CK810" s="14"/>
      <c r="CL810" s="14"/>
      <c r="CM810" s="17"/>
      <c r="CN810" s="23"/>
      <c r="CO810" s="14"/>
      <c r="CP810" s="14"/>
      <c r="CQ810" s="14"/>
      <c r="CR810" s="14"/>
      <c r="CS810" s="14"/>
      <c r="CT810" s="47"/>
      <c r="CU810" s="14"/>
      <c r="CV810" s="32"/>
      <c r="CW810" s="14"/>
      <c r="CX810" s="14"/>
      <c r="CY810" s="14"/>
      <c r="CZ810" s="14"/>
      <c r="DA810" s="14"/>
      <c r="DB810" s="14"/>
      <c r="DC810" s="23"/>
      <c r="DD810" s="25"/>
      <c r="DE810" s="14"/>
      <c r="DF810" s="24"/>
      <c r="DG810" s="25"/>
      <c r="DH810" s="25"/>
      <c r="DI810" s="25"/>
      <c r="DJ810" s="36">
        <v>1.38</v>
      </c>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4"/>
      <c r="ID810" s="18"/>
      <c r="IE810" s="18"/>
      <c r="IF810" s="18"/>
      <c r="IG810" s="18"/>
      <c r="IH810" s="18"/>
      <c r="IL810" s="18"/>
      <c r="IM810" s="18"/>
      <c r="IN810" s="14"/>
      <c r="IO810" s="18"/>
      <c r="IP810" s="18"/>
      <c r="IQ810" s="18"/>
      <c r="IR810" s="18"/>
      <c r="IS810" s="18"/>
    </row>
    <row r="811" spans="1:265" ht="15" customHeight="1">
      <c r="A811" s="19">
        <v>102021073</v>
      </c>
      <c r="B811" t="s">
        <v>2094</v>
      </c>
      <c r="J811" t="s">
        <v>311</v>
      </c>
      <c r="K811" t="s">
        <v>2095</v>
      </c>
      <c r="L811" t="s">
        <v>896</v>
      </c>
      <c r="M811" t="s">
        <v>1220</v>
      </c>
      <c r="AC811" t="s">
        <v>2206</v>
      </c>
      <c r="AD811" t="s">
        <v>253</v>
      </c>
      <c r="AE811" s="3" t="s">
        <v>2207</v>
      </c>
      <c r="AF811" s="272" t="s">
        <v>2208</v>
      </c>
      <c r="AG811" s="3" t="s">
        <v>2203</v>
      </c>
      <c r="AI811" s="18" t="s">
        <v>438</v>
      </c>
      <c r="AL811" s="3"/>
      <c r="AM811" t="s">
        <v>2202</v>
      </c>
      <c r="AN811" s="1" t="s">
        <v>2203</v>
      </c>
      <c r="AO811" s="1" t="s">
        <v>258</v>
      </c>
      <c r="AP811" s="3" t="s">
        <v>438</v>
      </c>
      <c r="AQ811"/>
      <c r="AR811"/>
      <c r="AW811" s="2"/>
      <c r="AX811" s="2"/>
      <c r="AY811" s="2"/>
      <c r="AZ811" s="2"/>
      <c r="BA811" s="2"/>
      <c r="BB811" s="2"/>
      <c r="BC811" s="2"/>
      <c r="BD811" s="2"/>
      <c r="BE811" s="2"/>
      <c r="BF811" s="20"/>
      <c r="BG811" s="22"/>
      <c r="BH811" s="22"/>
      <c r="BI811" s="14"/>
      <c r="BJ811" s="14"/>
      <c r="BK811" s="14"/>
      <c r="BL811" s="17"/>
      <c r="BM811" s="23"/>
      <c r="BN811" s="14"/>
      <c r="BO811" s="14"/>
      <c r="BP811" s="14"/>
      <c r="BQ811" s="14"/>
      <c r="BR811" s="17"/>
      <c r="BS811" s="23"/>
      <c r="BT811" s="14"/>
      <c r="BU811" s="14"/>
      <c r="BV811" s="14"/>
      <c r="BW811" s="14"/>
      <c r="BX811" s="17"/>
      <c r="BY811" s="23"/>
      <c r="BZ811" s="14"/>
      <c r="CA811" s="14"/>
      <c r="CB811" s="14"/>
      <c r="CC811" s="14"/>
      <c r="CD811" s="17"/>
      <c r="CE811" s="23"/>
      <c r="CF811" s="14"/>
      <c r="CG811" s="14"/>
      <c r="CH811" s="14"/>
      <c r="CI811" s="14"/>
      <c r="CJ811" s="17"/>
      <c r="CK811" s="23"/>
      <c r="CL811" s="14"/>
      <c r="CM811" s="14"/>
      <c r="CN811" s="14"/>
      <c r="CO811" s="14"/>
      <c r="CP811" s="17"/>
      <c r="CQ811" s="23"/>
      <c r="CR811" s="14"/>
      <c r="CS811" s="14"/>
      <c r="CT811" s="14"/>
      <c r="CU811" s="14"/>
      <c r="CV811" s="17"/>
      <c r="CW811" s="23"/>
      <c r="CX811" s="14"/>
      <c r="CY811" s="14"/>
      <c r="CZ811" s="14"/>
      <c r="DA811" s="14"/>
      <c r="DB811" s="17"/>
      <c r="DC811" s="23"/>
      <c r="DD811" s="14"/>
      <c r="DE811" s="14"/>
      <c r="DF811" s="14"/>
      <c r="DG811" s="14"/>
      <c r="DH811" s="14">
        <f>SUM(DE811:DG811)</f>
        <v>0</v>
      </c>
      <c r="DI811" s="47">
        <f>SUM(DH811/DX811)</f>
        <v>0</v>
      </c>
      <c r="DJ811" s="14">
        <f>39+39</f>
        <v>78</v>
      </c>
      <c r="DK811" s="32">
        <f>COUNTIF(DQ811, "*")+COUNTIF(AN811, "*")+COUNTIF(AJ811, "*")+COUNTIF(AA811, "*")+COUNTIF(EN811, "*")+COUNTIF(ET811, "*")+COUNTIF(EZ811, "*")+COUNTIF(FD811, "*")+COUNTIF(FK811, "*")+COUNTIF(FS811, "*")+COUNTIF(FZ811, "*")+COUNTIF(GK811, "*")+COUNTIF(GV811, "*")+COUNTIF(HD811, "*")+COUNTIF(HL811, "*")+COUNTIF(HT811, "*")+COUNTIF(IB811, "*")</f>
        <v>1</v>
      </c>
      <c r="DL811" s="14">
        <f>DK811*0.5</f>
        <v>0.5</v>
      </c>
      <c r="DM811" s="14"/>
      <c r="DN811" s="14">
        <f>SUM(DH811,DJ811,DT811, DM811, DL811,FW811)</f>
        <v>78.5</v>
      </c>
      <c r="DO811" s="14"/>
      <c r="DP811" s="14"/>
      <c r="DQ811" s="14"/>
      <c r="DR811" s="14"/>
      <c r="DS811" s="25"/>
      <c r="DT811" s="14">
        <f>SUM(DO811:DS811)</f>
        <v>0</v>
      </c>
      <c r="DU811" s="24" t="s">
        <v>1997</v>
      </c>
      <c r="DV811" s="25">
        <v>16000</v>
      </c>
      <c r="DW811" s="25">
        <v>41000</v>
      </c>
      <c r="DX811" s="25">
        <f>SUM(DV811+DW811)</f>
        <v>57000</v>
      </c>
      <c r="DY811" s="36">
        <v>1</v>
      </c>
      <c r="DZ811" s="18"/>
      <c r="IJ811" s="18"/>
      <c r="IN811" s="4"/>
    </row>
    <row r="812" spans="1:265" ht="15" customHeight="1">
      <c r="A812" s="2">
        <v>102024010</v>
      </c>
      <c r="B812" t="s">
        <v>5061</v>
      </c>
      <c r="D812" s="1"/>
      <c r="E812" s="3"/>
      <c r="G812" s="3"/>
      <c r="J812" t="s">
        <v>434</v>
      </c>
      <c r="K812" t="s">
        <v>5113</v>
      </c>
      <c r="L812" t="s">
        <v>420</v>
      </c>
      <c r="M812" t="s">
        <v>537</v>
      </c>
      <c r="O812" s="3"/>
      <c r="P812" t="s">
        <v>5114</v>
      </c>
      <c r="Q812" t="s">
        <v>402</v>
      </c>
      <c r="R812" t="s">
        <v>256</v>
      </c>
      <c r="AG812" s="43"/>
      <c r="AJ812" t="s">
        <v>328</v>
      </c>
      <c r="AK812" s="1"/>
      <c r="AL812" t="s">
        <v>279</v>
      </c>
      <c r="AM812"/>
      <c r="AN812"/>
      <c r="AO812" t="s">
        <v>5115</v>
      </c>
      <c r="AP812" s="1" t="s">
        <v>258</v>
      </c>
      <c r="AQ812" t="s">
        <v>300</v>
      </c>
      <c r="AR812" t="s">
        <v>301</v>
      </c>
      <c r="AS812" s="10"/>
      <c r="AT812" s="10"/>
      <c r="AU812" s="10"/>
      <c r="AV812" s="10"/>
      <c r="AW812" s="10"/>
      <c r="AX812" s="1"/>
      <c r="AY812" s="1"/>
      <c r="AZ812" s="1"/>
      <c r="BA812" s="1"/>
      <c r="BB812" s="1"/>
      <c r="BC812" s="2"/>
      <c r="BD812" s="115">
        <v>45382</v>
      </c>
      <c r="BE812" s="115">
        <v>45386</v>
      </c>
      <c r="BF812" s="2"/>
      <c r="BG812" s="2"/>
      <c r="BH812" s="2"/>
      <c r="BI812" s="2"/>
      <c r="BJ812" s="2"/>
      <c r="BK812" s="2"/>
      <c r="BL812" s="20">
        <f ca="1">SUM(EB812)+220</f>
        <v>1728.9264000000001</v>
      </c>
      <c r="BM812" s="22">
        <f ca="1">PMT(10%/12,12,BL812,0,0)</f>
        <v>-152.00009841138646</v>
      </c>
      <c r="BN812" s="22">
        <f ca="1">SUM(BM812*-1)</f>
        <v>152.00009841138646</v>
      </c>
      <c r="BO812" s="14">
        <f>SUM(EJ812*0.0052)/12</f>
        <v>26.78</v>
      </c>
      <c r="BP812" s="22">
        <f ca="1">SUM(BN812+BO812)</f>
        <v>178.78009841138646</v>
      </c>
      <c r="BQ812" s="14"/>
      <c r="BR812" s="14">
        <f>SUM(BQ812*0.1)</f>
        <v>0</v>
      </c>
      <c r="BS812" s="14">
        <f ca="1">SUM(BT812*BU812)</f>
        <v>0</v>
      </c>
      <c r="BT812" s="17">
        <f>SUM((BQ812+BR812)*0.00833333333333333)</f>
        <v>0</v>
      </c>
      <c r="BU812" s="23">
        <f ca="1">MONTH(TODAY())+61</f>
        <v>65</v>
      </c>
      <c r="BV812" s="14">
        <f ca="1">SUM(BQ812,BR812,BS812)</f>
        <v>0</v>
      </c>
      <c r="BW812" s="14"/>
      <c r="BX812" s="14">
        <f>SUM(BW812*0.1)</f>
        <v>0</v>
      </c>
      <c r="BY812" s="14">
        <f ca="1">SUM(BZ812*CA812)</f>
        <v>0</v>
      </c>
      <c r="BZ812" s="17">
        <f>SUM((BW812+BX812)*0.00833333333333333)</f>
        <v>0</v>
      </c>
      <c r="CA812" s="23">
        <f ca="1">MONTH(TODAY())+49</f>
        <v>53</v>
      </c>
      <c r="CB812" s="14">
        <f ca="1">SUM(BW812,BX812,BY812)</f>
        <v>0</v>
      </c>
      <c r="CC812" s="14">
        <v>0</v>
      </c>
      <c r="CD812" s="14">
        <f>SUM(CC812*0.1)</f>
        <v>0</v>
      </c>
      <c r="CE812" s="14">
        <f ca="1">SUM(CF812*CG812)</f>
        <v>0</v>
      </c>
      <c r="CF812" s="17">
        <f>SUM((CC812+CD812)*0.00833333333333333)</f>
        <v>0</v>
      </c>
      <c r="CG812" s="23">
        <f ca="1">MONTH(TODAY())+37</f>
        <v>41</v>
      </c>
      <c r="CH812" s="14">
        <f ca="1">SUM(CC812,CD812,CE812)</f>
        <v>0</v>
      </c>
      <c r="CI812" s="14">
        <f>SUM(EG812*0.0052)</f>
        <v>238.16</v>
      </c>
      <c r="CJ812" s="14">
        <f>SUM(CI812*0.1)</f>
        <v>23.816000000000003</v>
      </c>
      <c r="CK812" s="14">
        <f ca="1">SUM(CL812*CM812)</f>
        <v>63.310866666666634</v>
      </c>
      <c r="CL812" s="17">
        <f>SUM((CI812+CJ812)*0.00833333333333333)</f>
        <v>2.1831333333333323</v>
      </c>
      <c r="CM812" s="23">
        <f ca="1">MONTH(TODAY())+25</f>
        <v>29</v>
      </c>
      <c r="CN812" s="14">
        <f ca="1">SUM(CI812,CJ812,CK812)</f>
        <v>325.28686666666664</v>
      </c>
      <c r="CO812" s="14">
        <f>SUM(EG812*0.0052)/2</f>
        <v>119.08</v>
      </c>
      <c r="CP812" s="14">
        <f>SUM(CO812*0.1)</f>
        <v>11.908000000000001</v>
      </c>
      <c r="CQ812" s="14">
        <f ca="1">SUM(CR812*CS812)</f>
        <v>22.922899999999988</v>
      </c>
      <c r="CR812" s="17">
        <f>SUM((CO812+CP812)*0.00833333333333333)</f>
        <v>1.0915666666666661</v>
      </c>
      <c r="CS812" s="23">
        <f ca="1">MONTH(TODAY())+17</f>
        <v>21</v>
      </c>
      <c r="CT812" s="23">
        <f ca="1">SUM(CO812,CP812,CQ812)</f>
        <v>153.9109</v>
      </c>
      <c r="CU812" s="14">
        <f>SUM(EG812*0.0052)/2</f>
        <v>119.08</v>
      </c>
      <c r="CV812" s="14">
        <f>SUM(CU812*0.1)</f>
        <v>11.908000000000001</v>
      </c>
      <c r="CW812" s="14">
        <f ca="1">SUM(CX812*CY812)</f>
        <v>18.556633333333323</v>
      </c>
      <c r="CX812" s="17">
        <f>SUM((CU812+CV812)*0.00833333333333333)</f>
        <v>1.0915666666666661</v>
      </c>
      <c r="CY812" s="23">
        <f ca="1">MONTH(TODAY())+13</f>
        <v>17</v>
      </c>
      <c r="CZ812" s="23">
        <f ca="1">SUM(CU812,CV812,CW812)</f>
        <v>149.54463333333331</v>
      </c>
      <c r="DA812" s="14">
        <f>SUM(EJ812*0.0045)/2</f>
        <v>139.04999999999998</v>
      </c>
      <c r="DB812" s="14">
        <f>SUM(DA812*0.1)</f>
        <v>13.904999999999999</v>
      </c>
      <c r="DC812" s="14">
        <f ca="1">SUM(DD812*DE812)</f>
        <v>14.020874999999991</v>
      </c>
      <c r="DD812" s="17">
        <f>SUM((DA812+DB812)*0.00833333333333333)</f>
        <v>1.2746249999999992</v>
      </c>
      <c r="DE812" s="23">
        <f ca="1">MONTH(TODAY())+7</f>
        <v>11</v>
      </c>
      <c r="DF812" s="23">
        <f ca="1">SUM(DA812,DB812,DC812)</f>
        <v>166.97587499999997</v>
      </c>
      <c r="DG812" s="14">
        <f>SUM(EJ812*0.0045)/2</f>
        <v>139.04999999999998</v>
      </c>
      <c r="DH812" s="14">
        <f>SUM(DG812*0.1)</f>
        <v>13.904999999999999</v>
      </c>
      <c r="DI812" s="14">
        <f ca="1">SUM(DJ812*DK812)</f>
        <v>6.3731249999999964</v>
      </c>
      <c r="DJ812" s="17">
        <f>SUM((DG812+DH812)*0.00833333333333333)</f>
        <v>1.2746249999999992</v>
      </c>
      <c r="DK812" s="23">
        <f ca="1">MONTH(TODAY())+1</f>
        <v>5</v>
      </c>
      <c r="DL812" s="14">
        <f ca="1">SUM(DG812,DH812,DI812)</f>
        <v>159.32812499999997</v>
      </c>
      <c r="DM812" s="14">
        <f>SUM( BQ812, BW812, CC812, CI812, CO812,CU812,DA812,DG812)</f>
        <v>754.42</v>
      </c>
      <c r="DN812" s="14">
        <f>SUM(BR812,BX812,CD812,CJ812, CP812,CV812,DB812,DH812)</f>
        <v>75.442000000000007</v>
      </c>
      <c r="DO812" s="14">
        <f ca="1">SUM(BS812,BY812,CE812,CK812, CQ812,CW812,DC812,DI812)</f>
        <v>125.18439999999994</v>
      </c>
      <c r="DP812" s="25">
        <f ca="1">SUM(DM812:DO812)</f>
        <v>955.04639999999995</v>
      </c>
      <c r="DQ812" s="47">
        <f ca="1">SUM(DP812/EG812)</f>
        <v>2.0852541484716155E-2</v>
      </c>
      <c r="DR812" s="14">
        <f>40+10+200</f>
        <v>250</v>
      </c>
      <c r="DS812" s="32">
        <f>COUNTIF(AO812, "*")+COUNTIF(AJ812, "*")+COUNTIF(AA812, "*")+COUNTIF(EU812, "*")+COUNTIF(FA812, "*")+COUNTIF(FG812, "*")+COUNTIF(FK812, "*")+COUNTIF(FR812, "*")+COUNTIF(AT812, "*")+COUNTIF(GA812, "*")+COUNTIF(GL812, "*")+COUNTIF(GW812, "*")+COUNTIF(HE812, "*")+COUNTIF(HM812, "*")+COUNTIF(HU812, "*")</f>
        <v>3</v>
      </c>
      <c r="DT812" s="14">
        <f>DS812*0.64+DS812*8</f>
        <v>25.92</v>
      </c>
      <c r="DU812" s="4">
        <v>250</v>
      </c>
      <c r="DV812" s="4">
        <v>27.96</v>
      </c>
      <c r="DW812" s="4"/>
      <c r="DX812" s="4"/>
      <c r="DZ812" s="4"/>
      <c r="EA812" s="14">
        <f>SUM(DV812:DZ812)</f>
        <v>27.96</v>
      </c>
      <c r="EB812" s="14">
        <f ca="1">SUM(DP812,DR812,EA812, DU812, DT812,FX812)</f>
        <v>1508.9264000000001</v>
      </c>
      <c r="EC812" s="24" t="s">
        <v>4944</v>
      </c>
      <c r="ED812" s="130">
        <v>14.491</v>
      </c>
      <c r="EE812" s="14">
        <v>44900</v>
      </c>
      <c r="EF812" s="14">
        <v>900</v>
      </c>
      <c r="EG812" s="14">
        <f>SUM(EE812+EF812)</f>
        <v>45800</v>
      </c>
      <c r="EH812" s="14">
        <v>60900</v>
      </c>
      <c r="EI812" s="14">
        <v>900</v>
      </c>
      <c r="EJ812" s="14">
        <f>SUM(EH812+EI812)</f>
        <v>61800</v>
      </c>
      <c r="EK812" s="10" t="s">
        <v>5295</v>
      </c>
      <c r="EL812" s="10" t="s">
        <v>5296</v>
      </c>
      <c r="EM812" s="10" t="s">
        <v>5297</v>
      </c>
      <c r="EN812" s="10" t="s">
        <v>5298</v>
      </c>
      <c r="EO812" s="10" t="s">
        <v>5299</v>
      </c>
      <c r="EP812" s="10" t="s">
        <v>5300</v>
      </c>
      <c r="EQ812" s="10" t="s">
        <v>5302</v>
      </c>
      <c r="ER812" s="10"/>
      <c r="FJ812" t="s">
        <v>5303</v>
      </c>
      <c r="FK812" t="s">
        <v>5304</v>
      </c>
      <c r="FL812" t="s">
        <v>5305</v>
      </c>
      <c r="FM812" t="s">
        <v>279</v>
      </c>
      <c r="FN812" t="s">
        <v>268</v>
      </c>
      <c r="FO812" s="9">
        <v>44386</v>
      </c>
      <c r="FP812" t="s">
        <v>5306</v>
      </c>
      <c r="FX812" s="4"/>
      <c r="HY812" s="9"/>
      <c r="IJ812" s="4"/>
      <c r="IK812" s="4"/>
      <c r="IL812" s="4"/>
      <c r="IM812" s="9"/>
      <c r="IN812" s="9"/>
      <c r="IO812" s="9"/>
      <c r="IP812" s="9"/>
      <c r="IQ812" s="9"/>
      <c r="JD812" s="18"/>
      <c r="JE812" s="18"/>
    </row>
    <row r="813" spans="1:265" ht="15" customHeight="1">
      <c r="A813" s="19">
        <v>102021002</v>
      </c>
      <c r="B813" s="18" t="s">
        <v>2016</v>
      </c>
      <c r="C813" s="18"/>
      <c r="D813" s="18"/>
      <c r="E813" s="18" t="s">
        <v>2471</v>
      </c>
      <c r="F813" s="18">
        <v>210002739</v>
      </c>
      <c r="G813" s="18"/>
      <c r="H813" s="18"/>
      <c r="I813" s="18"/>
      <c r="J813" s="18"/>
      <c r="K813" s="18" t="s">
        <v>2017</v>
      </c>
      <c r="L813" s="18"/>
      <c r="M813" s="18"/>
      <c r="N813" s="18"/>
      <c r="O813" s="18"/>
      <c r="P813" s="18"/>
      <c r="Q813" s="18"/>
      <c r="R813" s="18"/>
      <c r="S813" s="18"/>
      <c r="T813" s="18"/>
      <c r="U813" s="18"/>
      <c r="V813" s="18"/>
      <c r="W813" s="18"/>
      <c r="X813" s="18"/>
      <c r="Y813" s="18"/>
      <c r="Z813" s="18" t="s">
        <v>2145</v>
      </c>
      <c r="AA813" s="18" t="s">
        <v>2127</v>
      </c>
      <c r="AB813" s="18" t="s">
        <v>2128</v>
      </c>
      <c r="AC813" s="18" t="s">
        <v>2129</v>
      </c>
      <c r="AD813" s="18"/>
      <c r="AE813" s="18"/>
      <c r="AF813" s="18"/>
      <c r="AG813" s="231"/>
      <c r="AH813" s="18"/>
      <c r="AI813" s="18"/>
      <c r="AJ813" s="18" t="s">
        <v>328</v>
      </c>
      <c r="AK813" s="18"/>
      <c r="AL813" s="18" t="s">
        <v>267</v>
      </c>
      <c r="AM813" s="24"/>
      <c r="AN813" s="24"/>
      <c r="AO813" s="18" t="s">
        <v>2130</v>
      </c>
      <c r="AP813" s="13"/>
      <c r="AQ813" s="24" t="s">
        <v>2128</v>
      </c>
      <c r="AR813" s="24"/>
      <c r="AS813" s="13"/>
      <c r="AT813" s="13"/>
      <c r="AU813" s="13"/>
      <c r="AV813" s="13"/>
      <c r="AW813" s="13"/>
      <c r="AX813" s="48"/>
      <c r="AY813" s="48"/>
      <c r="AZ813" s="48"/>
      <c r="BA813" s="48"/>
      <c r="BB813" s="19"/>
      <c r="BC813" s="48"/>
      <c r="BD813" s="48"/>
      <c r="BE813" s="48"/>
      <c r="BF813" s="19"/>
      <c r="BG813" s="20"/>
      <c r="BH813" s="22"/>
      <c r="BI813" s="22"/>
      <c r="BJ813" s="14"/>
      <c r="BK813" s="22"/>
      <c r="BL813" s="14"/>
      <c r="BM813" s="14"/>
      <c r="BN813" s="14"/>
      <c r="BO813" s="17"/>
      <c r="BP813" s="23"/>
      <c r="BQ813" s="14"/>
      <c r="BR813" s="14"/>
      <c r="BS813" s="14"/>
      <c r="BT813" s="14"/>
      <c r="BU813" s="17"/>
      <c r="BV813" s="23"/>
      <c r="BW813" s="14"/>
      <c r="BX813" s="14"/>
      <c r="BY813" s="14"/>
      <c r="BZ813" s="14"/>
      <c r="CA813" s="17"/>
      <c r="CB813" s="23"/>
      <c r="CC813" s="14"/>
      <c r="CD813" s="14"/>
      <c r="CE813" s="14"/>
      <c r="CF813" s="14"/>
      <c r="CG813" s="17"/>
      <c r="CH813" s="23"/>
      <c r="CI813" s="14"/>
      <c r="CJ813" s="14"/>
      <c r="CK813" s="14"/>
      <c r="CL813" s="14"/>
      <c r="CM813" s="17"/>
      <c r="CN813" s="23"/>
      <c r="CO813" s="14"/>
      <c r="CP813" s="14"/>
      <c r="CQ813" s="14"/>
      <c r="CR813" s="14"/>
      <c r="CS813" s="17"/>
      <c r="CT813" s="23"/>
      <c r="CU813" s="14"/>
      <c r="CV813" s="14"/>
      <c r="CW813" s="14"/>
      <c r="CX813" s="14"/>
      <c r="CY813" s="14"/>
      <c r="CZ813" s="14"/>
      <c r="DA813" s="14"/>
      <c r="DB813" s="14"/>
      <c r="DC813" s="14"/>
      <c r="DD813" s="14"/>
      <c r="DE813" s="14"/>
      <c r="DF813" s="47"/>
      <c r="DG813" s="14"/>
      <c r="DH813" s="32"/>
      <c r="DI813" s="14"/>
      <c r="DJ813" s="14">
        <v>200</v>
      </c>
      <c r="DK813" s="14">
        <f>SUM(DE813,DG813,DQ813, DJ813, DI813,FS813)</f>
        <v>880.16</v>
      </c>
      <c r="DL813" s="14">
        <f>47.41+375</f>
        <v>422.40999999999997</v>
      </c>
      <c r="DM813" s="14">
        <f>93.75+110</f>
        <v>203.75</v>
      </c>
      <c r="DN813" s="14">
        <v>54</v>
      </c>
      <c r="DO813" s="23"/>
      <c r="DP813" s="25"/>
      <c r="DQ813" s="14">
        <f>SUM(DL813:DP813)</f>
        <v>680.16</v>
      </c>
      <c r="DR813" s="24" t="s">
        <v>1997</v>
      </c>
      <c r="DS813" s="25">
        <v>17400</v>
      </c>
      <c r="DT813" s="25">
        <v>0</v>
      </c>
      <c r="DU813" s="25">
        <f>SUM(DS813+DT813)</f>
        <v>17400</v>
      </c>
      <c r="DV813" s="36">
        <v>0.87</v>
      </c>
      <c r="DW813" s="18" t="s">
        <v>2328</v>
      </c>
      <c r="DX813" s="18" t="s">
        <v>2329</v>
      </c>
      <c r="DY813" s="18"/>
      <c r="DZ813" s="18"/>
      <c r="EA813" s="18"/>
      <c r="EB813" s="18"/>
      <c r="EC813" s="18"/>
      <c r="ED813" s="18"/>
      <c r="EE813" s="18"/>
      <c r="EF813" s="18"/>
      <c r="EG813" s="18"/>
      <c r="EH813" s="18"/>
      <c r="EI813" s="18" t="s">
        <v>2325</v>
      </c>
      <c r="EJ813" s="18"/>
      <c r="EK813" s="18" t="s">
        <v>2326</v>
      </c>
      <c r="EL813" s="18"/>
      <c r="EM813" s="18" t="s">
        <v>2128</v>
      </c>
      <c r="EN813" s="18" t="s">
        <v>2327</v>
      </c>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X813" s="18"/>
      <c r="IY813" s="18"/>
    </row>
    <row r="814" spans="1:265" ht="15" customHeight="1">
      <c r="A814" s="19">
        <v>102021002</v>
      </c>
      <c r="B814" s="18" t="s">
        <v>2016</v>
      </c>
      <c r="C814" s="13"/>
      <c r="D814" s="18"/>
      <c r="E814" s="18" t="s">
        <v>2471</v>
      </c>
      <c r="F814" s="18">
        <v>210002739</v>
      </c>
      <c r="G814" s="18"/>
      <c r="H814" s="18"/>
      <c r="I814" s="18"/>
      <c r="J814" s="18"/>
      <c r="K814" s="18" t="s">
        <v>2017</v>
      </c>
      <c r="L814" s="18"/>
      <c r="M814" s="18"/>
      <c r="N814" s="18"/>
      <c r="O814" s="18"/>
      <c r="P814" s="18"/>
      <c r="Q814" s="18"/>
      <c r="R814" s="18"/>
      <c r="S814" s="18"/>
      <c r="T814" s="18"/>
      <c r="U814" s="18"/>
      <c r="V814" s="18"/>
      <c r="W814" s="18"/>
      <c r="X814" s="18"/>
      <c r="Y814" s="18"/>
      <c r="Z814" s="18" t="s">
        <v>2145</v>
      </c>
      <c r="AA814" s="18" t="s">
        <v>2127</v>
      </c>
      <c r="AB814" s="18" t="s">
        <v>2128</v>
      </c>
      <c r="AC814" s="18" t="s">
        <v>2129</v>
      </c>
      <c r="AD814" s="18"/>
      <c r="AE814" s="18"/>
      <c r="AF814" s="18"/>
      <c r="AG814" s="37"/>
      <c r="AH814" s="18"/>
      <c r="AI814" s="18"/>
      <c r="AJ814" s="18" t="s">
        <v>328</v>
      </c>
      <c r="AK814" s="18"/>
      <c r="AL814" s="18" t="s">
        <v>267</v>
      </c>
      <c r="AM814" s="18"/>
      <c r="AN814" s="18"/>
      <c r="AO814" s="24" t="s">
        <v>2130</v>
      </c>
      <c r="AP814" s="24"/>
      <c r="AQ814" s="24" t="s">
        <v>2128</v>
      </c>
      <c r="AR814" s="18"/>
      <c r="AS814" s="13"/>
      <c r="AT814" s="13"/>
      <c r="AU814" s="13" t="s">
        <v>258</v>
      </c>
      <c r="AV814" s="13" t="s">
        <v>258</v>
      </c>
      <c r="AW814" s="13" t="s">
        <v>258</v>
      </c>
      <c r="AX814" s="48">
        <v>44299</v>
      </c>
      <c r="AY814" s="48">
        <v>44262</v>
      </c>
      <c r="AZ814" s="48">
        <v>44242</v>
      </c>
      <c r="BA814" s="48">
        <v>44330</v>
      </c>
      <c r="BB814" s="19" t="s">
        <v>318</v>
      </c>
      <c r="BC814" s="48">
        <v>44323</v>
      </c>
      <c r="BD814" s="48">
        <v>44323</v>
      </c>
      <c r="BE814" s="48">
        <v>44358</v>
      </c>
      <c r="BF814" s="19" t="s">
        <v>319</v>
      </c>
      <c r="BG814" s="20">
        <v>2393.4863333333333</v>
      </c>
      <c r="BH814" s="22">
        <v>-210.42547456790248</v>
      </c>
      <c r="BI814" s="22">
        <v>210.42547456790248</v>
      </c>
      <c r="BJ814" s="14">
        <v>7.5399999999999991</v>
      </c>
      <c r="BK814" s="22">
        <v>217.96547456790248</v>
      </c>
      <c r="BL814" s="14"/>
      <c r="BM814" s="14">
        <v>0</v>
      </c>
      <c r="BN814" s="14">
        <v>0</v>
      </c>
      <c r="BO814" s="17">
        <v>0</v>
      </c>
      <c r="BP814" s="23">
        <v>70</v>
      </c>
      <c r="BQ814" s="14">
        <v>0</v>
      </c>
      <c r="BR814" s="14"/>
      <c r="BS814" s="14">
        <v>0</v>
      </c>
      <c r="BT814" s="14">
        <v>0</v>
      </c>
      <c r="BU814" s="17">
        <v>0</v>
      </c>
      <c r="BV814" s="23">
        <v>58</v>
      </c>
      <c r="BW814" s="14">
        <v>0</v>
      </c>
      <c r="BX814" s="14"/>
      <c r="BY814" s="14">
        <v>0</v>
      </c>
      <c r="BZ814" s="14">
        <f>SUM(CA814*CB814)</f>
        <v>0</v>
      </c>
      <c r="CA814" s="17">
        <f>SUM((BX814+BY814)*0.00833333333333333)</f>
        <v>0</v>
      </c>
      <c r="CB814" s="23">
        <v>49</v>
      </c>
      <c r="CC814" s="14">
        <f>SUM(BX814,BY814,BZ814)</f>
        <v>0</v>
      </c>
      <c r="CD814" s="14">
        <v>58.76</v>
      </c>
      <c r="CE814" s="14">
        <f>SUM(CD814*0.1)</f>
        <v>5.8760000000000003</v>
      </c>
      <c r="CF814" s="14">
        <f>SUM(CG814*CH814)</f>
        <v>19.929433333333325</v>
      </c>
      <c r="CG814" s="17">
        <f>SUM((CD814+CE814)*0.00833333333333333)</f>
        <v>0.53863333333333308</v>
      </c>
      <c r="CH814" s="23">
        <v>37</v>
      </c>
      <c r="CI814" s="14">
        <f>SUM(CD814,CE814,CF814)</f>
        <v>84.565433333333317</v>
      </c>
      <c r="CJ814" s="14">
        <v>90.47999999999999</v>
      </c>
      <c r="CK814" s="14">
        <v>9.048</v>
      </c>
      <c r="CL814" s="14">
        <f>SUM(CM814*CN814)</f>
        <v>20.734999999999989</v>
      </c>
      <c r="CM814" s="17">
        <f>SUM((CJ814+CK814)*0.00833333333333333)</f>
        <v>0.82939999999999958</v>
      </c>
      <c r="CN814" s="23">
        <v>25</v>
      </c>
      <c r="CO814" s="14">
        <f>SUM(CJ814,CK814,CL814)</f>
        <v>120.26299999999998</v>
      </c>
      <c r="CP814" s="14">
        <v>90.47999999999999</v>
      </c>
      <c r="CQ814" s="14">
        <v>9.048</v>
      </c>
      <c r="CR814" s="14">
        <f>SUM(CS814*CT814)</f>
        <v>10.782199999999994</v>
      </c>
      <c r="CS814" s="17">
        <f>SUM((CP814+CQ814)*0.00833333333333333)</f>
        <v>0.82939999999999958</v>
      </c>
      <c r="CT814" s="23">
        <v>13</v>
      </c>
      <c r="CU814" s="14">
        <f>SUM(CP814,CQ814,CR814)</f>
        <v>110.31019999999998</v>
      </c>
      <c r="CV814" s="14">
        <f>SUM(DP814*0.0052)</f>
        <v>90.47999999999999</v>
      </c>
      <c r="CW814" s="14">
        <f>SUM(BL814, BR814, BX814, CD814,CJ814,CP814, CV814)</f>
        <v>330.19999999999993</v>
      </c>
      <c r="CX814" s="14">
        <f>SUM(BM814, BS814, BY814, CE814,CK814,CQ814)</f>
        <v>23.972000000000001</v>
      </c>
      <c r="CY814" s="14">
        <f>SUM(BN814, BT814, BZ814, CF814,CL814,CR814)</f>
        <v>51.44663333333331</v>
      </c>
      <c r="CZ814" s="14">
        <f>SUM(CW814:CY814)</f>
        <v>405.61863333333321</v>
      </c>
      <c r="DA814" s="47">
        <v>1.7732547892720302E-2</v>
      </c>
      <c r="DB814" s="14">
        <v>1553.5</v>
      </c>
      <c r="DC814" s="32">
        <v>4</v>
      </c>
      <c r="DD814" s="14">
        <f>60.78+25.03</f>
        <v>85.81</v>
      </c>
      <c r="DE814" s="14">
        <v>200</v>
      </c>
      <c r="DF814" s="18"/>
      <c r="DG814" s="14">
        <f>422.41+182.42</f>
        <v>604.83000000000004</v>
      </c>
      <c r="DH814" s="14">
        <v>203.75</v>
      </c>
      <c r="DI814" s="14">
        <v>54</v>
      </c>
      <c r="DJ814" s="14">
        <v>100</v>
      </c>
      <c r="DK814" s="25">
        <v>510</v>
      </c>
      <c r="DL814" s="14">
        <f>SUM(DG814:DK814)</f>
        <v>1472.58</v>
      </c>
      <c r="DM814" s="24" t="s">
        <v>1997</v>
      </c>
      <c r="DN814" s="25">
        <v>17400</v>
      </c>
      <c r="DO814" s="25">
        <v>0</v>
      </c>
      <c r="DP814" s="25">
        <v>17400</v>
      </c>
      <c r="DQ814" s="36">
        <v>0.87</v>
      </c>
      <c r="DR814" s="18" t="s">
        <v>2328</v>
      </c>
      <c r="DS814" s="18" t="s">
        <v>2329</v>
      </c>
      <c r="DT814" s="18"/>
      <c r="DU814" s="18"/>
      <c r="DV814" s="18"/>
      <c r="DW814" s="18"/>
      <c r="DX814" s="18"/>
      <c r="DY814" s="18"/>
      <c r="DZ814" s="18"/>
      <c r="EA814" s="18"/>
      <c r="EB814" s="14">
        <f>SUM(CZ814,DB814,DL814, DE814, DD814,FK814)</f>
        <v>3717.5086333333334</v>
      </c>
      <c r="EC814" s="18"/>
      <c r="ED814" s="18" t="s">
        <v>2325</v>
      </c>
      <c r="EE814" s="18"/>
      <c r="EF814" s="18" t="s">
        <v>2326</v>
      </c>
      <c r="EG814" s="18"/>
      <c r="EH814" s="18" t="s">
        <v>2128</v>
      </c>
      <c r="EI814" s="18" t="s">
        <v>2327</v>
      </c>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4"/>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27">
        <v>44499</v>
      </c>
      <c r="IB814" s="18">
        <v>18000</v>
      </c>
      <c r="IC814" s="14">
        <v>10000</v>
      </c>
      <c r="ID814" s="18"/>
      <c r="IE814" s="18"/>
      <c r="IF814" s="18" t="s">
        <v>2758</v>
      </c>
      <c r="IG814" s="18" t="s">
        <v>2738</v>
      </c>
      <c r="IH814" s="18" t="s">
        <v>279</v>
      </c>
      <c r="II814" s="18"/>
      <c r="IJ814" s="18"/>
      <c r="IK814" s="14">
        <v>125</v>
      </c>
      <c r="IL814" s="14">
        <f>SUM(IB814-EB814-IJ814)</f>
        <v>14282.491366666667</v>
      </c>
      <c r="IM814" s="14"/>
      <c r="IN814" s="14"/>
      <c r="IO814" s="27">
        <v>44377</v>
      </c>
      <c r="IP814" s="27">
        <v>44397</v>
      </c>
      <c r="IQ814" s="27">
        <v>44501</v>
      </c>
      <c r="IR814" s="27">
        <v>44505</v>
      </c>
      <c r="IS814" s="18"/>
      <c r="IT814" s="18"/>
      <c r="IU814" s="18"/>
      <c r="IV814" s="18"/>
      <c r="IW814" s="18"/>
      <c r="IX814" s="18"/>
      <c r="IY814" s="18"/>
      <c r="IZ814" s="18"/>
      <c r="JA814" s="18"/>
      <c r="JB814" s="18"/>
      <c r="JC814" s="18"/>
    </row>
    <row r="815" spans="1:265" ht="15" customHeight="1">
      <c r="A815" s="18">
        <v>102022168</v>
      </c>
      <c r="B815" t="s">
        <v>3925</v>
      </c>
      <c r="C815" s="10"/>
      <c r="D815" s="161"/>
      <c r="E815" s="147" t="s">
        <v>5902</v>
      </c>
      <c r="F815" s="160">
        <v>240003257</v>
      </c>
      <c r="G815" s="10"/>
      <c r="H815" s="10"/>
      <c r="I815" s="10"/>
      <c r="J815" s="10" t="s">
        <v>554</v>
      </c>
      <c r="K815" s="10" t="s">
        <v>3210</v>
      </c>
      <c r="L815" s="10" t="s">
        <v>574</v>
      </c>
      <c r="M815" s="10" t="s">
        <v>469</v>
      </c>
      <c r="N815" s="10"/>
      <c r="O815" s="10"/>
      <c r="P815" s="10" t="s">
        <v>3210</v>
      </c>
      <c r="Q815" s="10" t="s">
        <v>3211</v>
      </c>
      <c r="R815" s="10" t="s">
        <v>403</v>
      </c>
      <c r="S815" s="10"/>
      <c r="T815" s="10"/>
      <c r="U815" s="10"/>
      <c r="V815" s="10"/>
      <c r="W815" s="10"/>
      <c r="X815" s="10"/>
      <c r="Y815" s="10"/>
      <c r="Z815" s="10"/>
      <c r="AA815" s="10"/>
      <c r="AB815" s="10"/>
      <c r="AC815" s="10"/>
      <c r="AD815" s="10" t="s">
        <v>3936</v>
      </c>
      <c r="AE815" s="10" t="s">
        <v>311</v>
      </c>
      <c r="AF815" s="10" t="s">
        <v>3210</v>
      </c>
      <c r="AG815" s="141" t="s">
        <v>3937</v>
      </c>
      <c r="AH815" s="147" t="s">
        <v>3938</v>
      </c>
      <c r="AI815" s="10"/>
      <c r="AJ815" s="18" t="s">
        <v>328</v>
      </c>
      <c r="AL815" t="s">
        <v>279</v>
      </c>
      <c r="AM815"/>
      <c r="AN815"/>
      <c r="AO815" s="3" t="s">
        <v>3208</v>
      </c>
      <c r="AP815" s="3" t="s">
        <v>258</v>
      </c>
      <c r="AQ815" t="s">
        <v>3209</v>
      </c>
      <c r="AR815"/>
      <c r="AS815" s="1"/>
      <c r="AT815" s="1"/>
      <c r="AU815" s="1"/>
      <c r="AV815" s="1"/>
      <c r="AW815" s="19"/>
      <c r="AY815" s="116"/>
      <c r="AZ815" s="116" t="s">
        <v>258</v>
      </c>
      <c r="BA815" s="2" t="s">
        <v>258</v>
      </c>
      <c r="BB815" s="2" t="s">
        <v>258</v>
      </c>
      <c r="BC815" s="70">
        <v>45476</v>
      </c>
      <c r="BD815" s="115">
        <v>45415</v>
      </c>
      <c r="BE815" s="9">
        <v>45440</v>
      </c>
      <c r="BF815" s="70">
        <v>45534</v>
      </c>
      <c r="BG815" s="20" t="s">
        <v>319</v>
      </c>
      <c r="BH815" s="21">
        <v>45520</v>
      </c>
      <c r="BI815" s="21">
        <v>45527</v>
      </c>
      <c r="BJ815" s="70">
        <v>45548</v>
      </c>
      <c r="BK815" s="70" t="s">
        <v>319</v>
      </c>
      <c r="BL815" s="20">
        <f ca="1">SUM(EH815)+220</f>
        <v>3057.5237708333334</v>
      </c>
      <c r="BM815" s="22">
        <f ca="1">PMT(10%/12,12,BL815,0,0)</f>
        <v>-268.80491503965703</v>
      </c>
      <c r="BN815" s="22">
        <f ca="1">SUM(BM815*-1)</f>
        <v>268.80491503965703</v>
      </c>
      <c r="BO815" s="14">
        <f>SUM(EP815*0.0052)/12</f>
        <v>13.13</v>
      </c>
      <c r="BP815" s="22">
        <f ca="1">SUM(BN815+BO815)</f>
        <v>281.93491503965703</v>
      </c>
      <c r="BQ815" s="14"/>
      <c r="BR815" s="14">
        <f>SUM(BQ815*0.1)</f>
        <v>0</v>
      </c>
      <c r="BS815" s="14">
        <f ca="1">SUM(BT815*BU815)</f>
        <v>0</v>
      </c>
      <c r="BT815" s="17">
        <f>SUM((BQ815+BR815)*0.00833333333333333)</f>
        <v>0</v>
      </c>
      <c r="BU815" s="23">
        <f ca="1">MONTH(TODAY())+49</f>
        <v>53</v>
      </c>
      <c r="BV815" s="14">
        <f ca="1">SUM(BQ815,BR815,BS815)</f>
        <v>0</v>
      </c>
      <c r="BW815" s="14">
        <v>0</v>
      </c>
      <c r="BX815" s="14">
        <f>SUM(BW815*0.1)</f>
        <v>0</v>
      </c>
      <c r="BY815" s="14">
        <f ca="1">SUM(BZ815*CA815)</f>
        <v>0</v>
      </c>
      <c r="BZ815" s="17">
        <f>SUM((BW815+BX815)*0.00833333333333333)</f>
        <v>0</v>
      </c>
      <c r="CA815" s="23">
        <f ca="1">MONTH(TODAY())+37</f>
        <v>41</v>
      </c>
      <c r="CB815" s="14">
        <f ca="1">SUM(BW815,BX815,BY815)</f>
        <v>0</v>
      </c>
      <c r="CC815" s="14">
        <v>0</v>
      </c>
      <c r="CD815" s="14">
        <f>SUM(CC815*0.1)</f>
        <v>0</v>
      </c>
      <c r="CE815" s="14">
        <f ca="1">SUM(CF815*CG815)</f>
        <v>0</v>
      </c>
      <c r="CF815" s="17">
        <f>SUM((CC815+CD815)*0.00833333333333333)</f>
        <v>0</v>
      </c>
      <c r="CG815" s="23">
        <f ca="1">MONTH(TODAY())+25</f>
        <v>29</v>
      </c>
      <c r="CH815" s="14">
        <f ca="1">SUM(CC815,CD815,CE815)</f>
        <v>0</v>
      </c>
      <c r="CI815" s="14">
        <v>0</v>
      </c>
      <c r="CJ815" s="14">
        <f>SUM(CI815*0.1)</f>
        <v>0</v>
      </c>
      <c r="CK815" s="14">
        <f ca="1">SUM(CL815*CM815)</f>
        <v>0</v>
      </c>
      <c r="CL815" s="17">
        <f>SUM((CI815+CJ815)*0.00833333333333333)</f>
        <v>0</v>
      </c>
      <c r="CM815" s="23">
        <f ca="1">MONTH(TODAY())+17</f>
        <v>21</v>
      </c>
      <c r="CN815" s="23">
        <f ca="1">SUM(CI815,CJ815,CK815)</f>
        <v>0</v>
      </c>
      <c r="CO815" s="14">
        <f>SUM(EM815*0.0052)/2</f>
        <v>71.5</v>
      </c>
      <c r="CP815" s="14">
        <f>SUM(CO815*0.1)</f>
        <v>7.15</v>
      </c>
      <c r="CQ815" s="14">
        <f ca="1">SUM(CR815*CS815)</f>
        <v>11.142083333333328</v>
      </c>
      <c r="CR815" s="17">
        <f>SUM((CO815+CP815)*0.00833333333333333)</f>
        <v>0.65541666666666643</v>
      </c>
      <c r="CS815" s="23">
        <f ca="1">MONTH(TODAY())+13</f>
        <v>17</v>
      </c>
      <c r="CT815" s="14">
        <f ca="1">SUM(CO815,CP815,CQ815)</f>
        <v>89.792083333333338</v>
      </c>
      <c r="CU815" s="14">
        <f>SUM(EP815*0.0045)/2</f>
        <v>68.174999999999997</v>
      </c>
      <c r="CV815" s="14">
        <f>SUM(CU815*0.1)</f>
        <v>6.8174999999999999</v>
      </c>
      <c r="CW815" s="14">
        <f ca="1">SUM(CX815*CY815)</f>
        <v>6.8743124999999967</v>
      </c>
      <c r="CX815" s="17">
        <f>SUM((CU815+CV815)*0.00833333333333333)</f>
        <v>0.6249374999999997</v>
      </c>
      <c r="CY815" s="23">
        <f ca="1">MONTH(TODAY())+7</f>
        <v>11</v>
      </c>
      <c r="CZ815" s="14">
        <f ca="1">SUM(CU815,CV815,CW815)</f>
        <v>81.866812499999995</v>
      </c>
      <c r="DA815" s="14">
        <f>SUM(EP815*0.0045)/2</f>
        <v>68.174999999999997</v>
      </c>
      <c r="DB815" s="14">
        <f>SUM(DA815*0.1)</f>
        <v>6.8174999999999999</v>
      </c>
      <c r="DC815" s="14">
        <f ca="1">SUM(DD815*DE815)</f>
        <v>3.1246874999999985</v>
      </c>
      <c r="DD815" s="17">
        <f>SUM((DA815+DB815)*0.00833333333333333)</f>
        <v>0.6249374999999997</v>
      </c>
      <c r="DE815" s="23">
        <f ca="1">MONTH(TODAY())+1</f>
        <v>5</v>
      </c>
      <c r="DF815" s="14">
        <f ca="1">SUM(DA815,DB815,DC815)</f>
        <v>78.117187499999986</v>
      </c>
      <c r="DG815" s="14">
        <f>SUM(EP815*0.0045)/2</f>
        <v>68.174999999999997</v>
      </c>
      <c r="DH815" s="14">
        <f>SUM(DG815*0.1)</f>
        <v>6.8174999999999999</v>
      </c>
      <c r="DI815" s="14">
        <f ca="1">SUM(DJ815*DK815)</f>
        <v>-1.8748124999999991</v>
      </c>
      <c r="DJ815" s="17">
        <f>SUM((DG815+DH815)*0.00833333333333333)</f>
        <v>0.6249374999999997</v>
      </c>
      <c r="DK815" s="23">
        <f ca="1">MONTH(TODAY())-7</f>
        <v>-3</v>
      </c>
      <c r="DL815" s="14">
        <f ca="1">SUM(DG815,DH815,DI815)</f>
        <v>73.117687499999988</v>
      </c>
      <c r="DM815" s="14">
        <f>0</f>
        <v>0</v>
      </c>
      <c r="DN815" s="14">
        <f>0</f>
        <v>0</v>
      </c>
      <c r="DO815" s="14">
        <f ca="1">SUM(DP815*DQ815)</f>
        <v>0</v>
      </c>
      <c r="DP815" s="17">
        <f>SUM((DM815+DN815)*0.00833333333333333)</f>
        <v>0</v>
      </c>
      <c r="DQ815" s="23">
        <f ca="1">MONTH(TODAY())+1</f>
        <v>5</v>
      </c>
      <c r="DR815" s="14">
        <f ca="1">SUM(DM815,DN815,DO815)</f>
        <v>0</v>
      </c>
      <c r="DS815" s="14">
        <f>SUM(BQ815, BW815, CC815, CI815,CO815,CU815,DA815,DG815,DM815)</f>
        <v>276.02500000000003</v>
      </c>
      <c r="DT815" s="14">
        <f>SUM(BR815,BX815,CD815, CJ815,CP815,CV815,DB815,DH815,DN815)</f>
        <v>27.602499999999999</v>
      </c>
      <c r="DU815" s="14">
        <f ca="1">SUM(BS815,BY815,CE815, CK815,CQ815,CW815,DC815,DI815,DO815)</f>
        <v>19.26627083333333</v>
      </c>
      <c r="DV815" s="25">
        <f ca="1">SUM(DS815:DU815)</f>
        <v>322.89377083333341</v>
      </c>
      <c r="DW815" s="47">
        <f ca="1">SUM(DV815/EN815)</f>
        <v>1.0656560093509354E-2</v>
      </c>
      <c r="DX815" s="14">
        <f>40+200+20+200+20+80+40+40+40+40+100</f>
        <v>820</v>
      </c>
      <c r="DY815" s="32">
        <f>COUNTIF(AO815, "*")+COUNTIF(AJ815, "*")+COUNTIF(AA815, "*")+COUNTIF(FA815, "*")+COUNTIF(FG815, "*")+COUNTIF(FM815, "*")+COUNTIF(FQ815, "*")+COUNTIF(FX815, "*")+COUNTIF(AS815, "*")+COUNTIF(GG815, "*")+COUNTIF(GR815, "*")+COUNTIF(HC815, "*")+COUNTIF(HK815, "*")+COUNTIF(HS815, "*")+COUNTIF(IA815, "*")</f>
        <v>4</v>
      </c>
      <c r="DZ815" s="14">
        <f>33.92+28+28+28+28</f>
        <v>145.92000000000002</v>
      </c>
      <c r="EA815" s="4">
        <f>27.14+906.82</f>
        <v>933.96</v>
      </c>
      <c r="EB815" s="25">
        <v>260.5</v>
      </c>
      <c r="EC815" s="4">
        <v>93.75</v>
      </c>
      <c r="ED815" s="4"/>
      <c r="EE815" s="4"/>
      <c r="EF815" s="4"/>
      <c r="EG815" s="14">
        <f>SUM(EA815:EF815)</f>
        <v>1288.21</v>
      </c>
      <c r="EH815" s="14">
        <f ca="1">SUM(DV815,DX815,EG815, EB815, DZ815,GD815)</f>
        <v>2837.5237708333334</v>
      </c>
      <c r="EI815" s="24" t="s">
        <v>4935</v>
      </c>
      <c r="EJ815" s="35">
        <v>2.66</v>
      </c>
      <c r="EK815" s="4">
        <v>27500</v>
      </c>
      <c r="EL815" s="4">
        <v>0</v>
      </c>
      <c r="EM815" s="14">
        <f>SUM(EK815+EL815)</f>
        <v>27500</v>
      </c>
      <c r="EN815" s="4">
        <v>30300</v>
      </c>
      <c r="EO815" s="4">
        <v>0</v>
      </c>
      <c r="EP815" s="14">
        <f>SUM(EN815+EO815)</f>
        <v>30300</v>
      </c>
      <c r="EQ815" s="10" t="s">
        <v>3735</v>
      </c>
      <c r="ER815" s="10" t="s">
        <v>3736</v>
      </c>
      <c r="ES815" s="10" t="s">
        <v>3737</v>
      </c>
      <c r="ET815" s="10"/>
      <c r="EU815" s="10"/>
      <c r="EV815" s="10"/>
      <c r="EW815" s="10"/>
      <c r="EX815" s="10"/>
      <c r="EY815" s="10" t="s">
        <v>3770</v>
      </c>
      <c r="EZ815" s="10"/>
      <c r="FA815" s="10" t="s">
        <v>3771</v>
      </c>
      <c r="FB815" s="10"/>
      <c r="FC815" s="10" t="s">
        <v>3209</v>
      </c>
      <c r="FD815" s="10"/>
      <c r="FE815" s="10" t="s">
        <v>3772</v>
      </c>
      <c r="FF815" s="10"/>
      <c r="FG815" s="10" t="s">
        <v>3773</v>
      </c>
      <c r="FH815" s="10"/>
      <c r="FI815" s="10" t="s">
        <v>3774</v>
      </c>
      <c r="FJ815" s="10"/>
      <c r="FK815" s="10"/>
      <c r="FL815" s="10"/>
      <c r="FM815" s="10"/>
      <c r="FN815" s="10"/>
      <c r="FO815" s="10"/>
      <c r="FP815" s="10"/>
      <c r="FQ815" s="10"/>
      <c r="FR815" s="10"/>
      <c r="FS815" s="10"/>
      <c r="FT815" s="10"/>
      <c r="FU815" s="9"/>
      <c r="FV815" s="10"/>
      <c r="FW815" s="10"/>
      <c r="FX815" s="10"/>
      <c r="FY815" s="10"/>
      <c r="FZ815" s="10"/>
      <c r="GA815" s="10"/>
      <c r="GB815" s="9"/>
      <c r="GC815" s="10"/>
      <c r="GD815" s="10"/>
      <c r="GE815" s="10"/>
      <c r="GF815" s="10"/>
      <c r="GG815" s="10"/>
      <c r="GH815" s="10"/>
      <c r="GI815" s="10"/>
      <c r="GJ815" s="10"/>
      <c r="GK815" s="9"/>
      <c r="GL815" s="10"/>
      <c r="GM815" s="10"/>
      <c r="GN815" s="10"/>
      <c r="GO815" s="10"/>
      <c r="GP815" s="10"/>
      <c r="GQ815" s="10"/>
      <c r="GR815" s="10"/>
      <c r="GS815" s="10"/>
      <c r="GT815" s="10"/>
      <c r="GU815" s="10"/>
      <c r="GV815" s="9"/>
      <c r="GW815" s="10"/>
      <c r="GX815" s="10"/>
      <c r="GY815" s="10"/>
      <c r="GZ815" s="10"/>
      <c r="HA815" s="10"/>
      <c r="HB815" s="10"/>
      <c r="HC815" s="10"/>
      <c r="HD815" s="10"/>
      <c r="HE815" s="10"/>
      <c r="HF815" s="10"/>
      <c r="HG815" s="9"/>
      <c r="HH815" s="10"/>
      <c r="HI815" s="10"/>
      <c r="HJ815" s="10"/>
      <c r="HK815" s="10"/>
      <c r="HL815" s="10"/>
      <c r="HM815" s="10"/>
      <c r="HN815" s="10"/>
      <c r="HO815" s="9"/>
      <c r="HP815" s="10"/>
      <c r="HQ815" s="10"/>
      <c r="HR815" s="10"/>
      <c r="HS815" s="10"/>
      <c r="HT815" s="10"/>
      <c r="HU815" s="10"/>
      <c r="HV815" s="10"/>
      <c r="HW815" s="9"/>
      <c r="HX815" s="10"/>
      <c r="HY815" s="10"/>
      <c r="HZ815" s="10"/>
      <c r="IA815" s="10"/>
      <c r="IB815" s="10"/>
      <c r="IC815" s="10"/>
      <c r="ID815" s="10">
        <v>44863</v>
      </c>
      <c r="IE815" s="9"/>
      <c r="IF815" s="4"/>
      <c r="IG815" s="4"/>
      <c r="IH815" s="10"/>
      <c r="II815" s="10"/>
      <c r="IJ815" s="10"/>
      <c r="IK815" s="10"/>
      <c r="IL815" s="4"/>
      <c r="IM815" s="4"/>
      <c r="IN815" s="4">
        <v>44823</v>
      </c>
      <c r="IO815" s="4"/>
      <c r="IP815" s="4"/>
      <c r="IQ815" s="9"/>
      <c r="IR815" s="9"/>
      <c r="IS815" s="9"/>
      <c r="IT815" s="9"/>
      <c r="IU815" s="9"/>
      <c r="IV815" t="s">
        <v>5913</v>
      </c>
    </row>
    <row r="816" spans="1:265" ht="15" customHeight="1">
      <c r="A816" s="19">
        <v>102023058</v>
      </c>
      <c r="B816" s="18" t="s">
        <v>4210</v>
      </c>
      <c r="D816" s="1"/>
      <c r="E816" s="3"/>
      <c r="F816" s="3"/>
      <c r="J816" s="18" t="s">
        <v>253</v>
      </c>
      <c r="K816" s="18" t="s">
        <v>769</v>
      </c>
      <c r="L816" s="130" t="s">
        <v>4149</v>
      </c>
      <c r="M816" s="130" t="s">
        <v>537</v>
      </c>
      <c r="N816" s="18"/>
      <c r="O816" s="252"/>
      <c r="P816" s="130"/>
      <c r="Q816" s="130"/>
      <c r="R816" s="130"/>
      <c r="S816" s="130"/>
      <c r="AG816" s="43"/>
      <c r="AJ816" s="18"/>
      <c r="AK816" s="18"/>
      <c r="AL816" s="18"/>
      <c r="AM816" s="18"/>
      <c r="AN816" s="18"/>
      <c r="AO816" s="18" t="s">
        <v>4209</v>
      </c>
      <c r="AP816" s="18" t="s">
        <v>258</v>
      </c>
      <c r="AQ816" s="18" t="s">
        <v>279</v>
      </c>
      <c r="AR816" s="18" t="s">
        <v>260</v>
      </c>
      <c r="AX816" s="1"/>
      <c r="AY816" s="1"/>
      <c r="AZ816" s="1"/>
      <c r="BA816" s="1"/>
      <c r="BB816" s="1"/>
      <c r="BC816" s="2"/>
      <c r="BD816" s="115"/>
      <c r="BE816" s="115"/>
      <c r="BF816" s="2"/>
      <c r="BG816" s="2"/>
      <c r="BH816" s="2"/>
      <c r="BI816" s="2"/>
      <c r="BJ816" s="2"/>
      <c r="BK816" s="2"/>
      <c r="BL816" s="20">
        <f ca="1">SUM(DP816)+220</f>
        <v>802.34332499999994</v>
      </c>
      <c r="BM816" s="22">
        <f ca="1">PMT(10%/12,12,BL816,0,0)</f>
        <v>-70.538725280450933</v>
      </c>
      <c r="BN816" s="22">
        <f ca="1">SUM(BM816*-1)</f>
        <v>70.538725280450933</v>
      </c>
      <c r="BO816" s="14">
        <f>SUM(DX816*0.0052)/12</f>
        <v>30.983333333333331</v>
      </c>
      <c r="BP816" s="22">
        <f ca="1">SUM(BN816+BO816)</f>
        <v>101.52205861378427</v>
      </c>
      <c r="BQ816" s="14"/>
      <c r="BR816" s="14">
        <f>SUM(BQ816*0.1)</f>
        <v>0</v>
      </c>
      <c r="BS816" s="14">
        <f ca="1">SUM(BT816*BU816)</f>
        <v>0</v>
      </c>
      <c r="BT816" s="17">
        <f>SUM((BQ816+BR816)*0.00833333333333333)</f>
        <v>0</v>
      </c>
      <c r="BU816" s="23">
        <f ca="1">MONTH(TODAY())+49</f>
        <v>53</v>
      </c>
      <c r="BV816" s="14">
        <f ca="1">SUM(BQ816,BR816,BS816)</f>
        <v>0</v>
      </c>
      <c r="BW816" s="14"/>
      <c r="BX816" s="14">
        <f>SUM(BW816*0.1)</f>
        <v>0</v>
      </c>
      <c r="BY816" s="14">
        <f ca="1">SUM(BZ816*CA816)</f>
        <v>0</v>
      </c>
      <c r="BZ816" s="17">
        <f>SUM((BW816+BX816)*0.00833333333333333)</f>
        <v>0</v>
      </c>
      <c r="CA816" s="23">
        <f ca="1">MONTH(TODAY())+37</f>
        <v>41</v>
      </c>
      <c r="CB816" s="14">
        <f ca="1">SUM(BW816,BX816,BY816)</f>
        <v>0</v>
      </c>
      <c r="CC816" s="14">
        <v>0</v>
      </c>
      <c r="CD816" s="14">
        <f>SUM(CC816*0.1)</f>
        <v>0</v>
      </c>
      <c r="CE816" s="14">
        <f ca="1">SUM(CF816*CG816)</f>
        <v>0</v>
      </c>
      <c r="CF816" s="17">
        <f>SUM((CC816+CD816)*0.00833333333333333)</f>
        <v>0</v>
      </c>
      <c r="CG816" s="23">
        <f ca="1">MONTH(TODAY())+25</f>
        <v>29</v>
      </c>
      <c r="CH816" s="14">
        <f ca="1">SUM(CC816,CD816,CE816)</f>
        <v>0</v>
      </c>
      <c r="CI816" s="14">
        <f>SUM(DU816*0.0052)-129.87</f>
        <v>169.64999999999998</v>
      </c>
      <c r="CJ816" s="14">
        <f>SUM(CI816*0.1)</f>
        <v>16.965</v>
      </c>
      <c r="CK816" s="14">
        <f ca="1">SUM(CL816*CM816)</f>
        <v>26.437124999999988</v>
      </c>
      <c r="CL816" s="17">
        <f>SUM((CI816+CJ816)*0.00833333333333333)</f>
        <v>1.5551249999999992</v>
      </c>
      <c r="CM816" s="23">
        <f ca="1">MONTH(TODAY())+13</f>
        <v>17</v>
      </c>
      <c r="CN816" s="14">
        <f ca="1">SUM(CI816,CJ816,CK816)</f>
        <v>213.05212499999996</v>
      </c>
      <c r="CO816" s="14">
        <f>SUM(DU816*0.0052)/2</f>
        <v>149.76</v>
      </c>
      <c r="CP816" s="14">
        <f>SUM(CO816*0.1)</f>
        <v>14.975999999999999</v>
      </c>
      <c r="CQ816" s="14">
        <f ca="1">SUM(CR816*CS816)</f>
        <v>12.355199999999995</v>
      </c>
      <c r="CR816" s="17">
        <f>SUM((CO816+CP816)*0.00833333333333333)</f>
        <v>1.3727999999999994</v>
      </c>
      <c r="CS816" s="23">
        <f ca="1">MONTH(TODAY())+5</f>
        <v>9</v>
      </c>
      <c r="CT816" s="23">
        <f ca="1">SUM(CO816,CP816,CQ816)</f>
        <v>177.09119999999999</v>
      </c>
      <c r="CU816" s="14">
        <f>SUM(DU816*0.0052)/2</f>
        <v>149.76</v>
      </c>
      <c r="CV816" s="14">
        <f>SUM(CU816*0.1)</f>
        <v>14.975999999999999</v>
      </c>
      <c r="CW816" s="14">
        <f ca="1">SUM(CX816*CY816)</f>
        <v>6.8639999999999972</v>
      </c>
      <c r="CX816" s="17">
        <f>SUM((CU816+CV816)*0.00833333333333333)</f>
        <v>1.3727999999999994</v>
      </c>
      <c r="CY816" s="23">
        <f ca="1">MONTH(TODAY())+1</f>
        <v>5</v>
      </c>
      <c r="CZ816" s="23">
        <f ca="1">SUM(CU816,CV816,CW816)</f>
        <v>171.6</v>
      </c>
      <c r="DA816" s="14">
        <f>SUM( BQ816, BW816, CC816, CI816, CO816,CU816)</f>
        <v>469.16999999999996</v>
      </c>
      <c r="DB816" s="14">
        <f>SUM(BR816,BX816,CD816,CJ816, CP816,CV816)</f>
        <v>46.917000000000002</v>
      </c>
      <c r="DC816" s="14">
        <f ca="1">SUM(BS816,BY816,CE816,CK816, CQ816,CW816)</f>
        <v>45.656324999999981</v>
      </c>
      <c r="DD816" s="25">
        <f ca="1">SUM(DA816:DC816)</f>
        <v>561.74332499999991</v>
      </c>
      <c r="DE816" s="47">
        <f ca="1">SUM(DD816/DU816)</f>
        <v>9.7524882812499991E-3</v>
      </c>
      <c r="DF816" s="14">
        <v>20</v>
      </c>
      <c r="DG816" s="32">
        <f>COUNTIF(DL816, "*")+COUNTIF(AO816, "*")+COUNTIF(AJ816, "*")+COUNTIF(AA816, "*")+COUNTIF(EM816, "*")+COUNTIF(ES816, "*")+COUNTIF(EY816, "*")+COUNTIF(FC816, "*")+COUNTIF(FJ816, "*")+COUNTIF(AT816, "*")+COUNTIF(FS816, "*")+COUNTIF(GD816, "*")+COUNTIF(GO816, "*")+COUNTIF(GW816, "*")+COUNTIF(HE816, "*")+COUNTIF(HM816, "*")+COUNTIF(HU816, "*")</f>
        <v>1</v>
      </c>
      <c r="DH816" s="14">
        <f>DG816*0.6</f>
        <v>0.6</v>
      </c>
      <c r="DI816" s="4"/>
      <c r="DJ816" s="4"/>
      <c r="DK816" s="4"/>
      <c r="DL816" s="4"/>
      <c r="DN816" s="4"/>
      <c r="DO816" s="14">
        <f>SUM(DJ816:DN816)</f>
        <v>0</v>
      </c>
      <c r="DP816" s="14">
        <f ca="1">SUM(DD816,DF816,DO816, DI816, DH816,FP816)</f>
        <v>582.34332499999994</v>
      </c>
      <c r="DQ816" s="24" t="s">
        <v>3879</v>
      </c>
      <c r="DR816" s="130">
        <v>0.57999999999999996</v>
      </c>
      <c r="DS816" s="14">
        <v>18800</v>
      </c>
      <c r="DT816" s="14">
        <v>38800</v>
      </c>
      <c r="DU816" s="14">
        <v>57600</v>
      </c>
      <c r="DV816" s="14">
        <v>18800</v>
      </c>
      <c r="DW816" s="14">
        <v>52700</v>
      </c>
      <c r="DX816" s="14">
        <f>SUM(DV816+DW816)</f>
        <v>71500</v>
      </c>
      <c r="FG816" s="9"/>
      <c r="FN816" s="9"/>
      <c r="IA816" s="9"/>
      <c r="IL816" s="14">
        <f ca="1">SUM(IB816-DP816-FP816-IJ816)</f>
        <v>-582.34332499999994</v>
      </c>
      <c r="IM816" s="9"/>
      <c r="IN816" s="9"/>
      <c r="IO816" s="9"/>
      <c r="IP816" s="9"/>
      <c r="IQ816" s="9"/>
    </row>
    <row r="817" spans="1:263" ht="15" customHeight="1">
      <c r="A817" s="2">
        <v>102019086</v>
      </c>
      <c r="B817" s="4" t="s">
        <v>1457</v>
      </c>
      <c r="C817" s="1"/>
      <c r="D817" s="1"/>
      <c r="E817" s="3"/>
      <c r="F817" s="3"/>
      <c r="G817" s="3"/>
      <c r="H817" s="2"/>
      <c r="J817" t="s">
        <v>311</v>
      </c>
      <c r="K817" t="s">
        <v>1078</v>
      </c>
      <c r="L817" t="s">
        <v>574</v>
      </c>
      <c r="O817" s="1"/>
      <c r="T817" s="1"/>
      <c r="AH817" s="3"/>
      <c r="AX817" s="9"/>
      <c r="AY817" s="9"/>
      <c r="AZ817" s="9"/>
      <c r="BA817" s="9"/>
      <c r="BC817" s="9"/>
      <c r="BD817" s="9"/>
      <c r="BE817" s="9"/>
      <c r="BG817" s="66"/>
      <c r="BH817" s="66"/>
      <c r="BI817" s="66"/>
      <c r="BK817" s="66"/>
      <c r="BL817" s="66"/>
      <c r="BO817" s="66"/>
      <c r="BP817" s="66"/>
      <c r="BQ817" s="66"/>
      <c r="BR817" s="66"/>
      <c r="BU817" s="66"/>
      <c r="BV817" s="66"/>
      <c r="BW817" s="66"/>
      <c r="BX817" s="66"/>
      <c r="CA817" s="66"/>
      <c r="CB817" s="66"/>
      <c r="CC817" s="66"/>
      <c r="CD817" s="66"/>
      <c r="CG817" s="66"/>
      <c r="CH817" s="66"/>
      <c r="CI817" s="66"/>
      <c r="CJ817" s="66"/>
      <c r="CM817" s="66"/>
      <c r="CN817" s="66"/>
      <c r="CO817" s="66"/>
      <c r="CP817" s="66"/>
      <c r="CS817" s="66"/>
      <c r="CT817" s="66"/>
      <c r="CU817" s="66"/>
      <c r="CV817" s="66"/>
      <c r="CY817" s="66"/>
      <c r="CZ817" s="66"/>
      <c r="DA817" s="66"/>
      <c r="DB817" s="66"/>
      <c r="DE817" s="66"/>
      <c r="DF817" s="66"/>
      <c r="DG817" s="66"/>
      <c r="DH817" s="66"/>
      <c r="DI817" s="66"/>
      <c r="DJ817" s="66"/>
      <c r="DL817" s="66"/>
      <c r="DN817" s="66"/>
      <c r="DO817" s="66"/>
      <c r="DP817" s="66"/>
      <c r="DQ817" s="66"/>
      <c r="DR817" s="66"/>
      <c r="DS817" s="66"/>
      <c r="DU817" s="66"/>
      <c r="DV817" s="66"/>
      <c r="DW817" s="66"/>
      <c r="DX817" s="66"/>
      <c r="DY817" s="66"/>
      <c r="FR817" s="9"/>
      <c r="II817" s="9"/>
      <c r="IJ817" s="66"/>
      <c r="IK817" s="66"/>
      <c r="IZ817" s="18"/>
      <c r="JA817" s="18"/>
      <c r="JB817" s="18"/>
      <c r="JC817" s="18"/>
    </row>
    <row r="818" spans="1:263" ht="15" customHeight="1">
      <c r="A818" s="2">
        <v>102017102</v>
      </c>
      <c r="B818" t="s">
        <v>1072</v>
      </c>
      <c r="I818" s="2"/>
      <c r="J818" t="s">
        <v>253</v>
      </c>
      <c r="K818" t="s">
        <v>1045</v>
      </c>
      <c r="L818" t="s">
        <v>754</v>
      </c>
      <c r="M818" t="s">
        <v>396</v>
      </c>
      <c r="O818" s="1" t="s">
        <v>258</v>
      </c>
      <c r="T818" s="1"/>
      <c r="AD818" s="1"/>
      <c r="AE818" s="1"/>
      <c r="AJ818" s="4"/>
      <c r="AK818" s="4"/>
      <c r="AL818" s="4"/>
      <c r="AM818" s="34"/>
      <c r="AO818" s="4"/>
      <c r="AP818" s="13"/>
      <c r="AQ818" s="34"/>
      <c r="AR818" s="34"/>
      <c r="AS818" s="5"/>
      <c r="AT818" s="13"/>
      <c r="AU818" s="1"/>
      <c r="AV818" s="1"/>
      <c r="AW818" s="1"/>
      <c r="AX818" s="1"/>
      <c r="AY818" s="1"/>
      <c r="AZ818" s="1"/>
      <c r="BA818" s="1"/>
      <c r="BB818" s="1"/>
      <c r="BC818" s="1"/>
      <c r="BD818" s="1"/>
      <c r="BE818" s="1"/>
      <c r="BF818" s="1"/>
      <c r="BG818" s="5"/>
      <c r="BH818" s="16"/>
      <c r="BI818" s="16"/>
      <c r="BK818" s="4"/>
      <c r="BL818" s="4"/>
      <c r="BM818" s="6"/>
      <c r="BN818" s="7"/>
      <c r="BO818" s="4"/>
      <c r="BQ818" s="4"/>
      <c r="BR818" s="4"/>
      <c r="BS818" s="6"/>
      <c r="BT818" s="7"/>
      <c r="BU818" s="4"/>
      <c r="BV818" s="4"/>
      <c r="BW818" s="4"/>
      <c r="BX818" s="4"/>
      <c r="BY818" s="6"/>
      <c r="BZ818" s="7"/>
      <c r="CA818" s="4"/>
      <c r="CC818" s="4"/>
      <c r="CD818" s="4"/>
      <c r="CE818" s="6"/>
      <c r="CF818" s="7"/>
      <c r="CG818" s="4"/>
      <c r="CH818" s="4"/>
      <c r="CI818" s="4"/>
      <c r="CJ818" s="4"/>
      <c r="CK818" s="6"/>
      <c r="CL818" s="7"/>
      <c r="CM818" s="4"/>
      <c r="CN818" s="4"/>
      <c r="CO818" s="4"/>
      <c r="CP818" s="4"/>
      <c r="CQ818" s="6"/>
      <c r="CR818" s="7"/>
      <c r="CS818" s="4"/>
      <c r="CT818" s="4"/>
      <c r="CU818" s="4"/>
      <c r="CV818" s="4"/>
      <c r="CW818" s="6"/>
      <c r="CX818" s="7"/>
      <c r="CY818" s="4"/>
      <c r="CZ818" s="4"/>
      <c r="DA818" s="4"/>
      <c r="DB818" s="4"/>
      <c r="DC818" s="6"/>
      <c r="DD818" s="7"/>
      <c r="DE818" s="4"/>
      <c r="DF818" s="4"/>
      <c r="DG818" s="4"/>
      <c r="DH818" s="4"/>
      <c r="DI818" s="6"/>
      <c r="DJ818" s="7"/>
      <c r="DK818" s="4"/>
      <c r="DL818" s="4"/>
      <c r="DM818" s="4"/>
      <c r="DN818" s="4"/>
      <c r="DO818" s="4"/>
      <c r="DP818" s="3"/>
      <c r="DQ818" s="4"/>
      <c r="DR818" s="4"/>
      <c r="DS818" s="4"/>
      <c r="DT818" s="4"/>
      <c r="DU818" s="4"/>
      <c r="DV818" s="4"/>
      <c r="DW818" s="4"/>
      <c r="DX818" s="4"/>
      <c r="DY818" s="4"/>
      <c r="DZ818" s="4"/>
      <c r="EA818" s="4"/>
      <c r="EB818" s="4"/>
      <c r="EC818" s="4"/>
      <c r="ED818" s="4"/>
      <c r="EE818" s="4"/>
      <c r="EF818" s="4"/>
      <c r="EG818" s="4"/>
      <c r="EH818" s="4"/>
      <c r="EI818" s="4"/>
      <c r="FQ818" s="9"/>
      <c r="FR818" s="10"/>
      <c r="FY818" s="10"/>
      <c r="GK818" s="9"/>
      <c r="IL818" s="4"/>
    </row>
    <row r="819" spans="1:263" ht="15" customHeight="1">
      <c r="A819" s="19">
        <v>102018101</v>
      </c>
      <c r="B819" s="14" t="s">
        <v>1297</v>
      </c>
      <c r="C819" s="14"/>
      <c r="D819" s="24"/>
      <c r="E819" s="18" t="s">
        <v>2435</v>
      </c>
      <c r="F819" s="18">
        <v>210002345</v>
      </c>
      <c r="G819" s="18"/>
      <c r="H819" s="18"/>
      <c r="I819" s="18"/>
      <c r="J819" s="13"/>
      <c r="K819" s="18" t="s">
        <v>1298</v>
      </c>
      <c r="L819" s="18"/>
      <c r="M819" s="18"/>
      <c r="N819" s="18"/>
      <c r="O819" s="13"/>
      <c r="P819" s="18"/>
      <c r="Q819" s="18"/>
      <c r="R819" s="18"/>
      <c r="S819" s="18"/>
      <c r="T819" s="18"/>
      <c r="U819" s="18"/>
      <c r="V819" s="18"/>
      <c r="W819" s="18"/>
      <c r="X819" s="18"/>
      <c r="Y819" s="18"/>
      <c r="Z819" s="18"/>
      <c r="AA819" s="18"/>
      <c r="AB819" s="18"/>
      <c r="AC819" s="13"/>
      <c r="AD819" s="18"/>
      <c r="AE819" s="18"/>
      <c r="AF819" s="18"/>
      <c r="AG819" s="231"/>
      <c r="AH819" s="18"/>
      <c r="AI819" s="18"/>
      <c r="AJ819" s="14"/>
      <c r="AK819" s="14"/>
      <c r="AL819" s="18"/>
      <c r="AM819" s="24"/>
      <c r="AN819" s="24"/>
      <c r="AO819" s="18"/>
      <c r="AP819" s="13"/>
      <c r="AQ819" s="24"/>
      <c r="AR819" s="24"/>
      <c r="AS819" s="13"/>
      <c r="AT819" s="13"/>
      <c r="AU819" s="13"/>
      <c r="AV819" s="13"/>
      <c r="AW819" s="13"/>
      <c r="AX819" s="48"/>
      <c r="AY819" s="48"/>
      <c r="AZ819" s="48"/>
      <c r="BA819" s="48"/>
      <c r="BB819" s="19"/>
      <c r="BC819" s="48"/>
      <c r="BD819" s="48"/>
      <c r="BE819" s="19"/>
      <c r="BF819" s="19"/>
      <c r="BG819" s="20"/>
      <c r="BH819" s="22"/>
      <c r="BI819" s="22"/>
      <c r="BJ819" s="14"/>
      <c r="BK819" s="22"/>
      <c r="BL819" s="14"/>
      <c r="BM819" s="14"/>
      <c r="BN819" s="14"/>
      <c r="BO819" s="17"/>
      <c r="BP819" s="23"/>
      <c r="BQ819" s="14"/>
      <c r="BR819" s="14"/>
      <c r="BS819" s="14"/>
      <c r="BT819" s="14"/>
      <c r="BU819" s="17"/>
      <c r="BV819" s="23"/>
      <c r="BW819" s="14"/>
      <c r="BX819" s="14"/>
      <c r="BY819" s="14"/>
      <c r="BZ819" s="14"/>
      <c r="CA819" s="17"/>
      <c r="CB819" s="23"/>
      <c r="CC819" s="14"/>
      <c r="CD819" s="14"/>
      <c r="CE819" s="14"/>
      <c r="CF819" s="14"/>
      <c r="CG819" s="17"/>
      <c r="CH819" s="23"/>
      <c r="CI819" s="14"/>
      <c r="CJ819" s="14"/>
      <c r="CK819" s="14"/>
      <c r="CL819" s="14"/>
      <c r="CM819" s="17"/>
      <c r="CN819" s="23"/>
      <c r="CO819" s="14"/>
      <c r="CP819" s="14"/>
      <c r="CQ819" s="14"/>
      <c r="CR819" s="14"/>
      <c r="CS819" s="17"/>
      <c r="CT819" s="23"/>
      <c r="CU819" s="14"/>
      <c r="CV819" s="14"/>
      <c r="CW819" s="14"/>
      <c r="CX819" s="14"/>
      <c r="CY819" s="14"/>
      <c r="CZ819" s="47"/>
      <c r="DA819" s="14"/>
      <c r="DB819" s="32"/>
      <c r="DC819" s="14"/>
      <c r="DD819" s="14"/>
      <c r="DE819" s="14"/>
      <c r="DF819" s="14"/>
      <c r="DG819" s="14"/>
      <c r="DH819" s="14"/>
      <c r="DI819" s="23"/>
      <c r="DJ819" s="25"/>
      <c r="DK819" s="14"/>
      <c r="DL819" s="24"/>
      <c r="DM819" s="25"/>
      <c r="DN819" s="25"/>
      <c r="DO819" s="25"/>
      <c r="DP819" s="36"/>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row>
    <row r="820" spans="1:263" ht="15" customHeight="1">
      <c r="A820" s="2">
        <v>102019065</v>
      </c>
      <c r="B820" s="4" t="s">
        <v>1400</v>
      </c>
      <c r="D820" s="3"/>
      <c r="E820" s="3"/>
      <c r="F820" s="3"/>
      <c r="G820" s="3"/>
      <c r="H820" s="3"/>
      <c r="J820" t="s">
        <v>554</v>
      </c>
      <c r="K820" t="s">
        <v>989</v>
      </c>
      <c r="L820" t="s">
        <v>416</v>
      </c>
      <c r="N820" t="s">
        <v>470</v>
      </c>
      <c r="O820" s="1"/>
      <c r="P820" t="s">
        <v>989</v>
      </c>
      <c r="Q820" t="s">
        <v>1401</v>
      </c>
      <c r="R820" t="s">
        <v>256</v>
      </c>
      <c r="T820" s="1"/>
      <c r="AX820" s="9"/>
      <c r="AY820" s="9"/>
      <c r="AZ820" s="9"/>
      <c r="BA820" s="9"/>
      <c r="BC820" s="9"/>
      <c r="BD820" s="9"/>
      <c r="BG820" s="66"/>
      <c r="BH820" s="66"/>
      <c r="BI820" s="66"/>
      <c r="BK820" s="66"/>
      <c r="BL820" s="66"/>
      <c r="BO820" s="66"/>
      <c r="BQ820" s="66"/>
      <c r="BR820" s="66"/>
      <c r="BU820" s="66"/>
      <c r="BV820" s="66"/>
      <c r="BW820" s="66"/>
      <c r="BX820" s="66"/>
      <c r="CA820" s="66"/>
      <c r="CB820" s="66"/>
      <c r="CC820" s="66"/>
      <c r="CD820" s="66"/>
      <c r="CG820" s="66"/>
      <c r="CH820" s="66"/>
      <c r="CI820" s="66"/>
      <c r="CJ820" s="66"/>
      <c r="CM820" s="66"/>
      <c r="CN820" s="66"/>
      <c r="CO820" s="66"/>
      <c r="CP820" s="66"/>
      <c r="CS820" s="66"/>
      <c r="CT820" s="66"/>
      <c r="CU820" s="66"/>
      <c r="CV820" s="66"/>
      <c r="CY820" s="66"/>
      <c r="CZ820" s="66"/>
      <c r="DA820" s="66"/>
      <c r="DB820" s="66"/>
      <c r="DE820" s="66"/>
      <c r="DF820" s="66"/>
      <c r="DG820" s="66"/>
      <c r="DH820" s="66"/>
      <c r="DI820" s="66"/>
      <c r="DJ820" s="66"/>
      <c r="DL820" s="66"/>
      <c r="DN820" s="66"/>
      <c r="DO820" s="66"/>
      <c r="DP820" s="66"/>
      <c r="DQ820" s="66"/>
      <c r="DR820" s="66"/>
      <c r="DS820" s="66"/>
      <c r="DT820" s="66"/>
      <c r="DU820" s="66"/>
      <c r="DV820" s="66"/>
      <c r="DW820" s="66"/>
      <c r="DX820" s="66"/>
      <c r="DY820" s="66"/>
      <c r="FR820" s="9"/>
      <c r="II820" s="9"/>
      <c r="IJ820" s="66"/>
      <c r="IK820" s="66"/>
      <c r="IL820" s="4"/>
      <c r="IM820" s="4"/>
    </row>
    <row r="821" spans="1:263" ht="15" customHeight="1">
      <c r="A821" s="18">
        <v>102023107</v>
      </c>
      <c r="B821" s="18" t="s">
        <v>4314</v>
      </c>
      <c r="C821" s="10"/>
      <c r="D821" s="161"/>
      <c r="E821" s="147" t="s">
        <v>5896</v>
      </c>
      <c r="F821" s="160">
        <v>240001678</v>
      </c>
      <c r="G821" s="147"/>
      <c r="H821" s="10"/>
      <c r="I821" s="10"/>
      <c r="J821" s="28" t="s">
        <v>554</v>
      </c>
      <c r="K821" s="28" t="s">
        <v>1487</v>
      </c>
      <c r="L821" s="28" t="s">
        <v>1053</v>
      </c>
      <c r="M821" s="28"/>
      <c r="N821" s="28"/>
      <c r="O821" s="149" t="s">
        <v>258</v>
      </c>
      <c r="P821" s="28" t="s">
        <v>1487</v>
      </c>
      <c r="Q821" s="28" t="s">
        <v>4422</v>
      </c>
      <c r="R821" s="28"/>
      <c r="S821" s="28"/>
      <c r="T821" s="10" t="s">
        <v>258</v>
      </c>
      <c r="U821" s="10"/>
      <c r="V821" s="10"/>
      <c r="W821" s="10"/>
      <c r="X821" s="10"/>
      <c r="Y821" s="10"/>
      <c r="Z821" s="10"/>
      <c r="AA821" s="10"/>
      <c r="AB821" s="10"/>
      <c r="AC821" s="10"/>
      <c r="AD821" s="10"/>
      <c r="AE821" s="10"/>
      <c r="AF821" s="10"/>
      <c r="AG821" s="141"/>
      <c r="AH821" s="28"/>
      <c r="AI821" s="28"/>
      <c r="AJ821" s="18"/>
      <c r="AK821" s="1"/>
      <c r="AM821"/>
      <c r="AN821"/>
      <c r="AO821" s="18" t="s">
        <v>4423</v>
      </c>
      <c r="AP821" s="1" t="s">
        <v>258</v>
      </c>
      <c r="AQ821" s="18" t="s">
        <v>344</v>
      </c>
      <c r="AR821" s="18" t="s">
        <v>260</v>
      </c>
      <c r="AX821" s="1"/>
      <c r="AY821" s="1" t="s">
        <v>258</v>
      </c>
      <c r="AZ821" s="1"/>
      <c r="BA821" s="1" t="s">
        <v>258</v>
      </c>
      <c r="BB821" s="1" t="s">
        <v>258</v>
      </c>
      <c r="BC821" s="27">
        <v>45393</v>
      </c>
      <c r="BD821" s="27">
        <v>45361</v>
      </c>
      <c r="BE821" s="144">
        <v>45315</v>
      </c>
      <c r="BF821" s="70">
        <v>45422</v>
      </c>
      <c r="BG821" s="2" t="s">
        <v>319</v>
      </c>
      <c r="BH821" s="70">
        <v>45408</v>
      </c>
      <c r="BI821" s="70">
        <v>45415</v>
      </c>
      <c r="BJ821" s="70">
        <v>45533</v>
      </c>
      <c r="BK821" s="70" t="s">
        <v>5895</v>
      </c>
      <c r="BL821" s="20">
        <f ca="1">SUM(EH821)+220</f>
        <v>4238.5170875000003</v>
      </c>
      <c r="BM821" s="22">
        <f ca="1">PMT(10%/12,12,BL821,0,0)</f>
        <v>-372.63299028711873</v>
      </c>
      <c r="BN821" s="22">
        <f ca="1">SUM(BM821*-1)</f>
        <v>372.63299028711873</v>
      </c>
      <c r="BO821" s="14">
        <f>SUM(EP821*0.0052)/12</f>
        <v>35.576666666666661</v>
      </c>
      <c r="BP821" s="22">
        <f ca="1">SUM(BN821+BO821)</f>
        <v>408.20965695378538</v>
      </c>
      <c r="BQ821" s="14"/>
      <c r="BR821" s="14">
        <f>SUM(BQ821*0.1)</f>
        <v>0</v>
      </c>
      <c r="BS821" s="14">
        <f ca="1">SUM(BT821*BU821)</f>
        <v>0</v>
      </c>
      <c r="BT821" s="17">
        <f>SUM((BQ821+BR821)*0.00833333333333333)</f>
        <v>0</v>
      </c>
      <c r="BU821" s="23">
        <f ca="1">MONTH(TODAY())+49</f>
        <v>53</v>
      </c>
      <c r="BV821" s="14">
        <f ca="1">SUM(BQ821,BR821,BS821)</f>
        <v>0</v>
      </c>
      <c r="BW821" s="14">
        <v>0</v>
      </c>
      <c r="BX821" s="14">
        <f>SUM(BW821*0.1)</f>
        <v>0</v>
      </c>
      <c r="BY821" s="14">
        <f ca="1">SUM(BZ821*CA821)</f>
        <v>0</v>
      </c>
      <c r="BZ821" s="17">
        <f>SUM((BW821+BX821)*0.00833333333333333)</f>
        <v>0</v>
      </c>
      <c r="CA821" s="23">
        <f ca="1">MONTH(TODAY())+37</f>
        <v>41</v>
      </c>
      <c r="CB821" s="14">
        <f ca="1">SUM(BW821,BX821,BY821)</f>
        <v>0</v>
      </c>
      <c r="CC821" s="14">
        <v>205.27</v>
      </c>
      <c r="CD821" s="14">
        <f>SUM(CC821*0.1)</f>
        <v>20.527000000000001</v>
      </c>
      <c r="CE821" s="14">
        <f ca="1">SUM(CF821*CG821)</f>
        <v>54.567608333333311</v>
      </c>
      <c r="CF821" s="17">
        <f>SUM((CC821+CD821)*0.00833333333333333)</f>
        <v>1.881641666666666</v>
      </c>
      <c r="CG821" s="23">
        <f ca="1">MONTH(TODAY())+25</f>
        <v>29</v>
      </c>
      <c r="CH821" s="14">
        <f ca="1">SUM(CC821,CD821,CE821)</f>
        <v>280.36460833333331</v>
      </c>
      <c r="CI821" s="14">
        <f>SUM(EM821*0.0052)/2</f>
        <v>158.6</v>
      </c>
      <c r="CJ821" s="14">
        <f>SUM(CI821*0.1)</f>
        <v>15.86</v>
      </c>
      <c r="CK821" s="14">
        <f ca="1">SUM(CL821*CM821)</f>
        <v>30.530499999999986</v>
      </c>
      <c r="CL821" s="17">
        <f>SUM((CI821+CJ821)*0.00833333333333333)</f>
        <v>1.4538333333333326</v>
      </c>
      <c r="CM821" s="23">
        <f ca="1">MONTH(TODAY())+17</f>
        <v>21</v>
      </c>
      <c r="CN821" s="23">
        <f ca="1">SUM(CI821,CJ821,CK821)</f>
        <v>204.99049999999997</v>
      </c>
      <c r="CO821" s="14">
        <f>SUM(EM821*0.0052)/2</f>
        <v>158.6</v>
      </c>
      <c r="CP821" s="14">
        <f>SUM(CO821*0.1)</f>
        <v>15.86</v>
      </c>
      <c r="CQ821" s="14">
        <f ca="1">SUM(CR821*CS821)</f>
        <v>24.715166666666654</v>
      </c>
      <c r="CR821" s="17">
        <f>SUM((CO821+CP821)*0.00833333333333333)</f>
        <v>1.4538333333333326</v>
      </c>
      <c r="CS821" s="23">
        <f ca="1">MONTH(TODAY())+13</f>
        <v>17</v>
      </c>
      <c r="CT821" s="14">
        <f ca="1">SUM(CO821,CP821,CQ821)</f>
        <v>199.17516666666663</v>
      </c>
      <c r="CU821" s="14">
        <f>SUM(EP821*0.0045)/2</f>
        <v>184.72499999999999</v>
      </c>
      <c r="CV821" s="14">
        <f>SUM(CU821*0.1)</f>
        <v>18.4725</v>
      </c>
      <c r="CW821" s="14">
        <f ca="1">SUM(CX821*CY821)</f>
        <v>18.626437499999991</v>
      </c>
      <c r="CX821" s="17">
        <f>SUM((CU821+CV821)*0.00833333333333333)</f>
        <v>1.6933124999999991</v>
      </c>
      <c r="CY821" s="23">
        <f ca="1">MONTH(TODAY())+7</f>
        <v>11</v>
      </c>
      <c r="CZ821" s="14">
        <f ca="1">SUM(CU821,CV821,CW821)</f>
        <v>221.82393749999997</v>
      </c>
      <c r="DA821" s="14">
        <f>SUM(EP821*0.0045)/2-35.58</f>
        <v>149.14499999999998</v>
      </c>
      <c r="DB821" s="14">
        <f>SUM(DA821*0.1)</f>
        <v>14.914499999999999</v>
      </c>
      <c r="DC821" s="14">
        <f ca="1">SUM(DD821*DE821)</f>
        <v>6.8358124999999967</v>
      </c>
      <c r="DD821" s="17">
        <f>SUM((DA821+DB821)*0.00833333333333333)</f>
        <v>1.3671624999999994</v>
      </c>
      <c r="DE821" s="23">
        <f ca="1">MONTH(TODAY())+1</f>
        <v>5</v>
      </c>
      <c r="DF821" s="14">
        <f ca="1">SUM(DA821,DB821,DC821)</f>
        <v>170.89531249999999</v>
      </c>
      <c r="DG821" s="14">
        <f>SUM(EP821*0.0045)/2</f>
        <v>184.72499999999999</v>
      </c>
      <c r="DH821" s="14">
        <f>SUM(DG821*0.1)</f>
        <v>18.4725</v>
      </c>
      <c r="DI821" s="14">
        <f ca="1">SUM(DJ821*DK821)</f>
        <v>-5.0799374999999971</v>
      </c>
      <c r="DJ821" s="17">
        <f>SUM((DG821+DH821)*0.00833333333333333)</f>
        <v>1.6933124999999991</v>
      </c>
      <c r="DK821" s="23">
        <f ca="1">MONTH(TODAY())-7</f>
        <v>-3</v>
      </c>
      <c r="DL821" s="14">
        <f ca="1">SUM(DG821,DH821,DI821)</f>
        <v>198.11756249999999</v>
      </c>
      <c r="DM821" s="14">
        <f>0</f>
        <v>0</v>
      </c>
      <c r="DN821" s="14">
        <f>0</f>
        <v>0</v>
      </c>
      <c r="DO821" s="14">
        <f ca="1">SUM(DP821*DQ821)</f>
        <v>0</v>
      </c>
      <c r="DP821" s="17">
        <f>SUM((DM821+DN821)*0.00833333333333333)</f>
        <v>0</v>
      </c>
      <c r="DQ821" s="23">
        <f ca="1">MONTH(TODAY())+1</f>
        <v>5</v>
      </c>
      <c r="DR821" s="14">
        <f ca="1">SUM(DM821,DN821,DO821)</f>
        <v>0</v>
      </c>
      <c r="DS821" s="14">
        <f>SUM(BQ821, BW821, CC821, CI821,CO821,CU821,DA821,DG821,DM821)</f>
        <v>1041.0650000000001</v>
      </c>
      <c r="DT821" s="14">
        <f>SUM(BR821,BX821,CD821, CJ821,CP821,CV821,DB821,DH821,DN821)</f>
        <v>104.1065</v>
      </c>
      <c r="DU821" s="14">
        <f ca="1">SUM(BS821,BY821,CE821, CK821,CQ821,CW821,DC821,DI821,DO821)</f>
        <v>130.19558749999993</v>
      </c>
      <c r="DV821" s="25">
        <f ca="1">SUM(DS821:DU821)</f>
        <v>1275.3670875</v>
      </c>
      <c r="DW821" s="47">
        <f ca="1">SUM(DV821/EM821)</f>
        <v>2.0907657172131149E-2</v>
      </c>
      <c r="DX821" s="14">
        <f>20+200+10+60+160+60+200+20+60+200+40+40</f>
        <v>1070</v>
      </c>
      <c r="DY821" s="32">
        <f>COUNTIF(AO821, "*")+COUNTIF(AJ821, "*")+COUNTIF(AA821, "*")+COUNTIF(FA821, "*")+COUNTIF(FG821, "*")+COUNTIF(FM821, "*")+COUNTIF(FQ821, "*")+COUNTIF(FX821, "*")+COUNTIF(AT821, "*")+COUNTIF(GG821, "*")+COUNTIF(GR821, "*")+COUNTIF(HC821, "*")+COUNTIF(HK821, "*")+COUNTIF(HS821, "*")+COUNTIF(IA821, "*")</f>
        <v>3</v>
      </c>
      <c r="DZ821" s="14">
        <f>38.28+DY821*8</f>
        <v>62.28</v>
      </c>
      <c r="EA821" s="4">
        <f>36.76+62.44+807.92</f>
        <v>907.11999999999989</v>
      </c>
      <c r="EB821" s="4">
        <v>305</v>
      </c>
      <c r="EC821" s="4">
        <v>93.75</v>
      </c>
      <c r="ED821" s="4"/>
      <c r="EE821" s="4"/>
      <c r="EF821" s="4"/>
      <c r="EG821" s="14">
        <f>SUM(EA821:EF821)</f>
        <v>1305.8699999999999</v>
      </c>
      <c r="EH821" s="14">
        <f ca="1">SUM(DV821,DX821,EG821, EB821, DZ821,GD821)</f>
        <v>4018.5170874999999</v>
      </c>
      <c r="EI821" s="24" t="s">
        <v>4944</v>
      </c>
      <c r="EJ821" s="23">
        <v>0.46</v>
      </c>
      <c r="EK821" s="14">
        <v>7400</v>
      </c>
      <c r="EL821" s="14">
        <v>53600</v>
      </c>
      <c r="EM821" s="14">
        <f>SUM(EK821+EL821)</f>
        <v>61000</v>
      </c>
      <c r="EN821" s="14">
        <v>8300</v>
      </c>
      <c r="EO821" s="14">
        <v>73800</v>
      </c>
      <c r="EP821" s="14">
        <f>SUM(EN821+EO821)</f>
        <v>82100</v>
      </c>
      <c r="EQ821" s="10" t="s">
        <v>4727</v>
      </c>
      <c r="ER821" s="10" t="s">
        <v>4728</v>
      </c>
      <c r="ES821" s="10"/>
      <c r="ET821" s="10"/>
      <c r="EU821" s="10"/>
      <c r="EV821" s="10"/>
      <c r="EW821" s="10"/>
      <c r="EX821" s="10"/>
      <c r="EY821" s="10"/>
      <c r="EZ821" s="10"/>
      <c r="FA821" s="10"/>
      <c r="FB821" s="10"/>
      <c r="FC821" s="10"/>
      <c r="FD821" s="10"/>
      <c r="FE821" s="10"/>
      <c r="FF821" s="10"/>
      <c r="FG821" s="10"/>
      <c r="FH821" s="10"/>
      <c r="FI821" s="10"/>
      <c r="FJ821" s="10"/>
      <c r="FK821" s="10"/>
      <c r="FL821" s="10"/>
      <c r="FM821" s="10"/>
      <c r="FN821" s="10"/>
      <c r="FO821" s="10"/>
      <c r="FP821" s="10"/>
      <c r="FQ821" s="10"/>
      <c r="FR821" s="10"/>
      <c r="FS821" s="10"/>
      <c r="FT821" s="10"/>
      <c r="FU821" s="9"/>
      <c r="FV821" s="10"/>
      <c r="FW821" s="10"/>
      <c r="FX821" s="10"/>
      <c r="FY821" s="10"/>
      <c r="FZ821" s="10"/>
      <c r="GA821" s="10"/>
      <c r="GB821" s="9"/>
      <c r="GC821" s="10"/>
      <c r="GD821" s="10"/>
      <c r="GE821" s="10" t="s">
        <v>4631</v>
      </c>
      <c r="GF821" s="10" t="s">
        <v>4632</v>
      </c>
      <c r="GG821" s="10" t="s">
        <v>4729</v>
      </c>
      <c r="GH821" s="10"/>
      <c r="GI821" s="10" t="s">
        <v>4730</v>
      </c>
      <c r="GJ821" s="10" t="s">
        <v>496</v>
      </c>
      <c r="GK821" s="9">
        <v>38936</v>
      </c>
      <c r="GL821" s="10" t="s">
        <v>4731</v>
      </c>
      <c r="GM821" s="10"/>
      <c r="GN821" s="10"/>
      <c r="GO821" s="10"/>
      <c r="GP821" s="10" t="s">
        <v>439</v>
      </c>
      <c r="GQ821" s="10" t="s">
        <v>3638</v>
      </c>
      <c r="GR821" s="10" t="s">
        <v>4732</v>
      </c>
      <c r="GS821" s="10" t="s">
        <v>440</v>
      </c>
      <c r="GT821" s="10" t="s">
        <v>274</v>
      </c>
      <c r="GU821" s="10" t="s">
        <v>275</v>
      </c>
      <c r="GV821" s="9">
        <v>38481</v>
      </c>
      <c r="GW821" s="10" t="s">
        <v>4733</v>
      </c>
      <c r="GX821" s="10"/>
      <c r="GY821" s="10"/>
      <c r="GZ821" s="10"/>
      <c r="HA821" s="10"/>
      <c r="HB821" s="10"/>
      <c r="HC821" s="10"/>
      <c r="HD821" s="10"/>
      <c r="HE821" s="10"/>
      <c r="HF821" s="10"/>
      <c r="HG821" s="9"/>
      <c r="HH821" s="10"/>
      <c r="HI821" s="10"/>
      <c r="HJ821" s="10"/>
      <c r="HK821" s="10"/>
      <c r="HL821" s="10"/>
      <c r="HM821" s="10"/>
      <c r="HN821" s="10"/>
      <c r="HO821" s="9"/>
      <c r="HP821" s="10"/>
      <c r="HQ821" s="10"/>
      <c r="HR821" s="10"/>
      <c r="HS821" s="10"/>
      <c r="HT821" s="10"/>
      <c r="HU821" s="10"/>
      <c r="HV821" s="10"/>
      <c r="HW821" s="9"/>
      <c r="HX821" s="10"/>
      <c r="HY821" s="10"/>
      <c r="HZ821" s="10"/>
      <c r="IA821" s="10"/>
      <c r="IB821" s="10"/>
      <c r="IC821" s="10"/>
      <c r="ID821" s="10"/>
      <c r="IE821" s="9"/>
      <c r="IF821" s="4"/>
      <c r="IG821" s="4"/>
      <c r="IH821" s="10"/>
      <c r="II821" s="10"/>
      <c r="IJ821" s="10"/>
      <c r="IK821" s="10"/>
      <c r="IL821" s="4"/>
      <c r="IM821" s="4"/>
      <c r="IN821" s="14">
        <f ca="1">SUM(IF821-EH821-GD821-IL821)</f>
        <v>-4018.5170874999999</v>
      </c>
      <c r="IO821" s="14"/>
      <c r="IP821" s="14"/>
      <c r="IQ821" s="9"/>
      <c r="IR821" s="9"/>
      <c r="IS821" s="9"/>
      <c r="IT821" s="9"/>
      <c r="IU821" s="9"/>
      <c r="IV821" t="s">
        <v>5913</v>
      </c>
    </row>
    <row r="822" spans="1:263" ht="15" customHeight="1">
      <c r="A822" s="2">
        <v>102018071</v>
      </c>
      <c r="B822" s="4" t="s">
        <v>1235</v>
      </c>
      <c r="C822" s="5"/>
      <c r="D822" s="5"/>
      <c r="E822" s="5"/>
      <c r="F822" s="3"/>
      <c r="G822" s="2"/>
      <c r="J822" t="s">
        <v>253</v>
      </c>
      <c r="K822" t="s">
        <v>1236</v>
      </c>
      <c r="L822" t="s">
        <v>1237</v>
      </c>
      <c r="O822" s="1" t="s">
        <v>258</v>
      </c>
      <c r="T822" s="1"/>
      <c r="AE822" s="1"/>
      <c r="AH822" s="4"/>
      <c r="AI822" s="4"/>
      <c r="AM822" s="34"/>
      <c r="AN822" s="34"/>
      <c r="AQ822" s="34"/>
      <c r="AR822" s="34"/>
      <c r="AS822" s="1"/>
      <c r="AT822" s="1"/>
      <c r="AU822" s="1"/>
      <c r="AV822" s="1"/>
      <c r="AW822" s="1"/>
      <c r="AX822" s="1"/>
      <c r="AY822" s="1"/>
      <c r="AZ822" s="1"/>
      <c r="BA822" s="1"/>
      <c r="BB822" s="1"/>
      <c r="BC822" s="1"/>
      <c r="BD822" s="1"/>
      <c r="BE822" s="5"/>
      <c r="BF822" s="16"/>
      <c r="BG822" s="16"/>
      <c r="BI822" s="4"/>
      <c r="BJ822" s="4"/>
      <c r="BK822" s="6"/>
      <c r="BL822" s="7"/>
      <c r="BM822" s="4"/>
      <c r="BO822" s="4"/>
      <c r="BP822" s="4"/>
      <c r="BQ822" s="6"/>
      <c r="BR822" s="7"/>
      <c r="BS822" s="4"/>
      <c r="BU822" s="4"/>
      <c r="BV822" s="4"/>
      <c r="BW822" s="6"/>
      <c r="BX822" s="7"/>
      <c r="BY822" s="4"/>
      <c r="BZ822" s="4"/>
      <c r="CA822" s="4"/>
      <c r="CB822" s="4"/>
      <c r="CC822" s="6"/>
      <c r="CD822" s="7"/>
      <c r="CE822" s="4"/>
      <c r="CF822" s="6"/>
      <c r="CG822" s="4"/>
      <c r="CH822" s="4"/>
      <c r="CI822" s="6"/>
      <c r="CJ822" s="7"/>
      <c r="CK822" s="4"/>
      <c r="CL822" s="4"/>
      <c r="CM822" s="4"/>
      <c r="CN822" s="4"/>
      <c r="CO822" s="6"/>
      <c r="CP822" s="7"/>
      <c r="CR822" s="4"/>
      <c r="CS822" s="4"/>
      <c r="CT822" s="4"/>
      <c r="CU822" s="6"/>
      <c r="CV822" s="7"/>
      <c r="CW822" s="4"/>
      <c r="CX822" s="4"/>
      <c r="CY822" s="4"/>
      <c r="CZ822" s="4"/>
      <c r="DA822" s="6"/>
      <c r="DB822" s="7"/>
      <c r="DC822" s="4"/>
      <c r="DD822" s="4"/>
      <c r="DE822" s="4"/>
      <c r="DF822" s="4"/>
      <c r="DG822" s="6"/>
      <c r="DH822" s="4"/>
      <c r="DI822" s="4"/>
      <c r="DJ822" s="4"/>
      <c r="DK822" s="4"/>
      <c r="DL822" s="4"/>
      <c r="DM822" s="4"/>
      <c r="DN822" s="4"/>
      <c r="DP822" s="4"/>
      <c r="DQ822" s="4"/>
      <c r="DR822" s="4"/>
      <c r="DS822" s="4"/>
      <c r="DT822" s="4"/>
      <c r="DU822" s="4"/>
      <c r="DV822" s="4"/>
      <c r="DW822" s="7"/>
      <c r="DX822" s="4"/>
      <c r="DY822" s="4"/>
      <c r="DZ822" s="34"/>
      <c r="EA822" s="4"/>
      <c r="EB822" s="4"/>
      <c r="EK822" s="11"/>
      <c r="EQ822" s="11"/>
      <c r="ER822" s="11"/>
      <c r="ES822" s="4"/>
      <c r="ET822" s="4"/>
      <c r="EU822" s="4"/>
      <c r="EV822" s="4"/>
      <c r="EW822" s="4"/>
      <c r="EX822" s="4"/>
      <c r="EY822" s="4"/>
      <c r="EZ822" s="4"/>
      <c r="FA822" s="4"/>
      <c r="FB822" s="4"/>
      <c r="FC822" s="4"/>
      <c r="FD822" s="4"/>
      <c r="FE822" s="4"/>
      <c r="FF822" s="4"/>
      <c r="FJ822" s="9"/>
      <c r="FS822" s="9"/>
      <c r="GC822" s="10"/>
      <c r="GM822" s="10"/>
      <c r="HB822" s="9"/>
      <c r="IV822" s="18"/>
      <c r="IW822" s="18"/>
      <c r="IX822" s="18"/>
      <c r="IY822" s="18"/>
    </row>
    <row r="823" spans="1:263" ht="15" customHeight="1">
      <c r="A823" s="19">
        <v>102023099</v>
      </c>
      <c r="B823" s="18" t="s">
        <v>4311</v>
      </c>
      <c r="D823" s="1"/>
      <c r="E823" s="3"/>
      <c r="F823" s="3"/>
      <c r="J823" s="18" t="s">
        <v>253</v>
      </c>
      <c r="K823" s="18" t="s">
        <v>1236</v>
      </c>
      <c r="L823" s="130" t="s">
        <v>4392</v>
      </c>
      <c r="M823" s="130" t="s">
        <v>256</v>
      </c>
      <c r="N823" s="130"/>
      <c r="O823" s="288"/>
      <c r="P823" s="130"/>
      <c r="Q823" s="130"/>
      <c r="R823" s="130"/>
      <c r="S823" s="130"/>
      <c r="AG823" s="43"/>
      <c r="AJ823" s="18" t="s">
        <v>4393</v>
      </c>
      <c r="AK823" t="s">
        <v>258</v>
      </c>
      <c r="AL823" s="18" t="s">
        <v>259</v>
      </c>
      <c r="AM823" t="s">
        <v>260</v>
      </c>
      <c r="AN823"/>
      <c r="AO823" s="18" t="s">
        <v>4394</v>
      </c>
      <c r="AP823" s="3" t="s">
        <v>258</v>
      </c>
      <c r="AQ823" s="18" t="s">
        <v>259</v>
      </c>
      <c r="AR823" s="18" t="s">
        <v>260</v>
      </c>
      <c r="AX823" s="1"/>
      <c r="AY823" s="1"/>
      <c r="AZ823" s="1"/>
      <c r="BA823" s="1"/>
      <c r="BB823" s="1"/>
      <c r="BC823" s="2"/>
      <c r="BD823" s="116"/>
      <c r="BE823" s="115"/>
      <c r="BF823" s="2"/>
      <c r="BG823" s="2"/>
      <c r="BH823" s="2"/>
      <c r="BI823" s="2"/>
      <c r="BJ823" s="2"/>
      <c r="BK823" s="2"/>
      <c r="BL823" s="20">
        <f ca="1">SUM(DP823)+220</f>
        <v>552.02479999999991</v>
      </c>
      <c r="BM823" s="22">
        <f ca="1">PMT(10%/12,12,BL823,0,0)</f>
        <v>-48.531750064968591</v>
      </c>
      <c r="BN823" s="22">
        <f ca="1">SUM(BM823*-1)</f>
        <v>48.531750064968591</v>
      </c>
      <c r="BO823" s="14">
        <f>SUM(DX823*0.0052)/12</f>
        <v>16.596666666666668</v>
      </c>
      <c r="BP823" s="22">
        <f ca="1">SUM(BN823+BO823)</f>
        <v>65.128416731635255</v>
      </c>
      <c r="BQ823" s="14"/>
      <c r="BR823" s="14">
        <f>SUM(BQ823*0.1)</f>
        <v>0</v>
      </c>
      <c r="BS823" s="14">
        <f ca="1">SUM(BT823*BU823)</f>
        <v>0</v>
      </c>
      <c r="BT823" s="17">
        <f>SUM((BQ823+BR823)*0.00833333333333333)</f>
        <v>0</v>
      </c>
      <c r="BU823" s="23">
        <f ca="1">MONTH(TODAY())+49</f>
        <v>53</v>
      </c>
      <c r="BV823" s="14">
        <f ca="1">SUM(BQ823,BR823,BS823)</f>
        <v>0</v>
      </c>
      <c r="BW823" s="14"/>
      <c r="BX823" s="14">
        <f>SUM(BW823*0.1)</f>
        <v>0</v>
      </c>
      <c r="BY823" s="14">
        <f ca="1">SUM(BZ823*CA823)</f>
        <v>0</v>
      </c>
      <c r="BZ823" s="17">
        <f>SUM((BW823+BX823)*0.00833333333333333)</f>
        <v>0</v>
      </c>
      <c r="CA823" s="23">
        <f ca="1">MONTH(TODAY())+37</f>
        <v>41</v>
      </c>
      <c r="CB823" s="14">
        <f ca="1">SUM(BW823,BX823,BY823)</f>
        <v>0</v>
      </c>
      <c r="CC823" s="14">
        <v>0</v>
      </c>
      <c r="CD823" s="14">
        <f>SUM(CC823*0.1)</f>
        <v>0</v>
      </c>
      <c r="CE823" s="14">
        <f ca="1">SUM(CF823*CG823)</f>
        <v>0</v>
      </c>
      <c r="CF823" s="17">
        <f>SUM((CC823+CD823)*0.00833333333333333)</f>
        <v>0</v>
      </c>
      <c r="CG823" s="23">
        <f ca="1">MONTH(TODAY())+25</f>
        <v>29</v>
      </c>
      <c r="CH823" s="14">
        <f ca="1">SUM(CC823,CD823,CE823)</f>
        <v>0</v>
      </c>
      <c r="CI823" s="14">
        <f>SUM(DU823*0.0052)</f>
        <v>128.44</v>
      </c>
      <c r="CJ823" s="14">
        <f>SUM(CI823*0.1)</f>
        <v>12.844000000000001</v>
      </c>
      <c r="CK823" s="14">
        <f ca="1">SUM(CL823*CM823)</f>
        <v>20.01523333333332</v>
      </c>
      <c r="CL823" s="17">
        <f>SUM((CI823+CJ823)*0.00833333333333333)</f>
        <v>1.177366666666666</v>
      </c>
      <c r="CM823" s="23">
        <f ca="1">MONTH(TODAY())+13</f>
        <v>17</v>
      </c>
      <c r="CN823" s="14">
        <f ca="1">SUM(CI823,CJ823,CK823)</f>
        <v>161.29923333333332</v>
      </c>
      <c r="CO823" s="14">
        <f>SUM(DU823*0.0052)/2</f>
        <v>64.22</v>
      </c>
      <c r="CP823" s="14">
        <f>SUM(CO823*0.1)</f>
        <v>6.4220000000000006</v>
      </c>
      <c r="CQ823" s="14">
        <f ca="1">SUM(CR823*CS823)</f>
        <v>5.298149999999997</v>
      </c>
      <c r="CR823" s="17">
        <f>SUM((CO823+CP823)*0.00833333333333333)</f>
        <v>0.588683333333333</v>
      </c>
      <c r="CS823" s="23">
        <f ca="1">MONTH(TODAY())+5</f>
        <v>9</v>
      </c>
      <c r="CT823" s="23">
        <f ca="1">SUM(CO823,CP823,CQ823)</f>
        <v>75.940149999999988</v>
      </c>
      <c r="CU823" s="14">
        <f>SUM(DU823*0.0052)/2</f>
        <v>64.22</v>
      </c>
      <c r="CV823" s="14">
        <f>SUM(CU823*0.1)</f>
        <v>6.4220000000000006</v>
      </c>
      <c r="CW823" s="14">
        <f ca="1">SUM(CX823*CY823)</f>
        <v>2.943416666666665</v>
      </c>
      <c r="CX823" s="17">
        <f>SUM((CU823+CV823)*0.00833333333333333)</f>
        <v>0.588683333333333</v>
      </c>
      <c r="CY823" s="23">
        <f ca="1">MONTH(TODAY())+1</f>
        <v>5</v>
      </c>
      <c r="CZ823" s="23">
        <f ca="1">SUM(CU823,CV823,CW823)</f>
        <v>73.58541666666666</v>
      </c>
      <c r="DA823" s="14">
        <f>SUM( BQ823, BW823, CC823, CI823, CO823,CU823)</f>
        <v>256.88</v>
      </c>
      <c r="DB823" s="14">
        <f>SUM(BR823,BX823,CD823,CJ823, CP823,CV823)</f>
        <v>25.688000000000002</v>
      </c>
      <c r="DC823" s="14">
        <f ca="1">SUM(BS823,BY823,CE823,CK823, CQ823,CW823)</f>
        <v>28.256799999999981</v>
      </c>
      <c r="DD823" s="25">
        <f ca="1">SUM(DA823:DC823)</f>
        <v>310.82479999999998</v>
      </c>
      <c r="DE823" s="47">
        <f ca="1">SUM(DD823/DU823)</f>
        <v>1.2584E-2</v>
      </c>
      <c r="DF823" s="14">
        <v>20</v>
      </c>
      <c r="DG823" s="32">
        <f>COUNTIF(DL823, "*")+COUNTIF(AO823, "*")+COUNTIF(AJ823, "*")+COUNTIF(AA823, "*")+COUNTIF(EM823, "*")+COUNTIF(ES823, "*")+COUNTIF(EY823, "*")+COUNTIF(FC823, "*")+COUNTIF(FJ823, "*")+COUNTIF(AT823, "*")+COUNTIF(FS823, "*")+COUNTIF(GD823, "*")+COUNTIF(GO823, "*")+COUNTIF(GW823, "*")+COUNTIF(HE823, "*")+COUNTIF(HM823, "*")+COUNTIF(HU823, "*")</f>
        <v>2</v>
      </c>
      <c r="DH823" s="14">
        <f>DG823*0.6</f>
        <v>1.2</v>
      </c>
      <c r="DI823" s="4"/>
      <c r="DJ823" s="4"/>
      <c r="DK823" s="4"/>
      <c r="DL823" s="4"/>
      <c r="DN823" s="4"/>
      <c r="DO823" s="14">
        <f>SUM(DJ823:DN823)</f>
        <v>0</v>
      </c>
      <c r="DP823" s="14">
        <f ca="1">SUM(DD823,DF823,DO823, DI823, DH823,FP823)</f>
        <v>332.02479999999997</v>
      </c>
      <c r="DQ823" s="24" t="s">
        <v>3879</v>
      </c>
      <c r="DR823" s="130">
        <v>2.5</v>
      </c>
      <c r="DS823" s="14">
        <v>14800</v>
      </c>
      <c r="DT823" s="14">
        <v>9900</v>
      </c>
      <c r="DU823" s="14">
        <v>24700</v>
      </c>
      <c r="DV823" s="14">
        <v>19200</v>
      </c>
      <c r="DW823" s="14">
        <v>19100</v>
      </c>
      <c r="DX823" s="14">
        <f>SUM(DV823+DW823)</f>
        <v>38300</v>
      </c>
      <c r="IA823" s="9"/>
      <c r="IL823" s="14">
        <f ca="1">SUM(IB823-DP823-FP823-IJ823)</f>
        <v>-332.02479999999997</v>
      </c>
      <c r="IM823" s="9"/>
      <c r="IN823" s="9"/>
      <c r="IO823" s="9"/>
      <c r="IP823" s="9"/>
      <c r="IQ823" s="9"/>
    </row>
    <row r="824" spans="1:263" ht="15" customHeight="1">
      <c r="A824" s="253">
        <v>102019024</v>
      </c>
      <c r="B824" s="254" t="s">
        <v>575</v>
      </c>
      <c r="C824" s="255"/>
      <c r="D824" s="255"/>
      <c r="E824" s="256" t="s">
        <v>1536</v>
      </c>
      <c r="F824" s="253">
        <v>200000233</v>
      </c>
      <c r="G824" s="240">
        <v>200001108</v>
      </c>
      <c r="H824" s="240"/>
      <c r="I824" s="240"/>
      <c r="J824" s="240" t="s">
        <v>434</v>
      </c>
      <c r="K824" s="240" t="s">
        <v>576</v>
      </c>
      <c r="L824" s="240" t="s">
        <v>577</v>
      </c>
      <c r="M824" s="240" t="s">
        <v>578</v>
      </c>
      <c r="N824" s="240" t="s">
        <v>579</v>
      </c>
      <c r="O824" s="257"/>
      <c r="P824" s="240" t="s">
        <v>576</v>
      </c>
      <c r="Q824" s="240" t="s">
        <v>420</v>
      </c>
      <c r="R824" s="240" t="s">
        <v>392</v>
      </c>
      <c r="S824" s="240"/>
      <c r="T824" s="257"/>
      <c r="U824" s="240"/>
      <c r="V824" s="240"/>
      <c r="W824" s="240"/>
      <c r="X824" s="240"/>
      <c r="Y824" s="240"/>
      <c r="Z824" s="240"/>
      <c r="AA824" s="240"/>
      <c r="AB824" s="240"/>
      <c r="AC824" s="240"/>
      <c r="AD824" s="240" t="s">
        <v>1551</v>
      </c>
      <c r="AE824" s="240" t="s">
        <v>311</v>
      </c>
      <c r="AF824" s="240" t="s">
        <v>576</v>
      </c>
      <c r="AG824" s="258" t="s">
        <v>1552</v>
      </c>
      <c r="AH824" s="240" t="s">
        <v>1550</v>
      </c>
      <c r="AI824" s="240" t="s">
        <v>344</v>
      </c>
      <c r="AJ824" s="254" t="s">
        <v>328</v>
      </c>
      <c r="AK824" s="254"/>
      <c r="AL824" s="240" t="s">
        <v>344</v>
      </c>
      <c r="AM824" s="256"/>
      <c r="AN824" s="256"/>
      <c r="AO824" s="254" t="s">
        <v>1550</v>
      </c>
      <c r="AP824" s="255" t="s">
        <v>258</v>
      </c>
      <c r="AQ824" s="256" t="s">
        <v>344</v>
      </c>
      <c r="AR824" s="256" t="s">
        <v>260</v>
      </c>
      <c r="AS824" s="255"/>
      <c r="AT824" s="255"/>
      <c r="AU824" s="257"/>
      <c r="AV824" s="257"/>
      <c r="AW824" s="257"/>
      <c r="AX824" s="259"/>
      <c r="AY824" s="259"/>
      <c r="AZ824" s="259"/>
      <c r="BA824" s="259"/>
      <c r="BB824" s="253"/>
      <c r="BC824" s="259"/>
      <c r="BD824" s="259"/>
      <c r="BE824" s="48"/>
      <c r="BF824" s="19"/>
      <c r="BG824" s="255"/>
      <c r="BH824" s="260"/>
      <c r="BI824" s="260"/>
      <c r="BJ824" s="254"/>
      <c r="BK824" s="260"/>
      <c r="BL824" s="254"/>
      <c r="BM824" s="254"/>
      <c r="BN824" s="254"/>
      <c r="BO824" s="261"/>
      <c r="BP824" s="262"/>
      <c r="BQ824" s="254"/>
      <c r="BR824" s="254"/>
      <c r="BS824" s="254"/>
      <c r="BT824" s="254"/>
      <c r="BU824" s="261"/>
      <c r="BV824" s="262"/>
      <c r="BW824" s="254"/>
      <c r="BX824" s="254"/>
      <c r="BY824" s="254"/>
      <c r="BZ824" s="254"/>
      <c r="CA824" s="261"/>
      <c r="CB824" s="262"/>
      <c r="CC824" s="254"/>
      <c r="CD824" s="254"/>
      <c r="CE824" s="254"/>
      <c r="CF824" s="254"/>
      <c r="CG824" s="261"/>
      <c r="CH824" s="262"/>
      <c r="CI824" s="254"/>
      <c r="CJ824" s="254"/>
      <c r="CK824" s="254"/>
      <c r="CL824" s="254"/>
      <c r="CM824" s="261"/>
      <c r="CN824" s="262"/>
      <c r="CO824" s="254"/>
      <c r="CP824" s="254"/>
      <c r="CQ824" s="254"/>
      <c r="CR824" s="254"/>
      <c r="CS824" s="261"/>
      <c r="CT824" s="262"/>
      <c r="CU824" s="254"/>
      <c r="CV824" s="254"/>
      <c r="CW824" s="254"/>
      <c r="CX824" s="254"/>
      <c r="CY824" s="14"/>
      <c r="CZ824" s="263"/>
      <c r="DA824" s="254"/>
      <c r="DB824" s="264"/>
      <c r="DC824" s="254"/>
      <c r="DD824" s="254"/>
      <c r="DE824" s="254"/>
      <c r="DF824" s="254"/>
      <c r="DG824" s="254"/>
      <c r="DH824" s="254"/>
      <c r="DI824" s="262"/>
      <c r="DJ824" s="265">
        <v>575</v>
      </c>
      <c r="DK824" s="254">
        <f>SUM(DF824:DJ824)</f>
        <v>575</v>
      </c>
      <c r="DL824" s="256" t="s">
        <v>472</v>
      </c>
      <c r="DM824" s="265">
        <v>3600</v>
      </c>
      <c r="DN824" s="265">
        <v>0</v>
      </c>
      <c r="DO824" s="265">
        <f>SUM(DM824+DN824)</f>
        <v>3600</v>
      </c>
      <c r="DP824" s="266">
        <v>3</v>
      </c>
      <c r="DQ824" s="240" t="s">
        <v>580</v>
      </c>
      <c r="DR824" s="240" t="s">
        <v>581</v>
      </c>
      <c r="DS824" s="240" t="s">
        <v>582</v>
      </c>
      <c r="DT824" s="240"/>
      <c r="DU824" s="240"/>
      <c r="DV824" s="240"/>
      <c r="DW824" s="240"/>
      <c r="DX824" s="240"/>
      <c r="DY824" s="240"/>
      <c r="DZ824" s="240"/>
      <c r="EA824" s="240"/>
      <c r="EB824" s="240"/>
      <c r="EC824" s="240" t="s">
        <v>583</v>
      </c>
      <c r="ED824" s="240"/>
      <c r="EE824" s="240" t="s">
        <v>584</v>
      </c>
      <c r="EF824" s="240"/>
      <c r="EG824" s="240" t="s">
        <v>585</v>
      </c>
      <c r="EH824" s="240" t="s">
        <v>586</v>
      </c>
      <c r="EI824" s="240"/>
      <c r="EJ824" s="240"/>
      <c r="EK824" s="240"/>
      <c r="EL824" s="240"/>
      <c r="EM824" s="240"/>
      <c r="EN824" s="240"/>
      <c r="EO824" s="240"/>
      <c r="EP824" s="240"/>
      <c r="EQ824" s="240"/>
      <c r="ER824" s="240"/>
      <c r="ES824" s="240"/>
      <c r="ET824" s="240"/>
      <c r="EU824" s="240"/>
      <c r="EV824" s="240"/>
      <c r="EW824" s="240"/>
      <c r="EX824" s="240"/>
      <c r="EY824" s="267"/>
      <c r="EZ824" s="240"/>
      <c r="FA824" s="240"/>
      <c r="FB824" s="240"/>
      <c r="FC824" s="240"/>
      <c r="FD824" s="240"/>
      <c r="FE824" s="240"/>
      <c r="FF824" s="240"/>
      <c r="FG824" s="240"/>
      <c r="FH824" s="267">
        <f ca="1">TODAY()</f>
        <v>45749</v>
      </c>
      <c r="FI824" s="240"/>
      <c r="FJ824" s="240"/>
      <c r="FK824" s="240"/>
      <c r="FL824" s="240"/>
      <c r="FM824" s="240"/>
      <c r="FN824" s="254"/>
      <c r="FO824" s="240"/>
      <c r="FP824" s="240"/>
      <c r="FQ824" s="240"/>
      <c r="FR824" s="240"/>
      <c r="FS824" s="268"/>
      <c r="FT824" s="240"/>
      <c r="FU824" s="240"/>
      <c r="FV824" s="240"/>
      <c r="FW824" s="240"/>
      <c r="FX824" s="240"/>
      <c r="FY824" s="240"/>
      <c r="FZ824" s="240"/>
      <c r="GA824" s="240"/>
      <c r="GB824" s="240"/>
      <c r="GC824" s="268"/>
      <c r="GD824" s="240"/>
      <c r="GE824" s="240"/>
      <c r="GF824" s="240"/>
      <c r="GG824" s="240"/>
      <c r="GH824" s="240"/>
      <c r="GI824" s="240"/>
      <c r="GJ824" s="240"/>
      <c r="GK824" s="240"/>
      <c r="GL824" s="240"/>
      <c r="GM824" s="240"/>
      <c r="GN824" s="240"/>
      <c r="GO824" s="240"/>
      <c r="GP824" s="240"/>
      <c r="GQ824" s="240"/>
      <c r="GR824" s="267"/>
      <c r="GS824" s="240"/>
      <c r="GT824" s="240"/>
      <c r="GU824" s="240"/>
      <c r="GV824" s="240"/>
      <c r="GW824" s="240"/>
      <c r="GX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54"/>
      <c r="IA824" s="254"/>
      <c r="IB824" s="267"/>
      <c r="IC824" s="240"/>
      <c r="ID824" s="240"/>
      <c r="IE824" s="240"/>
      <c r="IF824" s="240"/>
      <c r="IG824" s="240"/>
      <c r="IH824" s="240"/>
      <c r="II824" s="254"/>
      <c r="IJ824" s="254"/>
      <c r="IK824" s="267">
        <v>44434</v>
      </c>
      <c r="IL824" s="18"/>
      <c r="IM824" s="18"/>
      <c r="IN824" s="14"/>
      <c r="IO824" s="14"/>
      <c r="IP824" s="18"/>
      <c r="IQ824" s="18"/>
      <c r="IR824" s="18"/>
      <c r="IS824" s="18"/>
      <c r="IT824" s="18"/>
      <c r="IU824" s="240"/>
      <c r="IV824" s="240"/>
    </row>
    <row r="825" spans="1:263" ht="15" customHeight="1">
      <c r="A825" s="19">
        <v>102023046</v>
      </c>
      <c r="B825" s="18" t="s">
        <v>4243</v>
      </c>
      <c r="D825" s="1">
        <v>2025</v>
      </c>
      <c r="E825" s="3"/>
      <c r="F825" s="3"/>
      <c r="J825" s="18" t="s">
        <v>434</v>
      </c>
      <c r="K825" s="18" t="s">
        <v>399</v>
      </c>
      <c r="L825" s="130" t="s">
        <v>574</v>
      </c>
      <c r="M825" s="130" t="s">
        <v>469</v>
      </c>
      <c r="N825" s="18"/>
      <c r="O825" s="252"/>
      <c r="P825" s="130" t="s">
        <v>4242</v>
      </c>
      <c r="Q825" s="130" t="s">
        <v>4241</v>
      </c>
      <c r="R825" s="130" t="s">
        <v>426</v>
      </c>
      <c r="S825" s="130"/>
      <c r="U825" t="s">
        <v>894</v>
      </c>
      <c r="V825" t="s">
        <v>4278</v>
      </c>
      <c r="W825" t="s">
        <v>426</v>
      </c>
      <c r="AG825" s="43"/>
      <c r="AJ825" s="18" t="s">
        <v>328</v>
      </c>
      <c r="AK825" s="18"/>
      <c r="AL825" s="18" t="s">
        <v>344</v>
      </c>
      <c r="AM825" s="18"/>
      <c r="AN825" s="18" t="s">
        <v>4279</v>
      </c>
      <c r="AO825" s="18" t="s">
        <v>4240</v>
      </c>
      <c r="AP825" s="18" t="s">
        <v>258</v>
      </c>
      <c r="AQ825" s="18" t="s">
        <v>344</v>
      </c>
      <c r="AR825" s="18" t="s">
        <v>260</v>
      </c>
      <c r="AX825" s="1"/>
      <c r="AY825" s="1"/>
      <c r="AZ825" s="1"/>
      <c r="BA825" s="1"/>
      <c r="BB825" s="1"/>
      <c r="BC825" s="2"/>
      <c r="BD825" s="116"/>
      <c r="BE825" s="115"/>
      <c r="BF825" s="2"/>
      <c r="BG825" s="2"/>
      <c r="BH825" s="2"/>
      <c r="BI825" s="2"/>
      <c r="BJ825" s="2"/>
      <c r="BK825" s="2"/>
      <c r="BL825" s="20">
        <f ca="1">SUM(DP825)+220</f>
        <v>263.85120000000001</v>
      </c>
      <c r="BM825" s="22">
        <f ca="1">PMT(10%/12,12,BL825,0,0)</f>
        <v>-23.196712344702707</v>
      </c>
      <c r="BN825" s="22">
        <f ca="1">SUM(BM825*-1)</f>
        <v>23.196712344702707</v>
      </c>
      <c r="BO825" s="14">
        <f>SUM(DX825*0.0052)/12</f>
        <v>0.77999999999999992</v>
      </c>
      <c r="BP825" s="22">
        <f ca="1">SUM(BN825+BO825)</f>
        <v>23.976712344702708</v>
      </c>
      <c r="BQ825" s="14"/>
      <c r="BR825" s="14">
        <f>SUM(BQ825*0.1)</f>
        <v>0</v>
      </c>
      <c r="BS825" s="14">
        <f ca="1">SUM(BT825*BU825)</f>
        <v>0</v>
      </c>
      <c r="BT825" s="17">
        <f>SUM((BQ825+BR825)*0.00833333333333333)</f>
        <v>0</v>
      </c>
      <c r="BU825" s="23">
        <f ca="1">MONTH(TODAY())+49</f>
        <v>53</v>
      </c>
      <c r="BV825" s="14">
        <f ca="1">SUM(BQ825,BR825,BS825)</f>
        <v>0</v>
      </c>
      <c r="BW825" s="14"/>
      <c r="BX825" s="14">
        <f>SUM(BW825*0.1)</f>
        <v>0</v>
      </c>
      <c r="BY825" s="14">
        <f ca="1">SUM(BZ825*CA825)</f>
        <v>0</v>
      </c>
      <c r="BZ825" s="17">
        <f>SUM((BW825+BX825)*0.00833333333333333)</f>
        <v>0</v>
      </c>
      <c r="CA825" s="23">
        <f ca="1">MONTH(TODAY())+37</f>
        <v>41</v>
      </c>
      <c r="CB825" s="14">
        <f ca="1">SUM(BW825,BX825,BY825)</f>
        <v>0</v>
      </c>
      <c r="CC825" s="14">
        <v>0</v>
      </c>
      <c r="CD825" s="14">
        <f>SUM(CC825*0.1)</f>
        <v>0</v>
      </c>
      <c r="CE825" s="14">
        <f ca="1">SUM(CF825*CG825)</f>
        <v>0</v>
      </c>
      <c r="CF825" s="17">
        <f>SUM((CC825+CD825)*0.00833333333333333)</f>
        <v>0</v>
      </c>
      <c r="CG825" s="23">
        <f ca="1">MONTH(TODAY())+25</f>
        <v>29</v>
      </c>
      <c r="CH825" s="14">
        <f ca="1">SUM(CC825,CD825,CE825)</f>
        <v>0</v>
      </c>
      <c r="CI825" s="14">
        <f>SUM(DU825*0.0052)</f>
        <v>9.36</v>
      </c>
      <c r="CJ825" s="14">
        <f>SUM(CI825*0.1)</f>
        <v>0.93599999999999994</v>
      </c>
      <c r="CK825" s="14">
        <f ca="1">SUM(CL825*CM825)</f>
        <v>1.4585999999999992</v>
      </c>
      <c r="CL825" s="17">
        <f>SUM((CI825+CJ825)*0.00833333333333333)</f>
        <v>8.579999999999996E-2</v>
      </c>
      <c r="CM825" s="23">
        <f ca="1">MONTH(TODAY())+13</f>
        <v>17</v>
      </c>
      <c r="CN825" s="14">
        <f ca="1">SUM(CI825,CJ825,CK825)</f>
        <v>11.754599999999998</v>
      </c>
      <c r="CO825" s="14">
        <f>SUM(DU825*0.0052)/2</f>
        <v>4.68</v>
      </c>
      <c r="CP825" s="14">
        <f>SUM(CO825*0.1)</f>
        <v>0.46799999999999997</v>
      </c>
      <c r="CQ825" s="14">
        <f ca="1">SUM(CR825*CS825)</f>
        <v>0.38609999999999983</v>
      </c>
      <c r="CR825" s="17">
        <f>SUM((CO825+CP825)*0.00833333333333333)</f>
        <v>4.289999999999998E-2</v>
      </c>
      <c r="CS825" s="23">
        <f ca="1">MONTH(TODAY())+5</f>
        <v>9</v>
      </c>
      <c r="CT825" s="23">
        <f ca="1">SUM(CO825,CP825,CQ825)</f>
        <v>5.5340999999999996</v>
      </c>
      <c r="CU825" s="14">
        <f>SUM(DU825*0.0052)/2</f>
        <v>4.68</v>
      </c>
      <c r="CV825" s="14">
        <f>SUM(CU825*0.1)</f>
        <v>0.46799999999999997</v>
      </c>
      <c r="CW825" s="14">
        <f ca="1">SUM(CX825*CY825)</f>
        <v>0.21449999999999991</v>
      </c>
      <c r="CX825" s="17">
        <f>SUM((CU825+CV825)*0.00833333333333333)</f>
        <v>4.289999999999998E-2</v>
      </c>
      <c r="CY825" s="23">
        <f ca="1">MONTH(TODAY())+1</f>
        <v>5</v>
      </c>
      <c r="CZ825" s="23">
        <f ca="1">SUM(CU825,CV825,CW825)</f>
        <v>5.3624999999999998</v>
      </c>
      <c r="DA825" s="14">
        <f>SUM( BQ825, BW825, CC825, CI825, CO825,CU825)</f>
        <v>18.72</v>
      </c>
      <c r="DB825" s="14">
        <f>SUM(BR825,BX825,CD825,CJ825, CP825,CV825)</f>
        <v>1.8719999999999999</v>
      </c>
      <c r="DC825" s="14">
        <f ca="1">SUM(BS825,BY825,CE825,CK825, CQ825,CW825)</f>
        <v>2.0591999999999988</v>
      </c>
      <c r="DD825" s="25">
        <f ca="1">SUM(DA825:DC825)</f>
        <v>22.651199999999996</v>
      </c>
      <c r="DE825" s="47">
        <f ca="1">SUM(DD825/DU825)</f>
        <v>1.2583999999999998E-2</v>
      </c>
      <c r="DF825" s="14">
        <v>20</v>
      </c>
      <c r="DG825" s="32">
        <f>COUNTIF(DL825, "*")+COUNTIF(AO825, "*")+COUNTIF(AJ825, "*")+COUNTIF(AA825, "*")+COUNTIF(EM825, "*")+COUNTIF(ES825, "*")+COUNTIF(EY825, "*")+COUNTIF(FC825, "*")+COUNTIF(FJ825, "*")+COUNTIF(AT825, "*")+COUNTIF(FS825, "*")+COUNTIF(GD825, "*")+COUNTIF(GO825, "*")+COUNTIF(GW825, "*")+COUNTIF(HE825, "*")+COUNTIF(HM825, "*")+COUNTIF(HU825, "*")</f>
        <v>2</v>
      </c>
      <c r="DH825" s="14">
        <f>DG825*0.6</f>
        <v>1.2</v>
      </c>
      <c r="DI825" s="4"/>
      <c r="DJ825" s="4"/>
      <c r="DK825" s="4"/>
      <c r="DL825" s="4"/>
      <c r="DN825" s="4"/>
      <c r="DO825" s="14">
        <f>SUM(DJ825:DN825)</f>
        <v>0</v>
      </c>
      <c r="DP825" s="14">
        <f ca="1">SUM(DD825,DF825,DO825, DI825, DH825,FP825)</f>
        <v>43.851199999999999</v>
      </c>
      <c r="DQ825" s="18" t="s">
        <v>3879</v>
      </c>
      <c r="DR825" s="130">
        <v>0.51</v>
      </c>
      <c r="DS825" s="14">
        <v>1800</v>
      </c>
      <c r="DT825" s="14">
        <v>0</v>
      </c>
      <c r="DU825" s="14">
        <v>1800</v>
      </c>
      <c r="DV825" s="14">
        <v>1800</v>
      </c>
      <c r="DW825" s="14">
        <v>0</v>
      </c>
      <c r="DX825" s="14">
        <f>SUM(DV825+DW825)</f>
        <v>1800</v>
      </c>
      <c r="IA825" s="9"/>
      <c r="IL825" s="14">
        <f ca="1">SUM(IB825-DP825-FP825-IJ825)</f>
        <v>-43.851199999999999</v>
      </c>
      <c r="IM825" s="9"/>
      <c r="IN825" s="9"/>
      <c r="IO825" s="9"/>
      <c r="IP825" s="9"/>
      <c r="IQ825" s="9"/>
    </row>
    <row r="826" spans="1:263" ht="15" customHeight="1">
      <c r="A826" s="2">
        <v>102018020</v>
      </c>
      <c r="B826" s="4" t="s">
        <v>1111</v>
      </c>
      <c r="J826" t="s">
        <v>305</v>
      </c>
      <c r="K826" t="s">
        <v>400</v>
      </c>
      <c r="L826" t="s">
        <v>1112</v>
      </c>
      <c r="O826" s="1" t="s">
        <v>258</v>
      </c>
      <c r="P826" t="s">
        <v>400</v>
      </c>
      <c r="Q826" t="s">
        <v>1113</v>
      </c>
      <c r="T826" s="1"/>
      <c r="AJ826" s="4"/>
      <c r="AK826" s="4"/>
      <c r="AO826" s="4"/>
      <c r="AP826" s="5"/>
      <c r="AQ826" s="34"/>
      <c r="AS826" s="1"/>
      <c r="AT826" s="1"/>
      <c r="AU826" s="29"/>
      <c r="AV826" s="1"/>
      <c r="AW826" s="1"/>
      <c r="AX826" s="1"/>
      <c r="AY826" s="1"/>
      <c r="AZ826" s="1"/>
      <c r="BA826" s="1"/>
      <c r="BB826" s="1"/>
      <c r="BC826" s="1"/>
      <c r="BD826" s="1"/>
      <c r="BE826" s="5"/>
      <c r="BF826" s="16"/>
      <c r="BG826" s="16"/>
      <c r="BI826" s="4"/>
      <c r="BJ826" s="4"/>
      <c r="BK826" s="6"/>
      <c r="BL826" s="7"/>
      <c r="BM826" s="4"/>
      <c r="BO826" s="4"/>
      <c r="BP826" s="4"/>
      <c r="BQ826" s="6"/>
      <c r="BR826" s="7"/>
      <c r="BS826" s="4"/>
      <c r="BU826" s="4"/>
      <c r="BV826" s="4"/>
      <c r="BW826" s="6"/>
      <c r="BX826" s="7"/>
      <c r="BY826" s="4"/>
      <c r="BZ826" s="6"/>
      <c r="CA826" s="4"/>
      <c r="CB826" s="4"/>
      <c r="CC826" s="6"/>
      <c r="CD826" s="7"/>
      <c r="CE826" s="4"/>
      <c r="CF826" s="6"/>
      <c r="CG826" s="4"/>
      <c r="CH826" s="4"/>
      <c r="CI826" s="6"/>
      <c r="CJ826" s="7"/>
      <c r="CK826" s="4"/>
      <c r="CL826" s="4"/>
      <c r="CM826" s="4"/>
      <c r="CN826" s="4"/>
      <c r="CO826" s="6"/>
      <c r="CP826" s="7"/>
      <c r="CQ826" s="4"/>
      <c r="CR826" s="4"/>
      <c r="CS826" s="4"/>
      <c r="CT826" s="4"/>
      <c r="CU826" s="6"/>
      <c r="CV826" s="7"/>
      <c r="CW826" s="4"/>
      <c r="CX826" s="4"/>
      <c r="CY826" s="4"/>
      <c r="CZ826" s="4"/>
      <c r="DA826" s="6"/>
      <c r="DB826" s="7"/>
      <c r="DC826" s="4"/>
      <c r="DD826" s="4"/>
      <c r="DE826" s="4"/>
      <c r="DF826" s="4"/>
      <c r="DG826" s="6"/>
      <c r="DH826" s="7"/>
      <c r="DI826" s="4"/>
      <c r="DJ826" s="4"/>
      <c r="DK826" s="4"/>
      <c r="DL826" s="4"/>
      <c r="DM826" s="4"/>
      <c r="DO826" s="4"/>
      <c r="DP826" s="4"/>
      <c r="DQ826" s="4"/>
      <c r="DR826" s="7"/>
      <c r="DS826" s="4"/>
      <c r="DT826" s="4"/>
      <c r="DU826" s="4"/>
      <c r="DV826" s="4"/>
      <c r="DW826" s="4"/>
      <c r="DX826" s="4"/>
      <c r="DY826" s="7"/>
      <c r="DZ826" s="4"/>
      <c r="EA826" s="4"/>
      <c r="EB826" s="4"/>
      <c r="EC826" s="4"/>
      <c r="ED826" s="11"/>
      <c r="EM826" s="11"/>
      <c r="ES826" s="11"/>
      <c r="ET826" s="4"/>
      <c r="EU826" s="4"/>
      <c r="EV826" s="4"/>
      <c r="EW826" s="4"/>
      <c r="EX826" s="4"/>
      <c r="EY826" s="4"/>
      <c r="EZ826" s="4"/>
      <c r="FA826" s="4"/>
      <c r="FB826" s="4"/>
      <c r="FC826" s="4"/>
      <c r="FD826" s="4"/>
      <c r="FE826" s="4"/>
      <c r="FF826" s="4"/>
      <c r="FG826" s="4"/>
      <c r="FM826" s="9"/>
      <c r="GC826" s="10"/>
      <c r="GM826" s="10"/>
      <c r="HB826" s="9"/>
    </row>
    <row r="827" spans="1:263" ht="15" customHeight="1">
      <c r="A827" s="19">
        <v>102023039</v>
      </c>
      <c r="B827" s="18" t="s">
        <v>4265</v>
      </c>
      <c r="D827" s="1"/>
      <c r="E827" s="3"/>
      <c r="F827" s="3"/>
      <c r="G827" t="s">
        <v>4519</v>
      </c>
      <c r="J827" s="18" t="s">
        <v>253</v>
      </c>
      <c r="K827" s="18" t="s">
        <v>4264</v>
      </c>
      <c r="L827" s="18" t="s">
        <v>4263</v>
      </c>
      <c r="M827" s="18"/>
      <c r="N827" s="18"/>
      <c r="O827" s="24"/>
      <c r="P827" s="18"/>
      <c r="Q827" s="18"/>
      <c r="R827" s="18"/>
      <c r="S827" s="18"/>
      <c r="AG827" s="43"/>
      <c r="AJ827" s="18" t="s">
        <v>4262</v>
      </c>
      <c r="AK827" s="18" t="s">
        <v>258</v>
      </c>
      <c r="AL827" s="18" t="s">
        <v>344</v>
      </c>
      <c r="AM827" s="18" t="s">
        <v>260</v>
      </c>
      <c r="AN827" s="18"/>
      <c r="AO827" s="18" t="s">
        <v>4261</v>
      </c>
      <c r="AP827" s="18" t="s">
        <v>258</v>
      </c>
      <c r="AQ827" s="18" t="s">
        <v>344</v>
      </c>
      <c r="AR827" s="18" t="s">
        <v>260</v>
      </c>
      <c r="AX827" s="1"/>
      <c r="AY827" s="1"/>
      <c r="AZ827" s="1"/>
      <c r="BA827" s="1"/>
      <c r="BB827" s="1"/>
      <c r="BC827" s="2"/>
      <c r="BD827" s="116"/>
      <c r="BE827" s="115"/>
      <c r="BF827" s="2"/>
      <c r="BG827" s="2"/>
      <c r="BH827" s="2"/>
      <c r="BI827" s="2"/>
      <c r="BJ827" s="2"/>
      <c r="BK827" s="2"/>
      <c r="BL827" s="20">
        <f ca="1">SUM(EB827)+220</f>
        <v>676.553</v>
      </c>
      <c r="BM827" s="22">
        <f ca="1">PMT(10%/12,12,BL827,0,0)</f>
        <v>-59.479757253124681</v>
      </c>
      <c r="BN827" s="22">
        <f ca="1">SUM(BM827*-1)</f>
        <v>59.479757253124681</v>
      </c>
      <c r="BO827" s="25">
        <f>SUM(EJ827*0.0052)/12</f>
        <v>12.35</v>
      </c>
      <c r="BP827" s="22">
        <f ca="1">SUM(BN827+BO827)</f>
        <v>71.829757253124683</v>
      </c>
      <c r="BQ827" s="14"/>
      <c r="BR827" s="14">
        <f>SUM(BQ827*0.1)</f>
        <v>0</v>
      </c>
      <c r="BS827" s="14">
        <f ca="1">SUM(BT827*BU827)</f>
        <v>0</v>
      </c>
      <c r="BT827" s="17">
        <f>SUM((BQ827+BR827)*0.00833333333333333)</f>
        <v>0</v>
      </c>
      <c r="BU827" s="23">
        <f ca="1">MONTH(TODAY())+49</f>
        <v>53</v>
      </c>
      <c r="BV827" s="14">
        <f ca="1">SUM(BQ827,BR827,BS827)</f>
        <v>0</v>
      </c>
      <c r="BW827" s="14"/>
      <c r="BX827" s="14">
        <f>SUM(BW827*0.1)</f>
        <v>0</v>
      </c>
      <c r="BY827" s="14">
        <f ca="1">SUM(BZ827*CA827)</f>
        <v>0</v>
      </c>
      <c r="BZ827" s="17">
        <f>SUM((BW827+BX827)*0.00833333333333333)</f>
        <v>0</v>
      </c>
      <c r="CA827" s="23">
        <f ca="1">MONTH(TODAY())+37</f>
        <v>41</v>
      </c>
      <c r="CB827" s="14">
        <f ca="1">SUM(BW827,BX827,BY827)</f>
        <v>0</v>
      </c>
      <c r="CC827" s="14">
        <v>0</v>
      </c>
      <c r="CD827" s="14">
        <f>SUM(CC827*0.1)</f>
        <v>0</v>
      </c>
      <c r="CE827" s="14">
        <f ca="1">SUM(CF827*CG827)</f>
        <v>0</v>
      </c>
      <c r="CF827" s="17">
        <f>SUM((CC827+CD827)*0.00833333333333333)</f>
        <v>0</v>
      </c>
      <c r="CG827" s="23">
        <f ca="1">MONTH(TODAY())+25</f>
        <v>29</v>
      </c>
      <c r="CH827" s="14">
        <f ca="1">SUM(CC827,CD827,CE827)</f>
        <v>0</v>
      </c>
      <c r="CI827" s="14">
        <f>SUM(EG827*0.0052)</f>
        <v>153.4</v>
      </c>
      <c r="CJ827" s="14">
        <f>SUM(CI827*0.1)</f>
        <v>15.340000000000002</v>
      </c>
      <c r="CK827" s="14">
        <f ca="1">SUM(CL827*CM827)</f>
        <v>23.904833333333325</v>
      </c>
      <c r="CL827" s="17">
        <f>SUM((CI827+CJ827)*0.00833333333333333)</f>
        <v>1.4061666666666661</v>
      </c>
      <c r="CM827" s="23">
        <f ca="1">MONTH(TODAY())+13</f>
        <v>17</v>
      </c>
      <c r="CN827" s="14">
        <f ca="1">SUM(CI827,CJ827,CK827)</f>
        <v>192.64483333333334</v>
      </c>
      <c r="CO827" s="14">
        <f>SUM(EG827*0.0052)/2</f>
        <v>76.7</v>
      </c>
      <c r="CP827" s="14">
        <f>SUM(CO827*0.1)</f>
        <v>7.6700000000000008</v>
      </c>
      <c r="CQ827" s="14">
        <f ca="1">SUM(CR827*CS827)</f>
        <v>6.3277499999999973</v>
      </c>
      <c r="CR827" s="17">
        <f>SUM((CO827+CP827)*0.00833333333333333)</f>
        <v>0.70308333333333306</v>
      </c>
      <c r="CS827" s="23">
        <f ca="1">MONTH(TODAY())+5</f>
        <v>9</v>
      </c>
      <c r="CT827" s="23">
        <f ca="1">SUM(CO827,CP827,CQ827)</f>
        <v>90.697749999999999</v>
      </c>
      <c r="CU827" s="14">
        <f>SUM(EG827*0.0052)/2</f>
        <v>76.7</v>
      </c>
      <c r="CV827" s="14">
        <f>SUM(CU827*0.1)</f>
        <v>7.6700000000000008</v>
      </c>
      <c r="CW827" s="14">
        <f ca="1">SUM(CX827*CY827)</f>
        <v>3.5154166666666651</v>
      </c>
      <c r="CX827" s="17">
        <f>SUM((CU827+CV827)*0.00833333333333333)</f>
        <v>0.70308333333333306</v>
      </c>
      <c r="CY827" s="23">
        <f ca="1">MONTH(TODAY())+1</f>
        <v>5</v>
      </c>
      <c r="CZ827" s="23">
        <f ca="1">SUM(CU827,CV827,CW827)</f>
        <v>87.885416666666671</v>
      </c>
      <c r="DA827" s="14">
        <f>SUM(EJ827*0.0045)/2</f>
        <v>64.125</v>
      </c>
      <c r="DB827" s="14">
        <v>0</v>
      </c>
      <c r="DC827" s="14">
        <v>0</v>
      </c>
      <c r="DD827" s="17">
        <f>SUM((DA827+DB827)*0.00833333333333333)</f>
        <v>0.53437499999999982</v>
      </c>
      <c r="DE827" s="23">
        <f ca="1">MONTH(TODAY())-5</f>
        <v>-1</v>
      </c>
      <c r="DF827" s="23">
        <f>SUM(DA827,DB827,DC827)</f>
        <v>64.125</v>
      </c>
      <c r="DG827" s="14">
        <v>0</v>
      </c>
      <c r="DH827" s="14">
        <v>0</v>
      </c>
      <c r="DI827" s="14">
        <v>0</v>
      </c>
      <c r="DJ827" s="17">
        <f>SUM((DG827+DH827)*0.00833333333333333)</f>
        <v>0</v>
      </c>
      <c r="DK827" s="23">
        <f ca="1">MONTH(TODAY())+1</f>
        <v>5</v>
      </c>
      <c r="DL827" s="23">
        <f>SUM(DG827,DH827,DI827)</f>
        <v>0</v>
      </c>
      <c r="DM827" s="14">
        <f>SUM( BQ827, BW827, CC827, CI827, CO827,CU827,DA827,DG827)</f>
        <v>370.92500000000001</v>
      </c>
      <c r="DN827" s="14">
        <f>SUM(BR827,BX827,CD827,CJ827, CP827,CV827,DB827,DH827)</f>
        <v>30.680000000000003</v>
      </c>
      <c r="DO827" s="14">
        <f ca="1">SUM(BS827,BY827,CE827,CK827, CQ827,CW827,DC827,DI827)</f>
        <v>33.74799999999999</v>
      </c>
      <c r="DP827" s="25">
        <f ca="1">SUM(DM827:DO827)</f>
        <v>435.35300000000001</v>
      </c>
      <c r="DQ827" s="47">
        <f ca="1">SUM(DP827/EG827)</f>
        <v>1.4757728813559322E-2</v>
      </c>
      <c r="DR827" s="14">
        <v>20</v>
      </c>
      <c r="DS827" s="32">
        <f>COUNTIF(DX827, "*")+COUNTIF(AO827, "*")+COUNTIF(AJ827, "*")+COUNTIF(AA827, "*")+COUNTIF(EY827, "*")+COUNTIF(FE827, "*")+COUNTIF(FK827, "*")+COUNTIF(FO827, "*")+COUNTIF(FV827, "*")+COUNTIF(AT827, "*")+COUNTIF(GE827, "*")+COUNTIF(GP827, "*")+COUNTIF(HA827, "*")+COUNTIF(HI827, "*")+COUNTIF(HQ827, "*")+COUNTIF(HY827, "*")+COUNTIF(IG827, "*")</f>
        <v>2</v>
      </c>
      <c r="DT827" s="14">
        <f>DS827*0.6</f>
        <v>1.2</v>
      </c>
      <c r="DU827" s="4"/>
      <c r="DV827" s="4"/>
      <c r="DW827" s="4"/>
      <c r="DX827" s="4"/>
      <c r="DZ827" s="4"/>
      <c r="EA827" s="14">
        <f>SUM(DV827:DZ827)</f>
        <v>0</v>
      </c>
      <c r="EB827" s="14">
        <f ca="1">SUM(DP827,DR827,EA827, DU827, DT827,GB827)</f>
        <v>456.553</v>
      </c>
      <c r="EC827" s="18" t="s">
        <v>3879</v>
      </c>
      <c r="ED827" s="130">
        <v>1</v>
      </c>
      <c r="EE827" s="14">
        <v>12800</v>
      </c>
      <c r="EF827" s="14">
        <v>16700</v>
      </c>
      <c r="EG827" s="14">
        <v>29500</v>
      </c>
      <c r="EH827" s="14">
        <v>14400</v>
      </c>
      <c r="EI827" s="14">
        <v>14100</v>
      </c>
      <c r="EJ827" s="14">
        <f>SUM(EH827+EI827)</f>
        <v>28500</v>
      </c>
      <c r="IM827" s="9"/>
      <c r="IX827" s="14">
        <f ca="1">SUM(IN827-EB827-GB827-IV827)</f>
        <v>-456.553</v>
      </c>
      <c r="IY827" s="9"/>
      <c r="IZ827" s="9"/>
      <c r="JA827" s="9"/>
      <c r="JB827" s="9"/>
      <c r="JC827" s="9"/>
    </row>
    <row r="828" spans="1:263" ht="15" customHeight="1">
      <c r="A828" s="19">
        <v>102021083</v>
      </c>
      <c r="B828" s="18" t="s">
        <v>2585</v>
      </c>
      <c r="C828" s="18"/>
      <c r="D828" s="13"/>
      <c r="E828" s="18"/>
      <c r="F828" s="18"/>
      <c r="G828" s="18"/>
      <c r="H828" s="18"/>
      <c r="I828" s="18"/>
      <c r="J828" s="18" t="s">
        <v>554</v>
      </c>
      <c r="K828" s="18" t="s">
        <v>2586</v>
      </c>
      <c r="L828" s="18" t="s">
        <v>2587</v>
      </c>
      <c r="M828" s="18"/>
      <c r="N828" s="18"/>
      <c r="O828" s="18"/>
      <c r="P828" s="18" t="s">
        <v>2586</v>
      </c>
      <c r="Q828" s="18" t="s">
        <v>2588</v>
      </c>
      <c r="R828" s="18"/>
      <c r="S828" s="18"/>
      <c r="T828" s="18"/>
      <c r="U828" s="18"/>
      <c r="V828" s="18"/>
      <c r="W828" s="18"/>
      <c r="X828" s="18"/>
      <c r="Y828" s="18"/>
      <c r="Z828" s="18"/>
      <c r="AA828" s="18"/>
      <c r="AB828" s="18"/>
      <c r="AC828" s="18"/>
      <c r="AD828" s="18"/>
      <c r="AE828" s="18"/>
      <c r="AF828" s="18"/>
      <c r="AG828" s="231"/>
      <c r="AH828" s="18"/>
      <c r="AI828" s="18"/>
      <c r="AJ828" s="18" t="s">
        <v>2589</v>
      </c>
      <c r="AK828" s="18" t="s">
        <v>258</v>
      </c>
      <c r="AL828" s="18" t="s">
        <v>344</v>
      </c>
      <c r="AM828" s="24" t="s">
        <v>260</v>
      </c>
      <c r="AN828" s="24"/>
      <c r="AO828" s="18" t="s">
        <v>2590</v>
      </c>
      <c r="AP828" s="13" t="s">
        <v>258</v>
      </c>
      <c r="AQ828" s="24" t="s">
        <v>2591</v>
      </c>
      <c r="AR828" s="24"/>
      <c r="AS828" s="13"/>
      <c r="AT828" s="13"/>
      <c r="AU828" s="13"/>
      <c r="AV828" s="13"/>
      <c r="AW828" s="13"/>
      <c r="AX828" s="19"/>
      <c r="AY828" s="19"/>
      <c r="AZ828" s="48"/>
      <c r="BA828" s="19"/>
      <c r="BB828" s="19"/>
      <c r="BC828" s="19"/>
      <c r="BD828" s="19"/>
      <c r="BE828" s="19"/>
      <c r="BF828" s="19"/>
      <c r="BG828" s="20"/>
      <c r="BH828" s="22"/>
      <c r="BI828" s="22"/>
      <c r="BJ828" s="14"/>
      <c r="BK828" s="22"/>
      <c r="BL828" s="14"/>
      <c r="BM828" s="14"/>
      <c r="BN828" s="14"/>
      <c r="BO828" s="17"/>
      <c r="BP828" s="23"/>
      <c r="BQ828" s="14"/>
      <c r="BR828" s="14"/>
      <c r="BS828" s="14"/>
      <c r="BT828" s="14"/>
      <c r="BU828" s="17"/>
      <c r="BV828" s="23"/>
      <c r="BW828" s="14"/>
      <c r="BX828" s="14"/>
      <c r="BY828" s="14"/>
      <c r="BZ828" s="14"/>
      <c r="CA828" s="17"/>
      <c r="CB828" s="23"/>
      <c r="CC828" s="14"/>
      <c r="CD828" s="14"/>
      <c r="CE828" s="14"/>
      <c r="CF828" s="14"/>
      <c r="CG828" s="17"/>
      <c r="CH828" s="23"/>
      <c r="CI828" s="14"/>
      <c r="CJ828" s="14"/>
      <c r="CK828" s="14"/>
      <c r="CL828" s="14"/>
      <c r="CM828" s="17"/>
      <c r="CN828" s="23"/>
      <c r="CO828" s="14"/>
      <c r="CP828" s="14"/>
      <c r="CQ828" s="14"/>
      <c r="CR828" s="14"/>
      <c r="CS828" s="17"/>
      <c r="CT828" s="23"/>
      <c r="CU828" s="14"/>
      <c r="CV828" s="14"/>
      <c r="CW828" s="18"/>
      <c r="CX828" s="18"/>
      <c r="CY828" s="18"/>
      <c r="CZ828" s="18"/>
      <c r="DA828" s="14"/>
      <c r="DB828" s="14"/>
      <c r="DC828" s="14"/>
      <c r="DD828" s="14"/>
      <c r="DE828" s="14"/>
      <c r="DF828" s="47"/>
      <c r="DG828" s="14"/>
      <c r="DH828" s="32"/>
      <c r="DI828" s="14"/>
      <c r="DJ828" s="18"/>
      <c r="DK828" s="14">
        <f>SUM(DE828,DG828,DQ828, DJ828, DI828,FS828)</f>
        <v>0</v>
      </c>
      <c r="DL828" s="18"/>
      <c r="DM828" s="18"/>
      <c r="DN828" s="18"/>
      <c r="DO828" s="18"/>
      <c r="DP828" s="18"/>
      <c r="DQ828" s="14">
        <f>SUM(DL828:DP828)</f>
        <v>0</v>
      </c>
      <c r="DR828" s="24" t="s">
        <v>1944</v>
      </c>
      <c r="DS828" s="14">
        <v>17400</v>
      </c>
      <c r="DT828" s="14">
        <v>9000</v>
      </c>
      <c r="DU828" s="265">
        <f>SUM(DS828+DT828)</f>
        <v>26400</v>
      </c>
      <c r="DV828" s="36">
        <v>1.27</v>
      </c>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row>
    <row r="829" spans="1:263" ht="15" customHeight="1">
      <c r="A829" s="19">
        <v>102022054</v>
      </c>
      <c r="B829" t="s">
        <v>2803</v>
      </c>
      <c r="D829" s="1"/>
      <c r="E829" s="3" t="s">
        <v>3878</v>
      </c>
      <c r="F829" s="3">
        <v>220003658</v>
      </c>
      <c r="J829" t="s">
        <v>311</v>
      </c>
      <c r="K829" t="s">
        <v>399</v>
      </c>
      <c r="L829" t="s">
        <v>3030</v>
      </c>
      <c r="AD829" t="s">
        <v>3895</v>
      </c>
      <c r="AE829" t="s">
        <v>253</v>
      </c>
      <c r="AF829" t="s">
        <v>3047</v>
      </c>
      <c r="AG829" s="43" t="s">
        <v>3896</v>
      </c>
      <c r="AH829" t="s">
        <v>3897</v>
      </c>
      <c r="AI829" t="s">
        <v>3898</v>
      </c>
      <c r="AJ829" t="s">
        <v>328</v>
      </c>
      <c r="AL829" s="18" t="s">
        <v>344</v>
      </c>
      <c r="AM829"/>
      <c r="AN829"/>
      <c r="AO829" s="3" t="s">
        <v>3031</v>
      </c>
      <c r="AP829" s="3" t="s">
        <v>258</v>
      </c>
      <c r="AQ829" t="s">
        <v>3032</v>
      </c>
      <c r="AR829"/>
      <c r="AS829" s="1"/>
      <c r="AT829" s="1"/>
      <c r="AU829" s="1" t="s">
        <v>258</v>
      </c>
      <c r="AV829" s="1" t="s">
        <v>258</v>
      </c>
      <c r="AW829" s="1" t="s">
        <v>258</v>
      </c>
      <c r="AX829" s="70">
        <v>44693</v>
      </c>
      <c r="AY829" s="115">
        <v>44661</v>
      </c>
      <c r="AZ829" s="115">
        <v>44649</v>
      </c>
      <c r="BA829" s="70">
        <v>44743</v>
      </c>
      <c r="BB829" s="2" t="s">
        <v>318</v>
      </c>
      <c r="BC829" s="70">
        <v>44729</v>
      </c>
      <c r="BD829" s="70">
        <v>44736</v>
      </c>
      <c r="BE829" s="70">
        <v>44813</v>
      </c>
      <c r="BF829" s="19" t="s">
        <v>319</v>
      </c>
      <c r="BG829" s="20">
        <f ca="1">SUM(DK829)+214.5</f>
        <v>3502.6505833333331</v>
      </c>
      <c r="BH829" s="22">
        <f ca="1">PMT(10%/12,12,BG829,0,0)</f>
        <v>-307.93863369046068</v>
      </c>
      <c r="BI829" s="22">
        <f ca="1">SUM(BH829*-1)</f>
        <v>307.93863369046068</v>
      </c>
      <c r="BJ829" s="14">
        <f>SUM(DU829*0.0052)/12</f>
        <v>10.616666666666665</v>
      </c>
      <c r="BK829" s="22">
        <f ca="1">SUM(BI829+BJ829)</f>
        <v>318.55530035712735</v>
      </c>
      <c r="BL829" s="14"/>
      <c r="BM829" s="14">
        <f>SUM(BL829*0.1)</f>
        <v>0</v>
      </c>
      <c r="BN829" s="14">
        <f ca="1">SUM(BO829*BP829)</f>
        <v>0</v>
      </c>
      <c r="BO829" s="17">
        <f>SUM((BL829+BM829)*0.00833333333333333)</f>
        <v>0</v>
      </c>
      <c r="BP829" s="23">
        <f ca="1">MONTH(TODAY())+49</f>
        <v>53</v>
      </c>
      <c r="BQ829" s="14">
        <f ca="1">SUM(BL829,BM829,BN829)</f>
        <v>0</v>
      </c>
      <c r="BR829" s="14"/>
      <c r="BS829" s="14">
        <f>SUM(BR829*0.1)</f>
        <v>0</v>
      </c>
      <c r="BT829" s="14">
        <f ca="1">SUM(BU829*BV829)</f>
        <v>0</v>
      </c>
      <c r="BU829" s="17">
        <f>SUM((BR829+BS829)*0.00833333333333333)</f>
        <v>0</v>
      </c>
      <c r="BV829" s="23">
        <f ca="1">MONTH(TODAY())+37</f>
        <v>41</v>
      </c>
      <c r="BW829" s="14">
        <f ca="1">SUM(BR829,BS829,BT829)</f>
        <v>0</v>
      </c>
      <c r="BX829" s="14"/>
      <c r="BY829" s="14">
        <f>SUM(BX829*0.1)</f>
        <v>0</v>
      </c>
      <c r="BZ829" s="14">
        <f ca="1">SUM(CA829*CB829)</f>
        <v>0</v>
      </c>
      <c r="CA829" s="17">
        <f>SUM((BX829+BY829)*0.00833333333333333)</f>
        <v>0</v>
      </c>
      <c r="CB829" s="23">
        <f ca="1">MONTH(TODAY())+25</f>
        <v>29</v>
      </c>
      <c r="CC829" s="14">
        <f ca="1">SUM(BX829,BY829,BZ829)</f>
        <v>0</v>
      </c>
      <c r="CD829" s="14">
        <f>SUM(DU829*0.0052)</f>
        <v>127.39999999999999</v>
      </c>
      <c r="CE829" s="14">
        <f>SUM(CD829*0.1)</f>
        <v>12.74</v>
      </c>
      <c r="CF829" s="14">
        <f ca="1">SUM(CG829*CH829)</f>
        <v>19.853166666666656</v>
      </c>
      <c r="CG829" s="17">
        <f>SUM((CD829+CE829)*0.00833333333333333)</f>
        <v>1.1678333333333326</v>
      </c>
      <c r="CH829" s="23">
        <f ca="1">MONTH(TODAY())+13</f>
        <v>17</v>
      </c>
      <c r="CI829" s="14">
        <f ca="1">SUM(CD829,CE829,CF829)</f>
        <v>159.99316666666664</v>
      </c>
      <c r="CJ829" s="14">
        <f>SUM(DU829*0.0052)</f>
        <v>127.39999999999999</v>
      </c>
      <c r="CK829" s="14">
        <f>SUM(CJ829*0.1)</f>
        <v>12.74</v>
      </c>
      <c r="CL829" s="14">
        <f ca="1">SUM(CM829*CN829)</f>
        <v>5.8391666666666628</v>
      </c>
      <c r="CM829" s="17">
        <f>SUM((CJ829+CK829)*0.00833333333333333)</f>
        <v>1.1678333333333326</v>
      </c>
      <c r="CN829" s="23">
        <f ca="1">MONTH(TODAY())+1</f>
        <v>5</v>
      </c>
      <c r="CO829" s="14">
        <f ca="1">SUM(CJ829,CK829,CL829)</f>
        <v>145.97916666666666</v>
      </c>
      <c r="CP829" s="14">
        <f>SUM(DU829*0.0052)/2</f>
        <v>63.699999999999996</v>
      </c>
      <c r="CQ829" s="14">
        <f>SUM(CP829*0.1)</f>
        <v>6.37</v>
      </c>
      <c r="CR829" s="14">
        <f ca="1">SUM(CS829*CT829)</f>
        <v>-1.751749999999999</v>
      </c>
      <c r="CS829" s="17">
        <f>SUM((CP829+CQ829)*0.00833333333333333)</f>
        <v>0.58391666666666631</v>
      </c>
      <c r="CT829" s="23">
        <f ca="1">MONTH(TODAY())-7</f>
        <v>-3</v>
      </c>
      <c r="CU829" s="23">
        <f ca="1">SUM(CP829,CQ829,CR829)</f>
        <v>68.318249999999992</v>
      </c>
      <c r="CV829" s="14">
        <f>SUM(DU829*0.0052)/2</f>
        <v>63.699999999999996</v>
      </c>
      <c r="CW829" s="14">
        <v>0</v>
      </c>
      <c r="CX829" s="14">
        <v>0</v>
      </c>
      <c r="CY829" s="17">
        <f>SUM((CV829+CW829)*0.00833333333333333)</f>
        <v>0.53083333333333305</v>
      </c>
      <c r="CZ829" s="23">
        <f ca="1">MONTH(TODAY())-7</f>
        <v>-3</v>
      </c>
      <c r="DA829" s="23">
        <f>SUM(CV829,CW829,CX829)</f>
        <v>63.699999999999996</v>
      </c>
      <c r="DB829" s="14">
        <f>SUM(BL829, BR829, BX829, CD829, CJ829, CP829,CV829)</f>
        <v>382.2</v>
      </c>
      <c r="DC829" s="14">
        <f>SUM(BM829, BS829,BY829,CE829,CK829, CQ829,CW829)</f>
        <v>31.85</v>
      </c>
      <c r="DD829" s="14">
        <f ca="1">SUM(BN829, BT829,BZ829,CF829,CL829, CR829,CX829)</f>
        <v>23.940583333333322</v>
      </c>
      <c r="DE829" s="14">
        <f ca="1">SUM(DB829:DD829)</f>
        <v>437.99058333333335</v>
      </c>
      <c r="DF829" s="47">
        <f ca="1">SUM(DE829/DU829)</f>
        <v>1.7877166666666666E-2</v>
      </c>
      <c r="DG829" s="14">
        <f>19.5+19.5+195+195+39+58.5+39+39+39+58.5+19.5+39+78+97.5+97.5</f>
        <v>1033.5</v>
      </c>
      <c r="DH829" s="32">
        <f>COUNTIF(DN829, "*")+COUNTIF(AO829, "*")+COUNTIF(AJ829, "*")+COUNTIF(AA829, "*")+COUNTIF(EK829, "*")+COUNTIF(EQ829, "*")+COUNTIF(EW829, "*")+COUNTIF(FA829, "*")+COUNTIF(FH829, "*")+COUNTIF(FO829, "*")+COUNTIF(FV829, "*")+COUNTIF(GG829, "*")+COUNTIF(GR829, "*")+COUNTIF(GZ829, "*")+COUNTIF(HH829, "*")+COUNTIF(HP829, "*")+COUNTIF(HX829, "*")</f>
        <v>2</v>
      </c>
      <c r="DI829" s="14">
        <f>1.06+13.32+28</f>
        <v>42.38</v>
      </c>
      <c r="DJ829" s="4">
        <v>251</v>
      </c>
      <c r="DK829" s="14">
        <f ca="1">SUM(DE829,DG829,DQ829, DJ829, DI829,FS829)</f>
        <v>3288.1505833333331</v>
      </c>
      <c r="DL829" s="14">
        <f>30.08+448.2</f>
        <v>478.28</v>
      </c>
      <c r="DM829" s="4">
        <f>93.75+245</f>
        <v>338.75</v>
      </c>
      <c r="DN829" s="4">
        <v>131.25</v>
      </c>
      <c r="DO829" s="14">
        <v>100</v>
      </c>
      <c r="DP829" s="4">
        <v>475</v>
      </c>
      <c r="DQ829" s="14">
        <f>SUM(DL829:DP829)</f>
        <v>1523.28</v>
      </c>
      <c r="DR829" s="24" t="s">
        <v>2773</v>
      </c>
      <c r="DS829" s="4">
        <v>24500</v>
      </c>
      <c r="DT829" s="4">
        <v>0</v>
      </c>
      <c r="DU829" s="25">
        <f>SUM(DS829+DT829)</f>
        <v>24500</v>
      </c>
      <c r="DV829" s="35">
        <v>2.88</v>
      </c>
      <c r="DW829" t="s">
        <v>3683</v>
      </c>
      <c r="DX829" t="s">
        <v>3684</v>
      </c>
      <c r="DY829" t="s">
        <v>3685</v>
      </c>
      <c r="ID829" s="9">
        <v>44863</v>
      </c>
      <c r="IO829" s="14">
        <f ca="1">SUM(IE829-DK829-FS829-IM829)</f>
        <v>-3288.1505833333331</v>
      </c>
      <c r="IP829" s="9">
        <v>44823</v>
      </c>
      <c r="IQ829" s="9"/>
      <c r="IR829" s="9"/>
      <c r="IS829" s="9"/>
      <c r="IT829" s="9"/>
    </row>
    <row r="830" spans="1:263" ht="15" customHeight="1">
      <c r="A830" s="19">
        <v>102022054</v>
      </c>
      <c r="B830" t="s">
        <v>2803</v>
      </c>
      <c r="D830" s="1"/>
      <c r="E830" s="3" t="s">
        <v>3878</v>
      </c>
      <c r="F830" s="3">
        <v>220003658</v>
      </c>
      <c r="J830" t="s">
        <v>311</v>
      </c>
      <c r="K830" t="s">
        <v>399</v>
      </c>
      <c r="L830" t="s">
        <v>3030</v>
      </c>
      <c r="AD830" t="s">
        <v>3895</v>
      </c>
      <c r="AE830" t="s">
        <v>253</v>
      </c>
      <c r="AF830" t="s">
        <v>3047</v>
      </c>
      <c r="AG830" s="43" t="s">
        <v>3896</v>
      </c>
      <c r="AH830" t="s">
        <v>3897</v>
      </c>
      <c r="AI830" t="s">
        <v>3898</v>
      </c>
      <c r="AJ830" t="s">
        <v>328</v>
      </c>
      <c r="AL830" s="18" t="s">
        <v>344</v>
      </c>
      <c r="AM830"/>
      <c r="AN830"/>
      <c r="AO830" s="3" t="s">
        <v>3031</v>
      </c>
      <c r="AP830" s="3" t="s">
        <v>258</v>
      </c>
      <c r="AQ830" t="s">
        <v>3032</v>
      </c>
      <c r="AR830"/>
      <c r="AS830" s="1"/>
      <c r="AT830" s="1"/>
      <c r="AU830" s="1" t="s">
        <v>258</v>
      </c>
      <c r="AV830" s="1" t="s">
        <v>258</v>
      </c>
      <c r="AW830" s="1" t="s">
        <v>258</v>
      </c>
      <c r="AX830" s="70">
        <v>44693</v>
      </c>
      <c r="AY830" s="115">
        <v>44661</v>
      </c>
      <c r="AZ830" s="115">
        <v>44649</v>
      </c>
      <c r="BA830" s="70">
        <v>44743</v>
      </c>
      <c r="BB830" s="2" t="s">
        <v>318</v>
      </c>
      <c r="BC830" s="70">
        <v>44729</v>
      </c>
      <c r="BD830" s="70">
        <v>44736</v>
      </c>
      <c r="BE830" s="70">
        <v>44813</v>
      </c>
      <c r="BF830" s="19" t="s">
        <v>319</v>
      </c>
      <c r="BG830" s="19"/>
      <c r="BH830" s="19"/>
      <c r="BI830" s="19"/>
      <c r="BJ830" s="19"/>
      <c r="BK830" s="19"/>
      <c r="BL830" s="20">
        <f ca="1">SUM(DP830)+214.5</f>
        <v>4924.3090000000002</v>
      </c>
      <c r="BM830" s="22">
        <f ca="1">PMT(10%/12,12,BL830,0,0)</f>
        <v>-432.92499472972133</v>
      </c>
      <c r="BN830" s="22">
        <f ca="1">SUM(BM830*-1)</f>
        <v>432.92499472972133</v>
      </c>
      <c r="BO830" s="14">
        <f>SUM(EL830*0.0052)/12</f>
        <v>10.616666666666665</v>
      </c>
      <c r="BP830" s="22">
        <f ca="1">SUM(BN830+BO830)</f>
        <v>443.54166139638801</v>
      </c>
      <c r="BQ830" s="14"/>
      <c r="BR830" s="14">
        <f>SUM(BQ830*0.1)</f>
        <v>0</v>
      </c>
      <c r="BS830" s="14">
        <f ca="1">SUM(BT830*BU830)</f>
        <v>0</v>
      </c>
      <c r="BT830" s="17">
        <f>SUM((BQ830+BR830)*0.00833333333333333)</f>
        <v>0</v>
      </c>
      <c r="BU830" s="23">
        <f ca="1">MONTH(TODAY())+49</f>
        <v>53</v>
      </c>
      <c r="BV830" s="14">
        <f ca="1">SUM(BQ830,BR830,BS830)</f>
        <v>0</v>
      </c>
      <c r="BW830" s="14"/>
      <c r="BX830" s="14">
        <f>SUM(BW830*0.1)</f>
        <v>0</v>
      </c>
      <c r="BY830" s="14">
        <f ca="1">SUM(BZ830*CA830)</f>
        <v>0</v>
      </c>
      <c r="BZ830" s="17">
        <f>SUM((BW830+BX830)*0.00833333333333333)</f>
        <v>0</v>
      </c>
      <c r="CA830" s="23">
        <f ca="1">MONTH(TODAY())+37</f>
        <v>41</v>
      </c>
      <c r="CB830" s="14">
        <f ca="1">SUM(BW830,BX830,BY830)</f>
        <v>0</v>
      </c>
      <c r="CC830" s="14"/>
      <c r="CD830" s="14">
        <f>SUM(CC830*0.1)</f>
        <v>0</v>
      </c>
      <c r="CE830" s="14">
        <f>SUM(CF830*CG830)</f>
        <v>0</v>
      </c>
      <c r="CF830" s="17">
        <f>SUM((CC830+CD830)*0.00833333333333333)</f>
        <v>0</v>
      </c>
      <c r="CG830" s="23">
        <v>37</v>
      </c>
      <c r="CH830" s="14">
        <f>SUM(CC830,CD830,CE830)</f>
        <v>0</v>
      </c>
      <c r="CI830" s="14">
        <f>SUM(EL830*0.0052)</f>
        <v>127.39999999999999</v>
      </c>
      <c r="CJ830" s="14">
        <f>SUM(CI830*0.1)</f>
        <v>12.74</v>
      </c>
      <c r="CK830" s="14">
        <f>SUM(CL830*CM830)</f>
        <v>30.363666666666649</v>
      </c>
      <c r="CL830" s="17">
        <f>SUM((CI830+CJ830)*0.00833333333333333)</f>
        <v>1.1678333333333326</v>
      </c>
      <c r="CM830" s="23">
        <v>26</v>
      </c>
      <c r="CN830" s="14">
        <f>SUM(CI830,CJ830,CK830)</f>
        <v>170.50366666666665</v>
      </c>
      <c r="CO830" s="14">
        <f>SUM(EL830*0.0052)</f>
        <v>127.39999999999999</v>
      </c>
      <c r="CP830" s="14">
        <f>SUM(CO830*0.1)</f>
        <v>12.74</v>
      </c>
      <c r="CQ830" s="14">
        <f>SUM(CR830*CS830)</f>
        <v>15.181833333333325</v>
      </c>
      <c r="CR830" s="17">
        <f>SUM((CO830+CP830)*0.00833333333333333)</f>
        <v>1.1678333333333326</v>
      </c>
      <c r="CS830" s="23">
        <v>13</v>
      </c>
      <c r="CT830" s="14">
        <f>SUM(CO830,CP830,CQ830)</f>
        <v>155.3218333333333</v>
      </c>
      <c r="CU830" s="14">
        <f>SUM(EL830*0.0052)/2</f>
        <v>63.699999999999996</v>
      </c>
      <c r="CV830" s="14">
        <f>SUM(CU830*0.1)</f>
        <v>6.37</v>
      </c>
      <c r="CW830" s="14">
        <f>SUM(CX830*CY830)</f>
        <v>3.5034999999999981</v>
      </c>
      <c r="CX830" s="17">
        <f>SUM((CU830+CV830)*0.00833333333333333)</f>
        <v>0.58391666666666631</v>
      </c>
      <c r="CY830" s="23">
        <v>6</v>
      </c>
      <c r="CZ830" s="23">
        <f>SUM(CU830,CV830,CW830)</f>
        <v>73.573499999999996</v>
      </c>
      <c r="DA830" s="14">
        <f>SUM(EL830*0.0052)/2</f>
        <v>63.699999999999996</v>
      </c>
      <c r="DB830" s="14">
        <v>0</v>
      </c>
      <c r="DC830" s="14">
        <v>0</v>
      </c>
      <c r="DD830" s="17">
        <f>SUM((DA830+DB830)*0.00833333333333333)</f>
        <v>0.53083333333333305</v>
      </c>
      <c r="DE830" s="23">
        <f ca="1">MONTH(TODAY())-6</f>
        <v>-2</v>
      </c>
      <c r="DF830" s="23">
        <f>SUM(DA830,DB830,DC830)</f>
        <v>63.699999999999996</v>
      </c>
      <c r="DG830" s="14">
        <f>SUM(BQ830, BW830, CC830, CI830, CO830, CU830,DA830)</f>
        <v>382.2</v>
      </c>
      <c r="DH830" s="14">
        <f>SUM(BR830, BX830,CD830,CJ830,CP830, CV830,DB830)</f>
        <v>31.85</v>
      </c>
      <c r="DI830" s="14">
        <f ca="1">SUM(BS830, BY830,CE830,CK830,CQ830, CW830,DC830)</f>
        <v>49.048999999999971</v>
      </c>
      <c r="DJ830" s="14">
        <f ca="1">SUM(DG830:DI830)</f>
        <v>463.09899999999999</v>
      </c>
      <c r="DK830" s="47">
        <f ca="1">SUM(DJ830/EL830)</f>
        <v>1.8901999999999999E-2</v>
      </c>
      <c r="DL830" s="14">
        <f>19.5+19.5+195+195+39+58.5+39+39+39+58.5+19.5+39+78+97.5+97.5+39+58.5+39+39+19.5+97.5+58.5+97.5+97.5+195+19.5</f>
        <v>1794</v>
      </c>
      <c r="DM830" s="32" t="e">
        <f>COUNTIF(DS830, "*")+COUNTIF(AO830, "*")+COUNTIF(AJ830, "*")+COUNTIF(AA830, "*")+COUNTIF(FE830, "*")+COUNTIF(FK830, "*")+COUNTIF(FQ830, "*")+COUNTIF(FU830, "*")+COUNTIF(GB830, "*")+COUNTIF(GI830, "*")+COUNTIF(GP830, "*")+COUNTIF(HA830, "*")+COUNTIF(HL830, "*")+COUNTIF(HT830, "*")+COUNTIF(IB830, "*")+COUNTIF(#REF!, "*")+COUNTIF(#REF!, "*")</f>
        <v>#REF!</v>
      </c>
      <c r="DN830" s="14">
        <f>1.06+13.32+28+74.65</f>
        <v>117.03</v>
      </c>
      <c r="DO830" s="4">
        <v>251</v>
      </c>
      <c r="DP830" s="14">
        <f ca="1">SUM(DJ830,DL830,DV830, DO830, DN830,GM830)</f>
        <v>4709.8090000000002</v>
      </c>
      <c r="DQ830" s="14">
        <f>30.08+448.2+211.4</f>
        <v>689.68</v>
      </c>
      <c r="DR830" s="4">
        <f>93.75+245</f>
        <v>338.75</v>
      </c>
      <c r="DS830" s="4">
        <v>131.25</v>
      </c>
      <c r="DT830" s="14">
        <v>100</v>
      </c>
      <c r="DU830" s="4">
        <v>475</v>
      </c>
      <c r="DV830" s="14">
        <f>SUM(DQ830:DU830)</f>
        <v>1734.6799999999998</v>
      </c>
      <c r="DW830" s="14"/>
      <c r="DX830" s="14"/>
      <c r="DY830" s="14"/>
      <c r="DZ830" s="14"/>
      <c r="EA830" s="14"/>
      <c r="EB830" s="14"/>
      <c r="EC830" s="14"/>
      <c r="ED830" s="14"/>
      <c r="EE830" s="14"/>
      <c r="EF830" s="14"/>
      <c r="EG830" s="14"/>
      <c r="EH830" s="14"/>
      <c r="EI830" s="24" t="s">
        <v>2773</v>
      </c>
      <c r="EJ830" s="4">
        <v>24500</v>
      </c>
      <c r="EK830" s="4">
        <v>0</v>
      </c>
      <c r="EL830" s="25">
        <f>SUM(EJ830+EK830)</f>
        <v>24500</v>
      </c>
      <c r="EM830" s="35">
        <v>2.88</v>
      </c>
      <c r="EN830" s="35"/>
      <c r="EO830" s="35"/>
      <c r="EP830" s="35"/>
      <c r="EQ830" t="s">
        <v>3683</v>
      </c>
      <c r="ER830" t="s">
        <v>3684</v>
      </c>
      <c r="ES830" t="s">
        <v>3685</v>
      </c>
      <c r="GH830" t="s">
        <v>3968</v>
      </c>
      <c r="GI830" t="s">
        <v>3967</v>
      </c>
      <c r="GJ830" t="s">
        <v>3969</v>
      </c>
      <c r="GK830" t="s">
        <v>279</v>
      </c>
      <c r="GM830">
        <v>350</v>
      </c>
      <c r="IE830" s="9">
        <v>44863</v>
      </c>
      <c r="IF830" s="284">
        <v>12000</v>
      </c>
      <c r="IG830" s="124">
        <v>3000</v>
      </c>
      <c r="IH830" s="18" t="s">
        <v>3954</v>
      </c>
      <c r="II830" t="s">
        <v>3949</v>
      </c>
      <c r="IJ830" t="s">
        <v>3950</v>
      </c>
      <c r="IL830" s="4"/>
      <c r="IM830" s="14">
        <v>153.16999999999999</v>
      </c>
      <c r="IN830" s="14">
        <f ca="1">SUM(IF830-DP830-GM830-IL830)</f>
        <v>6940.1909999999998</v>
      </c>
      <c r="IO830" s="4"/>
      <c r="IP830" s="4"/>
      <c r="IQ830" s="27"/>
      <c r="IR830" s="9">
        <v>44837</v>
      </c>
      <c r="IT830" s="9">
        <v>44869</v>
      </c>
    </row>
    <row r="831" spans="1:263" ht="15" customHeight="1">
      <c r="A831" s="19">
        <v>102023072</v>
      </c>
      <c r="B831" s="18" t="s">
        <v>4167</v>
      </c>
      <c r="D831" s="1">
        <v>2025</v>
      </c>
      <c r="E831" s="3"/>
      <c r="G831" s="3"/>
      <c r="J831" s="18" t="s">
        <v>434</v>
      </c>
      <c r="K831" s="18" t="s">
        <v>3341</v>
      </c>
      <c r="L831" s="18" t="s">
        <v>741</v>
      </c>
      <c r="M831" s="18"/>
      <c r="N831" s="18"/>
      <c r="O831" s="24"/>
      <c r="P831" s="18"/>
      <c r="Q831" s="18"/>
      <c r="R831" s="18"/>
      <c r="S831" s="18"/>
      <c r="AG831" s="43"/>
      <c r="AJ831" s="18" t="s">
        <v>4166</v>
      </c>
      <c r="AK831" s="18" t="s">
        <v>258</v>
      </c>
      <c r="AL831" s="18" t="s">
        <v>344</v>
      </c>
      <c r="AM831" s="18" t="s">
        <v>260</v>
      </c>
      <c r="AN831" s="18"/>
      <c r="AO831" s="18" t="s">
        <v>4162</v>
      </c>
      <c r="AP831" s="18" t="s">
        <v>258</v>
      </c>
      <c r="AQ831" s="18" t="s">
        <v>344</v>
      </c>
      <c r="AR831" s="18" t="s">
        <v>260</v>
      </c>
      <c r="AX831" s="1"/>
      <c r="AY831" s="1"/>
      <c r="AZ831" s="1"/>
      <c r="BA831" s="1"/>
      <c r="BB831" s="1"/>
      <c r="BC831" s="2"/>
      <c r="BD831" s="116"/>
      <c r="BE831" s="115"/>
      <c r="BF831" s="2"/>
      <c r="BG831" s="2"/>
      <c r="BH831" s="2"/>
      <c r="BI831" s="2"/>
      <c r="BJ831" s="2"/>
      <c r="BK831" s="2"/>
      <c r="BL831" s="20">
        <f ca="1">SUM(EB831)+220</f>
        <v>382.70170833333327</v>
      </c>
      <c r="BM831" s="22">
        <f ca="1">PMT(10%/12,12,BL831,0,0)</f>
        <v>-33.645560232565352</v>
      </c>
      <c r="BN831" s="22">
        <f ca="1">SUM(BM831*-1)</f>
        <v>33.645560232565352</v>
      </c>
      <c r="BO831" s="14">
        <f>SUM(EJ831*0.0052)/12</f>
        <v>3.9</v>
      </c>
      <c r="BP831" s="22">
        <f ca="1">SUM(BN831+BO831)</f>
        <v>37.54556023256535</v>
      </c>
      <c r="BQ831" s="14"/>
      <c r="BR831" s="14">
        <f>SUM(BQ831*0.1)</f>
        <v>0</v>
      </c>
      <c r="BS831" s="14">
        <f ca="1">SUM(BT831*BU831)</f>
        <v>0</v>
      </c>
      <c r="BT831" s="17">
        <f>SUM((BQ831+BR831)*0.00833333333333333)</f>
        <v>0</v>
      </c>
      <c r="BU831" s="23">
        <f ca="1">MONTH(TODAY())+61</f>
        <v>65</v>
      </c>
      <c r="BV831" s="14">
        <f ca="1">SUM(BQ831,BR831,BS831)</f>
        <v>0</v>
      </c>
      <c r="BW831" s="14"/>
      <c r="BX831" s="14">
        <f>SUM(BW831*0.1)</f>
        <v>0</v>
      </c>
      <c r="BY831" s="14">
        <f ca="1">SUM(BZ831*CA831)</f>
        <v>0</v>
      </c>
      <c r="BZ831" s="17">
        <f>SUM((BW831+BX831)*0.00833333333333333)</f>
        <v>0</v>
      </c>
      <c r="CA831" s="23">
        <f ca="1">MONTH(TODAY())+49</f>
        <v>53</v>
      </c>
      <c r="CB831" s="14">
        <f ca="1">SUM(BW831,BX831,BY831)</f>
        <v>0</v>
      </c>
      <c r="CC831" s="14">
        <v>0</v>
      </c>
      <c r="CD831" s="14">
        <f>SUM(CC831*0.1)</f>
        <v>0</v>
      </c>
      <c r="CE831" s="14">
        <f ca="1">SUM(CF831*CG831)</f>
        <v>0</v>
      </c>
      <c r="CF831" s="17">
        <f>SUM((CC831+CD831)*0.00833333333333333)</f>
        <v>0</v>
      </c>
      <c r="CG831" s="23">
        <f ca="1">MONTH(TODAY())+37</f>
        <v>41</v>
      </c>
      <c r="CH831" s="14">
        <f ca="1">SUM(CC831,CD831,CE831)</f>
        <v>0</v>
      </c>
      <c r="CI831" s="14">
        <f>SUM(EG831*0.0052)-21.65</f>
        <v>25.15</v>
      </c>
      <c r="CJ831" s="14">
        <f>SUM(CI831*0.1)</f>
        <v>2.5150000000000001</v>
      </c>
      <c r="CK831" s="14">
        <f ca="1">SUM(CL831*CM831)</f>
        <v>6.6857083333333307</v>
      </c>
      <c r="CL831" s="17">
        <f>SUM((CI831+CJ831)*0.00833333333333333)</f>
        <v>0.23054166666666656</v>
      </c>
      <c r="CM831" s="23">
        <f ca="1">MONTH(TODAY())+25</f>
        <v>29</v>
      </c>
      <c r="CN831" s="14">
        <f ca="1">SUM(CI831,CJ831,CK831)</f>
        <v>34.35070833333333</v>
      </c>
      <c r="CO831" s="14">
        <f>SUM(EG831*0.0052)/2</f>
        <v>23.4</v>
      </c>
      <c r="CP831" s="14">
        <f>SUM(CO831*0.1)</f>
        <v>2.34</v>
      </c>
      <c r="CQ831" s="14">
        <f ca="1">SUM(CR831*CS831)</f>
        <v>4.5044999999999975</v>
      </c>
      <c r="CR831" s="17">
        <f>SUM((CO831+CP831)*0.00833333333333333)</f>
        <v>0.21449999999999989</v>
      </c>
      <c r="CS831" s="23">
        <f ca="1">MONTH(TODAY())+17</f>
        <v>21</v>
      </c>
      <c r="CT831" s="23">
        <f ca="1">SUM(CO831,CP831,CQ831)</f>
        <v>30.244499999999995</v>
      </c>
      <c r="CU831" s="14">
        <f>SUM(EG831*0.0052)/2</f>
        <v>23.4</v>
      </c>
      <c r="CV831" s="14">
        <f>SUM(CU831*0.1)</f>
        <v>2.34</v>
      </c>
      <c r="CW831" s="14">
        <f ca="1">SUM(CX831*CY831)</f>
        <v>3.6464999999999979</v>
      </c>
      <c r="CX831" s="17">
        <f>SUM((CU831+CV831)*0.00833333333333333)</f>
        <v>0.21449999999999989</v>
      </c>
      <c r="CY831" s="23">
        <f ca="1">MONTH(TODAY())+13</f>
        <v>17</v>
      </c>
      <c r="CZ831" s="23">
        <f ca="1">SUM(CU831,CV831,CW831)</f>
        <v>29.386499999999998</v>
      </c>
      <c r="DA831" s="14">
        <f>SUM(EJ831*0.0045)/2</f>
        <v>20.25</v>
      </c>
      <c r="DB831" s="14">
        <f>SUM(DA831*0.1)</f>
        <v>2.0249999999999999</v>
      </c>
      <c r="DC831" s="14">
        <f ca="1">SUM(DD831*DE831)</f>
        <v>2.0418749999999988</v>
      </c>
      <c r="DD831" s="17">
        <f>SUM((DA831+DB831)*0.00833333333333333)</f>
        <v>0.1856249999999999</v>
      </c>
      <c r="DE831" s="23">
        <f ca="1">MONTH(TODAY())+7</f>
        <v>11</v>
      </c>
      <c r="DF831" s="23">
        <f ca="1">SUM(DA831,DB831,DC831)</f>
        <v>24.316874999999996</v>
      </c>
      <c r="DG831" s="14">
        <f>SUM(EJ831*0.0045)/2</f>
        <v>20.25</v>
      </c>
      <c r="DH831" s="14">
        <f>SUM(DG831*0.1)</f>
        <v>2.0249999999999999</v>
      </c>
      <c r="DI831" s="14">
        <f ca="1">SUM(DJ831*DK831)</f>
        <v>0.92812499999999953</v>
      </c>
      <c r="DJ831" s="17">
        <f>SUM((DG831+DH831)*0.00833333333333333)</f>
        <v>0.1856249999999999</v>
      </c>
      <c r="DK831" s="23">
        <f ca="1">MONTH(TODAY())+1</f>
        <v>5</v>
      </c>
      <c r="DL831" s="14">
        <f ca="1">SUM(DG831,DH831,DI831)</f>
        <v>23.203124999999996</v>
      </c>
      <c r="DM831" s="14">
        <f>SUM( BQ831, BW831, CC831, CI831, CO831,CU831,DA831,DG831)</f>
        <v>112.44999999999999</v>
      </c>
      <c r="DN831" s="14">
        <f>SUM(BR831,BX831,CD831,CJ831, CP831,CV831,DB831,DH831)</f>
        <v>11.245000000000001</v>
      </c>
      <c r="DO831" s="14">
        <f ca="1">SUM(BS831,BY831,CE831,CK831, CQ831,CW831,DC831,DI831)</f>
        <v>17.806708333333322</v>
      </c>
      <c r="DP831" s="25">
        <f ca="1">SUM(DM831:DO831)</f>
        <v>141.50170833333331</v>
      </c>
      <c r="DQ831" s="47">
        <f ca="1">SUM(DP831/EG831)</f>
        <v>1.5722412037037035E-2</v>
      </c>
      <c r="DR831" s="14">
        <v>20</v>
      </c>
      <c r="DS831" s="32">
        <f>COUNTIF(DX831, "*")+COUNTIF(AO831, "*")+COUNTIF(AJ831, "*")+COUNTIF(AA831, "*")+COUNTIF(EU831, "*")+COUNTIF(FA831, "*")+COUNTIF(FG831, "*")+COUNTIF(FK831, "*")+COUNTIF(FR831, "*")+COUNTIF(AT831, "*")+COUNTIF(GA831, "*")+COUNTIF(GL831, "*")+COUNTIF(GW831, "*")+COUNTIF(HE831, "*")+COUNTIF(HM831, "*")+COUNTIF(HU831, "*")</f>
        <v>2</v>
      </c>
      <c r="DT831" s="14">
        <f>DS831*0.6</f>
        <v>1.2</v>
      </c>
      <c r="DU831" s="4"/>
      <c r="DV831" s="4"/>
      <c r="DW831" s="4"/>
      <c r="DX831" s="4"/>
      <c r="DZ831" s="4"/>
      <c r="EA831" s="14">
        <f>SUM(DV831:DZ831)</f>
        <v>0</v>
      </c>
      <c r="EB831" s="14">
        <f ca="1">SUM(DP831,DR831,EA831, DU831, DT831,FX831)</f>
        <v>162.7017083333333</v>
      </c>
      <c r="EC831" s="24" t="s">
        <v>3879</v>
      </c>
      <c r="ED831" s="130">
        <v>0.5</v>
      </c>
      <c r="EE831" s="14">
        <v>9000</v>
      </c>
      <c r="EF831" s="14">
        <v>0</v>
      </c>
      <c r="EG831" s="14">
        <f>SUM(EE831+EF831)</f>
        <v>9000</v>
      </c>
      <c r="EH831" s="14">
        <v>9000</v>
      </c>
      <c r="EI831" s="14">
        <v>0</v>
      </c>
      <c r="EJ831" s="14">
        <f>SUM(EH831+EI831)</f>
        <v>9000</v>
      </c>
      <c r="FX831" s="4"/>
      <c r="IA831" s="9"/>
      <c r="IL831" s="14">
        <f ca="1">SUM(IB831-EB831-FX831-IJ831)</f>
        <v>-162.7017083333333</v>
      </c>
      <c r="IM831" s="14"/>
      <c r="IN831" s="14"/>
      <c r="IO831" s="9"/>
      <c r="IP831" s="9"/>
      <c r="IQ831" s="9"/>
      <c r="IR831" s="9"/>
      <c r="IS831" s="9"/>
    </row>
    <row r="832" spans="1:263" ht="15" customHeight="1">
      <c r="A832" s="2">
        <v>102019096</v>
      </c>
      <c r="B832" t="s">
        <v>1486</v>
      </c>
      <c r="F832" s="9"/>
      <c r="G832" s="9"/>
      <c r="H832" s="9"/>
      <c r="I832" s="9"/>
      <c r="K832" t="s">
        <v>1487</v>
      </c>
      <c r="L832" t="s">
        <v>1401</v>
      </c>
      <c r="M832" t="s">
        <v>1488</v>
      </c>
      <c r="O832" s="1"/>
      <c r="T832" s="1"/>
      <c r="AF832" s="3"/>
      <c r="AG832" s="272"/>
      <c r="BG832" s="5"/>
      <c r="BH832" s="16"/>
      <c r="BI832" s="16"/>
      <c r="BJ832" s="4"/>
      <c r="BK832" s="4"/>
      <c r="BL832" s="4"/>
      <c r="BM832" s="6"/>
      <c r="BN832" s="7"/>
      <c r="BO832" s="4"/>
      <c r="BP832" s="4"/>
      <c r="BQ832" s="4"/>
      <c r="BR832" s="4"/>
      <c r="BS832" s="6"/>
      <c r="BT832" s="7"/>
      <c r="BU832" s="4"/>
      <c r="BV832" s="4"/>
      <c r="BW832" s="4"/>
      <c r="BX832" s="4"/>
      <c r="BY832" s="6"/>
      <c r="BZ832" s="7"/>
      <c r="CA832" s="4"/>
      <c r="CB832" s="4"/>
      <c r="CC832" s="4"/>
      <c r="CD832" s="4"/>
      <c r="CE832" s="6"/>
      <c r="CF832" s="7"/>
      <c r="CG832" s="4"/>
      <c r="CH832" s="4"/>
      <c r="CI832" s="4"/>
      <c r="CJ832" s="4"/>
      <c r="CK832" s="6"/>
      <c r="CL832" s="7"/>
      <c r="CM832" s="4"/>
      <c r="CN832" s="4"/>
      <c r="CO832" s="4"/>
      <c r="CP832" s="4"/>
      <c r="CQ832" s="6"/>
      <c r="CR832" s="7"/>
      <c r="CS832" s="4"/>
      <c r="CT832" s="4"/>
      <c r="CU832" s="4"/>
      <c r="CV832" s="4"/>
      <c r="CW832" s="6"/>
      <c r="CX832" s="7"/>
      <c r="CY832" s="4"/>
      <c r="CZ832" s="4"/>
      <c r="DA832" s="4"/>
      <c r="DB832" s="4"/>
      <c r="DC832" s="4"/>
      <c r="DD832" s="3"/>
      <c r="DE832" s="4"/>
      <c r="DF832" s="234"/>
      <c r="DG832" s="4"/>
      <c r="DH832" s="4"/>
      <c r="DI832" s="4"/>
      <c r="DJ832" s="4"/>
      <c r="DK832" s="4"/>
      <c r="DL832" s="4"/>
      <c r="DM832" s="7"/>
      <c r="DN832" s="8"/>
      <c r="DO832" s="4"/>
      <c r="DP832" s="8"/>
      <c r="DQ832" s="8"/>
      <c r="DR832" s="8"/>
      <c r="DS832" s="2"/>
      <c r="IW832" s="240"/>
      <c r="IX832" s="240"/>
      <c r="IY832" s="240"/>
      <c r="IZ832" s="240"/>
      <c r="JA832" s="240"/>
      <c r="JB832" s="240"/>
      <c r="JC832" s="240"/>
    </row>
    <row r="833" spans="1:263" ht="15" customHeight="1">
      <c r="A833" s="19">
        <v>102019004</v>
      </c>
      <c r="B833" s="18" t="s">
        <v>527</v>
      </c>
      <c r="C833" s="13"/>
      <c r="D833" s="13"/>
      <c r="E833" s="24" t="s">
        <v>1527</v>
      </c>
      <c r="F833" s="19">
        <v>200000194</v>
      </c>
      <c r="G833" s="18"/>
      <c r="H833" s="18"/>
      <c r="I833" s="18"/>
      <c r="J833" s="18" t="s">
        <v>311</v>
      </c>
      <c r="K833" s="18" t="s">
        <v>528</v>
      </c>
      <c r="L833" s="18" t="s">
        <v>529</v>
      </c>
      <c r="M833" s="18"/>
      <c r="N833" s="18"/>
      <c r="O833" s="13"/>
      <c r="P833" s="18"/>
      <c r="Q833" s="18"/>
      <c r="R833" s="18"/>
      <c r="S833" s="18"/>
      <c r="T833" s="13"/>
      <c r="U833" s="18"/>
      <c r="V833" s="18"/>
      <c r="W833" s="18"/>
      <c r="X833" s="18"/>
      <c r="Y833" s="18"/>
      <c r="Z833" s="18"/>
      <c r="AA833" s="18"/>
      <c r="AB833" s="18"/>
      <c r="AC833" s="18"/>
      <c r="AD833" s="18"/>
      <c r="AE833" s="18"/>
      <c r="AF833" s="18"/>
      <c r="AG833" s="231"/>
      <c r="AH833" s="18"/>
      <c r="AI833" s="18"/>
      <c r="AJ833" s="14"/>
      <c r="AK833" s="14"/>
      <c r="AL833" s="18"/>
      <c r="AM833" s="24"/>
      <c r="AN833" s="63"/>
      <c r="AO833" s="18"/>
      <c r="AP833" s="20"/>
      <c r="AQ833" s="24"/>
      <c r="AR833" s="24"/>
      <c r="AS833" s="20"/>
      <c r="AT833" s="20"/>
      <c r="AU833" s="13"/>
      <c r="AV833" s="13"/>
      <c r="AW833" s="13"/>
      <c r="AX833" s="48"/>
      <c r="AY833" s="48"/>
      <c r="AZ833" s="48"/>
      <c r="BA833" s="48"/>
      <c r="BB833" s="19"/>
      <c r="BC833" s="48"/>
      <c r="BD833" s="48"/>
      <c r="BE833" s="48"/>
      <c r="BF833" s="19"/>
      <c r="BG833" s="20"/>
      <c r="BH833" s="22"/>
      <c r="BI833" s="22"/>
      <c r="BJ833" s="14"/>
      <c r="BK833" s="14"/>
      <c r="BL833" s="14"/>
      <c r="BM833" s="17"/>
      <c r="BN833" s="23"/>
      <c r="BO833" s="14"/>
      <c r="BP833" s="14"/>
      <c r="BQ833" s="14"/>
      <c r="BR833" s="14"/>
      <c r="BS833" s="17"/>
      <c r="BT833" s="23"/>
      <c r="BU833" s="14"/>
      <c r="BV833" s="14"/>
      <c r="BW833" s="14"/>
      <c r="BX833" s="14"/>
      <c r="BY833" s="17"/>
      <c r="BZ833" s="23"/>
      <c r="CA833" s="14"/>
      <c r="CB833" s="14"/>
      <c r="CC833" s="14"/>
      <c r="CD833" s="14"/>
      <c r="CE833" s="17"/>
      <c r="CF833" s="23"/>
      <c r="CG833" s="14"/>
      <c r="CH833" s="14"/>
      <c r="CI833" s="14"/>
      <c r="CJ833" s="14"/>
      <c r="CK833" s="17"/>
      <c r="CL833" s="23"/>
      <c r="CM833" s="14"/>
      <c r="CN833" s="14"/>
      <c r="CO833" s="14"/>
      <c r="CP833" s="14"/>
      <c r="CQ833" s="17"/>
      <c r="CR833" s="23"/>
      <c r="CS833" s="14"/>
      <c r="CT833" s="14"/>
      <c r="CU833" s="14"/>
      <c r="CV833" s="14"/>
      <c r="CW833" s="17"/>
      <c r="CX833" s="23"/>
      <c r="CY833" s="14"/>
      <c r="CZ833" s="14"/>
      <c r="DA833" s="14"/>
      <c r="DB833" s="14"/>
      <c r="DC833" s="14"/>
      <c r="DD833" s="14"/>
      <c r="DE833" s="47"/>
      <c r="DF833" s="24"/>
      <c r="DG833" s="14"/>
      <c r="DH833" s="32"/>
      <c r="DI833" s="14"/>
      <c r="DJ833" s="14"/>
      <c r="DK833" s="14"/>
      <c r="DL833" s="14"/>
      <c r="DM833" s="14"/>
      <c r="DN833" s="14"/>
      <c r="DO833" s="23"/>
      <c r="DP833" s="25"/>
      <c r="DQ833" s="14"/>
      <c r="DR833" s="25"/>
      <c r="DS833" s="25"/>
      <c r="DT833" s="25"/>
      <c r="DU833" s="36"/>
      <c r="DV833" s="18"/>
      <c r="DW833" s="18"/>
      <c r="DX833" s="18"/>
      <c r="DY833" s="18"/>
      <c r="DZ833" s="18"/>
      <c r="EA833" s="18"/>
      <c r="EB833" s="18"/>
      <c r="EC833" s="18"/>
      <c r="ED833" s="30"/>
      <c r="EE833" s="18"/>
      <c r="EF833" s="18"/>
      <c r="EG833" s="18"/>
      <c r="EH833" s="18"/>
      <c r="EI833" s="18"/>
      <c r="EJ833" s="30"/>
      <c r="EK833" s="30"/>
      <c r="EL833" s="14"/>
      <c r="EM833" s="14"/>
      <c r="EN833" s="14"/>
      <c r="EO833" s="14"/>
      <c r="EP833" s="14"/>
      <c r="EQ833" s="14"/>
      <c r="ER833" s="14"/>
      <c r="ES833" s="14"/>
      <c r="ET833" s="14"/>
      <c r="EU833" s="14"/>
      <c r="EV833" s="14"/>
      <c r="EW833" s="14"/>
      <c r="EX833" s="14"/>
      <c r="EY833" s="14"/>
      <c r="EZ833" s="14"/>
      <c r="FA833" s="18"/>
      <c r="FB833" s="18"/>
      <c r="FC833" s="18"/>
      <c r="FD833" s="27"/>
      <c r="FE833" s="18"/>
      <c r="FF833" s="18"/>
      <c r="FG833" s="18"/>
      <c r="FH833" s="18"/>
      <c r="FI833" s="18"/>
      <c r="FJ833" s="18"/>
      <c r="FK833" s="18"/>
      <c r="FL833" s="18"/>
      <c r="FM833" s="27"/>
      <c r="FN833" s="18"/>
      <c r="FO833" s="18"/>
      <c r="FP833" s="18"/>
      <c r="FQ833" s="18"/>
      <c r="FR833" s="18"/>
      <c r="FS833" s="14"/>
      <c r="FT833" s="18"/>
      <c r="FU833" s="18"/>
      <c r="FV833" s="18"/>
      <c r="FW833" s="18"/>
      <c r="FX833" s="28"/>
      <c r="FY833" s="18"/>
      <c r="FZ833" s="18"/>
      <c r="GA833" s="18"/>
      <c r="GB833" s="18"/>
      <c r="GC833" s="18"/>
      <c r="GD833" s="18"/>
      <c r="GE833" s="18"/>
      <c r="GF833" s="18"/>
      <c r="GG833" s="18"/>
      <c r="GH833" s="28"/>
      <c r="GI833" s="18"/>
      <c r="GJ833" s="18"/>
      <c r="GK833" s="18"/>
      <c r="GL833" s="18"/>
      <c r="GM833" s="18"/>
      <c r="GN833" s="18"/>
      <c r="GO833" s="18"/>
      <c r="GP833" s="18"/>
      <c r="GQ833" s="18"/>
      <c r="GR833" s="18"/>
      <c r="GS833" s="18"/>
      <c r="GT833" s="18"/>
      <c r="GU833" s="18"/>
      <c r="GV833" s="18"/>
      <c r="GW833" s="27"/>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27"/>
      <c r="IE833" s="14"/>
      <c r="IF833" s="14"/>
      <c r="IG833" s="27"/>
      <c r="IH833" s="18"/>
      <c r="II833" s="18"/>
      <c r="IJ833" s="18"/>
      <c r="IK833" s="18"/>
      <c r="IL833" s="9"/>
      <c r="IN833" t="s">
        <v>1180</v>
      </c>
      <c r="IO833" t="s">
        <v>1181</v>
      </c>
      <c r="IP833" t="s">
        <v>300</v>
      </c>
      <c r="IS833" s="4">
        <v>63</v>
      </c>
      <c r="IT833" s="4"/>
    </row>
    <row r="834" spans="1:263" s="18" customFormat="1" ht="15" customHeight="1">
      <c r="A834">
        <v>102024082</v>
      </c>
      <c r="B834" t="s">
        <v>5381</v>
      </c>
      <c r="C834" s="10"/>
      <c r="D834" s="161"/>
      <c r="E834" s="147" t="s">
        <v>5899</v>
      </c>
      <c r="F834" s="160">
        <v>240003258</v>
      </c>
      <c r="G834" s="147"/>
      <c r="H834" s="10"/>
      <c r="I834" s="10"/>
      <c r="J834" s="10" t="s">
        <v>253</v>
      </c>
      <c r="K834" s="28" t="s">
        <v>1151</v>
      </c>
      <c r="L834" s="28" t="s">
        <v>1607</v>
      </c>
      <c r="M834" s="10" t="s">
        <v>403</v>
      </c>
      <c r="N834" s="10"/>
      <c r="O834" s="147"/>
      <c r="P834" s="10"/>
      <c r="Q834" s="10"/>
      <c r="R834" s="10"/>
      <c r="S834" s="10"/>
      <c r="T834" s="10"/>
      <c r="U834" s="10"/>
      <c r="V834" s="10"/>
      <c r="W834" s="10"/>
      <c r="X834" s="10"/>
      <c r="Y834" s="10"/>
      <c r="Z834" s="10"/>
      <c r="AA834" s="10"/>
      <c r="AB834" s="10"/>
      <c r="AC834" s="10"/>
      <c r="AD834" s="10"/>
      <c r="AE834" s="10"/>
      <c r="AF834" s="10"/>
      <c r="AG834" s="141"/>
      <c r="AH834" s="10"/>
      <c r="AI834" s="10"/>
      <c r="AJ834"/>
      <c r="AK834" s="1"/>
      <c r="AL834"/>
      <c r="AM834"/>
      <c r="AN834"/>
      <c r="AO834" t="s">
        <v>5380</v>
      </c>
      <c r="AP834" s="1" t="s">
        <v>258</v>
      </c>
      <c r="AQ834" s="18" t="s">
        <v>344</v>
      </c>
      <c r="AR834" t="s">
        <v>260</v>
      </c>
      <c r="AS834"/>
      <c r="AT834"/>
      <c r="AU834"/>
      <c r="AV834"/>
      <c r="AW834" s="1"/>
      <c r="AX834"/>
      <c r="AY834" s="1"/>
      <c r="AZ834" s="1" t="s">
        <v>258</v>
      </c>
      <c r="BA834" s="1" t="s">
        <v>258</v>
      </c>
      <c r="BB834" s="1" t="s">
        <v>258</v>
      </c>
      <c r="BC834" s="70">
        <v>45481</v>
      </c>
      <c r="BD834" s="115">
        <v>45415</v>
      </c>
      <c r="BE834" s="9">
        <v>45447</v>
      </c>
      <c r="BF834" s="70">
        <v>45534</v>
      </c>
      <c r="BG834" s="20" t="s">
        <v>319</v>
      </c>
      <c r="BH834" s="21">
        <v>45520</v>
      </c>
      <c r="BI834" s="21">
        <v>45527</v>
      </c>
      <c r="BJ834" s="70">
        <v>45548</v>
      </c>
      <c r="BK834" s="70" t="s">
        <v>319</v>
      </c>
      <c r="BL834" s="20">
        <f ca="1">SUM(EH834)+220</f>
        <v>2781.4159999999997</v>
      </c>
      <c r="BM834" s="22">
        <f ca="1">PMT(10%/12,12,BL834,0,0)</f>
        <v>-244.53065539574433</v>
      </c>
      <c r="BN834" s="22">
        <f ca="1">SUM(BM834*-1)</f>
        <v>244.53065539574433</v>
      </c>
      <c r="BO834" s="14">
        <f>SUM(EP834*0.0052)/12</f>
        <v>3.4666666666666668</v>
      </c>
      <c r="BP834" s="22">
        <f ca="1">SUM(BN834+BO834)</f>
        <v>247.997322062411</v>
      </c>
      <c r="BQ834" s="14"/>
      <c r="BR834" s="14">
        <f>SUM(BQ834*0.1)</f>
        <v>0</v>
      </c>
      <c r="BS834" s="14">
        <f ca="1">SUM(BT834*BU834)</f>
        <v>0</v>
      </c>
      <c r="BT834" s="17">
        <f>SUM((BQ834+BR834)*0.00833333333333333)</f>
        <v>0</v>
      </c>
      <c r="BU834" s="23">
        <f ca="1">MONTH(TODAY())+49</f>
        <v>53</v>
      </c>
      <c r="BV834" s="14">
        <f ca="1">SUM(BQ834,BR834,BS834)</f>
        <v>0</v>
      </c>
      <c r="BW834" s="14">
        <v>0</v>
      </c>
      <c r="BX834" s="14">
        <f>SUM(BW834*0.1)</f>
        <v>0</v>
      </c>
      <c r="BY834" s="14">
        <f ca="1">SUM(BZ834*CA834)</f>
        <v>0</v>
      </c>
      <c r="BZ834" s="17">
        <f>SUM((BW834+BX834)*0.00833333333333333)</f>
        <v>0</v>
      </c>
      <c r="CA834" s="23">
        <f ca="1">MONTH(TODAY())+37</f>
        <v>41</v>
      </c>
      <c r="CB834" s="14">
        <f ca="1">SUM(BW834,BX834,BY834)</f>
        <v>0</v>
      </c>
      <c r="CC834" s="14">
        <v>0</v>
      </c>
      <c r="CD834" s="14">
        <f>SUM(CC834*0.1)</f>
        <v>0</v>
      </c>
      <c r="CE834" s="14">
        <f>SUM(CF834*CG834)</f>
        <v>0</v>
      </c>
      <c r="CF834" s="17">
        <f>SUM((CC834+CD834)*0.00833333333333333)</f>
        <v>0</v>
      </c>
      <c r="CG834" s="23">
        <v>36</v>
      </c>
      <c r="CH834" s="14">
        <f>SUM(CC834,CD834,CE834)</f>
        <v>0</v>
      </c>
      <c r="CI834" s="14">
        <f>SUM(EM834*0.0052)/2</f>
        <v>20.8</v>
      </c>
      <c r="CJ834" s="14">
        <f>SUM(CI834*0.1)</f>
        <v>2.08</v>
      </c>
      <c r="CK834" s="14">
        <f>SUM(CL834*CM834)</f>
        <v>5.719999999999998</v>
      </c>
      <c r="CL834" s="17">
        <f>SUM((CI834+CJ834)*0.00833333333333333)</f>
        <v>0.1906666666666666</v>
      </c>
      <c r="CM834" s="23">
        <v>30</v>
      </c>
      <c r="CN834" s="23">
        <f>SUM(CI834,CJ834,CK834)</f>
        <v>28.6</v>
      </c>
      <c r="CO834" s="14">
        <f>SUM(EM834*0.0052)/2</f>
        <v>20.8</v>
      </c>
      <c r="CP834" s="14">
        <f>SUM(CO834*0.1)</f>
        <v>2.08</v>
      </c>
      <c r="CQ834" s="14">
        <f>SUM(CR834*CS834)</f>
        <v>4.5759999999999987</v>
      </c>
      <c r="CR834" s="17">
        <f>SUM((CO834+CP834)*0.00833333333333333)</f>
        <v>0.1906666666666666</v>
      </c>
      <c r="CS834" s="23">
        <v>24</v>
      </c>
      <c r="CT834" s="14">
        <f>SUM(CO834,CP834,CQ834)</f>
        <v>27.456000000000003</v>
      </c>
      <c r="CU834" s="14">
        <f>SUM(EP834*0.0045)/2</f>
        <v>18</v>
      </c>
      <c r="CV834" s="14">
        <f>SUM(CU834*0.1)</f>
        <v>1.8</v>
      </c>
      <c r="CW834" s="14">
        <f>SUM(CX834*CY834)</f>
        <v>2.9699999999999989</v>
      </c>
      <c r="CX834" s="17">
        <f>SUM((CU834+CV834)*0.00833333333333333)</f>
        <v>0.16499999999999992</v>
      </c>
      <c r="CY834" s="23">
        <v>18</v>
      </c>
      <c r="CZ834" s="14">
        <f>SUM(CU834,CV834,CW834)</f>
        <v>22.77</v>
      </c>
      <c r="DA834" s="14">
        <f>SUM(EP834*0.0045)/2</f>
        <v>18</v>
      </c>
      <c r="DB834" s="14">
        <f>SUM(DA834*0.1)</f>
        <v>1.8</v>
      </c>
      <c r="DC834" s="14">
        <f>SUM(DD834*DE834)</f>
        <v>1.9799999999999991</v>
      </c>
      <c r="DD834" s="17">
        <f>SUM((DA834+DB834)*0.00833333333333333)</f>
        <v>0.16499999999999992</v>
      </c>
      <c r="DE834" s="23">
        <v>12</v>
      </c>
      <c r="DF834" s="14">
        <f>SUM(DA834,DB834,DC834)</f>
        <v>21.78</v>
      </c>
      <c r="DG834" s="14">
        <f>SUM(EP834*0.0045)/2</f>
        <v>18</v>
      </c>
      <c r="DH834" s="14">
        <f>SUM(DG834*0.1)</f>
        <v>1.8</v>
      </c>
      <c r="DI834" s="14">
        <f>SUM(DJ834*DK834)</f>
        <v>0.98999999999999955</v>
      </c>
      <c r="DJ834" s="17">
        <f>SUM((DG834+DH834)*0.00833333333333333)</f>
        <v>0.16499999999999992</v>
      </c>
      <c r="DK834" s="23">
        <v>6</v>
      </c>
      <c r="DL834" s="14">
        <f>SUM(DG834,DH834,DI834)</f>
        <v>20.79</v>
      </c>
      <c r="DM834" s="14">
        <f>SUM(EP834*0.0045)/2</f>
        <v>18</v>
      </c>
      <c r="DN834" s="14">
        <f>SUM(DM834*0.1)</f>
        <v>1.8</v>
      </c>
      <c r="DO834" s="14">
        <f>SUM(DP834*DQ834)</f>
        <v>0</v>
      </c>
      <c r="DP834" s="17">
        <f>SUM((DM834+DN834)*0.00833333333333333)</f>
        <v>0.16499999999999992</v>
      </c>
      <c r="DQ834" s="23">
        <v>0</v>
      </c>
      <c r="DR834" s="14">
        <f>SUM(DM834,DN834,DO834)</f>
        <v>19.8</v>
      </c>
      <c r="DS834" s="14">
        <f>SUM(BQ834, BW834, CC834, CI834,CO834,CU834,DA834,DG834,DM834)</f>
        <v>113.6</v>
      </c>
      <c r="DT834" s="14">
        <f>SUM(BR834,BX834,CD834, CJ834,CP834,CV834,DB834,DH834,DN834)</f>
        <v>11.360000000000001</v>
      </c>
      <c r="DU834" s="14">
        <f ca="1">SUM(BS834,BY834,CE834, CK834,CQ834,CW834,DC834,DI834,DO834)</f>
        <v>16.235999999999994</v>
      </c>
      <c r="DV834" s="25">
        <f ca="1">SUM(DS834:DU834)</f>
        <v>141.196</v>
      </c>
      <c r="DW834" s="47">
        <f ca="1">SUM(DV834/EM834)</f>
        <v>1.7649499999999999E-2</v>
      </c>
      <c r="DX834" s="14">
        <f>20+10+200+200+40+40+100+40</f>
        <v>650</v>
      </c>
      <c r="DY834" s="32">
        <f>COUNTIF(AO834, "*")+COUNTIF(AJ834, "*")+COUNTIF(AA834, "*")+COUNTIF(FA834, "*")+COUNTIF(FG834, "*")+COUNTIF(FM834, "*")+COUNTIF(FQ834, "*")+COUNTIF(FX834, "*")+COUNTIF(AS834, "*")+COUNTIF(GG834, "*")+COUNTIF(GR834, "*")+COUNTIF(HC834, "*")+COUNTIF(HK834, "*")+COUNTIF(HS834, "*")+COUNTIF(IA834, "*")</f>
        <v>1</v>
      </c>
      <c r="DZ834" s="14">
        <f>0.64+DY834*8</f>
        <v>8.64</v>
      </c>
      <c r="EA834" s="4">
        <f>26.67+471.66</f>
        <v>498.33000000000004</v>
      </c>
      <c r="EB834" s="25">
        <v>257</v>
      </c>
      <c r="EC834" s="4">
        <f>93.75+197.5</f>
        <v>291.25</v>
      </c>
      <c r="ED834" s="4">
        <v>155</v>
      </c>
      <c r="EE834" s="14">
        <f>IF(SUM(EK834*0.004)&lt;100, 100, SUM(EK834*0.004))</f>
        <v>100</v>
      </c>
      <c r="EF834" s="4">
        <v>460</v>
      </c>
      <c r="EG834" s="14">
        <f>SUM(EA834:EF834)</f>
        <v>1761.58</v>
      </c>
      <c r="EH834" s="14">
        <f ca="1">SUM(DV834,DX834,EG834,DZ834,GD834)</f>
        <v>2561.4159999999997</v>
      </c>
      <c r="EI834" s="24" t="s">
        <v>5914</v>
      </c>
      <c r="EJ834" s="23">
        <f>0.51+0.29+0.27+0.52</f>
        <v>1.59</v>
      </c>
      <c r="EK834" s="14">
        <f>2000+2000+2000+2000</f>
        <v>8000</v>
      </c>
      <c r="EL834" s="14">
        <v>0</v>
      </c>
      <c r="EM834" s="14">
        <f>SUM(EK834+EL834)</f>
        <v>8000</v>
      </c>
      <c r="EN834" s="14">
        <f>2000+2000+2000+2000</f>
        <v>8000</v>
      </c>
      <c r="EO834" s="14">
        <v>0</v>
      </c>
      <c r="EP834" s="14">
        <f>SUM(EN834+EO834)</f>
        <v>8000</v>
      </c>
      <c r="EQ834" s="141" t="s">
        <v>5842</v>
      </c>
      <c r="ER834" s="141" t="s">
        <v>5843</v>
      </c>
      <c r="ES834" s="141" t="s">
        <v>5844</v>
      </c>
      <c r="ET834" s="10" t="s">
        <v>5884</v>
      </c>
      <c r="EU834" s="10"/>
      <c r="EV834" s="10"/>
      <c r="EW834" s="10"/>
      <c r="EX834" s="10"/>
      <c r="EY834" s="10"/>
      <c r="EZ834" s="10"/>
      <c r="FA834" s="10"/>
      <c r="FB834" s="10"/>
      <c r="FC834" s="10"/>
      <c r="FD834" s="10"/>
      <c r="FE834" s="10"/>
      <c r="FF834" s="10"/>
      <c r="FG834" s="10"/>
      <c r="FH834" s="10"/>
      <c r="FI834" s="10"/>
      <c r="FJ834" s="10"/>
      <c r="FK834" s="10"/>
      <c r="FL834" s="10"/>
      <c r="FM834" s="10"/>
      <c r="FN834" s="10"/>
      <c r="FO834" s="10"/>
      <c r="FP834" s="10"/>
      <c r="FQ834" s="10"/>
      <c r="FR834" s="10"/>
      <c r="FS834" s="10"/>
      <c r="FT834" s="10"/>
      <c r="FU834" s="9"/>
      <c r="FV834" s="10"/>
      <c r="FW834" s="10"/>
      <c r="FX834" s="10"/>
      <c r="FY834" s="10"/>
      <c r="FZ834" s="10"/>
      <c r="GA834" s="10"/>
      <c r="GB834" s="9"/>
      <c r="GC834" s="10"/>
      <c r="GD834" s="10"/>
      <c r="GE834" s="10"/>
      <c r="GF834" s="10"/>
      <c r="GG834" s="10"/>
      <c r="GH834" s="10"/>
      <c r="GI834" s="10"/>
      <c r="GJ834" s="10"/>
      <c r="GK834" s="9"/>
      <c r="GL834" s="10"/>
      <c r="GM834" s="10"/>
      <c r="GN834" s="10"/>
      <c r="GO834" s="10"/>
      <c r="GP834" s="10"/>
      <c r="GQ834" s="10"/>
      <c r="GR834" s="10"/>
      <c r="GS834" s="10"/>
      <c r="GT834" s="10"/>
      <c r="GU834" s="10"/>
      <c r="GV834" s="9"/>
      <c r="GW834" s="10"/>
      <c r="GX834" s="10"/>
      <c r="GY834" s="10"/>
      <c r="GZ834" s="10"/>
      <c r="HA834" s="10"/>
      <c r="HB834" s="10"/>
      <c r="HC834" s="10"/>
      <c r="HD834" s="10"/>
      <c r="HE834" s="10"/>
      <c r="HF834" s="10"/>
      <c r="HG834" s="9"/>
      <c r="HH834" s="10"/>
      <c r="HI834" s="10"/>
      <c r="HJ834" s="10"/>
      <c r="HK834" s="10"/>
      <c r="HL834" s="10"/>
      <c r="HM834" s="10"/>
      <c r="HN834" s="10"/>
      <c r="HO834" s="9"/>
      <c r="HP834" s="10"/>
      <c r="HQ834" s="10"/>
      <c r="HR834" s="10"/>
      <c r="HS834" s="10"/>
      <c r="HT834" s="10"/>
      <c r="HU834" s="10"/>
      <c r="HV834" s="10"/>
      <c r="HW834" s="9"/>
      <c r="HX834" s="10"/>
      <c r="HY834" s="10"/>
      <c r="HZ834" s="10"/>
      <c r="IA834" s="10"/>
      <c r="IB834" s="10"/>
      <c r="IC834" s="10"/>
      <c r="ID834" s="10"/>
      <c r="IE834" s="9"/>
      <c r="IF834" s="4"/>
      <c r="IG834" s="4"/>
      <c r="IH834" s="10"/>
      <c r="II834" s="10"/>
      <c r="IJ834" s="10"/>
      <c r="IK834" s="10"/>
      <c r="IL834" s="4"/>
      <c r="IM834" s="4"/>
      <c r="IN834" s="4"/>
      <c r="IO834" s="4"/>
      <c r="IP834" s="4"/>
      <c r="IQ834" s="9"/>
      <c r="IR834" s="9"/>
      <c r="IS834" s="9"/>
      <c r="IT834" s="9"/>
      <c r="IU834" s="9"/>
      <c r="IV834" s="27" t="s">
        <v>5913</v>
      </c>
      <c r="IW834"/>
      <c r="IX834"/>
      <c r="IY834"/>
      <c r="IZ834"/>
      <c r="JA834"/>
      <c r="JB834"/>
      <c r="JC834"/>
    </row>
    <row r="835" spans="1:263" ht="15" customHeight="1">
      <c r="A835">
        <v>102024081</v>
      </c>
      <c r="B835" t="s">
        <v>5379</v>
      </c>
      <c r="C835" s="10"/>
      <c r="D835" s="161">
        <v>2026</v>
      </c>
      <c r="E835" s="147"/>
      <c r="F835" s="160"/>
      <c r="G835" s="147"/>
      <c r="H835" s="10"/>
      <c r="I835" s="10"/>
      <c r="J835" s="10" t="s">
        <v>554</v>
      </c>
      <c r="K835" s="28" t="s">
        <v>1151</v>
      </c>
      <c r="L835" s="28" t="s">
        <v>2586</v>
      </c>
      <c r="M835" s="10"/>
      <c r="N835" s="10"/>
      <c r="O835" s="147"/>
      <c r="P835" s="10" t="s">
        <v>1151</v>
      </c>
      <c r="Q835" s="10" t="s">
        <v>1607</v>
      </c>
      <c r="R835" s="10" t="s">
        <v>403</v>
      </c>
      <c r="S835" s="10"/>
      <c r="T835" s="10"/>
      <c r="U835" s="10"/>
      <c r="V835" s="10"/>
      <c r="W835" s="10"/>
      <c r="X835" s="10"/>
      <c r="Y835" s="10"/>
      <c r="Z835" s="10"/>
      <c r="AA835" s="10"/>
      <c r="AB835" s="10"/>
      <c r="AC835" s="10"/>
      <c r="AD835" s="10"/>
      <c r="AE835" s="10"/>
      <c r="AF835" s="10"/>
      <c r="AG835" s="141"/>
      <c r="AH835" s="10"/>
      <c r="AI835" s="10"/>
      <c r="AJ835" s="18" t="s">
        <v>328</v>
      </c>
      <c r="AK835" s="1"/>
      <c r="AL835" s="18" t="s">
        <v>344</v>
      </c>
      <c r="AM835"/>
      <c r="AN835"/>
      <c r="AO835" t="s">
        <v>5380</v>
      </c>
      <c r="AP835" s="1" t="s">
        <v>258</v>
      </c>
      <c r="AQ835" s="18" t="s">
        <v>344</v>
      </c>
      <c r="AR835" t="s">
        <v>260</v>
      </c>
      <c r="AW835" s="1"/>
      <c r="AY835" s="1"/>
      <c r="AZ835" s="1"/>
      <c r="BA835" s="1"/>
      <c r="BB835" s="1"/>
      <c r="BC835" s="70"/>
      <c r="BD835" s="115"/>
      <c r="BE835" s="144"/>
      <c r="BF835" s="70"/>
      <c r="BG835" s="2"/>
      <c r="BH835" s="70"/>
      <c r="BI835" s="70"/>
      <c r="BJ835" s="70"/>
      <c r="BK835" s="70"/>
      <c r="BL835" s="20">
        <f ca="1">SUM(EH835)+220</f>
        <v>257.84879166666667</v>
      </c>
      <c r="BM835" s="22">
        <f ca="1">PMT(10%/12,12,BL835,0,0)</f>
        <v>-22.669005290560904</v>
      </c>
      <c r="BN835" s="22">
        <f ca="1">SUM(BM835*-1)</f>
        <v>22.669005290560904</v>
      </c>
      <c r="BO835" s="14">
        <f>SUM(EP835*0.0052)/12</f>
        <v>0.43333333333333335</v>
      </c>
      <c r="BP835" s="22">
        <f ca="1">SUM(BN835+BO835)</f>
        <v>23.102338623894237</v>
      </c>
      <c r="BQ835" s="14"/>
      <c r="BR835" s="14">
        <f>SUM(BQ835*0.1)</f>
        <v>0</v>
      </c>
      <c r="BS835" s="14">
        <f ca="1">SUM(BT835*BU835)</f>
        <v>0</v>
      </c>
      <c r="BT835" s="17">
        <f>SUM((BQ835+BR835)*0.00833333333333333)</f>
        <v>0</v>
      </c>
      <c r="BU835" s="23">
        <f ca="1">MONTH(TODAY())+49</f>
        <v>53</v>
      </c>
      <c r="BV835" s="14">
        <f ca="1">SUM(BQ835,BR835,BS835)</f>
        <v>0</v>
      </c>
      <c r="BW835" s="14">
        <v>0</v>
      </c>
      <c r="BX835" s="14">
        <f>SUM(BW835*0.1)</f>
        <v>0</v>
      </c>
      <c r="BY835" s="14">
        <f ca="1">SUM(BZ835*CA835)</f>
        <v>0</v>
      </c>
      <c r="BZ835" s="17">
        <f>SUM((BW835+BX835)*0.00833333333333333)</f>
        <v>0</v>
      </c>
      <c r="CA835" s="23">
        <f ca="1">MONTH(TODAY())+37</f>
        <v>41</v>
      </c>
      <c r="CB835" s="14">
        <f ca="1">SUM(BW835,BX835,BY835)</f>
        <v>0</v>
      </c>
      <c r="CC835" s="14">
        <v>0</v>
      </c>
      <c r="CD835" s="14">
        <f>SUM(CC835*0.1)</f>
        <v>0</v>
      </c>
      <c r="CE835" s="14">
        <f ca="1">SUM(CF835*CG835)</f>
        <v>0</v>
      </c>
      <c r="CF835" s="17">
        <f>SUM((CC835+CD835)*0.00833333333333333)</f>
        <v>0</v>
      </c>
      <c r="CG835" s="23">
        <f ca="1">MONTH(TODAY())+25</f>
        <v>29</v>
      </c>
      <c r="CH835" s="14">
        <f ca="1">SUM(CC835,CD835,CE835)</f>
        <v>0</v>
      </c>
      <c r="CI835" s="14">
        <f>SUM(EM835*0.0052)/2</f>
        <v>2.6</v>
      </c>
      <c r="CJ835" s="14">
        <f>SUM(CI835*0.1)</f>
        <v>0.26</v>
      </c>
      <c r="CK835" s="14">
        <f ca="1">SUM(CL835*CM835)</f>
        <v>0.50049999999999983</v>
      </c>
      <c r="CL835" s="17">
        <f>SUM((CI835+CJ835)*0.00833333333333333)</f>
        <v>2.3833333333333324E-2</v>
      </c>
      <c r="CM835" s="23">
        <f ca="1">MONTH(TODAY())+17</f>
        <v>21</v>
      </c>
      <c r="CN835" s="23">
        <f ca="1">SUM(CI835,CJ835,CK835)</f>
        <v>3.3605</v>
      </c>
      <c r="CO835" s="14">
        <f>SUM(EM835*0.0052)/2</f>
        <v>2.6</v>
      </c>
      <c r="CP835" s="14">
        <f>SUM(CO835*0.1)</f>
        <v>0.26</v>
      </c>
      <c r="CQ835" s="14">
        <f ca="1">SUM(CR835*CS835)</f>
        <v>0.40516666666666651</v>
      </c>
      <c r="CR835" s="17">
        <f>SUM((CO835+CP835)*0.00833333333333333)</f>
        <v>2.3833333333333324E-2</v>
      </c>
      <c r="CS835" s="23">
        <f ca="1">MONTH(TODAY())+13</f>
        <v>17</v>
      </c>
      <c r="CT835" s="14">
        <f ca="1">SUM(CO835,CP835,CQ835)</f>
        <v>3.265166666666667</v>
      </c>
      <c r="CU835" s="14">
        <f>SUM(EP835*0.0045)/2</f>
        <v>2.25</v>
      </c>
      <c r="CV835" s="14">
        <f>SUM(CU835*0.1)</f>
        <v>0.22500000000000001</v>
      </c>
      <c r="CW835" s="14">
        <f ca="1">SUM(CX835*CY835)</f>
        <v>0.22687499999999988</v>
      </c>
      <c r="CX835" s="17">
        <f>SUM((CU835+CV835)*0.00833333333333333)</f>
        <v>2.0624999999999991E-2</v>
      </c>
      <c r="CY835" s="23">
        <f ca="1">MONTH(TODAY())+7</f>
        <v>11</v>
      </c>
      <c r="CZ835" s="14">
        <f ca="1">SUM(CU835,CV835,CW835)</f>
        <v>2.7018749999999998</v>
      </c>
      <c r="DA835" s="14">
        <f>SUM(EP835*0.0045)/2</f>
        <v>2.25</v>
      </c>
      <c r="DB835" s="14">
        <f>SUM(DA835*0.1)</f>
        <v>0.22500000000000001</v>
      </c>
      <c r="DC835" s="14">
        <f ca="1">SUM(DD835*DE835)</f>
        <v>0.10312499999999995</v>
      </c>
      <c r="DD835" s="17">
        <f>SUM((DA835+DB835)*0.00833333333333333)</f>
        <v>2.0624999999999991E-2</v>
      </c>
      <c r="DE835" s="23">
        <f ca="1">MONTH(TODAY())+1</f>
        <v>5</v>
      </c>
      <c r="DF835" s="14">
        <f ca="1">SUM(DA835,DB835,DC835)</f>
        <v>2.578125</v>
      </c>
      <c r="DG835" s="14">
        <f>SUM(EP835*0.0045)/2</f>
        <v>2.25</v>
      </c>
      <c r="DH835" s="14">
        <f>SUM(DG835*0.1)</f>
        <v>0.22500000000000001</v>
      </c>
      <c r="DI835" s="14">
        <f ca="1">SUM(DJ835*DK835)</f>
        <v>-6.1874999999999972E-2</v>
      </c>
      <c r="DJ835" s="17">
        <f>SUM((DG835+DH835)*0.00833333333333333)</f>
        <v>2.0624999999999991E-2</v>
      </c>
      <c r="DK835" s="23">
        <f ca="1">MONTH(TODAY())-7</f>
        <v>-3</v>
      </c>
      <c r="DL835" s="14">
        <f ca="1">SUM(DG835,DH835,DI835)</f>
        <v>2.413125</v>
      </c>
      <c r="DM835" s="14">
        <f>SUM(EP835*0.0045)/2</f>
        <v>2.25</v>
      </c>
      <c r="DN835" s="14">
        <f>0</f>
        <v>0</v>
      </c>
      <c r="DO835" s="14">
        <f>SUM(DP835*DQ835)</f>
        <v>0</v>
      </c>
      <c r="DP835" s="17">
        <f>SUM((DM835+DN835)*0.00833333333333333)</f>
        <v>1.8749999999999992E-2</v>
      </c>
      <c r="DQ835" s="23">
        <v>0</v>
      </c>
      <c r="DR835" s="14">
        <f>SUM(DM835,DN835,DO835)</f>
        <v>2.25</v>
      </c>
      <c r="DS835" s="14">
        <f>SUM(BQ835, BW835, CC835, CI835,CO835,CU835,DA835,DG835,DM835)</f>
        <v>14.2</v>
      </c>
      <c r="DT835" s="14">
        <f>SUM(BR835,BX835,CD835, CJ835,CP835,CV835,DB835,DH835,DN835)</f>
        <v>1.1950000000000001</v>
      </c>
      <c r="DU835" s="14">
        <f ca="1">SUM(BS835,BY835,CE835, CK835,CQ835,CW835,DC835,DI835,DO835)</f>
        <v>1.1737916666666663</v>
      </c>
      <c r="DV835" s="25">
        <f ca="1">SUM(DS835:DU835)</f>
        <v>16.568791666666666</v>
      </c>
      <c r="DW835" s="47">
        <f ca="1">SUM(DV835/EM835)</f>
        <v>1.6568791666666666E-2</v>
      </c>
      <c r="DX835" s="14">
        <f>20</f>
        <v>20</v>
      </c>
      <c r="DY835" s="32">
        <f>COUNTIF(AO835, "*")+COUNTIF(AJ835, "*")+COUNTIF(AA835, "*")+COUNTIF(FA835, "*")+COUNTIF(FG835, "*")+COUNTIF(FM835, "*")+COUNTIF(FQ835, "*")+COUNTIF(FX835, "*")+COUNTIF(AS835, "*")+COUNTIF(GG835, "*")+COUNTIF(GR835, "*")+COUNTIF(HC835, "*")+COUNTIF(HK835, "*")+COUNTIF(HS835, "*")+COUNTIF(IA835, "*")</f>
        <v>2</v>
      </c>
      <c r="DZ835" s="14">
        <f>DY835*0.64</f>
        <v>1.28</v>
      </c>
      <c r="EA835" s="4"/>
      <c r="EB835" s="4"/>
      <c r="EC835" s="4"/>
      <c r="ED835" s="4"/>
      <c r="EE835" s="4"/>
      <c r="EF835" s="4"/>
      <c r="EG835" s="14">
        <f>SUM(EA835:EF835)</f>
        <v>0</v>
      </c>
      <c r="EH835" s="14">
        <f ca="1">SUM(DV835,DX835,EG835,DZ835,GD835)</f>
        <v>37.848791666666671</v>
      </c>
      <c r="EI835" s="24" t="s">
        <v>4935</v>
      </c>
      <c r="EJ835" s="23">
        <v>0.18</v>
      </c>
      <c r="EK835" s="14">
        <v>1000</v>
      </c>
      <c r="EL835" s="14">
        <v>0</v>
      </c>
      <c r="EM835" s="14">
        <f>SUM(EK835+EL835)</f>
        <v>1000</v>
      </c>
      <c r="EN835" s="14">
        <v>1000</v>
      </c>
      <c r="EO835" s="14">
        <v>0</v>
      </c>
      <c r="EP835" s="14">
        <f>SUM(EN835+EO835)</f>
        <v>1000</v>
      </c>
      <c r="EQ835" s="10"/>
      <c r="ER835" s="10"/>
      <c r="ES835" s="10"/>
      <c r="ET835" s="10"/>
      <c r="EU835" s="10"/>
      <c r="EV835" s="10"/>
      <c r="EW835" s="10"/>
      <c r="EX835" s="10"/>
      <c r="EY835" s="10"/>
      <c r="EZ835" s="10"/>
      <c r="FA835" s="10"/>
      <c r="FB835" s="10"/>
      <c r="FC835" s="10"/>
      <c r="FD835" s="10"/>
      <c r="FE835" s="10"/>
      <c r="FF835" s="10"/>
      <c r="FG835" s="10"/>
      <c r="FH835" s="10"/>
      <c r="FI835" s="10"/>
      <c r="FJ835" s="10"/>
      <c r="FK835" s="10"/>
      <c r="FL835" s="10"/>
      <c r="FM835" s="10"/>
      <c r="FN835" s="10"/>
      <c r="FO835" s="10"/>
      <c r="FP835" s="10"/>
      <c r="FQ835" s="10"/>
      <c r="FR835" s="10"/>
      <c r="FS835" s="10"/>
      <c r="FT835" s="10"/>
      <c r="FU835" s="9"/>
      <c r="FV835" s="10"/>
      <c r="FW835" s="10"/>
      <c r="FX835" s="10"/>
      <c r="FY835" s="10"/>
      <c r="FZ835" s="10"/>
      <c r="GA835" s="10"/>
      <c r="GB835" s="9"/>
      <c r="GC835" s="10"/>
      <c r="GD835" s="10"/>
      <c r="GE835" s="10"/>
      <c r="GF835" s="10"/>
      <c r="GG835" s="10"/>
      <c r="GH835" s="10"/>
      <c r="GI835" s="10"/>
      <c r="GJ835" s="10"/>
      <c r="GK835" s="9"/>
      <c r="GL835" s="10"/>
      <c r="GM835" s="10"/>
      <c r="GN835" s="10"/>
      <c r="GO835" s="10"/>
      <c r="GP835" s="10"/>
      <c r="GQ835" s="10"/>
      <c r="GR835" s="10"/>
      <c r="GS835" s="10"/>
      <c r="GT835" s="10"/>
      <c r="GU835" s="10"/>
      <c r="GV835" s="9"/>
      <c r="GW835" s="10"/>
      <c r="GX835" s="10"/>
      <c r="GY835" s="10"/>
      <c r="GZ835" s="10"/>
      <c r="HA835" s="10"/>
      <c r="HB835" s="10"/>
      <c r="HC835" s="10"/>
      <c r="HD835" s="10"/>
      <c r="HE835" s="10"/>
      <c r="HF835" s="10"/>
      <c r="HG835" s="9"/>
      <c r="HH835" s="10"/>
      <c r="HI835" s="10"/>
      <c r="HJ835" s="10"/>
      <c r="HK835" s="10"/>
      <c r="HL835" s="10"/>
      <c r="HM835" s="10"/>
      <c r="HN835" s="10"/>
      <c r="HO835" s="9"/>
      <c r="HP835" s="10"/>
      <c r="HQ835" s="10"/>
      <c r="HR835" s="10"/>
      <c r="HS835" s="10"/>
      <c r="HT835" s="10"/>
      <c r="HU835" s="10"/>
      <c r="HV835" s="10"/>
      <c r="HW835" s="9"/>
      <c r="HX835" s="10"/>
      <c r="HY835" s="10"/>
      <c r="HZ835" s="10"/>
      <c r="IA835" s="10"/>
      <c r="IB835" s="10"/>
      <c r="IC835" s="10"/>
      <c r="ID835" s="10"/>
      <c r="IE835" s="9"/>
      <c r="IF835" s="4"/>
      <c r="IG835" s="4"/>
      <c r="IH835" s="10"/>
      <c r="II835" s="10"/>
      <c r="IJ835" s="10"/>
      <c r="IK835" s="10"/>
      <c r="IL835" s="4"/>
      <c r="IM835" s="4"/>
      <c r="IN835" s="4"/>
      <c r="IO835" s="4"/>
      <c r="IP835" s="4"/>
      <c r="IQ835" s="9"/>
      <c r="IR835" s="9"/>
      <c r="IS835" s="9"/>
      <c r="IT835" s="9"/>
      <c r="IU835" s="9"/>
      <c r="IV835" t="s">
        <v>5913</v>
      </c>
    </row>
    <row r="836" spans="1:263" ht="15" customHeight="1">
      <c r="A836" s="19">
        <v>102019025</v>
      </c>
      <c r="B836" s="14" t="s">
        <v>587</v>
      </c>
      <c r="C836" s="20"/>
      <c r="D836" s="20"/>
      <c r="E836" s="24" t="s">
        <v>1535</v>
      </c>
      <c r="F836" s="19">
        <v>200000234</v>
      </c>
      <c r="G836" s="18">
        <v>200001107</v>
      </c>
      <c r="H836" s="18"/>
      <c r="I836" s="18"/>
      <c r="J836" s="18" t="s">
        <v>434</v>
      </c>
      <c r="K836" s="18" t="s">
        <v>576</v>
      </c>
      <c r="L836" s="18" t="s">
        <v>577</v>
      </c>
      <c r="M836" s="18" t="s">
        <v>578</v>
      </c>
      <c r="N836" s="18" t="s">
        <v>579</v>
      </c>
      <c r="O836" s="13"/>
      <c r="P836" s="18" t="s">
        <v>576</v>
      </c>
      <c r="Q836" s="18" t="s">
        <v>420</v>
      </c>
      <c r="R836" s="18" t="s">
        <v>392</v>
      </c>
      <c r="S836" s="18"/>
      <c r="T836" s="13"/>
      <c r="U836" s="18"/>
      <c r="V836" s="18"/>
      <c r="W836" s="18"/>
      <c r="X836" s="18"/>
      <c r="Y836" s="18"/>
      <c r="Z836" s="18"/>
      <c r="AA836" s="18"/>
      <c r="AB836" s="18"/>
      <c r="AC836" s="18"/>
      <c r="AD836" s="18" t="s">
        <v>1551</v>
      </c>
      <c r="AE836" s="18" t="s">
        <v>311</v>
      </c>
      <c r="AF836" s="18" t="s">
        <v>576</v>
      </c>
      <c r="AG836" s="231" t="s">
        <v>1552</v>
      </c>
      <c r="AH836" s="18" t="s">
        <v>1550</v>
      </c>
      <c r="AI836" s="18" t="s">
        <v>344</v>
      </c>
      <c r="AJ836" s="14" t="s">
        <v>328</v>
      </c>
      <c r="AK836" s="14"/>
      <c r="AL836" s="18" t="s">
        <v>344</v>
      </c>
      <c r="AM836" s="24"/>
      <c r="AN836" s="24"/>
      <c r="AO836" s="14" t="s">
        <v>1550</v>
      </c>
      <c r="AP836" s="20" t="s">
        <v>258</v>
      </c>
      <c r="AQ836" s="24" t="s">
        <v>344</v>
      </c>
      <c r="AR836" s="24" t="s">
        <v>260</v>
      </c>
      <c r="AS836" s="20"/>
      <c r="AT836" s="20"/>
      <c r="AU836" s="13"/>
      <c r="AV836" s="13"/>
      <c r="AW836" s="13"/>
      <c r="AX836" s="48"/>
      <c r="AY836" s="48"/>
      <c r="AZ836" s="48"/>
      <c r="BA836" s="48"/>
      <c r="BB836" s="19"/>
      <c r="BC836" s="48"/>
      <c r="BD836" s="48"/>
      <c r="BE836" s="48"/>
      <c r="BF836" s="19"/>
      <c r="BG836" s="20"/>
      <c r="BH836" s="22"/>
      <c r="BI836" s="22"/>
      <c r="BJ836" s="14"/>
      <c r="BK836" s="22"/>
      <c r="BL836" s="14"/>
      <c r="BM836" s="14"/>
      <c r="BN836" s="14"/>
      <c r="BO836" s="17"/>
      <c r="BP836" s="23"/>
      <c r="BQ836" s="14"/>
      <c r="BR836" s="14"/>
      <c r="BS836" s="14"/>
      <c r="BT836" s="14"/>
      <c r="BU836" s="17"/>
      <c r="BV836" s="23"/>
      <c r="BW836" s="14"/>
      <c r="BX836" s="14"/>
      <c r="BY836" s="14"/>
      <c r="BZ836" s="14"/>
      <c r="CA836" s="17"/>
      <c r="CB836" s="23"/>
      <c r="CC836" s="14"/>
      <c r="CD836" s="14"/>
      <c r="CE836" s="14"/>
      <c r="CF836" s="14"/>
      <c r="CG836" s="17"/>
      <c r="CH836" s="23"/>
      <c r="CI836" s="14"/>
      <c r="CJ836" s="14"/>
      <c r="CK836" s="14"/>
      <c r="CL836" s="14"/>
      <c r="CM836" s="17"/>
      <c r="CN836" s="23"/>
      <c r="CO836" s="14"/>
      <c r="CP836" s="14"/>
      <c r="CQ836" s="14"/>
      <c r="CR836" s="14"/>
      <c r="CS836" s="17"/>
      <c r="CT836" s="23"/>
      <c r="CU836" s="14"/>
      <c r="CV836" s="14"/>
      <c r="CW836" s="14"/>
      <c r="CX836" s="14"/>
      <c r="CY836" s="14"/>
      <c r="CZ836" s="47"/>
      <c r="DA836" s="14"/>
      <c r="DB836" s="32"/>
      <c r="DC836" s="14"/>
      <c r="DD836" s="14"/>
      <c r="DE836" s="14"/>
      <c r="DF836" s="14"/>
      <c r="DG836" s="14"/>
      <c r="DH836" s="14"/>
      <c r="DI836" s="14"/>
      <c r="DJ836" s="25">
        <v>510</v>
      </c>
      <c r="DK836" s="14">
        <f>SUM(DF836:DJ836)</f>
        <v>510</v>
      </c>
      <c r="DL836" s="24" t="s">
        <v>1997</v>
      </c>
      <c r="DM836" s="25">
        <f>1000+1500+1500+1500+1500+1500+300+300+300+300+300+3600+100+100+100+100+100+100</f>
        <v>14200</v>
      </c>
      <c r="DN836" s="25">
        <v>0</v>
      </c>
      <c r="DO836" s="25">
        <f>SUM(DM836+DN836)</f>
        <v>14200</v>
      </c>
      <c r="DP836" s="36">
        <v>0.44</v>
      </c>
      <c r="DQ836" s="18" t="s">
        <v>588</v>
      </c>
      <c r="DR836" s="18" t="s">
        <v>589</v>
      </c>
      <c r="DS836" s="18" t="s">
        <v>582</v>
      </c>
      <c r="DT836" s="18"/>
      <c r="DU836" s="18"/>
      <c r="DV836" s="18"/>
      <c r="DW836" s="18"/>
      <c r="DX836" s="18"/>
      <c r="DY836" s="18"/>
      <c r="DZ836" s="18"/>
      <c r="EA836" s="18"/>
      <c r="EB836" s="18"/>
      <c r="EC836" s="18" t="s">
        <v>583</v>
      </c>
      <c r="ED836" s="18"/>
      <c r="EE836" s="18" t="s">
        <v>584</v>
      </c>
      <c r="EF836" s="18"/>
      <c r="EG836" s="18" t="s">
        <v>585</v>
      </c>
      <c r="EH836" s="18" t="s">
        <v>586</v>
      </c>
      <c r="EI836" s="18"/>
      <c r="EJ836" s="18"/>
      <c r="EK836" s="18"/>
      <c r="EL836" s="18"/>
      <c r="EM836" s="18"/>
      <c r="EN836" s="18"/>
      <c r="EO836" s="18"/>
      <c r="EP836" s="18"/>
      <c r="EQ836" s="18"/>
      <c r="ER836" s="18"/>
      <c r="ES836" s="18"/>
      <c r="ET836" s="18"/>
      <c r="EU836" s="18"/>
      <c r="EV836" s="18"/>
      <c r="EW836" s="18"/>
      <c r="EX836" s="18"/>
      <c r="EY836" s="27"/>
      <c r="EZ836" s="18"/>
      <c r="FA836" s="18"/>
      <c r="FB836" s="18"/>
      <c r="FC836" s="18"/>
      <c r="FD836" s="18"/>
      <c r="FE836" s="18"/>
      <c r="FF836" s="18"/>
      <c r="FG836" s="18"/>
      <c r="FH836" s="27">
        <f ca="1">TODAY()</f>
        <v>45749</v>
      </c>
      <c r="FI836" s="18"/>
      <c r="FJ836" s="18"/>
      <c r="FK836" s="18"/>
      <c r="FL836" s="18"/>
      <c r="FM836" s="18"/>
      <c r="FN836" s="14"/>
      <c r="FO836" s="18"/>
      <c r="FP836" s="18"/>
      <c r="FQ836" s="18"/>
      <c r="FR836" s="18"/>
      <c r="FS836" s="28"/>
      <c r="FT836" s="18"/>
      <c r="FU836" s="18"/>
      <c r="FV836" s="18"/>
      <c r="FW836" s="18"/>
      <c r="FX836" s="18"/>
      <c r="FY836" s="18"/>
      <c r="FZ836" s="18"/>
      <c r="GA836" s="18"/>
      <c r="GB836" s="18"/>
      <c r="GC836" s="28"/>
      <c r="GD836" s="18"/>
      <c r="GE836" s="18"/>
      <c r="GF836" s="18"/>
      <c r="GG836" s="18"/>
      <c r="GH836" s="18"/>
      <c r="GI836" s="18"/>
      <c r="GJ836" s="18"/>
      <c r="GK836" s="18"/>
      <c r="GL836" s="18"/>
      <c r="GM836" s="18"/>
      <c r="GN836" s="18"/>
      <c r="GO836" s="18"/>
      <c r="GP836" s="18"/>
      <c r="GQ836" s="18"/>
      <c r="GR836" s="27"/>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4"/>
      <c r="IA836" s="14"/>
      <c r="IB836" s="27"/>
      <c r="IC836" s="18"/>
      <c r="ID836" s="18"/>
      <c r="IE836" s="18"/>
      <c r="IF836" s="18"/>
      <c r="IG836" s="18"/>
      <c r="IH836" s="18"/>
      <c r="II836" s="14"/>
      <c r="IJ836" s="14"/>
      <c r="IK836" s="27">
        <v>44434</v>
      </c>
      <c r="IL836" s="9"/>
      <c r="IN836" t="s">
        <v>1460</v>
      </c>
      <c r="IO836" t="s">
        <v>1461</v>
      </c>
      <c r="IP836" t="s">
        <v>290</v>
      </c>
      <c r="IS836" s="4">
        <v>183.5</v>
      </c>
      <c r="IT836" s="14">
        <f>SUM(IJ836-DP836-IR836)</f>
        <v>-0.44</v>
      </c>
      <c r="IU836" s="27">
        <v>43643</v>
      </c>
      <c r="IV836" s="9">
        <v>43661</v>
      </c>
      <c r="IW836" s="27">
        <v>43699</v>
      </c>
      <c r="IX836" s="27">
        <v>43711</v>
      </c>
    </row>
    <row r="837" spans="1:263" ht="15" customHeight="1">
      <c r="A837" s="2">
        <v>102018106</v>
      </c>
      <c r="B837" t="s">
        <v>1307</v>
      </c>
      <c r="E837" s="3" t="s">
        <v>1308</v>
      </c>
      <c r="F837" s="3"/>
      <c r="J837" t="s">
        <v>253</v>
      </c>
      <c r="K837" t="s">
        <v>1309</v>
      </c>
      <c r="L837" t="s">
        <v>1310</v>
      </c>
      <c r="M837" t="s">
        <v>256</v>
      </c>
      <c r="O837" s="1"/>
      <c r="T837" s="1"/>
      <c r="IL837" s="9"/>
      <c r="IN837" s="4" t="s">
        <v>1359</v>
      </c>
      <c r="IO837" t="s">
        <v>1032</v>
      </c>
      <c r="IP837" t="s">
        <v>259</v>
      </c>
      <c r="IS837" s="4">
        <v>96.33</v>
      </c>
      <c r="IT837" s="4"/>
      <c r="IX837" s="4"/>
    </row>
    <row r="838" spans="1:263" ht="15" customHeight="1">
      <c r="A838" s="2">
        <v>102018072</v>
      </c>
      <c r="B838" s="4" t="s">
        <v>444</v>
      </c>
      <c r="C838" s="5"/>
      <c r="D838" s="5"/>
      <c r="E838" s="5"/>
      <c r="F838" s="3"/>
      <c r="G838">
        <v>180005672</v>
      </c>
      <c r="J838" t="s">
        <v>445</v>
      </c>
      <c r="K838" t="s">
        <v>446</v>
      </c>
      <c r="L838" t="s">
        <v>447</v>
      </c>
      <c r="M838" t="s">
        <v>448</v>
      </c>
      <c r="O838" s="1"/>
      <c r="AB838" s="1"/>
      <c r="AE838" s="4"/>
      <c r="AF838" s="4"/>
      <c r="AJ838" s="4"/>
      <c r="AK838" s="5"/>
      <c r="AN838" s="34"/>
      <c r="AO838" s="4"/>
      <c r="AS838" s="1"/>
      <c r="AT838" s="1"/>
      <c r="AU838" s="1"/>
      <c r="AV838" s="1"/>
      <c r="AW838" s="1"/>
      <c r="AX838" s="1"/>
      <c r="AY838" s="1"/>
      <c r="AZ838" s="1"/>
      <c r="BA838" s="1"/>
      <c r="BB838" s="5"/>
      <c r="BC838" s="16"/>
      <c r="BD838" s="16"/>
      <c r="BF838" s="4"/>
      <c r="BG838" s="4"/>
      <c r="BH838" s="6"/>
      <c r="BI838" s="7"/>
      <c r="BJ838" s="4"/>
      <c r="BL838" s="4"/>
      <c r="BM838" s="4"/>
      <c r="BN838" s="6"/>
      <c r="BO838" s="7"/>
      <c r="BP838" s="4"/>
      <c r="BR838" s="4"/>
      <c r="BS838" s="4"/>
      <c r="BT838" s="6"/>
      <c r="BU838" s="7"/>
      <c r="BV838" s="4"/>
      <c r="BW838" s="4"/>
      <c r="BX838" s="4"/>
      <c r="BY838" s="4"/>
      <c r="BZ838" s="6"/>
      <c r="CA838" s="7"/>
      <c r="CB838" s="4"/>
      <c r="CC838" s="6"/>
      <c r="CD838" s="4"/>
      <c r="CE838" s="4"/>
      <c r="CF838" s="6"/>
      <c r="CG838" s="7"/>
      <c r="CH838" s="4"/>
      <c r="CI838" s="4"/>
      <c r="CJ838" s="4"/>
      <c r="CK838" s="4"/>
      <c r="CL838" s="6"/>
      <c r="CM838" s="7"/>
      <c r="CO838" s="4"/>
      <c r="CP838" s="4"/>
      <c r="CQ838" s="4"/>
      <c r="CR838" s="6"/>
      <c r="CS838" s="7"/>
      <c r="CT838" s="4"/>
      <c r="CU838" s="4"/>
      <c r="CV838" s="4"/>
      <c r="CW838" s="4"/>
      <c r="CX838" s="6"/>
      <c r="CY838" s="7"/>
      <c r="CZ838" s="4"/>
      <c r="DA838" s="4"/>
      <c r="DB838" s="4"/>
      <c r="DC838" s="4"/>
      <c r="DD838" s="6"/>
      <c r="DE838" s="4"/>
      <c r="DF838" s="4"/>
      <c r="DG838" s="4"/>
      <c r="DH838" s="4"/>
      <c r="DI838" s="4"/>
      <c r="DJ838" s="4"/>
      <c r="DK838" s="4"/>
      <c r="DM838" s="4"/>
      <c r="DN838" s="4"/>
      <c r="DO838" s="4"/>
      <c r="DP838" s="4"/>
      <c r="DQ838" s="4"/>
      <c r="DR838" s="4"/>
      <c r="DS838" s="4"/>
      <c r="DT838" s="7"/>
      <c r="DU838" s="4"/>
      <c r="DV838" s="4"/>
      <c r="DW838" s="34"/>
      <c r="DX838" s="4"/>
      <c r="DY838" s="4"/>
      <c r="EH838" s="11"/>
      <c r="EN838" s="11"/>
      <c r="EO838" s="11"/>
      <c r="EP838" s="4"/>
      <c r="EQ838" s="4"/>
      <c r="ER838" s="4"/>
      <c r="ES838" s="4"/>
      <c r="ET838" s="4"/>
      <c r="EU838" s="4"/>
      <c r="EV838" s="4"/>
      <c r="EW838" s="4"/>
      <c r="EX838" s="4"/>
      <c r="EY838" s="4"/>
      <c r="EZ838" s="4"/>
      <c r="FA838" s="4"/>
      <c r="FB838" s="4"/>
      <c r="FC838" s="4"/>
      <c r="FG838" s="9"/>
      <c r="FP838" s="9"/>
      <c r="FZ838" s="10"/>
      <c r="GJ838" s="10"/>
      <c r="GY838" s="9"/>
      <c r="IK838" s="4"/>
      <c r="IV838" s="18"/>
      <c r="IW838" s="18"/>
      <c r="IX838" s="18"/>
      <c r="IY838" s="18"/>
    </row>
    <row r="839" spans="1:263" ht="15" customHeight="1">
      <c r="A839" s="19">
        <v>102018072</v>
      </c>
      <c r="B839" t="s">
        <v>2938</v>
      </c>
      <c r="D839" s="13"/>
      <c r="E839" s="3"/>
      <c r="F839" s="3"/>
      <c r="G839">
        <v>220001520</v>
      </c>
      <c r="J839" t="s">
        <v>253</v>
      </c>
      <c r="K839" t="s">
        <v>446</v>
      </c>
      <c r="L839" t="s">
        <v>447</v>
      </c>
      <c r="O839" s="3"/>
      <c r="AG839" s="43"/>
      <c r="AJ839" s="18" t="s">
        <v>449</v>
      </c>
      <c r="AK839" t="s">
        <v>258</v>
      </c>
      <c r="AL839" s="18" t="s">
        <v>259</v>
      </c>
      <c r="AM839"/>
      <c r="AN839"/>
      <c r="AO839" s="18" t="s">
        <v>450</v>
      </c>
      <c r="AP839" t="s">
        <v>258</v>
      </c>
      <c r="AQ839" s="18" t="s">
        <v>259</v>
      </c>
      <c r="AR839"/>
      <c r="AX839" s="1"/>
      <c r="AY839" s="1"/>
      <c r="AZ839" s="1"/>
      <c r="BA839" s="1"/>
      <c r="BB839" s="1"/>
      <c r="BC839" s="2"/>
      <c r="BD839" s="114">
        <v>44605</v>
      </c>
      <c r="BE839" s="115"/>
      <c r="BF839" s="2"/>
      <c r="BG839" s="2"/>
      <c r="BH839" s="2"/>
      <c r="BI839" s="2"/>
      <c r="BJ839" s="2"/>
      <c r="BK839" s="2"/>
      <c r="BL839" s="20">
        <f ca="1">SUM(DP839)+220</f>
        <v>2247.3689249999998</v>
      </c>
      <c r="BM839" s="22">
        <f ca="1">PMT(10%/12,12,BL839,0,0)</f>
        <v>-197.57943297452786</v>
      </c>
      <c r="BN839" s="22">
        <f ca="1">SUM(BM839*-1)</f>
        <v>197.57943297452786</v>
      </c>
      <c r="BO839" s="14">
        <f>SUM(DX839*0.0052)/12</f>
        <v>60.579999999999991</v>
      </c>
      <c r="BP839" s="22">
        <f ca="1">SUM(BN839+BO839)</f>
        <v>258.15943297452787</v>
      </c>
      <c r="BQ839" s="14"/>
      <c r="BR839" s="14">
        <f>SUM(BQ839*0.1)</f>
        <v>0</v>
      </c>
      <c r="BS839" s="14">
        <f ca="1">SUM(BT839*BU839)</f>
        <v>0</v>
      </c>
      <c r="BT839" s="17">
        <f>SUM((BQ839+BR839)*0.00833333333333333)</f>
        <v>0</v>
      </c>
      <c r="BU839" s="23">
        <f ca="1">MONTH(TODAY())+49</f>
        <v>53</v>
      </c>
      <c r="BV839" s="14">
        <f ca="1">SUM(BQ839,BR839,BS839)</f>
        <v>0</v>
      </c>
      <c r="BW839" s="14">
        <v>0</v>
      </c>
      <c r="BX839" s="14">
        <f>SUM(BW839*0.1)</f>
        <v>0</v>
      </c>
      <c r="BY839" s="14">
        <f ca="1">SUM(BZ839*CA839)</f>
        <v>0</v>
      </c>
      <c r="BZ839" s="17">
        <f>SUM((BW839+BX839)*0.00833333333333333)</f>
        <v>0</v>
      </c>
      <c r="CA839" s="23">
        <f ca="1">MONTH(TODAY())+37</f>
        <v>41</v>
      </c>
      <c r="CB839" s="14">
        <f ca="1">SUM(BW839,BX839,BY839)</f>
        <v>0</v>
      </c>
      <c r="CC839" s="14">
        <v>329.13</v>
      </c>
      <c r="CD839" s="14">
        <f>SUM(CC839*0.1)</f>
        <v>32.913000000000004</v>
      </c>
      <c r="CE839" s="14">
        <f ca="1">SUM(CF839*CG839)</f>
        <v>87.493724999999969</v>
      </c>
      <c r="CF839" s="17">
        <f>SUM((CC839+CD839)*0.00833333333333333)</f>
        <v>3.017024999999999</v>
      </c>
      <c r="CG839" s="23">
        <f ca="1">MONTH(TODAY())+25</f>
        <v>29</v>
      </c>
      <c r="CH839" s="14">
        <f ca="1">SUM(CC839,CD839,CE839)</f>
        <v>449.53672499999999</v>
      </c>
      <c r="CI839" s="14">
        <f>SUM(DU839*0.0052)</f>
        <v>596.95999999999992</v>
      </c>
      <c r="CJ839" s="14">
        <f>SUM(CI839*0.1)</f>
        <v>59.695999999999998</v>
      </c>
      <c r="CK839" s="14">
        <f ca="1">SUM(CL839*CM839)</f>
        <v>93.026266666666615</v>
      </c>
      <c r="CL839" s="17">
        <f>SUM((CI839+CJ839)*0.00833333333333333)</f>
        <v>5.4721333333333302</v>
      </c>
      <c r="CM839" s="23">
        <f ca="1">MONTH(TODAY())+13</f>
        <v>17</v>
      </c>
      <c r="CN839" s="14">
        <f ca="1">SUM(CI839,CJ839,CK839)</f>
        <v>749.68226666666658</v>
      </c>
      <c r="CO839" s="14">
        <v>103.68</v>
      </c>
      <c r="CP839" s="14">
        <f>SUM(CO839*0.1)</f>
        <v>10.368000000000002</v>
      </c>
      <c r="CQ839" s="14">
        <f ca="1">SUM(CR839*CS839)</f>
        <v>8.5535999999999959</v>
      </c>
      <c r="CR839" s="17">
        <f>SUM((CO839+CP839)*0.00833333333333333)</f>
        <v>0.95039999999999958</v>
      </c>
      <c r="CS839" s="23">
        <f ca="1">MONTH(TODAY())+5</f>
        <v>9</v>
      </c>
      <c r="CT839" s="23">
        <f>207.35+17.34</f>
        <v>224.69</v>
      </c>
      <c r="CU839" s="14">
        <f>SUM(DU839*0.0052)/2</f>
        <v>298.47999999999996</v>
      </c>
      <c r="CV839" s="14">
        <f>SUM(CU839*0.1)</f>
        <v>29.847999999999999</v>
      </c>
      <c r="CW839" s="14">
        <f ca="1">SUM(CX839*CY839)</f>
        <v>13.680333333333326</v>
      </c>
      <c r="CX839" s="17">
        <f>SUM((CU839+CV839)*0.00833333333333333)</f>
        <v>2.7360666666666651</v>
      </c>
      <c r="CY839" s="23">
        <f ca="1">MONTH(TODAY())+1</f>
        <v>5</v>
      </c>
      <c r="CZ839" s="23">
        <f ca="1">SUM(CU839,CV839,CW839)</f>
        <v>342.00833333333333</v>
      </c>
      <c r="DA839" s="14">
        <f>SUM( BQ839, BW839, CC839, CI839, CO839,CU839)</f>
        <v>1328.25</v>
      </c>
      <c r="DB839" s="14">
        <f>SUM(BR839,BX839,CD839,CJ839, CP839,CV839)</f>
        <v>132.82499999999999</v>
      </c>
      <c r="DC839" s="14">
        <f ca="1">SUM(BS839,BY839,CE839,CK839, CQ839,CW839)</f>
        <v>202.7539249999999</v>
      </c>
      <c r="DD839" s="25">
        <f ca="1">SUM(DA839:DC839)</f>
        <v>1663.828925</v>
      </c>
      <c r="DE839" s="47">
        <f ca="1">SUM(DD839/DU839)</f>
        <v>1.4493283318815331E-2</v>
      </c>
      <c r="DF839" s="14">
        <f>19.5+156+58.5+60</f>
        <v>294</v>
      </c>
      <c r="DG839" s="32">
        <f>COUNTIF(DL839, "*")+COUNTIF(AO839, "*")+COUNTIF(AJ839, "*")+COUNTIF(AA839, "*")+COUNTIF(EM839, "*")+COUNTIF(ES839, "*")+COUNTIF(EY839, "*")+COUNTIF(FC839, "*")+COUNTIF(FJ839, "*")+COUNTIF(AT839, "*")+COUNTIF(FS839, "*")+COUNTIF(GD839, "*")+COUNTIF(GO839, "*")+COUNTIF(GW839, "*")+COUNTIF(HE839, "*")+COUNTIF(HM839, "*")+COUNTIF(HU839, "*")</f>
        <v>2</v>
      </c>
      <c r="DH839" s="14">
        <f>DG839*0.5+6.66+7.45</f>
        <v>15.11</v>
      </c>
      <c r="DI839" s="4"/>
      <c r="DJ839" s="4">
        <v>54.43</v>
      </c>
      <c r="DK839" s="4"/>
      <c r="DL839" s="4"/>
      <c r="DN839" s="4"/>
      <c r="DO839" s="14">
        <f>SUM(DJ839:DN839)</f>
        <v>54.43</v>
      </c>
      <c r="DP839" s="14">
        <f ca="1">SUM(DD839,DF839,DO839, DI839, DH839,FP839)</f>
        <v>2027.368925</v>
      </c>
      <c r="DQ839" s="24" t="s">
        <v>2770</v>
      </c>
      <c r="DR839" s="7">
        <v>0.28000000000000003</v>
      </c>
      <c r="DS839" s="4">
        <f>17400+12500</f>
        <v>29900</v>
      </c>
      <c r="DT839" s="4">
        <v>84900</v>
      </c>
      <c r="DU839" s="14">
        <f>SUM(DS839+DT839)</f>
        <v>114800</v>
      </c>
      <c r="DV839" s="14">
        <f>19600+14000</f>
        <v>33600</v>
      </c>
      <c r="DW839" s="14">
        <f>106200+0</f>
        <v>106200</v>
      </c>
      <c r="DX839" s="14">
        <f>SUM(DV839+DW839)</f>
        <v>139800</v>
      </c>
      <c r="IA839" s="9"/>
      <c r="IL839" s="14">
        <f ca="1">SUM(IB839-DP839-FP839-IJ839)</f>
        <v>-2027.368925</v>
      </c>
      <c r="IM839" s="9"/>
      <c r="IN839" s="9"/>
      <c r="IO839" s="9"/>
      <c r="IP839" s="9"/>
      <c r="IQ839" s="9"/>
    </row>
    <row r="840" spans="1:263" ht="15" customHeight="1">
      <c r="A840" s="2">
        <v>102024098</v>
      </c>
      <c r="B840" t="s">
        <v>5399</v>
      </c>
      <c r="D840" s="1"/>
      <c r="E840" s="3"/>
      <c r="G840" s="3"/>
      <c r="J840" t="s">
        <v>434</v>
      </c>
      <c r="K840" t="s">
        <v>5400</v>
      </c>
      <c r="L840" t="s">
        <v>1019</v>
      </c>
      <c r="O840" s="3"/>
      <c r="P840" t="s">
        <v>5400</v>
      </c>
      <c r="Q840" t="s">
        <v>673</v>
      </c>
      <c r="U840" t="s">
        <v>5400</v>
      </c>
      <c r="V840" t="s">
        <v>957</v>
      </c>
      <c r="AG840" s="43"/>
      <c r="AK840" s="1"/>
      <c r="AM840"/>
      <c r="AN840"/>
      <c r="AO840" t="s">
        <v>5401</v>
      </c>
      <c r="AP840" s="1" t="s">
        <v>258</v>
      </c>
      <c r="AQ840" s="18" t="s">
        <v>259</v>
      </c>
      <c r="AR840" t="s">
        <v>260</v>
      </c>
      <c r="AS840" t="s">
        <v>372</v>
      </c>
      <c r="AT840" t="s">
        <v>373</v>
      </c>
      <c r="AU840" t="s">
        <v>374</v>
      </c>
      <c r="AV840" t="s">
        <v>259</v>
      </c>
      <c r="AW840" s="1" t="s">
        <v>260</v>
      </c>
      <c r="AY840" s="1"/>
      <c r="AZ840" s="1"/>
      <c r="BA840" s="1"/>
      <c r="BB840" s="1"/>
      <c r="BC840" s="2"/>
      <c r="BD840" s="115">
        <v>45408</v>
      </c>
      <c r="BE840" s="144">
        <v>45426</v>
      </c>
      <c r="BF840" s="2"/>
      <c r="BG840" s="2"/>
      <c r="BH840" s="2"/>
      <c r="BI840" s="2"/>
      <c r="BJ840" s="2"/>
      <c r="BK840" s="2"/>
      <c r="BL840" s="20">
        <f ca="1">SUM(EH840)+220</f>
        <v>1800.916633333333</v>
      </c>
      <c r="BM840" s="22">
        <f ca="1">PMT(10%/12,12,BL840,0,0)</f>
        <v>-158.32918364678184</v>
      </c>
      <c r="BN840" s="22">
        <f ca="1">SUM(BM840*-1)</f>
        <v>158.32918364678184</v>
      </c>
      <c r="BO840" s="14">
        <f>SUM(EP840*0.0052)/12</f>
        <v>40.43</v>
      </c>
      <c r="BP840" s="22">
        <f ca="1">SUM(BN840+BO840)</f>
        <v>198.75918364678185</v>
      </c>
      <c r="BQ840" s="14"/>
      <c r="BR840" s="14">
        <f>SUM(BQ840*0.1)</f>
        <v>0</v>
      </c>
      <c r="BS840" s="14">
        <f ca="1">SUM(BT840*BU840)</f>
        <v>0</v>
      </c>
      <c r="BT840" s="17">
        <f>SUM((BQ840+BR840)*0.00833333333333333)</f>
        <v>0</v>
      </c>
      <c r="BU840" s="23">
        <f ca="1">MONTH(TODAY())+49</f>
        <v>53</v>
      </c>
      <c r="BV840" s="14">
        <f ca="1">SUM(BQ840,BR840,BS840)</f>
        <v>0</v>
      </c>
      <c r="BW840" s="14">
        <v>0</v>
      </c>
      <c r="BX840" s="14">
        <f>SUM(BW840*0.1)</f>
        <v>0</v>
      </c>
      <c r="BY840" s="14">
        <f ca="1">SUM(BZ840*CA840)</f>
        <v>0</v>
      </c>
      <c r="BZ840" s="17">
        <f>SUM((BW840+BX840)*0.00833333333333333)</f>
        <v>0</v>
      </c>
      <c r="CA840" s="23">
        <f ca="1">MONTH(TODAY())+37</f>
        <v>41</v>
      </c>
      <c r="CB840" s="14">
        <f ca="1">SUM(BW840,BX840,BY840)</f>
        <v>0</v>
      </c>
      <c r="CC840" s="14">
        <v>0</v>
      </c>
      <c r="CD840" s="14">
        <f>SUM(CC840*0.1)</f>
        <v>0</v>
      </c>
      <c r="CE840" s="14">
        <f ca="1">SUM(CF840*CG840)</f>
        <v>0</v>
      </c>
      <c r="CF840" s="17">
        <f>SUM((CC840+CD840)*0.00833333333333333)</f>
        <v>0</v>
      </c>
      <c r="CG840" s="23">
        <f ca="1">MONTH(TODAY())+25</f>
        <v>29</v>
      </c>
      <c r="CH840" s="14">
        <f ca="1">SUM(CC840,CD840,CE840)</f>
        <v>0</v>
      </c>
      <c r="CI840" s="14">
        <f>SUM(EM840*0.0052)/2</f>
        <v>176.01999999999998</v>
      </c>
      <c r="CJ840" s="14">
        <f>SUM(CI840*0.1)</f>
        <v>17.602</v>
      </c>
      <c r="CK840" s="14">
        <f ca="1">SUM(CL840*CM840)</f>
        <v>33.883849999999981</v>
      </c>
      <c r="CL840" s="17">
        <f>SUM((CI840+CJ840)*0.00833333333333333)</f>
        <v>1.6135166666666658</v>
      </c>
      <c r="CM840" s="23">
        <f ca="1">MONTH(TODAY())+17</f>
        <v>21</v>
      </c>
      <c r="CN840" s="23">
        <f ca="1">SUM(CI840,CJ840,CK840)</f>
        <v>227.50584999999995</v>
      </c>
      <c r="CO840" s="14">
        <f>SUM(EM840*0.0052)/2</f>
        <v>176.01999999999998</v>
      </c>
      <c r="CP840" s="14">
        <f>SUM(CO840*0.1)</f>
        <v>17.602</v>
      </c>
      <c r="CQ840" s="14">
        <f ca="1">SUM(CR840*CS840)</f>
        <v>27.429783333333319</v>
      </c>
      <c r="CR840" s="17">
        <f>SUM((CO840+CP840)*0.00833333333333333)</f>
        <v>1.6135166666666658</v>
      </c>
      <c r="CS840" s="23">
        <f ca="1">MONTH(TODAY())+13</f>
        <v>17</v>
      </c>
      <c r="CT840" s="23">
        <f ca="1">SUM(CO840,CP840,CQ840)</f>
        <v>221.0517833333333</v>
      </c>
      <c r="CU840" s="14">
        <f>SUM(EP840*0.0045)/2</f>
        <v>209.92499999999998</v>
      </c>
      <c r="CV840" s="14">
        <f>SUM(CU840*0.1)</f>
        <v>20.9925</v>
      </c>
      <c r="CW840" s="14">
        <f ca="1">SUM(CX840*CY840)</f>
        <v>21.167437499999988</v>
      </c>
      <c r="CX840" s="17">
        <f>SUM((CU840+CV840)*0.00833333333333333)</f>
        <v>1.924312499999999</v>
      </c>
      <c r="CY840" s="23">
        <f ca="1">MONTH(TODAY())+7</f>
        <v>11</v>
      </c>
      <c r="CZ840" s="23">
        <f ca="1">SUM(CU840,CV840,CW840)</f>
        <v>252.08493749999997</v>
      </c>
      <c r="DA840" s="14">
        <f>SUM(EP840*0.0045)/2</f>
        <v>209.92499999999998</v>
      </c>
      <c r="DB840" s="14">
        <f>SUM(DA840*0.1)</f>
        <v>20.9925</v>
      </c>
      <c r="DC840" s="14">
        <f ca="1">SUM(DD840*DE840)</f>
        <v>9.6215624999999942</v>
      </c>
      <c r="DD840" s="17">
        <f>SUM((DA840+DB840)*0.00833333333333333)</f>
        <v>1.924312499999999</v>
      </c>
      <c r="DE840" s="23">
        <f ca="1">MONTH(TODAY())+1</f>
        <v>5</v>
      </c>
      <c r="DF840" s="14">
        <f ca="1">SUM(DA840,DB840,DC840)</f>
        <v>240.53906249999997</v>
      </c>
      <c r="DG840" s="14">
        <f>SUM(EP840*0.0045)/2</f>
        <v>209.92499999999998</v>
      </c>
      <c r="DH840" s="14">
        <f>0</f>
        <v>0</v>
      </c>
      <c r="DI840" s="14">
        <f>0</f>
        <v>0</v>
      </c>
      <c r="DJ840" s="17">
        <f>SUM((DG840+DH840)*0.00833333333333333)</f>
        <v>1.749374999999999</v>
      </c>
      <c r="DK840" s="23">
        <f ca="1">MONTH(TODAY())+7</f>
        <v>11</v>
      </c>
      <c r="DL840" s="23">
        <f>SUM(DG840,DH840,DI840)</f>
        <v>209.92499999999998</v>
      </c>
      <c r="DM840" s="14">
        <f>0</f>
        <v>0</v>
      </c>
      <c r="DN840" s="14">
        <f>0</f>
        <v>0</v>
      </c>
      <c r="DO840" s="14">
        <f ca="1">SUM(DP840*DQ840)</f>
        <v>0</v>
      </c>
      <c r="DP840" s="17">
        <f>SUM((DM840+DN840)*0.00833333333333333)</f>
        <v>0</v>
      </c>
      <c r="DQ840" s="23">
        <f ca="1">MONTH(TODAY())+1</f>
        <v>5</v>
      </c>
      <c r="DR840" s="14">
        <f ca="1">SUM(DM840,DN840,DO840)</f>
        <v>0</v>
      </c>
      <c r="DS840" s="14">
        <f>SUM(BQ840, BW840, CC840, CI840,CO840,CU840,DA840,DG840,DM840)</f>
        <v>981.81499999999983</v>
      </c>
      <c r="DT840" s="14">
        <f>SUM(BR840,BX840,CD840, CJ840,CP840,CV840,DB840,DH840,DN840)</f>
        <v>77.188999999999993</v>
      </c>
      <c r="DU840" s="14">
        <f ca="1">SUM(BS840,BY840,CE840, CK840,CQ840,CW840,DC840,DI840,DO840)</f>
        <v>92.102633333333287</v>
      </c>
      <c r="DV840" s="25">
        <f ca="1">SUM(DS840:DU840)</f>
        <v>1151.1066333333331</v>
      </c>
      <c r="DW840" s="47">
        <f ca="1">SUM(DV840/EN840)</f>
        <v>3.3077776819923362E-2</v>
      </c>
      <c r="DX840" s="14">
        <f>20+10+200</f>
        <v>230</v>
      </c>
      <c r="DY840" s="32">
        <f>COUNTIF(AO840, "*")+COUNTIF(AJ840, "*")+COUNTIF(AA840, "*")+COUNTIF(FA840, "*")+COUNTIF(FG840, "*")+COUNTIF(FM840, "*")+COUNTIF(FQ840, "*")+COUNTIF(FX840, "*")+COUNTIF(AS840, "*")+COUNTIF(GG840, "*")+COUNTIF(GR840, "*")+COUNTIF(HC840, "*")+COUNTIF(HK840, "*")+COUNTIF(HS840, "*")+COUNTIF(IA840, "*")</f>
        <v>2</v>
      </c>
      <c r="DZ840" s="14">
        <f>1.28+DY840*8</f>
        <v>17.28</v>
      </c>
      <c r="EA840" s="4">
        <v>150</v>
      </c>
      <c r="EB840" s="4">
        <v>32.53</v>
      </c>
      <c r="EC840" s="4"/>
      <c r="ED840" s="4"/>
      <c r="EF840" s="4"/>
      <c r="EG840" s="14">
        <f>SUM(EB840:EF840)</f>
        <v>32.53</v>
      </c>
      <c r="EH840" s="14">
        <f ca="1">SUM(DV840,DX840,EG840, EA840, DZ840,GD840)</f>
        <v>1580.916633333333</v>
      </c>
      <c r="EI840" s="24" t="s">
        <v>4935</v>
      </c>
      <c r="EJ840" s="23">
        <f>0.18+0.2+0.19</f>
        <v>0.57000000000000006</v>
      </c>
      <c r="EK840" s="14">
        <f>1500+12000+10200</f>
        <v>23700</v>
      </c>
      <c r="EL840" s="14">
        <v>44000</v>
      </c>
      <c r="EM840" s="4">
        <f>SUM(EK840+EL840)</f>
        <v>67700</v>
      </c>
      <c r="EN840" s="14">
        <f>1500+18000+15300</f>
        <v>34800</v>
      </c>
      <c r="EO840" s="14">
        <v>58500</v>
      </c>
      <c r="EP840" s="4">
        <f>SUM(EN840+EO840)</f>
        <v>93300</v>
      </c>
      <c r="EQ840" s="10" t="s">
        <v>5651</v>
      </c>
      <c r="ER840" s="10" t="s">
        <v>5652</v>
      </c>
      <c r="ES840" s="10"/>
      <c r="ET840" s="10"/>
      <c r="EU840" s="10"/>
      <c r="EV840" s="10"/>
      <c r="EW840" s="10"/>
      <c r="EX840" s="10"/>
      <c r="GD840" s="4"/>
      <c r="IE840" s="9"/>
      <c r="IN840" s="4"/>
      <c r="IO840" s="4"/>
      <c r="IP840" s="4"/>
      <c r="IQ840" s="9"/>
      <c r="IR840" s="9"/>
      <c r="IS840" s="9"/>
      <c r="IT840" s="9"/>
      <c r="IU840" s="9"/>
    </row>
    <row r="841" spans="1:263" ht="15" customHeight="1">
      <c r="A841" s="2">
        <v>102019046</v>
      </c>
      <c r="B841" s="4" t="s">
        <v>1363</v>
      </c>
      <c r="C841" s="4"/>
      <c r="E841" s="3"/>
      <c r="F841" s="2"/>
      <c r="G841" s="2"/>
      <c r="H841" s="2"/>
      <c r="J841" t="s">
        <v>311</v>
      </c>
      <c r="K841" t="s">
        <v>306</v>
      </c>
      <c r="L841" t="s">
        <v>741</v>
      </c>
      <c r="M841" t="s">
        <v>396</v>
      </c>
      <c r="O841" s="1"/>
      <c r="T841" s="1"/>
      <c r="AH841" s="1"/>
      <c r="AJ841" s="4"/>
      <c r="AK841" s="4"/>
      <c r="AO841" s="4"/>
      <c r="AP841" s="5"/>
      <c r="AS841" s="5"/>
      <c r="AT841" s="5"/>
      <c r="AU841" s="1"/>
      <c r="AV841" s="1"/>
      <c r="AW841" s="1"/>
      <c r="AX841" s="1"/>
      <c r="AY841" s="1"/>
      <c r="AZ841" s="1"/>
      <c r="BA841" s="1"/>
      <c r="BB841" s="1"/>
      <c r="BC841" s="1"/>
      <c r="BD841" s="1"/>
      <c r="BE841" s="1"/>
      <c r="BF841" s="1"/>
      <c r="BG841" s="5"/>
      <c r="BH841" s="16"/>
      <c r="BI841" s="16"/>
      <c r="BJ841" s="4"/>
      <c r="BK841" s="4"/>
      <c r="BL841" s="4"/>
      <c r="BM841" s="6"/>
      <c r="BN841" s="7"/>
      <c r="BO841" s="4"/>
      <c r="BQ841" s="4"/>
      <c r="BR841" s="4"/>
      <c r="BS841" s="6"/>
      <c r="BT841" s="7"/>
      <c r="BU841" s="4"/>
      <c r="BV841" s="4"/>
      <c r="BW841" s="4"/>
      <c r="BX841" s="4"/>
      <c r="BY841" s="6"/>
      <c r="BZ841" s="7"/>
      <c r="CA841" s="4"/>
      <c r="CB841" s="4"/>
      <c r="CC841" s="4"/>
      <c r="CD841" s="4"/>
      <c r="CE841" s="6"/>
      <c r="CF841" s="7"/>
      <c r="CG841" s="4"/>
      <c r="CH841" s="4"/>
      <c r="CI841" s="4"/>
      <c r="CJ841" s="4"/>
      <c r="CK841" s="6"/>
      <c r="CL841" s="7"/>
      <c r="CM841" s="4"/>
      <c r="CN841" s="4"/>
      <c r="CO841" s="4"/>
      <c r="CP841" s="4"/>
      <c r="CQ841" s="6"/>
      <c r="CR841" s="7"/>
      <c r="CS841" s="4"/>
      <c r="CT841" s="4"/>
      <c r="CU841" s="4"/>
      <c r="CV841" s="4"/>
      <c r="CW841" s="6"/>
      <c r="CX841" s="7"/>
      <c r="CY841" s="4"/>
      <c r="CZ841" s="4"/>
      <c r="DA841" s="4"/>
      <c r="DB841" s="4"/>
      <c r="DC841" s="6"/>
      <c r="DD841" s="7"/>
      <c r="DE841" s="4"/>
      <c r="DF841" s="4"/>
      <c r="DG841" s="4"/>
      <c r="DH841" s="14"/>
      <c r="DI841" s="14"/>
      <c r="DJ841" s="4"/>
      <c r="DK841" s="3"/>
      <c r="DL841" s="4"/>
      <c r="DM841" s="234"/>
      <c r="DN841" s="4"/>
      <c r="DO841" s="4"/>
      <c r="DP841" s="4"/>
      <c r="DQ841" s="4"/>
      <c r="DR841" s="4"/>
      <c r="DS841" s="4"/>
      <c r="DT841" s="4"/>
      <c r="DU841" s="8"/>
      <c r="DV841" s="4"/>
      <c r="DW841" s="8"/>
      <c r="DX841" s="4"/>
      <c r="DY841" s="4"/>
      <c r="DZ841" s="7"/>
      <c r="EI841" s="11"/>
      <c r="EO841" s="11"/>
      <c r="EP841" s="11"/>
      <c r="EQ841" s="4"/>
      <c r="ER841" s="4"/>
      <c r="ES841" s="4"/>
      <c r="ET841" s="4"/>
      <c r="EU841" s="4"/>
      <c r="EV841" s="4"/>
      <c r="EW841" s="4"/>
      <c r="EX841" s="4"/>
      <c r="EY841" s="4"/>
      <c r="EZ841" s="4"/>
      <c r="FA841" s="4"/>
      <c r="FB841" s="4"/>
      <c r="FC841" s="4"/>
      <c r="FD841" s="4"/>
      <c r="FE841" s="4"/>
      <c r="FI841" s="9"/>
      <c r="FR841" s="9"/>
      <c r="FX841" s="4"/>
      <c r="GC841" s="10"/>
      <c r="GM841" s="10"/>
      <c r="HB841" s="9"/>
      <c r="IJ841" s="4"/>
      <c r="IK841" s="4"/>
      <c r="IL841" s="4"/>
      <c r="IM841" s="4"/>
    </row>
    <row r="842" spans="1:263" ht="15" customHeight="1">
      <c r="A842" s="2">
        <v>102024009</v>
      </c>
      <c r="B842" t="s">
        <v>5108</v>
      </c>
      <c r="C842" s="10"/>
      <c r="D842" s="161">
        <v>2025</v>
      </c>
      <c r="E842" s="147"/>
      <c r="F842" s="160"/>
      <c r="G842" s="147"/>
      <c r="H842" s="10"/>
      <c r="I842" s="10"/>
      <c r="J842" s="10" t="s">
        <v>434</v>
      </c>
      <c r="K842" s="10" t="s">
        <v>5109</v>
      </c>
      <c r="L842" s="10" t="s">
        <v>390</v>
      </c>
      <c r="M842" s="10"/>
      <c r="N842" s="10"/>
      <c r="O842" s="147"/>
      <c r="P842" s="10" t="s">
        <v>5111</v>
      </c>
      <c r="Q842" s="10" t="s">
        <v>5110</v>
      </c>
      <c r="R842" s="10"/>
      <c r="S842" s="10"/>
      <c r="T842" s="10"/>
      <c r="U842" s="10"/>
      <c r="V842" s="10"/>
      <c r="W842" s="10"/>
      <c r="X842" s="10"/>
      <c r="Y842" s="10"/>
      <c r="Z842" s="10"/>
      <c r="AA842" s="10"/>
      <c r="AB842" s="10"/>
      <c r="AC842" s="10"/>
      <c r="AD842" s="10"/>
      <c r="AE842" s="10"/>
      <c r="AF842" s="10"/>
      <c r="AG842" s="141"/>
      <c r="AH842" s="10"/>
      <c r="AI842" s="10"/>
      <c r="AJ842" t="s">
        <v>328</v>
      </c>
      <c r="AK842" s="1"/>
      <c r="AL842" t="s">
        <v>259</v>
      </c>
      <c r="AM842"/>
      <c r="AN842"/>
      <c r="AO842" t="s">
        <v>5112</v>
      </c>
      <c r="AP842" s="1" t="s">
        <v>258</v>
      </c>
      <c r="AQ842" t="s">
        <v>259</v>
      </c>
      <c r="AR842" t="s">
        <v>260</v>
      </c>
      <c r="AX842" s="1"/>
      <c r="AY842" s="1"/>
      <c r="AZ842" s="1"/>
      <c r="BA842" s="1"/>
      <c r="BB842" s="1"/>
      <c r="BC842" s="70"/>
      <c r="BD842" s="115"/>
      <c r="BE842" s="144"/>
      <c r="BF842" s="70"/>
      <c r="BG842" s="2"/>
      <c r="BH842" s="70"/>
      <c r="BI842" s="70"/>
      <c r="BJ842" s="70"/>
      <c r="BK842" s="70"/>
      <c r="BL842" s="20">
        <f ca="1">SUM(EB842)+220</f>
        <v>339.06099999999998</v>
      </c>
      <c r="BM842" s="22">
        <f ca="1">PMT(10%/12,12,BL842,0,0)</f>
        <v>-29.808848640094279</v>
      </c>
      <c r="BN842" s="22">
        <f ca="1">SUM(BM842*-1)</f>
        <v>29.808848640094279</v>
      </c>
      <c r="BO842" s="14">
        <f>SUM(EJ842*0.0052)/12</f>
        <v>1.3</v>
      </c>
      <c r="BP842" s="22">
        <f ca="1">SUM(BN842+BO842)</f>
        <v>31.10884864009428</v>
      </c>
      <c r="BQ842" s="14">
        <v>0</v>
      </c>
      <c r="BR842" s="14">
        <f>SUM(BQ842*0.1)</f>
        <v>0</v>
      </c>
      <c r="BS842" s="14">
        <f ca="1">SUM(BT842*BU842)</f>
        <v>0</v>
      </c>
      <c r="BT842" s="17">
        <f>SUM((BQ842+BR842)*0.00833333333333333)</f>
        <v>0</v>
      </c>
      <c r="BU842" s="23">
        <f ca="1">MONTH(TODAY())+37</f>
        <v>41</v>
      </c>
      <c r="BV842" s="14">
        <f ca="1">SUM(BQ842,BR842,BS842)</f>
        <v>0</v>
      </c>
      <c r="BW842" s="14">
        <f>SUM(EG842*0.0052)</f>
        <v>15.6</v>
      </c>
      <c r="BX842" s="14">
        <f>SUM(BW842*0.1)</f>
        <v>1.56</v>
      </c>
      <c r="BY842" s="14">
        <f ca="1">SUM(BZ842*CA842)</f>
        <v>5.8629999999999969</v>
      </c>
      <c r="BZ842" s="17">
        <f>SUM((BW842+BX842)*0.00833333333333333)</f>
        <v>0.14299999999999993</v>
      </c>
      <c r="CA842" s="167">
        <f ca="1">MONTH(TODAY())+37</f>
        <v>41</v>
      </c>
      <c r="CB842" s="14">
        <f ca="1">SUM(BW842,BX842,BY842)</f>
        <v>23.022999999999996</v>
      </c>
      <c r="CC842" s="14">
        <f>SUM(EG842*0.0052)/2</f>
        <v>7.8</v>
      </c>
      <c r="CD842" s="14">
        <f>SUM(CC842*0.1)</f>
        <v>0.78</v>
      </c>
      <c r="CE842" s="14">
        <f ca="1">SUM(CF842*CG842)</f>
        <v>2.3594999999999988</v>
      </c>
      <c r="CF842" s="17">
        <f>SUM((CC842+CD842)*0.00833333333333333)</f>
        <v>7.1499999999999966E-2</v>
      </c>
      <c r="CG842" s="167">
        <f ca="1">MONTH(TODAY())+29</f>
        <v>33</v>
      </c>
      <c r="CH842" s="23">
        <f ca="1">SUM(CC842,CD842,CE842)</f>
        <v>10.939499999999999</v>
      </c>
      <c r="CI842" s="14">
        <f>SUM(EG842*0.0052)/2</f>
        <v>7.8</v>
      </c>
      <c r="CJ842" s="14">
        <f>SUM(CI842*0.1)</f>
        <v>0.78</v>
      </c>
      <c r="CK842" s="14">
        <f ca="1">SUM(CL842*CM842)</f>
        <v>2.0734999999999992</v>
      </c>
      <c r="CL842" s="17">
        <f>SUM((CI842+CJ842)*0.00833333333333333)</f>
        <v>7.1499999999999966E-2</v>
      </c>
      <c r="CM842" s="58">
        <f ca="1">MONTH(TODAY())+25</f>
        <v>29</v>
      </c>
      <c r="CN842" s="14">
        <f ca="1">SUM(CI842,CJ842,CK842)</f>
        <v>10.653499999999999</v>
      </c>
      <c r="CO842" s="14">
        <f>SUM(EJ842*0.0045)/2</f>
        <v>6.7499999999999991</v>
      </c>
      <c r="CP842" s="14">
        <f>SUM(CO842*0.1)</f>
        <v>0.67499999999999993</v>
      </c>
      <c r="CQ842" s="14">
        <f ca="1">SUM(CR842*CS842)</f>
        <v>1.4231249999999991</v>
      </c>
      <c r="CR842" s="17">
        <f>SUM((CO842+CP842)*0.00833333333333333)</f>
        <v>6.1874999999999965E-2</v>
      </c>
      <c r="CS842" s="58">
        <f ca="1">MONTH(TODAY())+19</f>
        <v>23</v>
      </c>
      <c r="CT842" s="14">
        <f ca="1">SUM(CO842,CP842,CQ842)</f>
        <v>8.8481249999999978</v>
      </c>
      <c r="CU842" s="14">
        <f>SUM(EJ842*0.0045)/2</f>
        <v>6.7499999999999991</v>
      </c>
      <c r="CV842" s="14">
        <f>SUM(CU842*0.1)</f>
        <v>0.67499999999999993</v>
      </c>
      <c r="CW842" s="14">
        <f ca="1">SUM(CX842*CY842)</f>
        <v>1.0518749999999994</v>
      </c>
      <c r="CX842" s="17">
        <f>SUM((CU842+CV842)*0.00833333333333333)</f>
        <v>6.1874999999999965E-2</v>
      </c>
      <c r="CY842" s="58">
        <f ca="1">MONTH(TODAY())+13</f>
        <v>17</v>
      </c>
      <c r="CZ842" s="14">
        <f ca="1">SUM(CU842,CV842,CW842)</f>
        <v>8.4768749999999979</v>
      </c>
      <c r="DA842" s="14">
        <f>SUM(EJ842*0.0045)/2</f>
        <v>6.7499999999999991</v>
      </c>
      <c r="DB842" s="14">
        <f>SUM(DA842*0.1)</f>
        <v>0.67499999999999993</v>
      </c>
      <c r="DC842" s="14">
        <f ca="1">SUM(DD842*DE842)</f>
        <v>0.68062499999999959</v>
      </c>
      <c r="DD842" s="17">
        <f>SUM((DA842+DB842)*0.00833333333333333)</f>
        <v>6.1874999999999965E-2</v>
      </c>
      <c r="DE842" s="58">
        <f ca="1">MONTH(TODAY())+7</f>
        <v>11</v>
      </c>
      <c r="DF842" s="14">
        <f ca="1">SUM(DA842,DB842,DC842)</f>
        <v>8.1056249999999981</v>
      </c>
      <c r="DG842" s="180">
        <f>SUM(EJ842*0.0045)/2</f>
        <v>6.7499999999999991</v>
      </c>
      <c r="DH842" s="14">
        <f>SUM(DG842*0.1)</f>
        <v>0.67499999999999993</v>
      </c>
      <c r="DI842" s="103">
        <f ca="1">SUM(DJ842*DK842)</f>
        <v>0.30937499999999984</v>
      </c>
      <c r="DJ842" s="17">
        <f>SUM((DG842+DH842)*0.00833333333333333)</f>
        <v>6.1874999999999965E-2</v>
      </c>
      <c r="DK842" s="58">
        <f ca="1">MONTH(TODAY())+1</f>
        <v>5</v>
      </c>
      <c r="DL842" s="14">
        <f ca="1">SUM(DG842,DH842,DI842)</f>
        <v>7.7343749999999991</v>
      </c>
      <c r="DM842" s="192">
        <f>SUM(BQ842, BW842, CC842,CI842,CO842,CU842,DA842,DG842)</f>
        <v>58.199999999999996</v>
      </c>
      <c r="DN842" s="192">
        <f>SUM(BR842,BX842, CD842,CJ842,CP842,CV842,DB842,DH842)</f>
        <v>5.8199999999999994</v>
      </c>
      <c r="DO842" s="192">
        <f ca="1">SUM(BS842,BY842, CE842,CK842,CQ842,CW842,DC842,DI842)</f>
        <v>13.760999999999992</v>
      </c>
      <c r="DP842" s="25">
        <f ca="1">SUM(DM842:DO842)</f>
        <v>77.780999999999992</v>
      </c>
      <c r="DQ842" s="47">
        <f ca="1">SUM(DP842/EG842)</f>
        <v>2.5926999999999999E-2</v>
      </c>
      <c r="DR842" s="14">
        <v>40</v>
      </c>
      <c r="DS842" s="32">
        <f>COUNTIF(AO842, "*")+COUNTIF(AJ842, "*")+COUNTIF(AA842, "*")+COUNTIF(EU842, "*")+COUNTIF(FA842, "*")+COUNTIF(FG842, "*")+COUNTIF(FK842, "*")+COUNTIF(FR842, "*")+COUNTIF(AT842, "*")+COUNTIF(GA842, "*")+COUNTIF(GL842, "*")+COUNTIF(GW842, "*")+COUNTIF(HE842, "*")+COUNTIF(HM842, "*")+COUNTIF(HU842, "*")</f>
        <v>2</v>
      </c>
      <c r="DT842" s="14">
        <f>DS842*0.64</f>
        <v>1.28</v>
      </c>
      <c r="DU842" s="4"/>
      <c r="DV842" s="4"/>
      <c r="DW842" s="4"/>
      <c r="DX842" s="4"/>
      <c r="DY842" s="4"/>
      <c r="DZ842" s="4"/>
      <c r="EA842" s="14">
        <f>SUM(DU842:DZ842)</f>
        <v>0</v>
      </c>
      <c r="EB842" s="103">
        <f ca="1">SUM(DP842,DR842,EA842,DT842,FX842)</f>
        <v>119.06099999999999</v>
      </c>
      <c r="EC842" s="24" t="s">
        <v>4944</v>
      </c>
      <c r="ED842" s="23">
        <v>0.1</v>
      </c>
      <c r="EE842" s="14">
        <v>3000</v>
      </c>
      <c r="EF842" s="14">
        <v>0</v>
      </c>
      <c r="EG842" s="14">
        <f>SUM(EE842+EF842)</f>
        <v>3000</v>
      </c>
      <c r="EH842" s="14">
        <v>3000</v>
      </c>
      <c r="EI842" s="14">
        <v>0</v>
      </c>
      <c r="EJ842" s="14">
        <f>SUM(EH842+EI842)</f>
        <v>3000</v>
      </c>
      <c r="EK842" s="10"/>
      <c r="EL842" s="10"/>
      <c r="EM842" s="10"/>
      <c r="EN842" s="10"/>
      <c r="EO842" s="10"/>
      <c r="EP842" s="10"/>
      <c r="EQ842" s="10"/>
      <c r="ER842" s="10"/>
      <c r="ES842" s="10"/>
      <c r="ET842" s="10"/>
      <c r="EU842" s="10"/>
      <c r="EV842" s="10"/>
      <c r="EW842" s="10"/>
      <c r="EX842" s="10"/>
      <c r="EY842" s="10"/>
      <c r="EZ842" s="10"/>
      <c r="FA842" s="10"/>
      <c r="FB842" s="10"/>
      <c r="FC842" s="10"/>
      <c r="FD842" s="10"/>
      <c r="FE842" s="10"/>
      <c r="FF842" s="10"/>
      <c r="FG842" s="10"/>
      <c r="FH842" s="10"/>
      <c r="FI842" s="10"/>
      <c r="FJ842" s="10"/>
      <c r="FK842" s="10"/>
      <c r="FL842" s="10"/>
      <c r="FM842" s="10"/>
      <c r="FN842" s="10"/>
      <c r="FO842" s="9"/>
      <c r="FP842" s="10"/>
      <c r="FQ842" s="10"/>
      <c r="FR842" s="10"/>
      <c r="FS842" s="10"/>
      <c r="FT842" s="10"/>
      <c r="FU842" s="10"/>
      <c r="FV842" s="9"/>
      <c r="FW842" s="10"/>
      <c r="FX842" s="10"/>
      <c r="FY842" s="10"/>
      <c r="FZ842" s="10"/>
      <c r="GA842" s="10"/>
      <c r="GB842" s="10"/>
      <c r="GC842" s="10"/>
      <c r="GD842" s="10"/>
      <c r="GE842" s="9"/>
      <c r="GF842" s="10"/>
      <c r="GG842" s="10"/>
      <c r="GH842" s="10"/>
      <c r="GI842" s="10"/>
      <c r="GJ842" s="10"/>
      <c r="GK842" s="10"/>
      <c r="GL842" s="10"/>
      <c r="GM842" s="10"/>
      <c r="GN842" s="10"/>
      <c r="GO842" s="10"/>
      <c r="GP842" s="9"/>
      <c r="GQ842" s="10"/>
      <c r="GR842" s="10"/>
      <c r="GS842" s="10"/>
      <c r="GT842" s="10"/>
      <c r="GU842" s="10"/>
      <c r="GV842" s="10"/>
      <c r="GW842" s="10"/>
      <c r="GX842" s="10"/>
      <c r="GY842" s="10"/>
      <c r="GZ842" s="10"/>
      <c r="HA842" s="9"/>
      <c r="HB842" s="10"/>
      <c r="HC842" s="10"/>
      <c r="HD842" s="10"/>
      <c r="HE842" s="10"/>
      <c r="HF842" s="10"/>
      <c r="HG842" s="10"/>
      <c r="HH842" s="10"/>
      <c r="HI842" s="9"/>
      <c r="HJ842" s="10"/>
      <c r="HK842" s="10"/>
      <c r="HL842" s="10"/>
      <c r="HM842" s="10"/>
      <c r="HN842" s="10"/>
      <c r="HO842" s="10"/>
      <c r="HP842" s="10"/>
      <c r="HQ842" s="9"/>
      <c r="HR842" s="10"/>
      <c r="HS842" s="10"/>
      <c r="HT842" s="10"/>
      <c r="HU842" s="10"/>
      <c r="HV842" s="10"/>
      <c r="HW842" s="10"/>
      <c r="HX842" s="10"/>
      <c r="HY842" s="9"/>
      <c r="HZ842" s="4"/>
      <c r="IA842" s="4"/>
      <c r="IB842" s="10"/>
      <c r="IC842" s="10"/>
      <c r="ID842" s="10"/>
      <c r="IE842" s="10"/>
      <c r="IF842" s="4"/>
      <c r="IG842" s="4"/>
      <c r="IH842" s="4"/>
      <c r="II842" s="4"/>
      <c r="IJ842" s="4"/>
      <c r="IK842" s="9"/>
      <c r="IL842" s="9"/>
      <c r="IM842" s="9"/>
      <c r="IN842" s="9"/>
      <c r="IO842" s="9"/>
      <c r="IP842" s="27" t="s">
        <v>5913</v>
      </c>
    </row>
    <row r="843" spans="1:263" ht="15" customHeight="1">
      <c r="A843" s="19">
        <v>102022143</v>
      </c>
      <c r="B843" t="s">
        <v>3160</v>
      </c>
      <c r="D843" s="1"/>
      <c r="E843" s="3"/>
      <c r="F843" s="3"/>
      <c r="J843" t="s">
        <v>554</v>
      </c>
      <c r="K843" t="s">
        <v>3162</v>
      </c>
      <c r="L843" t="s">
        <v>2015</v>
      </c>
      <c r="M843" t="s">
        <v>448</v>
      </c>
      <c r="N843" t="s">
        <v>341</v>
      </c>
      <c r="P843" t="s">
        <v>3162</v>
      </c>
      <c r="Q843" t="s">
        <v>3163</v>
      </c>
      <c r="R843" t="s">
        <v>403</v>
      </c>
      <c r="AG843" s="43"/>
      <c r="AJ843" s="18" t="s">
        <v>328</v>
      </c>
      <c r="AL843" t="s">
        <v>259</v>
      </c>
      <c r="AM843"/>
      <c r="AN843"/>
      <c r="AO843" s="3" t="s">
        <v>3164</v>
      </c>
      <c r="AP843" s="3" t="s">
        <v>258</v>
      </c>
      <c r="AQ843" t="s">
        <v>756</v>
      </c>
      <c r="AR843" t="s">
        <v>757</v>
      </c>
      <c r="AS843" s="1"/>
      <c r="AT843" s="1"/>
      <c r="AU843" s="1"/>
      <c r="AV843" s="1"/>
      <c r="AW843" s="1"/>
      <c r="AX843" s="2"/>
      <c r="AY843" s="115">
        <v>44661</v>
      </c>
      <c r="AZ843" s="115">
        <v>44649</v>
      </c>
      <c r="BA843" s="2"/>
      <c r="BB843" s="2"/>
      <c r="BC843" s="2"/>
      <c r="BD843" s="2"/>
      <c r="BE843" s="2"/>
      <c r="BF843" s="2"/>
      <c r="BG843" s="20">
        <f ca="1">SUM(CY843)+214.5</f>
        <v>1848.6387999999999</v>
      </c>
      <c r="BH843" s="22">
        <f ca="1">PMT(10%/12,12,BG843,0,0)</f>
        <v>-162.52472026982025</v>
      </c>
      <c r="BI843" s="22">
        <f ca="1">SUM(BH843*-1)</f>
        <v>162.52472026982025</v>
      </c>
      <c r="BJ843" s="14">
        <f>SUM(DI843*0.0052)/12</f>
        <v>41.339999999999996</v>
      </c>
      <c r="BK843" s="22">
        <f ca="1">SUM(BI843+BJ843)</f>
        <v>203.86472026982025</v>
      </c>
      <c r="BL843" s="14"/>
      <c r="BM843" s="14">
        <f>SUM(BL843*0.1)</f>
        <v>0</v>
      </c>
      <c r="BN843" s="14">
        <f ca="1">SUM(BO843*BP843)</f>
        <v>0</v>
      </c>
      <c r="BO843" s="17">
        <f>SUM((BL843+BM843)*0.00833333333333333)</f>
        <v>0</v>
      </c>
      <c r="BP843" s="23">
        <f ca="1">MONTH(TODAY())+49</f>
        <v>53</v>
      </c>
      <c r="BQ843" s="14">
        <f ca="1">SUM(BL843,BM843,BN843)</f>
        <v>0</v>
      </c>
      <c r="BR843" s="14"/>
      <c r="BS843" s="14">
        <f>SUM(BR843*0.1)</f>
        <v>0</v>
      </c>
      <c r="BT843" s="14">
        <f ca="1">SUM(BU843*BV843)</f>
        <v>0</v>
      </c>
      <c r="BU843" s="17">
        <f>SUM((BR843+BS843)*0.00833333333333333)</f>
        <v>0</v>
      </c>
      <c r="BV843" s="23">
        <f ca="1">MONTH(TODAY())+37</f>
        <v>41</v>
      </c>
      <c r="BW843" s="14">
        <f ca="1">SUM(BR843,BS843,BT843)</f>
        <v>0</v>
      </c>
      <c r="BX843" s="14"/>
      <c r="BY843" s="14">
        <f>SUM(BX843*0.1)</f>
        <v>0</v>
      </c>
      <c r="BZ843" s="14">
        <f ca="1">SUM(CA843*CB843)</f>
        <v>0</v>
      </c>
      <c r="CA843" s="17">
        <f>SUM((BX843+BY843)*0.00833333333333333)</f>
        <v>0</v>
      </c>
      <c r="CB843" s="23">
        <f ca="1">MONTH(TODAY())+25</f>
        <v>29</v>
      </c>
      <c r="CC843" s="14">
        <f ca="1">SUM(BX843,BY843,BZ843)</f>
        <v>0</v>
      </c>
      <c r="CD843" s="14">
        <f>SUM(DI843*0.0052)</f>
        <v>496.08</v>
      </c>
      <c r="CE843" s="14">
        <f>SUM(CD843*0.1)</f>
        <v>49.608000000000004</v>
      </c>
      <c r="CF843" s="14">
        <f ca="1">SUM(CG843*CH843)</f>
        <v>77.305799999999962</v>
      </c>
      <c r="CG843" s="17">
        <f>SUM((CD843+CE843)*0.00833333333333333)</f>
        <v>4.5473999999999979</v>
      </c>
      <c r="CH843" s="23">
        <f ca="1">MONTH(TODAY())+13</f>
        <v>17</v>
      </c>
      <c r="CI843" s="14">
        <f ca="1">SUM(CD843,CE843,CF843)</f>
        <v>622.99379999999996</v>
      </c>
      <c r="CJ843" s="14">
        <f>SUM(DI843*0.0052)</f>
        <v>496.08</v>
      </c>
      <c r="CK843" s="14">
        <f>SUM(CJ843*0.1)</f>
        <v>49.608000000000004</v>
      </c>
      <c r="CL843" s="14">
        <f ca="1">SUM(CM843*CN843)</f>
        <v>22.736999999999988</v>
      </c>
      <c r="CM843" s="17">
        <f>SUM((CJ843+CK843)*0.00833333333333333)</f>
        <v>4.5473999999999979</v>
      </c>
      <c r="CN843" s="23">
        <f ca="1">MONTH(TODAY())+1</f>
        <v>5</v>
      </c>
      <c r="CO843" s="14">
        <f ca="1">SUM(CJ843,CK843,CL843)</f>
        <v>568.42499999999995</v>
      </c>
      <c r="CP843" s="14">
        <f t="shared" ref="CP843:CR844" si="303">SUM(BL843, BR843,BX843,CD843,CJ843)</f>
        <v>992.16</v>
      </c>
      <c r="CQ843" s="14">
        <f t="shared" si="303"/>
        <v>99.216000000000008</v>
      </c>
      <c r="CR843" s="14">
        <f t="shared" ca="1" si="303"/>
        <v>100.04279999999994</v>
      </c>
      <c r="CS843" s="14">
        <f ca="1">SUM(CP843:CR843)</f>
        <v>1191.4187999999999</v>
      </c>
      <c r="CT843" s="47">
        <f ca="1">SUM(CS843/DI843)</f>
        <v>1.2488666666666665E-2</v>
      </c>
      <c r="CU843" s="14">
        <f>19.5+19.5+195</f>
        <v>234</v>
      </c>
      <c r="CV843" s="32">
        <f>COUNTIF(DB843, "*")+COUNTIF(AO843, "*")+COUNTIF(AJ843, "*")+COUNTIF(AA843, "*")+COUNTIF(DY843, "*")+COUNTIF(EE843, "*")+COUNTIF(EK843, "*")+COUNTIF(EO843, "*")+COUNTIF(EV843, "*")+COUNTIF(FC843, "*")+COUNTIF(FJ843, "*")+COUNTIF(FU843, "*")+COUNTIF(GF843, "*")+COUNTIF(GN843, "*")+COUNTIF(GV843, "*")+COUNTIF(HD843, "*")+COUNTIF(HL843, "*")</f>
        <v>4</v>
      </c>
      <c r="CW843" s="14">
        <f>CV843*0.5+CV843*6.66</f>
        <v>28.64</v>
      </c>
      <c r="CX843" s="4">
        <v>150</v>
      </c>
      <c r="CY843" s="14">
        <f ca="1">SUM(CS843,CU843,DE843, CX843, CW843,FG843)</f>
        <v>1634.1387999999999</v>
      </c>
      <c r="CZ843" s="14">
        <v>30.08</v>
      </c>
      <c r="DE843" s="14">
        <f>SUM(CZ843:DD843)</f>
        <v>30.08</v>
      </c>
      <c r="DF843" s="24" t="s">
        <v>2773</v>
      </c>
      <c r="DG843" s="4">
        <v>25000</v>
      </c>
      <c r="DH843" s="4">
        <v>70400</v>
      </c>
      <c r="DI843" s="25">
        <f>SUM(DG843+DH843)</f>
        <v>95400</v>
      </c>
      <c r="DJ843" s="35">
        <v>0.19</v>
      </c>
      <c r="DK843" t="s">
        <v>3622</v>
      </c>
      <c r="DL843" t="s">
        <v>3623</v>
      </c>
      <c r="EN843" t="s">
        <v>3624</v>
      </c>
      <c r="EO843" t="s">
        <v>3625</v>
      </c>
      <c r="EQ843" t="s">
        <v>344</v>
      </c>
      <c r="ER843" t="s">
        <v>260</v>
      </c>
      <c r="ES843" s="9">
        <v>44018</v>
      </c>
      <c r="ET843" t="s">
        <v>3626</v>
      </c>
      <c r="FH843" t="s">
        <v>3627</v>
      </c>
      <c r="FI843" t="s">
        <v>379</v>
      </c>
      <c r="FJ843" t="s">
        <v>381</v>
      </c>
      <c r="FL843" t="s">
        <v>267</v>
      </c>
      <c r="FM843" t="s">
        <v>268</v>
      </c>
      <c r="FN843" s="9">
        <v>38047</v>
      </c>
      <c r="FO843" t="s">
        <v>3716</v>
      </c>
      <c r="FY843" s="9"/>
      <c r="GJ843" s="9"/>
      <c r="IC843" s="4"/>
    </row>
    <row r="844" spans="1:263" ht="15" customHeight="1">
      <c r="A844" s="19">
        <v>102022144</v>
      </c>
      <c r="B844" t="s">
        <v>3161</v>
      </c>
      <c r="D844" s="1">
        <v>2025</v>
      </c>
      <c r="E844" s="3"/>
      <c r="F844" s="3"/>
      <c r="J844" t="s">
        <v>554</v>
      </c>
      <c r="K844" t="s">
        <v>3162</v>
      </c>
      <c r="L844" t="s">
        <v>2015</v>
      </c>
      <c r="M844" t="s">
        <v>448</v>
      </c>
      <c r="N844" t="s">
        <v>341</v>
      </c>
      <c r="P844" t="s">
        <v>3162</v>
      </c>
      <c r="Q844" t="s">
        <v>3163</v>
      </c>
      <c r="R844" t="s">
        <v>403</v>
      </c>
      <c r="AG844" s="43"/>
      <c r="AJ844" s="18" t="s">
        <v>328</v>
      </c>
      <c r="AL844" t="s">
        <v>259</v>
      </c>
      <c r="AM844"/>
      <c r="AN844"/>
      <c r="AO844" s="3" t="s">
        <v>3164</v>
      </c>
      <c r="AP844" s="3" t="s">
        <v>258</v>
      </c>
      <c r="AQ844" t="s">
        <v>756</v>
      </c>
      <c r="AR844" t="s">
        <v>757</v>
      </c>
      <c r="AS844" s="1"/>
      <c r="AT844" s="1"/>
      <c r="AU844" s="1"/>
      <c r="AV844" s="1"/>
      <c r="AW844" s="1"/>
      <c r="AX844" s="2"/>
      <c r="AY844" s="116"/>
      <c r="AZ844" s="115"/>
      <c r="BA844" s="2"/>
      <c r="BB844" s="2"/>
      <c r="BC844" s="2"/>
      <c r="BD844" s="2"/>
      <c r="BE844" s="2"/>
      <c r="BF844" s="2"/>
      <c r="BG844" s="20">
        <f ca="1">SUM(CY844)+214.5</f>
        <v>586.2166666666667</v>
      </c>
      <c r="BH844" s="22">
        <f ca="1">PMT(10%/12,12,BG844,0,0)</f>
        <v>-51.537758359018795</v>
      </c>
      <c r="BI844" s="22">
        <f ca="1">SUM(BH844*-1)</f>
        <v>51.537758359018795</v>
      </c>
      <c r="BJ844" s="14">
        <f>SUM(DI844*0.0052)/12</f>
        <v>10.833333333333334</v>
      </c>
      <c r="BK844" s="22">
        <f ca="1">SUM(BI844+BJ844)</f>
        <v>62.371091692352131</v>
      </c>
      <c r="BL844" s="14"/>
      <c r="BM844" s="14">
        <f>SUM(BL844*0.1)</f>
        <v>0</v>
      </c>
      <c r="BN844" s="14">
        <f ca="1">SUM(BO844*BP844)</f>
        <v>0</v>
      </c>
      <c r="BO844" s="17">
        <f>SUM((BL844+BM844)*0.00833333333333333)</f>
        <v>0</v>
      </c>
      <c r="BP844" s="23">
        <f ca="1">MONTH(TODAY())+49</f>
        <v>53</v>
      </c>
      <c r="BQ844" s="14">
        <f ca="1">SUM(BL844,BM844,BN844)</f>
        <v>0</v>
      </c>
      <c r="BR844" s="14"/>
      <c r="BS844" s="14">
        <f>SUM(BR844*0.1)</f>
        <v>0</v>
      </c>
      <c r="BT844" s="14">
        <f ca="1">SUM(BU844*BV844)</f>
        <v>0</v>
      </c>
      <c r="BU844" s="17">
        <f>SUM((BR844+BS844)*0.00833333333333333)</f>
        <v>0</v>
      </c>
      <c r="BV844" s="23">
        <f ca="1">MONTH(TODAY())+37</f>
        <v>41</v>
      </c>
      <c r="BW844" s="14">
        <f ca="1">SUM(BR844,BS844,BT844)</f>
        <v>0</v>
      </c>
      <c r="BX844" s="14"/>
      <c r="BY844" s="14">
        <f>SUM(BX844*0.1)</f>
        <v>0</v>
      </c>
      <c r="BZ844" s="14">
        <f ca="1">SUM(CA844*CB844)</f>
        <v>0</v>
      </c>
      <c r="CA844" s="17">
        <f>SUM((BX844+BY844)*0.00833333333333333)</f>
        <v>0</v>
      </c>
      <c r="CB844" s="23">
        <f ca="1">MONTH(TODAY())+25</f>
        <v>29</v>
      </c>
      <c r="CC844" s="14">
        <f ca="1">SUM(BX844,BY844,BZ844)</f>
        <v>0</v>
      </c>
      <c r="CD844" s="14">
        <f>SUM(DI844*0.0052)</f>
        <v>130</v>
      </c>
      <c r="CE844" s="14">
        <f>SUM(CD844*0.1)</f>
        <v>13</v>
      </c>
      <c r="CF844" s="14">
        <f ca="1">SUM(CG844*CH844)</f>
        <v>20.258333333333326</v>
      </c>
      <c r="CG844" s="17">
        <f>SUM((CD844+CE844)*0.00833333333333333)</f>
        <v>1.1916666666666662</v>
      </c>
      <c r="CH844" s="23">
        <f ca="1">MONTH(TODAY())+13</f>
        <v>17</v>
      </c>
      <c r="CI844" s="14">
        <f ca="1">SUM(CD844,CE844,CF844)</f>
        <v>163.25833333333333</v>
      </c>
      <c r="CJ844" s="14">
        <f>SUM(DI844*0.0052)</f>
        <v>130</v>
      </c>
      <c r="CK844" s="14">
        <f>SUM(CJ844*0.1)</f>
        <v>13</v>
      </c>
      <c r="CL844" s="14">
        <f ca="1">SUM(CM844*CN844)</f>
        <v>5.9583333333333313</v>
      </c>
      <c r="CM844" s="17">
        <f>SUM((CJ844+CK844)*0.00833333333333333)</f>
        <v>1.1916666666666662</v>
      </c>
      <c r="CN844" s="23">
        <f ca="1">MONTH(TODAY())+1</f>
        <v>5</v>
      </c>
      <c r="CO844" s="14">
        <f ca="1">SUM(CJ844,CK844,CL844)</f>
        <v>148.95833333333334</v>
      </c>
      <c r="CP844" s="14">
        <f t="shared" si="303"/>
        <v>260</v>
      </c>
      <c r="CQ844" s="14">
        <f t="shared" si="303"/>
        <v>26</v>
      </c>
      <c r="CR844" s="14">
        <f t="shared" ca="1" si="303"/>
        <v>26.216666666666658</v>
      </c>
      <c r="CS844" s="14">
        <f ca="1">SUM(CP844:CR844)</f>
        <v>312.21666666666664</v>
      </c>
      <c r="CT844" s="47">
        <f ca="1">SUM(CS844/DI844)</f>
        <v>1.2488666666666665E-2</v>
      </c>
      <c r="CU844" s="14">
        <f>19.5+39</f>
        <v>58.5</v>
      </c>
      <c r="CV844" s="32">
        <f>COUNTIF(DB844, "*")+COUNTIF(AO844, "*")+COUNTIF(AJ844, "*")+COUNTIF(AA844, "*")+COUNTIF(DY844, "*")+COUNTIF(EE844, "*")+COUNTIF(EK844, "*")+COUNTIF(EO844, "*")+COUNTIF(EV844, "*")+COUNTIF(FC844, "*")+COUNTIF(FJ844, "*")+COUNTIF(FU844, "*")+COUNTIF(GF844, "*")+COUNTIF(GN844, "*")+COUNTIF(GV844, "*")+COUNTIF(HD844, "*")+COUNTIF(HL844, "*")</f>
        <v>2</v>
      </c>
      <c r="CW844" s="14">
        <f>CV844*0.5</f>
        <v>1</v>
      </c>
      <c r="CX844" s="4"/>
      <c r="CY844" s="14">
        <f ca="1">SUM(CS844,CU844,DE844, CX844, CW844,FG844)</f>
        <v>371.71666666666664</v>
      </c>
      <c r="CZ844" s="4"/>
      <c r="DE844" s="14">
        <f>SUM(CZ844:DD844)</f>
        <v>0</v>
      </c>
      <c r="DF844" s="24" t="s">
        <v>2773</v>
      </c>
      <c r="DG844" s="4">
        <v>25000</v>
      </c>
      <c r="DH844" s="4">
        <v>0</v>
      </c>
      <c r="DI844" s="25">
        <f>SUM(DG844+DH844)</f>
        <v>25000</v>
      </c>
      <c r="DJ844" s="35">
        <v>0.2</v>
      </c>
      <c r="IC844" s="4"/>
      <c r="IZ844" s="18"/>
    </row>
    <row r="845" spans="1:263" ht="15" customHeight="1">
      <c r="A845" s="2">
        <v>102018022</v>
      </c>
      <c r="B845" s="4" t="s">
        <v>1118</v>
      </c>
      <c r="C845" s="4"/>
      <c r="G845">
        <v>180004378</v>
      </c>
      <c r="J845" t="s">
        <v>305</v>
      </c>
      <c r="K845" t="s">
        <v>1119</v>
      </c>
      <c r="L845" t="s">
        <v>577</v>
      </c>
      <c r="M845" t="s">
        <v>426</v>
      </c>
      <c r="O845" s="1"/>
      <c r="P845" t="s">
        <v>1119</v>
      </c>
      <c r="Q845" t="s">
        <v>732</v>
      </c>
      <c r="R845" t="s">
        <v>428</v>
      </c>
      <c r="T845" s="1"/>
      <c r="AJ845" s="4"/>
      <c r="AK845" s="4"/>
      <c r="AO845" s="4"/>
      <c r="AP845" s="5"/>
      <c r="AQ845" s="34"/>
      <c r="AS845" s="1"/>
      <c r="AT845" s="1"/>
      <c r="AU845" s="29"/>
      <c r="AV845" s="1"/>
      <c r="AW845" s="1"/>
      <c r="AX845" s="1"/>
      <c r="AY845" s="1"/>
      <c r="AZ845" s="1"/>
      <c r="BA845" s="1"/>
      <c r="BB845" s="1"/>
      <c r="BC845" s="1"/>
      <c r="BD845" s="1"/>
      <c r="BE845" s="1"/>
      <c r="BF845" s="1"/>
      <c r="BG845" s="5"/>
      <c r="BH845" s="16"/>
      <c r="BI845" s="16"/>
      <c r="BK845" s="4"/>
      <c r="BL845" s="4"/>
      <c r="BM845" s="6"/>
      <c r="BN845" s="7"/>
      <c r="BO845" s="4"/>
      <c r="BP845" s="6"/>
      <c r="BQ845" s="4"/>
      <c r="BR845" s="4"/>
      <c r="BS845" s="6"/>
      <c r="BT845" s="7"/>
      <c r="BU845" s="4"/>
      <c r="BV845" s="4"/>
      <c r="BW845" s="4"/>
      <c r="BX845" s="4"/>
      <c r="BY845" s="6"/>
      <c r="BZ845" s="7"/>
      <c r="CA845" s="4"/>
      <c r="CB845" s="4"/>
      <c r="CC845" s="4"/>
      <c r="CD845" s="4"/>
      <c r="CE845" s="6"/>
      <c r="CF845" s="7"/>
      <c r="CG845" s="4"/>
      <c r="CH845" s="4"/>
      <c r="CI845" s="4"/>
      <c r="CJ845" s="4"/>
      <c r="CK845" s="6"/>
      <c r="CL845" s="7"/>
      <c r="CM845" s="4"/>
      <c r="CN845" s="4"/>
      <c r="CO845" s="4"/>
      <c r="CP845" s="4"/>
      <c r="CQ845" s="6"/>
      <c r="CR845" s="7"/>
      <c r="CS845" s="4"/>
      <c r="CT845" s="4"/>
      <c r="CU845" s="4"/>
      <c r="CV845" s="4"/>
      <c r="CW845" s="6"/>
      <c r="CX845" s="7"/>
      <c r="CY845" s="4"/>
      <c r="CZ845" s="4"/>
      <c r="DA845" s="4"/>
      <c r="DB845" s="4"/>
      <c r="DC845" s="6"/>
      <c r="DD845" s="7"/>
      <c r="DE845" s="4"/>
      <c r="DF845" s="4"/>
      <c r="DG845" s="4"/>
      <c r="DH845" s="14"/>
      <c r="DI845" s="14"/>
      <c r="DJ845" s="4"/>
      <c r="DL845" s="4"/>
      <c r="DM845" s="234"/>
      <c r="DN845" s="4"/>
      <c r="DO845" s="4"/>
      <c r="DP845" s="4"/>
      <c r="DQ845" s="7"/>
      <c r="DR845" s="7"/>
      <c r="DS845" s="4"/>
      <c r="DT845" s="4"/>
      <c r="DU845" s="8"/>
      <c r="DV845" s="4"/>
      <c r="DW845" s="8"/>
      <c r="DX845" s="4"/>
      <c r="DY845" s="4"/>
      <c r="DZ845" s="7"/>
      <c r="EG845" s="11"/>
      <c r="EM845" s="4"/>
      <c r="EN845" s="4"/>
      <c r="EO845" s="11"/>
      <c r="EP845" s="4"/>
      <c r="EQ845" s="4"/>
      <c r="ER845" s="4"/>
      <c r="ES845" s="4"/>
      <c r="ET845" s="4"/>
      <c r="EU845" s="4"/>
      <c r="EV845" s="4"/>
      <c r="EW845" s="4"/>
      <c r="EX845" s="4"/>
      <c r="EY845" s="4"/>
      <c r="EZ845" s="4"/>
      <c r="FA845" s="4"/>
      <c r="FB845" s="4"/>
      <c r="FC845" s="4"/>
      <c r="FI845" s="9"/>
      <c r="FR845" s="9"/>
      <c r="FX845" s="4"/>
      <c r="GA845" s="10"/>
      <c r="GK845" s="10"/>
      <c r="GZ845" s="9"/>
      <c r="IJ845" s="4"/>
      <c r="IK845" s="4"/>
      <c r="IP845" s="4"/>
    </row>
    <row r="846" spans="1:263" ht="15" customHeight="1">
      <c r="A846" s="2">
        <v>102023001</v>
      </c>
      <c r="B846" t="s">
        <v>4065</v>
      </c>
      <c r="J846" t="s">
        <v>253</v>
      </c>
      <c r="K846" t="s">
        <v>399</v>
      </c>
      <c r="L846" t="s">
        <v>4066</v>
      </c>
      <c r="O846" s="3"/>
      <c r="AG846"/>
      <c r="AJ846" s="18" t="s">
        <v>4076</v>
      </c>
      <c r="AK846" t="s">
        <v>258</v>
      </c>
      <c r="AL846" t="s">
        <v>259</v>
      </c>
      <c r="AM846" t="s">
        <v>260</v>
      </c>
      <c r="AN846"/>
      <c r="AO846" t="s">
        <v>4077</v>
      </c>
      <c r="AP846" s="3" t="s">
        <v>258</v>
      </c>
      <c r="AQ846" t="s">
        <v>290</v>
      </c>
      <c r="AR846" t="s">
        <v>268</v>
      </c>
      <c r="AS846" s="18" t="s">
        <v>372</v>
      </c>
      <c r="AT846" s="18" t="s">
        <v>373</v>
      </c>
      <c r="AU846" s="18" t="s">
        <v>374</v>
      </c>
      <c r="AV846" s="18" t="s">
        <v>259</v>
      </c>
      <c r="AW846" s="18" t="s">
        <v>260</v>
      </c>
      <c r="AX846" s="1"/>
      <c r="AY846" s="1"/>
      <c r="AZ846" s="1"/>
      <c r="BA846" s="1"/>
      <c r="BB846" s="1"/>
      <c r="BC846" s="2"/>
      <c r="BD846" s="116"/>
      <c r="BE846" s="115"/>
      <c r="BF846" s="2"/>
      <c r="BG846" s="2"/>
      <c r="BH846" s="2"/>
      <c r="BI846" s="2"/>
      <c r="BJ846" s="2"/>
      <c r="BK846" s="2"/>
      <c r="BL846" s="20">
        <f ca="1">SUM(DP846)+220</f>
        <v>558.8921416666667</v>
      </c>
      <c r="BM846" s="22">
        <f ca="1">PMT(10%/12,12,BL846,0,0)</f>
        <v>-49.135498500505221</v>
      </c>
      <c r="BN846" s="22">
        <f ca="1">SUM(BM846*-1)</f>
        <v>49.135498500505221</v>
      </c>
      <c r="BO846" s="14">
        <f>SUM(DX846*0.0052)/12</f>
        <v>31.72</v>
      </c>
      <c r="BP846" s="22">
        <f ca="1">SUM(BN846+BO846)</f>
        <v>80.85549850050522</v>
      </c>
      <c r="BQ846" s="14"/>
      <c r="BR846" s="14">
        <f>SUM(BQ846*0.1)</f>
        <v>0</v>
      </c>
      <c r="BS846" s="14">
        <f ca="1">SUM(BT846*BU846)</f>
        <v>0</v>
      </c>
      <c r="BT846" s="17">
        <f>SUM((BQ846+BR846)*0.00833333333333333)</f>
        <v>0</v>
      </c>
      <c r="BU846" s="23">
        <f ca="1">MONTH(TODAY())+49</f>
        <v>53</v>
      </c>
      <c r="BV846" s="14">
        <f ca="1">SUM(BQ846,BR846,BS846)</f>
        <v>0</v>
      </c>
      <c r="BW846" s="14"/>
      <c r="BX846" s="14">
        <f>SUM(BW846*0.1)</f>
        <v>0</v>
      </c>
      <c r="BY846" s="14">
        <f ca="1">SUM(BZ846*CA846)</f>
        <v>0</v>
      </c>
      <c r="BZ846" s="17">
        <f>SUM((BW846+BX846)*0.00833333333333333)</f>
        <v>0</v>
      </c>
      <c r="CA846" s="23">
        <f ca="1">MONTH(TODAY())+37</f>
        <v>41</v>
      </c>
      <c r="CB846" s="14">
        <f ca="1">SUM(BW846,BX846,BY846)</f>
        <v>0</v>
      </c>
      <c r="CC846" s="14">
        <v>0</v>
      </c>
      <c r="CD846" s="14">
        <f>SUM(CC846*0.1)</f>
        <v>0</v>
      </c>
      <c r="CE846" s="14">
        <f ca="1">SUM(CF846*CG846)</f>
        <v>0</v>
      </c>
      <c r="CF846" s="17">
        <f>SUM((CC846+CD846)*0.00833333333333333)</f>
        <v>0</v>
      </c>
      <c r="CG846" s="23">
        <f ca="1">MONTH(TODAY())+25</f>
        <v>29</v>
      </c>
      <c r="CH846" s="14">
        <f ca="1">SUM(CC846,CD846,CE846)</f>
        <v>0</v>
      </c>
      <c r="CI846" s="14">
        <f>34.79+4.16</f>
        <v>38.950000000000003</v>
      </c>
      <c r="CJ846" s="14">
        <f>SUM(CI846*0.1)</f>
        <v>3.8950000000000005</v>
      </c>
      <c r="CK846" s="14">
        <f ca="1">SUM(CL846*CM846)</f>
        <v>6.069708333333331</v>
      </c>
      <c r="CL846" s="17">
        <f>SUM((CI846+CJ846)*0.00833333333333333)</f>
        <v>0.35704166666666654</v>
      </c>
      <c r="CM846" s="23">
        <f ca="1">MONTH(TODAY())+13</f>
        <v>17</v>
      </c>
      <c r="CN846" s="14">
        <f ca="1">SUM(CI846,CJ846,CK846)</f>
        <v>48.914708333333337</v>
      </c>
      <c r="CO846" s="14">
        <f>SUM(DU846*0.0052)/2</f>
        <v>115.17999999999999</v>
      </c>
      <c r="CP846" s="14">
        <f>SUM(CO846*0.1)</f>
        <v>11.518000000000001</v>
      </c>
      <c r="CQ846" s="14">
        <f ca="1">SUM(CR846*CS846)</f>
        <v>9.5023499999999963</v>
      </c>
      <c r="CR846" s="17">
        <f>SUM((CO846+CP846)*0.00833333333333333)</f>
        <v>1.0558166666666662</v>
      </c>
      <c r="CS846" s="23">
        <f ca="1">MONTH(TODAY())+5</f>
        <v>9</v>
      </c>
      <c r="CT846" s="23">
        <f ca="1">SUM(CO846,CP846,CQ846)</f>
        <v>136.20034999999999</v>
      </c>
      <c r="CU846" s="14">
        <f>SUM(DU846*0.0052)/2</f>
        <v>115.17999999999999</v>
      </c>
      <c r="CV846" s="14">
        <f>SUM(CU846*0.1)</f>
        <v>11.518000000000001</v>
      </c>
      <c r="CW846" s="14">
        <f ca="1">SUM(CX846*CY846)</f>
        <v>5.2790833333333307</v>
      </c>
      <c r="CX846" s="17">
        <f>SUM((CU846+CV846)*0.00833333333333333)</f>
        <v>1.0558166666666662</v>
      </c>
      <c r="CY846" s="23">
        <f ca="1">MONTH(TODAY())+1</f>
        <v>5</v>
      </c>
      <c r="CZ846" s="23">
        <f ca="1">SUM(CU846,CV846,CW846)</f>
        <v>131.97708333333333</v>
      </c>
      <c r="DA846" s="14">
        <f>SUM( BQ846, BW846, CC846, CI846, CO846,CU846)</f>
        <v>269.31</v>
      </c>
      <c r="DB846" s="14">
        <f>SUM(BR846,BX846,CD846,CJ846, CP846,CV846)</f>
        <v>26.931000000000001</v>
      </c>
      <c r="DC846" s="14">
        <f ca="1">SUM(BS846,BY846,CE846,CK846, CQ846,CW846)</f>
        <v>20.851141666666656</v>
      </c>
      <c r="DD846" s="25">
        <f ca="1">SUM(DA846:DC846)</f>
        <v>317.09214166666663</v>
      </c>
      <c r="DE846" s="47">
        <f ca="1">SUM(DD846/DU846)</f>
        <v>7.1578361550037614E-3</v>
      </c>
      <c r="DF846" s="14">
        <v>20</v>
      </c>
      <c r="DG846" s="32">
        <f>COUNTIF(DL846, "*")+COUNTIF(AO846, "*")+COUNTIF(AJ846, "*")+COUNTIF(AA846, "*")+COUNTIF(EM846, "*")+COUNTIF(ES846, "*")+COUNTIF(EY846, "*")+COUNTIF(FC846, "*")+COUNTIF(FJ846, "*")+COUNTIF(AT846, "*")+COUNTIF(FS846, "*")+COUNTIF(GD846, "*")+COUNTIF(GO846, "*")+COUNTIF(GW846, "*")+COUNTIF(HE846, "*")+COUNTIF(HM846, "*")+COUNTIF(HU846, "*")</f>
        <v>3</v>
      </c>
      <c r="DH846" s="14">
        <f>DG846*0.6</f>
        <v>1.7999999999999998</v>
      </c>
      <c r="DI846" s="4"/>
      <c r="DJ846" s="4"/>
      <c r="DK846" s="4"/>
      <c r="DL846" s="4"/>
      <c r="DN846" s="4"/>
      <c r="DO846" s="14">
        <f>SUM(DJ846:DN846)</f>
        <v>0</v>
      </c>
      <c r="DP846" s="14">
        <f ca="1">SUM(DD846,DF846,DO846, DI846, DH846,FP846)</f>
        <v>338.89214166666665</v>
      </c>
      <c r="DQ846" s="24" t="s">
        <v>3879</v>
      </c>
      <c r="DR846" s="7">
        <v>0.33</v>
      </c>
      <c r="DS846" s="4">
        <v>15000</v>
      </c>
      <c r="DT846" s="4">
        <v>29300</v>
      </c>
      <c r="DU846" s="14">
        <f>SUM(DS846+DT846)</f>
        <v>44300</v>
      </c>
      <c r="DV846" s="14">
        <v>20000</v>
      </c>
      <c r="DW846" s="14">
        <v>53200</v>
      </c>
      <c r="DX846" s="14">
        <f>SUM(DV846+DW846)</f>
        <v>73200</v>
      </c>
      <c r="IA846" s="9"/>
      <c r="IL846" s="14">
        <f ca="1">SUM(IB846-DP846-FP846-IJ846)</f>
        <v>-338.89214166666665</v>
      </c>
      <c r="IM846" s="9"/>
      <c r="IN846" s="9"/>
      <c r="IO846" s="9"/>
      <c r="IP846" s="9"/>
      <c r="IQ846" s="9"/>
    </row>
    <row r="847" spans="1:263" ht="15" customHeight="1">
      <c r="A847" s="19">
        <v>102023047</v>
      </c>
      <c r="B847" s="18" t="s">
        <v>4239</v>
      </c>
      <c r="D847" s="1"/>
      <c r="E847" t="s">
        <v>4948</v>
      </c>
      <c r="F847">
        <v>230002972</v>
      </c>
      <c r="G847" s="24"/>
      <c r="J847" s="18" t="s">
        <v>311</v>
      </c>
      <c r="K847" s="18" t="s">
        <v>399</v>
      </c>
      <c r="L847" s="18" t="s">
        <v>512</v>
      </c>
      <c r="M847" s="18" t="s">
        <v>537</v>
      </c>
      <c r="N847" s="18"/>
      <c r="O847" s="24"/>
      <c r="P847" s="18"/>
      <c r="Q847" s="18"/>
      <c r="R847" s="18"/>
      <c r="S847" s="18"/>
      <c r="AG847" s="43"/>
      <c r="AJ847" s="18"/>
      <c r="AK847" s="18"/>
      <c r="AL847" s="18"/>
      <c r="AM847" s="18"/>
      <c r="AN847" s="18"/>
      <c r="AO847" s="18" t="s">
        <v>4238</v>
      </c>
      <c r="AP847" s="18" t="s">
        <v>258</v>
      </c>
      <c r="AQ847" s="18" t="s">
        <v>259</v>
      </c>
      <c r="AR847" s="18" t="s">
        <v>260</v>
      </c>
      <c r="AS847" s="18" t="s">
        <v>372</v>
      </c>
      <c r="AT847" s="18" t="s">
        <v>373</v>
      </c>
      <c r="AU847" s="18" t="s">
        <v>374</v>
      </c>
      <c r="AV847" s="18" t="s">
        <v>259</v>
      </c>
      <c r="AW847" s="18" t="s">
        <v>260</v>
      </c>
      <c r="AX847" s="1"/>
      <c r="AY847" s="1" t="s">
        <v>258</v>
      </c>
      <c r="AZ847" s="1"/>
      <c r="BA847" s="1"/>
      <c r="BB847" s="1"/>
      <c r="BC847" s="9">
        <v>45093</v>
      </c>
      <c r="BD847" s="115">
        <v>45060</v>
      </c>
      <c r="BE847" s="115">
        <v>45049</v>
      </c>
      <c r="BF847" s="2"/>
      <c r="BG847" s="2"/>
      <c r="BH847" s="2"/>
      <c r="BI847" s="2"/>
      <c r="BJ847" s="70">
        <v>45177</v>
      </c>
      <c r="BK847" s="2" t="s">
        <v>319</v>
      </c>
      <c r="BL847" s="20">
        <f ca="1">SUM(EB847)+220</f>
        <v>2038.7353875000001</v>
      </c>
      <c r="BM847" s="22">
        <f ca="1">PMT(10%/12,12,BL847,0,0)</f>
        <v>-179.23723041927994</v>
      </c>
      <c r="BN847" s="22">
        <f ca="1">SUM(BM847*-1)</f>
        <v>179.23723041927994</v>
      </c>
      <c r="BO847" s="14">
        <f>SUM(EJ847*0.0052)/12</f>
        <v>22.403333333333332</v>
      </c>
      <c r="BP847" s="22">
        <f ca="1">SUM(BN847+BO847)</f>
        <v>201.64056375261328</v>
      </c>
      <c r="BQ847" s="14"/>
      <c r="BR847" s="14">
        <f>SUM(BQ847*0.1)</f>
        <v>0</v>
      </c>
      <c r="BS847" s="14">
        <f ca="1">SUM(BT847*BU847)</f>
        <v>0</v>
      </c>
      <c r="BT847" s="17">
        <f>SUM((BQ847+BR847)*0.00833333333333333)</f>
        <v>0</v>
      </c>
      <c r="BU847" s="23">
        <f ca="1">MONTH(TODAY())+49</f>
        <v>53</v>
      </c>
      <c r="BV847" s="14">
        <f ca="1">SUM(BQ847,BR847,BS847)</f>
        <v>0</v>
      </c>
      <c r="BW847" s="14"/>
      <c r="BX847" s="14">
        <f>SUM(BW847*0.1)</f>
        <v>0</v>
      </c>
      <c r="BY847" s="14">
        <f ca="1">SUM(BZ847*CA847)</f>
        <v>0</v>
      </c>
      <c r="BZ847" s="17">
        <f>SUM((BW847+BX847)*0.00833333333333333)</f>
        <v>0</v>
      </c>
      <c r="CA847" s="23">
        <f ca="1">MONTH(TODAY())+37</f>
        <v>41</v>
      </c>
      <c r="CB847" s="14">
        <f ca="1">SUM(BW847,BX847,BY847)</f>
        <v>0</v>
      </c>
      <c r="CC847" s="14">
        <v>0</v>
      </c>
      <c r="CD847" s="14">
        <f>SUM(CC847*0.1)</f>
        <v>0</v>
      </c>
      <c r="CE847" s="14">
        <f ca="1">SUM(CF847*CG847)</f>
        <v>0</v>
      </c>
      <c r="CF847" s="17">
        <f>SUM((CC847+CD847)*0.00833333333333333)</f>
        <v>0</v>
      </c>
      <c r="CG847" s="23">
        <f ca="1">MONTH(TODAY())+25</f>
        <v>29</v>
      </c>
      <c r="CH847" s="14">
        <f ca="1">SUM(CC847,CD847,CE847)</f>
        <v>0</v>
      </c>
      <c r="CI847" s="14">
        <f>SUM(EG847*0.0052)</f>
        <v>201.76</v>
      </c>
      <c r="CJ847" s="14">
        <f>SUM(CI847*0.1)</f>
        <v>20.176000000000002</v>
      </c>
      <c r="CK847" s="14">
        <f ca="1">SUM(CL847*CM847)</f>
        <v>31.440933333333316</v>
      </c>
      <c r="CL847" s="17">
        <f>SUM((CI847+CJ847)*0.00833333333333333)</f>
        <v>1.8494666666666657</v>
      </c>
      <c r="CM847" s="23">
        <f ca="1">MONTH(TODAY())+13</f>
        <v>17</v>
      </c>
      <c r="CN847" s="14">
        <f ca="1">SUM(CI847,CJ847,CK847)</f>
        <v>253.37693333333328</v>
      </c>
      <c r="CO847" s="14">
        <f>SUM(EG847*0.0052)/2</f>
        <v>100.88</v>
      </c>
      <c r="CP847" s="14">
        <f>SUM(CO847*0.1)</f>
        <v>10.088000000000001</v>
      </c>
      <c r="CQ847" s="14">
        <f ca="1">SUM(CR847*CS847)</f>
        <v>8.322599999999996</v>
      </c>
      <c r="CR847" s="17">
        <f>SUM((CO847+CP847)*0.00833333333333333)</f>
        <v>0.92473333333333285</v>
      </c>
      <c r="CS847" s="23">
        <f ca="1">MONTH(TODAY())+5</f>
        <v>9</v>
      </c>
      <c r="CT847" s="23">
        <f ca="1">SUM(CO847,CP847,CQ847)</f>
        <v>119.29059999999998</v>
      </c>
      <c r="CU847" s="14">
        <f>SUM(EG847*0.0052)/2</f>
        <v>100.88</v>
      </c>
      <c r="CV847" s="14">
        <f>SUM(CU847*0.1)</f>
        <v>10.088000000000001</v>
      </c>
      <c r="CW847" s="14">
        <f ca="1">SUM(CX847*CY847)</f>
        <v>4.6236666666666641</v>
      </c>
      <c r="CX847" s="17">
        <f>SUM((CU847+CV847)*0.00833333333333333)</f>
        <v>0.92473333333333285</v>
      </c>
      <c r="CY847" s="23">
        <f ca="1">MONTH(TODAY())+1</f>
        <v>5</v>
      </c>
      <c r="CZ847" s="23">
        <f ca="1">SUM(CU847,CV847,CW847)</f>
        <v>115.59166666666665</v>
      </c>
      <c r="DA847" s="14">
        <f>SUM(EJ847*0.0045)/2</f>
        <v>116.32499999999999</v>
      </c>
      <c r="DB847" s="14">
        <f>SUM(DA847*0.1)</f>
        <v>11.6325</v>
      </c>
      <c r="DC847" s="14">
        <f ca="1">SUM(DD847*DE847)</f>
        <v>-1.0663124999999993</v>
      </c>
      <c r="DD847" s="17">
        <f>SUM((DA847+DB847)*0.00833333333333333)</f>
        <v>1.0663124999999993</v>
      </c>
      <c r="DE847" s="23">
        <f ca="1">MONTH(TODAY())-5</f>
        <v>-1</v>
      </c>
      <c r="DF847" s="23">
        <f ca="1">SUM(DA847,DB847,DC847)</f>
        <v>126.89118749999999</v>
      </c>
      <c r="DG847" s="14">
        <f>SUM(EJ847*0.0045)/2</f>
        <v>116.32499999999999</v>
      </c>
      <c r="DH847" s="14">
        <v>0</v>
      </c>
      <c r="DI847" s="14">
        <v>0</v>
      </c>
      <c r="DJ847" s="17">
        <f>SUM((DG847+DH847)*0.00833333333333333)</f>
        <v>0.96937499999999954</v>
      </c>
      <c r="DK847" s="23">
        <f ca="1">MONTH(TODAY())+1</f>
        <v>5</v>
      </c>
      <c r="DL847" s="23">
        <f>SUM(DG847,DH847,DI847)</f>
        <v>116.32499999999999</v>
      </c>
      <c r="DM847" s="14">
        <f>SUM( BQ847, BW847, CC847, CI847, CO847,CU847,DA847,DG847)</f>
        <v>636.17000000000007</v>
      </c>
      <c r="DN847" s="14">
        <f>SUM(BR847,BX847,CD847,CJ847, CP847,CV847,DB847,DH847)</f>
        <v>51.984500000000004</v>
      </c>
      <c r="DO847" s="14">
        <f ca="1">SUM(BS847,BY847,CE847,CK847, CQ847,CW847,DC847,DI847)</f>
        <v>43.320887499999976</v>
      </c>
      <c r="DP847" s="25">
        <f ca="1">SUM(DM847:DO847)</f>
        <v>731.47538750000012</v>
      </c>
      <c r="DQ847" s="47">
        <f ca="1">SUM(DP847/EG847)</f>
        <v>1.8852458440721653E-2</v>
      </c>
      <c r="DR847" s="14">
        <f>19.5+200+10+200+40+40+40+80+100</f>
        <v>729.5</v>
      </c>
      <c r="DS847" s="32">
        <f>COUNTIF(DX847, "*")+COUNTIF(AO847, "*")+COUNTIF(AJ847, "*")+COUNTIF(AA847, "*")+COUNTIF(EY847, "*")+COUNTIF(FE847, "*")+COUNTIF(FK847, "*")+COUNTIF(FO847, "*")+COUNTIF(FV847, "*")+COUNTIF(AT847, "*")+COUNTIF(GE847, "*")+COUNTIF(GP847, "*")+COUNTIF(HA847, "*")+COUNTIF(HI847, "*")+COUNTIF(HQ847, "*")+COUNTIF(HY847, "*")+COUNTIF(IG847, "*")</f>
        <v>5</v>
      </c>
      <c r="DT847" s="14">
        <f>1.2+39.8+30</f>
        <v>71</v>
      </c>
      <c r="DU847" s="4">
        <v>250</v>
      </c>
      <c r="DV847" s="4">
        <v>36.76</v>
      </c>
      <c r="DW847" s="4"/>
      <c r="DX847" s="4"/>
      <c r="DZ847" s="4"/>
      <c r="EA847" s="14">
        <f>SUM(DV847:DZ847)</f>
        <v>36.76</v>
      </c>
      <c r="EB847" s="14">
        <f ca="1">SUM(DP847,DR847,EA847, DU847, DT847,GB847)</f>
        <v>1818.7353875000001</v>
      </c>
      <c r="EC847" s="24" t="s">
        <v>3879</v>
      </c>
      <c r="ED847" s="130">
        <v>0.17</v>
      </c>
      <c r="EE847" s="14">
        <v>12000</v>
      </c>
      <c r="EF847" s="14">
        <v>26800</v>
      </c>
      <c r="EG847" s="14">
        <v>38800</v>
      </c>
      <c r="EH847" s="14">
        <v>18000</v>
      </c>
      <c r="EI847" s="14">
        <v>33700</v>
      </c>
      <c r="EJ847" s="14">
        <f>SUM(EH847+EI847)</f>
        <v>51700</v>
      </c>
      <c r="EK847" s="43" t="s">
        <v>4706</v>
      </c>
      <c r="EL847" t="s">
        <v>4707</v>
      </c>
      <c r="GC847" t="s">
        <v>421</v>
      </c>
      <c r="GD847" t="s">
        <v>4711</v>
      </c>
      <c r="GE847" t="s">
        <v>3579</v>
      </c>
      <c r="GG847" t="s">
        <v>274</v>
      </c>
      <c r="GH847" t="s">
        <v>275</v>
      </c>
      <c r="GI847" s="9">
        <v>38264</v>
      </c>
      <c r="GJ847" t="s">
        <v>4708</v>
      </c>
      <c r="GN847" t="s">
        <v>4873</v>
      </c>
      <c r="GO847" t="s">
        <v>4712</v>
      </c>
      <c r="GP847" t="s">
        <v>4874</v>
      </c>
      <c r="GR847" t="s">
        <v>274</v>
      </c>
      <c r="GS847" t="s">
        <v>275</v>
      </c>
      <c r="GT847" s="9">
        <v>39386</v>
      </c>
      <c r="GU847" t="s">
        <v>4709</v>
      </c>
      <c r="GY847" t="s">
        <v>421</v>
      </c>
      <c r="GZ847" t="s">
        <v>4711</v>
      </c>
      <c r="HA847" t="s">
        <v>3579</v>
      </c>
      <c r="HC847" t="s">
        <v>274</v>
      </c>
      <c r="HD847" t="s">
        <v>275</v>
      </c>
      <c r="HE847" s="9">
        <v>38264</v>
      </c>
      <c r="HF847" t="s">
        <v>4710</v>
      </c>
      <c r="IM847" s="9"/>
      <c r="IX847" s="14">
        <f ca="1">SUM(IN847-EB847-GB847-IV847)</f>
        <v>-1818.7353875000001</v>
      </c>
      <c r="IY847" s="9"/>
      <c r="IZ847" s="9"/>
      <c r="JA847" s="9"/>
      <c r="JB847" s="9"/>
      <c r="JC847" s="9"/>
    </row>
    <row r="848" spans="1:263" ht="15" customHeight="1">
      <c r="A848" s="19">
        <v>102017020</v>
      </c>
      <c r="B848" s="18" t="s">
        <v>251</v>
      </c>
      <c r="C848" s="13"/>
      <c r="D848" s="13"/>
      <c r="E848" s="18" t="s">
        <v>252</v>
      </c>
      <c r="F848" s="19">
        <v>170006443</v>
      </c>
      <c r="G848" s="18"/>
      <c r="H848" s="18"/>
      <c r="I848" s="18"/>
      <c r="J848" s="18" t="s">
        <v>253</v>
      </c>
      <c r="K848" s="18" t="s">
        <v>254</v>
      </c>
      <c r="L848" s="18" t="s">
        <v>255</v>
      </c>
      <c r="M848" s="18" t="s">
        <v>256</v>
      </c>
      <c r="N848" s="18"/>
      <c r="O848" s="13"/>
      <c r="P848" s="18"/>
      <c r="Q848" s="18"/>
      <c r="R848" s="18"/>
      <c r="S848" s="18"/>
      <c r="T848" s="13"/>
      <c r="U848" s="18"/>
      <c r="V848" s="18"/>
      <c r="W848" s="18"/>
      <c r="X848" s="18"/>
      <c r="Y848" s="18"/>
      <c r="Z848" s="18"/>
      <c r="AA848" s="18"/>
      <c r="AB848" s="18"/>
      <c r="AC848" s="18"/>
      <c r="AD848" s="18"/>
      <c r="AE848" s="18"/>
      <c r="AF848" s="18"/>
      <c r="AG848" s="231"/>
      <c r="AH848" s="18"/>
      <c r="AI848" s="18"/>
      <c r="AJ848" s="18"/>
      <c r="AK848" s="18"/>
      <c r="AL848" s="14"/>
      <c r="AM848" s="24"/>
      <c r="AN848" s="24"/>
      <c r="AO848" s="18" t="s">
        <v>257</v>
      </c>
      <c r="AP848" s="13" t="s">
        <v>258</v>
      </c>
      <c r="AQ848" s="63" t="s">
        <v>259</v>
      </c>
      <c r="AR848" s="63" t="s">
        <v>260</v>
      </c>
      <c r="AS848" s="13"/>
      <c r="AT848" s="13"/>
      <c r="AU848" s="13"/>
      <c r="AV848" s="13"/>
      <c r="AW848" s="13"/>
      <c r="AX848" s="48"/>
      <c r="AY848" s="48"/>
      <c r="AZ848" s="48"/>
      <c r="BA848" s="19"/>
      <c r="BB848" s="19"/>
      <c r="BC848" s="19"/>
      <c r="BD848" s="19"/>
      <c r="BE848" s="48"/>
      <c r="BF848" s="19"/>
      <c r="BG848" s="20"/>
      <c r="BH848" s="22"/>
      <c r="BI848" s="22"/>
      <c r="BJ848" s="14"/>
      <c r="BK848" s="22"/>
      <c r="BL848" s="14"/>
      <c r="BM848" s="14"/>
      <c r="BN848" s="14"/>
      <c r="BO848" s="17"/>
      <c r="BP848" s="23"/>
      <c r="BQ848" s="14"/>
      <c r="BR848" s="14"/>
      <c r="BS848" s="14"/>
      <c r="BT848" s="14"/>
      <c r="BU848" s="17"/>
      <c r="BV848" s="23"/>
      <c r="BW848" s="14"/>
      <c r="BX848" s="14"/>
      <c r="BY848" s="14"/>
      <c r="BZ848" s="14"/>
      <c r="CA848" s="17"/>
      <c r="CB848" s="23"/>
      <c r="CC848" s="14"/>
      <c r="CD848" s="14"/>
      <c r="CE848" s="14"/>
      <c r="CF848" s="14"/>
      <c r="CG848" s="17"/>
      <c r="CH848" s="23"/>
      <c r="CI848" s="14"/>
      <c r="CJ848" s="14"/>
      <c r="CK848" s="14"/>
      <c r="CL848" s="14"/>
      <c r="CM848" s="17"/>
      <c r="CN848" s="23"/>
      <c r="CO848" s="14"/>
      <c r="CP848" s="14"/>
      <c r="CQ848" s="14"/>
      <c r="CR848" s="14"/>
      <c r="CS848" s="17"/>
      <c r="CT848" s="23"/>
      <c r="CU848" s="14"/>
      <c r="CV848" s="14"/>
      <c r="CW848" s="14"/>
      <c r="CX848" s="14"/>
      <c r="CY848" s="14"/>
      <c r="CZ848" s="14"/>
      <c r="DA848" s="14"/>
      <c r="DB848" s="14"/>
      <c r="DC848" s="14"/>
      <c r="DD848" s="14"/>
      <c r="DE848" s="14"/>
      <c r="DF848" s="47"/>
      <c r="DG848" s="14"/>
      <c r="DH848" s="32"/>
      <c r="DI848" s="14"/>
      <c r="DJ848" s="14">
        <v>400</v>
      </c>
      <c r="DK848" s="14">
        <f>SUM(DE848,DG848,DQ848, DJ848, DI848,FS848)</f>
        <v>1393.9157142857143</v>
      </c>
      <c r="DL848" s="14">
        <f>562.32/14</f>
        <v>40.165714285714287</v>
      </c>
      <c r="DM848" s="14"/>
      <c r="DN848" s="14">
        <v>93.75</v>
      </c>
      <c r="DO848" s="14">
        <v>150</v>
      </c>
      <c r="DP848" s="25">
        <v>710</v>
      </c>
      <c r="DQ848" s="14">
        <f>SUM(DL848:DP848)</f>
        <v>993.91571428571433</v>
      </c>
      <c r="DR848" s="24" t="s">
        <v>2217</v>
      </c>
      <c r="DS848" s="25">
        <v>12000</v>
      </c>
      <c r="DT848" s="25">
        <v>42900</v>
      </c>
      <c r="DU848" s="25">
        <f>SUM(DS848+DT848)</f>
        <v>54900</v>
      </c>
      <c r="DV848" s="36">
        <v>0.15</v>
      </c>
      <c r="DW848" s="26" t="s">
        <v>261</v>
      </c>
      <c r="DX848" s="26" t="s">
        <v>262</v>
      </c>
      <c r="DY848" s="26" t="s">
        <v>263</v>
      </c>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27"/>
      <c r="FF848" s="28"/>
      <c r="FG848" s="18"/>
      <c r="FH848" s="18"/>
      <c r="FI848" s="18"/>
      <c r="FJ848" s="18"/>
      <c r="FK848" s="18"/>
      <c r="FL848" s="18"/>
      <c r="FM848" s="28"/>
      <c r="FN848" s="18"/>
      <c r="FO848" s="18"/>
      <c r="FP848" s="18"/>
      <c r="FQ848" s="18"/>
      <c r="FR848" s="18"/>
      <c r="FS848" s="14"/>
      <c r="FT848" s="18" t="s">
        <v>264</v>
      </c>
      <c r="FU848" s="18" t="s">
        <v>265</v>
      </c>
      <c r="FV848" s="18" t="s">
        <v>266</v>
      </c>
      <c r="FW848" s="18"/>
      <c r="FX848" s="18" t="s">
        <v>267</v>
      </c>
      <c r="FY848" s="18" t="s">
        <v>268</v>
      </c>
      <c r="FZ848" s="27">
        <v>42907</v>
      </c>
      <c r="GA848" s="18" t="s">
        <v>269</v>
      </c>
      <c r="GB848" s="18"/>
      <c r="GC848" s="18"/>
      <c r="GD848" s="18"/>
      <c r="GE848" s="18" t="s">
        <v>270</v>
      </c>
      <c r="GF848" s="18" t="s">
        <v>271</v>
      </c>
      <c r="GG848" s="18" t="s">
        <v>272</v>
      </c>
      <c r="GH848" s="18" t="s">
        <v>273</v>
      </c>
      <c r="GI848" s="18" t="s">
        <v>274</v>
      </c>
      <c r="GJ848" s="18" t="s">
        <v>275</v>
      </c>
      <c r="GK848" s="27">
        <v>35474</v>
      </c>
      <c r="GL848" s="18" t="s">
        <v>276</v>
      </c>
      <c r="GM848" s="18"/>
      <c r="GN848" s="18"/>
      <c r="GO848" s="18"/>
      <c r="GP848" s="18" t="s">
        <v>277</v>
      </c>
      <c r="GQ848" s="18" t="s">
        <v>268</v>
      </c>
      <c r="GR848" s="18" t="s">
        <v>278</v>
      </c>
      <c r="GS848" s="18"/>
      <c r="GT848" s="18" t="s">
        <v>279</v>
      </c>
      <c r="GU848" s="18" t="s">
        <v>268</v>
      </c>
      <c r="GV848" s="27">
        <v>36453</v>
      </c>
      <c r="GW848" s="18" t="s">
        <v>280</v>
      </c>
      <c r="GX848" s="18" t="s">
        <v>281</v>
      </c>
      <c r="GY848" s="18" t="s">
        <v>282</v>
      </c>
      <c r="GZ848" s="18" t="s">
        <v>283</v>
      </c>
      <c r="HA848" s="18"/>
      <c r="HB848" s="18" t="s">
        <v>284</v>
      </c>
      <c r="HC848" s="18" t="s">
        <v>285</v>
      </c>
      <c r="HD848" s="27">
        <v>39497</v>
      </c>
      <c r="HE848" s="18" t="s">
        <v>286</v>
      </c>
      <c r="HF848" s="18" t="s">
        <v>287</v>
      </c>
      <c r="HG848" s="18" t="s">
        <v>288</v>
      </c>
      <c r="HH848" s="18" t="s">
        <v>289</v>
      </c>
      <c r="HI848" s="18"/>
      <c r="HJ848" s="18" t="s">
        <v>290</v>
      </c>
      <c r="HK848" s="18" t="s">
        <v>260</v>
      </c>
      <c r="HL848" s="27">
        <v>39650</v>
      </c>
      <c r="HM848" s="18" t="s">
        <v>291</v>
      </c>
      <c r="HN848" s="18" t="s">
        <v>292</v>
      </c>
      <c r="HO848" s="18" t="s">
        <v>293</v>
      </c>
      <c r="HP848" s="18" t="s">
        <v>294</v>
      </c>
      <c r="HQ848" s="18"/>
      <c r="HR848" s="18" t="s">
        <v>295</v>
      </c>
      <c r="HS848" s="18" t="s">
        <v>275</v>
      </c>
      <c r="HT848" s="27">
        <v>39944</v>
      </c>
      <c r="HU848" s="18" t="s">
        <v>296</v>
      </c>
      <c r="HV848" s="18" t="s">
        <v>297</v>
      </c>
      <c r="HW848" s="18" t="s">
        <v>298</v>
      </c>
      <c r="HX848" s="18" t="s">
        <v>299</v>
      </c>
      <c r="HY848" s="18"/>
      <c r="HZ848" s="18" t="s">
        <v>300</v>
      </c>
      <c r="IA848" s="18" t="s">
        <v>301</v>
      </c>
      <c r="IB848" s="27">
        <v>39901</v>
      </c>
      <c r="IC848" s="18" t="s">
        <v>302</v>
      </c>
      <c r="ID848" s="18"/>
      <c r="IE848" s="14"/>
      <c r="IF848" s="14"/>
      <c r="IG848" s="27"/>
      <c r="IH848" s="18"/>
      <c r="II848" s="18"/>
      <c r="IJ848" s="18"/>
      <c r="IK848" s="18"/>
    </row>
    <row r="849" spans="1:263" ht="15" customHeight="1">
      <c r="A849" s="2">
        <v>102019047</v>
      </c>
      <c r="B849" s="4" t="s">
        <v>1366</v>
      </c>
      <c r="C849" s="4"/>
      <c r="E849" s="3"/>
      <c r="F849" s="2"/>
      <c r="G849" s="2"/>
      <c r="H849" s="2"/>
      <c r="J849" t="s">
        <v>311</v>
      </c>
      <c r="K849" t="s">
        <v>306</v>
      </c>
      <c r="L849" t="s">
        <v>741</v>
      </c>
      <c r="M849" t="s">
        <v>396</v>
      </c>
      <c r="O849" s="1"/>
      <c r="T849" s="1"/>
      <c r="AH849" s="1"/>
      <c r="AJ849" s="4"/>
      <c r="AK849" s="4"/>
      <c r="AO849" s="4"/>
      <c r="AP849" s="5"/>
      <c r="AS849" s="5"/>
      <c r="AT849" s="5"/>
      <c r="AU849" s="1"/>
      <c r="AV849" s="1"/>
      <c r="AW849" s="1"/>
      <c r="AX849" s="1"/>
      <c r="AY849" s="1"/>
      <c r="AZ849" s="1"/>
      <c r="BA849" s="1"/>
      <c r="BB849" s="1"/>
      <c r="BC849" s="1"/>
      <c r="BD849" s="1"/>
      <c r="BE849" s="1"/>
      <c r="BF849" s="1"/>
      <c r="BG849" s="5"/>
      <c r="BH849" s="16"/>
      <c r="BI849" s="16"/>
      <c r="BK849" s="4"/>
      <c r="BL849" s="4"/>
      <c r="BM849" s="6"/>
      <c r="BN849" s="7"/>
      <c r="BO849" s="4"/>
      <c r="BP849" s="4"/>
      <c r="BQ849" s="4"/>
      <c r="BR849" s="4"/>
      <c r="BS849" s="6"/>
      <c r="BT849" s="7"/>
      <c r="BU849" s="4"/>
      <c r="BV849" s="4"/>
      <c r="BW849" s="4"/>
      <c r="BX849" s="4"/>
      <c r="BY849" s="6"/>
      <c r="BZ849" s="7"/>
      <c r="CA849" s="4"/>
      <c r="CB849" s="4"/>
      <c r="CC849" s="4"/>
      <c r="CD849" s="4"/>
      <c r="CE849" s="6"/>
      <c r="CF849" s="7"/>
      <c r="CG849" s="4"/>
      <c r="CH849" s="4"/>
      <c r="CI849" s="4"/>
      <c r="CJ849" s="4"/>
      <c r="CK849" s="6"/>
      <c r="CL849" s="7"/>
      <c r="CM849" s="4"/>
      <c r="CN849" s="4"/>
      <c r="CO849" s="4"/>
      <c r="CP849" s="4"/>
      <c r="CQ849" s="6"/>
      <c r="CR849" s="7"/>
      <c r="CS849" s="4"/>
      <c r="CT849" s="4"/>
      <c r="CU849" s="4"/>
      <c r="CV849" s="4"/>
      <c r="CW849" s="6"/>
      <c r="CX849" s="7"/>
      <c r="CY849" s="4"/>
      <c r="CZ849" s="4"/>
      <c r="DA849" s="4"/>
      <c r="DB849" s="4"/>
      <c r="DC849" s="6"/>
      <c r="DD849" s="7"/>
      <c r="DE849" s="4"/>
      <c r="DF849" s="4"/>
      <c r="DG849" s="4"/>
      <c r="DH849" s="14"/>
      <c r="DI849" s="14"/>
      <c r="DJ849" s="4"/>
      <c r="DK849" s="3"/>
      <c r="DL849" s="4"/>
      <c r="DM849" s="234"/>
      <c r="DN849" s="4"/>
      <c r="DO849" s="4"/>
      <c r="DP849" s="4"/>
      <c r="DQ849" s="4"/>
      <c r="DR849" s="4"/>
      <c r="DS849" s="4"/>
      <c r="DT849" s="7"/>
      <c r="DU849" s="8"/>
      <c r="DV849" s="4"/>
      <c r="DW849" s="8"/>
      <c r="DX849" s="4"/>
      <c r="DY849" s="4"/>
      <c r="DZ849" s="7"/>
      <c r="EI849" s="11"/>
      <c r="EO849" s="11"/>
      <c r="EP849" s="11"/>
      <c r="EQ849" s="4"/>
      <c r="ER849" s="4"/>
      <c r="ES849" s="4"/>
      <c r="ET849" s="4"/>
      <c r="EU849" s="4"/>
      <c r="EV849" s="4"/>
      <c r="EW849" s="4"/>
      <c r="EX849" s="4"/>
      <c r="EY849" s="4"/>
      <c r="EZ849" s="4"/>
      <c r="FA849" s="4"/>
      <c r="FB849" s="4"/>
      <c r="FC849" s="4"/>
      <c r="FD849" s="4"/>
      <c r="FE849" s="4"/>
      <c r="FI849" s="9"/>
      <c r="FR849" s="9"/>
      <c r="FX849" s="4"/>
      <c r="GC849" s="10"/>
      <c r="GM849" s="10"/>
      <c r="HB849" s="9"/>
      <c r="IJ849" s="4"/>
      <c r="IK849" s="4"/>
      <c r="IN849" t="s">
        <v>1395</v>
      </c>
      <c r="IO849" t="s">
        <v>1396</v>
      </c>
      <c r="IP849" t="s">
        <v>600</v>
      </c>
      <c r="IS849" s="66">
        <v>173</v>
      </c>
      <c r="IT849" s="66">
        <v>22049.040000000001</v>
      </c>
      <c r="IU849" s="9">
        <v>43643</v>
      </c>
      <c r="IV849" s="9">
        <v>43661</v>
      </c>
      <c r="IW849" s="9">
        <v>43699</v>
      </c>
      <c r="IX849" s="9">
        <v>43711</v>
      </c>
    </row>
    <row r="850" spans="1:263" ht="15" customHeight="1">
      <c r="A850" s="19">
        <v>102021099</v>
      </c>
      <c r="B850" t="s">
        <v>2642</v>
      </c>
      <c r="D850" s="13">
        <v>2023</v>
      </c>
      <c r="E850" s="3"/>
      <c r="G850" s="3"/>
      <c r="J850" t="s">
        <v>253</v>
      </c>
      <c r="K850" t="s">
        <v>306</v>
      </c>
      <c r="L850" t="s">
        <v>2643</v>
      </c>
      <c r="M850" t="s">
        <v>537</v>
      </c>
      <c r="O850" s="3"/>
      <c r="AG850" s="43"/>
      <c r="AJ850" s="18" t="s">
        <v>328</v>
      </c>
      <c r="AL850" s="18" t="s">
        <v>259</v>
      </c>
      <c r="AM850"/>
      <c r="AN850"/>
      <c r="AO850" t="s">
        <v>2644</v>
      </c>
      <c r="AP850" s="3" t="s">
        <v>258</v>
      </c>
      <c r="AQ850" t="s">
        <v>259</v>
      </c>
      <c r="AR850" t="s">
        <v>260</v>
      </c>
      <c r="AS850" s="18" t="s">
        <v>372</v>
      </c>
      <c r="AT850" s="18" t="s">
        <v>373</v>
      </c>
      <c r="AU850" s="18" t="s">
        <v>374</v>
      </c>
      <c r="AV850" s="18" t="s">
        <v>259</v>
      </c>
      <c r="AW850" s="18" t="s">
        <v>260</v>
      </c>
      <c r="AX850" s="1"/>
      <c r="AY850" s="1"/>
      <c r="AZ850" s="1"/>
      <c r="BA850" s="1"/>
      <c r="BB850" s="1"/>
      <c r="BC850" s="2"/>
      <c r="BD850" s="115">
        <v>45060</v>
      </c>
      <c r="BE850" s="115">
        <v>44957</v>
      </c>
      <c r="BF850" s="2"/>
      <c r="BG850" s="2"/>
      <c r="BH850" s="2"/>
      <c r="BI850" s="2"/>
      <c r="BJ850" s="2"/>
      <c r="BK850" s="2"/>
      <c r="BL850" s="20">
        <f ca="1">SUM(EB850)+220</f>
        <v>1114.7600833333333</v>
      </c>
      <c r="BM850" s="22">
        <f ca="1">PMT(10%/12,12,BL850,0,0)</f>
        <v>-98.005121774849428</v>
      </c>
      <c r="BN850" s="22">
        <f ca="1">SUM(BM850*-1)</f>
        <v>98.005121774849428</v>
      </c>
      <c r="BO850" s="14">
        <f>SUM(EJ850*0.0052)/12</f>
        <v>0.8666666666666667</v>
      </c>
      <c r="BP850" s="22">
        <f ca="1">SUM(BN850+BO850)</f>
        <v>98.871788441516088</v>
      </c>
      <c r="BQ850" s="14"/>
      <c r="BR850" s="14">
        <f>SUM(BQ850*0.1)</f>
        <v>0</v>
      </c>
      <c r="BS850" s="14">
        <f ca="1">SUM(BT850*BU850)</f>
        <v>0</v>
      </c>
      <c r="BT850" s="17">
        <f>SUM((BQ850+BR850)*0.00833333333333333)</f>
        <v>0</v>
      </c>
      <c r="BU850" s="23">
        <f ca="1">MONTH(TODAY())+49</f>
        <v>53</v>
      </c>
      <c r="BV850" s="14">
        <f ca="1">SUM(BQ850,BR850,BS850)</f>
        <v>0</v>
      </c>
      <c r="BW850" s="14">
        <f>SUM(EG850*0.0052)</f>
        <v>10.4</v>
      </c>
      <c r="BX850" s="14">
        <f>SUM(BW850*0.1)</f>
        <v>1.04</v>
      </c>
      <c r="BY850" s="14">
        <f ca="1">SUM(BZ850*CA850)</f>
        <v>3.9086666666666652</v>
      </c>
      <c r="BZ850" s="17">
        <f>SUM((BW850+BX850)*0.00833333333333333)</f>
        <v>9.5333333333333298E-2</v>
      </c>
      <c r="CA850" s="23">
        <f ca="1">MONTH(TODAY())+37</f>
        <v>41</v>
      </c>
      <c r="CB850" s="14">
        <f ca="1">SUM(BW850,BX850,BY850)</f>
        <v>15.348666666666666</v>
      </c>
      <c r="CC850" s="14">
        <f>SUM(EG850*0.0052)</f>
        <v>10.4</v>
      </c>
      <c r="CD850" s="14">
        <f>SUM(CC850*0.1)</f>
        <v>1.04</v>
      </c>
      <c r="CE850" s="14">
        <f ca="1">SUM(CF850*CG850)</f>
        <v>2.7646666666666655</v>
      </c>
      <c r="CF850" s="17">
        <f>SUM((CC850+CD850)*0.00833333333333333)</f>
        <v>9.5333333333333298E-2</v>
      </c>
      <c r="CG850" s="23">
        <f ca="1">MONTH(TODAY())+25</f>
        <v>29</v>
      </c>
      <c r="CH850" s="14">
        <f ca="1">SUM(CC850,CD850,CE850)</f>
        <v>14.204666666666666</v>
      </c>
      <c r="CI850" s="14">
        <f>SUM(EG850*0.0052)</f>
        <v>10.4</v>
      </c>
      <c r="CJ850" s="14">
        <f>SUM(CI850*0.1)</f>
        <v>1.04</v>
      </c>
      <c r="CK850" s="14">
        <f ca="1">SUM(CL850*CM850)</f>
        <v>1.620666666666666</v>
      </c>
      <c r="CL850" s="17">
        <f>SUM((CI850+CJ850)*0.00833333333333333)</f>
        <v>9.5333333333333298E-2</v>
      </c>
      <c r="CM850" s="23">
        <f ca="1">MONTH(TODAY())+13</f>
        <v>17</v>
      </c>
      <c r="CN850" s="14">
        <f ca="1">SUM(CI850,CJ850,CK850)</f>
        <v>13.060666666666668</v>
      </c>
      <c r="CO850" s="14">
        <f>SUM(EG850*0.0052)/2</f>
        <v>5.2</v>
      </c>
      <c r="CP850" s="14">
        <f>SUM(CO850*0.1)</f>
        <v>0.52</v>
      </c>
      <c r="CQ850" s="14">
        <f ca="1">SUM(CR850*CS850)</f>
        <v>0.42899999999999983</v>
      </c>
      <c r="CR850" s="17">
        <f>SUM((CO850+CP850)*0.00833333333333333)</f>
        <v>4.7666666666666649E-2</v>
      </c>
      <c r="CS850" s="23">
        <f ca="1">MONTH(TODAY())+5</f>
        <v>9</v>
      </c>
      <c r="CT850" s="23">
        <f ca="1">SUM(CO850,CP850,CQ850)</f>
        <v>6.1490000000000009</v>
      </c>
      <c r="CU850" s="14">
        <f>SUM(EG850*0.0052)/2</f>
        <v>5.2</v>
      </c>
      <c r="CV850" s="14">
        <f>SUM(CU850*0.1)</f>
        <v>0.52</v>
      </c>
      <c r="CW850" s="14">
        <f ca="1">SUM(CX850*CY850)</f>
        <v>0.23833333333333323</v>
      </c>
      <c r="CX850" s="17">
        <f>SUM((CU850+CV850)*0.00833333333333333)</f>
        <v>4.7666666666666649E-2</v>
      </c>
      <c r="CY850" s="23">
        <f ca="1">MONTH(TODAY())+1</f>
        <v>5</v>
      </c>
      <c r="CZ850" s="23">
        <f ca="1">SUM(CU850,CV850,CW850)</f>
        <v>5.9583333333333339</v>
      </c>
      <c r="DA850" s="14">
        <f>SUM(EJ850*0.0045)/2</f>
        <v>4.5</v>
      </c>
      <c r="DB850" s="14">
        <f>SUM(DA850*0.1)</f>
        <v>0.45</v>
      </c>
      <c r="DC850" s="14">
        <f ca="1">SUM(DD850*DE850)</f>
        <v>-4.1249999999999981E-2</v>
      </c>
      <c r="DD850" s="17">
        <f>SUM((DA850+DB850)*0.00833333333333333)</f>
        <v>4.1249999999999981E-2</v>
      </c>
      <c r="DE850" s="23">
        <f ca="1">MONTH(TODAY())-5</f>
        <v>-1</v>
      </c>
      <c r="DF850" s="23">
        <f ca="1">SUM(DA850,DB850,DC850)</f>
        <v>4.9087500000000004</v>
      </c>
      <c r="DG850" s="14">
        <f>SUM(EJ850*0.0045)/2</f>
        <v>4.5</v>
      </c>
      <c r="DH850" s="14">
        <v>0</v>
      </c>
      <c r="DI850" s="14">
        <v>0</v>
      </c>
      <c r="DJ850" s="17">
        <f>SUM((DG850+DH850)*0.00833333333333333)</f>
        <v>3.7499999999999985E-2</v>
      </c>
      <c r="DK850" s="23">
        <f ca="1">MONTH(TODAY())+1</f>
        <v>5</v>
      </c>
      <c r="DL850" s="14">
        <f>SUM(DG850,DH850,DI850)</f>
        <v>4.5</v>
      </c>
      <c r="DM850" s="14">
        <f>SUM( BQ850, BW850, CC850, CI850, CO850,CU850,DA850,DG850)</f>
        <v>50.600000000000009</v>
      </c>
      <c r="DN850" s="14">
        <f>SUM(BR850,BX850,CD850,CJ850, CP850,CV850,DB850,DH850)</f>
        <v>4.6100000000000003</v>
      </c>
      <c r="DO850" s="14">
        <f ca="1">SUM(BS850,BY850,CE850,CK850, CQ850,CW850,DC850,DI850)</f>
        <v>8.9200833333333307</v>
      </c>
      <c r="DP850" s="25">
        <f ca="1">SUM(DM850:DO850)</f>
        <v>64.130083333333346</v>
      </c>
      <c r="DQ850" s="47">
        <f ca="1">SUM(DP850/EG850)</f>
        <v>3.2065041666666676E-2</v>
      </c>
      <c r="DR850" s="14">
        <f>19.5+200+40+40+20</f>
        <v>319.5</v>
      </c>
      <c r="DS850" s="32">
        <f>COUNTIF(DX850, "*")+COUNTIF(AO850, "*")+COUNTIF(AJ850, "*")+COUNTIF(AA850, "*")+COUNTIF(EY850, "*")+COUNTIF(FE850, "*")+COUNTIF(FK850, "*")+COUNTIF(FO850, "*")+COUNTIF(FV850, "*")+COUNTIF(AT850, "*")+COUNTIF(GE850, "*")+COUNTIF(GP850, "*")+COUNTIF(HA850, "*")+COUNTIF(HI850, "*")+COUNTIF(HQ850, "*")+COUNTIF(HY850, "*")</f>
        <v>4</v>
      </c>
      <c r="DT850" s="14">
        <f>DS850*0.5+DS850*7.45+55.17</f>
        <v>86.97</v>
      </c>
      <c r="DU850" s="4">
        <v>150</v>
      </c>
      <c r="DV850" s="4">
        <f>36.76+157.5</f>
        <v>194.26</v>
      </c>
      <c r="DW850" s="4"/>
      <c r="DX850" s="4"/>
      <c r="DZ850" s="4"/>
      <c r="EA850" s="14">
        <f>SUM(DV850:DZ850)</f>
        <v>194.26</v>
      </c>
      <c r="EB850" s="14">
        <f ca="1">SUM(DP850,DR850,EA850, DU850, DT850,GB850)</f>
        <v>894.76008333333334</v>
      </c>
      <c r="EC850" s="24" t="s">
        <v>3908</v>
      </c>
      <c r="ED850" s="7">
        <v>7.0000000000000007E-2</v>
      </c>
      <c r="EE850" s="4">
        <v>2000</v>
      </c>
      <c r="EF850" s="4">
        <v>0</v>
      </c>
      <c r="EG850" s="14">
        <f>SUM(EE850+EF850)</f>
        <v>2000</v>
      </c>
      <c r="EH850" s="14">
        <v>2000</v>
      </c>
      <c r="EI850" s="14">
        <v>0</v>
      </c>
      <c r="EJ850" s="14">
        <f>SUM(EH850+EI850)</f>
        <v>2000</v>
      </c>
      <c r="EK850" t="s">
        <v>3984</v>
      </c>
      <c r="EL850" t="s">
        <v>3985</v>
      </c>
      <c r="FN850" t="s">
        <v>3986</v>
      </c>
      <c r="FO850" t="s">
        <v>3987</v>
      </c>
      <c r="FQ850" t="s">
        <v>3988</v>
      </c>
      <c r="FR850" t="s">
        <v>275</v>
      </c>
      <c r="FS850" s="9">
        <v>39710</v>
      </c>
      <c r="FT850" t="s">
        <v>3989</v>
      </c>
      <c r="GB850" s="4">
        <v>79.900000000000006</v>
      </c>
      <c r="IE850" s="9">
        <v>45227</v>
      </c>
      <c r="IP850" s="14">
        <f ca="1">SUM(IF850-EB850-GB850-IN850)</f>
        <v>-974.66008333333332</v>
      </c>
      <c r="IQ850" s="9"/>
      <c r="IR850" s="9"/>
      <c r="IS850" s="9"/>
      <c r="IT850" s="9"/>
      <c r="IU850" s="9"/>
    </row>
    <row r="851" spans="1:263" ht="15" customHeight="1">
      <c r="A851" s="19">
        <v>102017043</v>
      </c>
      <c r="B851" s="18" t="s">
        <v>897</v>
      </c>
      <c r="C851" s="18"/>
      <c r="D851" s="18"/>
      <c r="E851" s="18" t="s">
        <v>898</v>
      </c>
      <c r="F851" s="19">
        <v>180005340</v>
      </c>
      <c r="G851" s="19"/>
      <c r="H851" s="19"/>
      <c r="I851" s="18"/>
      <c r="J851" s="18" t="s">
        <v>311</v>
      </c>
      <c r="K851" s="18" t="s">
        <v>899</v>
      </c>
      <c r="L851" s="18" t="s">
        <v>900</v>
      </c>
      <c r="M851" s="18" t="s">
        <v>357</v>
      </c>
      <c r="N851" s="18"/>
      <c r="O851" s="13"/>
      <c r="P851" s="18"/>
      <c r="Q851" s="18"/>
      <c r="R851" s="18"/>
      <c r="S851" s="18"/>
      <c r="T851" s="13"/>
      <c r="U851" s="18"/>
      <c r="V851" s="18"/>
      <c r="AF851" s="3"/>
      <c r="AJ851" s="1"/>
      <c r="AU851" s="4"/>
      <c r="AV851" s="4"/>
      <c r="AW851" s="6"/>
      <c r="AX851" s="7"/>
      <c r="AY851" s="4"/>
      <c r="BA851" s="4"/>
      <c r="BB851" s="4"/>
      <c r="BC851" s="6"/>
      <c r="BD851" s="7"/>
      <c r="BE851" s="4"/>
      <c r="BF851" s="4"/>
      <c r="BG851" s="4"/>
      <c r="BH851" s="4"/>
      <c r="BI851" s="6"/>
      <c r="BJ851" s="7"/>
      <c r="BK851" s="4"/>
      <c r="BM851" s="4"/>
      <c r="BN851" s="4"/>
      <c r="BO851" s="6"/>
      <c r="BP851" s="7"/>
      <c r="BQ851" s="4"/>
      <c r="BR851" s="4"/>
      <c r="BS851" s="4"/>
      <c r="BT851" s="4"/>
      <c r="BU851" s="6"/>
      <c r="BV851" s="7"/>
      <c r="BW851" s="4"/>
      <c r="BX851" s="4"/>
      <c r="BY851" s="4"/>
      <c r="BZ851" s="4"/>
      <c r="CA851" s="6"/>
      <c r="CB851" s="7"/>
      <c r="CC851" s="4"/>
      <c r="CD851" s="4"/>
      <c r="CE851" s="4"/>
      <c r="CF851" s="4"/>
      <c r="CG851" s="6"/>
      <c r="CH851" s="7"/>
      <c r="CI851" s="4"/>
      <c r="CJ851" s="4"/>
      <c r="CK851" s="4"/>
      <c r="CL851" s="4"/>
      <c r="CM851" s="6"/>
      <c r="CN851" s="7"/>
      <c r="CO851" s="4"/>
      <c r="CP851" s="4"/>
      <c r="CQ851" s="4"/>
      <c r="CR851" s="4"/>
      <c r="CS851" s="6"/>
      <c r="CT851" s="7"/>
      <c r="CU851" s="4"/>
      <c r="CV851" s="4"/>
      <c r="CW851" s="4"/>
      <c r="CX851" s="4"/>
      <c r="CY851" s="4"/>
      <c r="CZ851" s="4"/>
      <c r="DA851" s="4"/>
      <c r="DB851" s="4"/>
      <c r="DC851" s="4"/>
      <c r="DD851" s="4"/>
      <c r="DE851" s="4"/>
      <c r="DF851" s="4"/>
      <c r="DG851" s="4"/>
      <c r="DH851" s="4"/>
      <c r="DI851" s="4"/>
      <c r="DJ851" s="4"/>
      <c r="DK851" s="4"/>
      <c r="DL851" s="4"/>
      <c r="DO851" s="4"/>
      <c r="DP851" s="4"/>
      <c r="DU851" s="18"/>
      <c r="DY851" s="4"/>
      <c r="EA851" s="18"/>
      <c r="EC851" s="4"/>
      <c r="ED851" s="4"/>
      <c r="EE851" s="4"/>
      <c r="EF851" s="3"/>
      <c r="EG851" s="11"/>
      <c r="FP851" s="10"/>
      <c r="FW851" s="10"/>
      <c r="GI851" s="9"/>
    </row>
    <row r="852" spans="1:263" ht="15" customHeight="1">
      <c r="A852" s="2">
        <v>102017043</v>
      </c>
      <c r="B852" t="s">
        <v>897</v>
      </c>
      <c r="E852" t="s">
        <v>898</v>
      </c>
      <c r="F852">
        <v>180005340</v>
      </c>
      <c r="J852" t="s">
        <v>311</v>
      </c>
      <c r="K852" t="s">
        <v>899</v>
      </c>
      <c r="L852" t="s">
        <v>900</v>
      </c>
      <c r="M852" t="s">
        <v>357</v>
      </c>
      <c r="AD852" s="1"/>
      <c r="AF852" s="3"/>
      <c r="AH852" s="3"/>
      <c r="AL852" s="4"/>
      <c r="AP852" s="13"/>
      <c r="AQ852" s="34"/>
      <c r="AR852" s="34"/>
      <c r="AS852" s="1"/>
      <c r="AT852" s="13"/>
      <c r="AU852" s="1"/>
      <c r="AV852" s="1"/>
      <c r="AW852" s="1"/>
      <c r="AX852" s="1"/>
      <c r="AY852" s="1"/>
      <c r="AZ852" s="15"/>
      <c r="BA852" s="1"/>
      <c r="BB852" s="1"/>
      <c r="BC852" s="1"/>
      <c r="BD852" s="1"/>
      <c r="BE852" s="5"/>
      <c r="BF852" s="16"/>
      <c r="BG852" s="16"/>
      <c r="BI852" s="4"/>
      <c r="BJ852" s="4"/>
      <c r="BK852" s="6"/>
      <c r="BL852" s="7"/>
      <c r="BM852" s="4"/>
      <c r="BO852" s="4"/>
      <c r="BP852" s="4"/>
      <c r="BQ852" s="6"/>
      <c r="BR852" s="7"/>
      <c r="BS852" s="4"/>
      <c r="BT852" s="4"/>
      <c r="BU852" s="4"/>
      <c r="BV852" s="4"/>
      <c r="BW852" s="6"/>
      <c r="BX852" s="7"/>
      <c r="BY852" s="4"/>
      <c r="CA852" s="4"/>
      <c r="CB852" s="4"/>
      <c r="CC852" s="6"/>
      <c r="CD852" s="7"/>
      <c r="CE852" s="4"/>
      <c r="CF852" s="4"/>
      <c r="CG852" s="4"/>
      <c r="CH852" s="4"/>
      <c r="CI852" s="6"/>
      <c r="CJ852" s="7"/>
      <c r="CK852" s="4"/>
      <c r="CL852" s="4"/>
      <c r="CM852" s="4"/>
      <c r="CN852" s="4"/>
      <c r="CO852" s="6"/>
      <c r="CP852" s="7"/>
      <c r="CQ852" s="4"/>
      <c r="CR852" s="4"/>
      <c r="CS852" s="4"/>
      <c r="CT852" s="4"/>
      <c r="CU852" s="6"/>
      <c r="CV852" s="7"/>
      <c r="CW852" s="4"/>
      <c r="CX852" s="4"/>
      <c r="CY852" s="4"/>
      <c r="CZ852" s="4"/>
      <c r="DA852" s="6"/>
      <c r="DB852" s="7"/>
      <c r="DC852" s="4"/>
      <c r="DD852" s="4"/>
      <c r="DE852" s="4"/>
      <c r="DF852" s="4"/>
      <c r="DG852" s="6"/>
      <c r="DH852" s="7"/>
      <c r="DI852" s="4"/>
      <c r="DJ852" s="4"/>
      <c r="DK852" s="4"/>
      <c r="DL852" s="4"/>
      <c r="DM852" s="4"/>
      <c r="DN852" s="3"/>
      <c r="DO852" s="4"/>
      <c r="DP852" s="4"/>
      <c r="DQ852" s="4"/>
      <c r="DR852" s="4"/>
      <c r="DS852" s="4"/>
      <c r="DT852" s="4"/>
      <c r="DU852" s="4"/>
      <c r="DV852" s="4"/>
      <c r="DW852" s="4"/>
      <c r="DX852" s="4"/>
      <c r="DY852" s="4"/>
      <c r="DZ852" s="4"/>
      <c r="EA852" s="4"/>
      <c r="EB852" s="4"/>
      <c r="EC852" s="4"/>
      <c r="ED852" s="4"/>
      <c r="EE852" s="4"/>
      <c r="EF852" s="4"/>
      <c r="FM852" s="9"/>
      <c r="FN852" s="10"/>
      <c r="FU852" s="10"/>
      <c r="GG852" s="9"/>
    </row>
    <row r="853" spans="1:263" ht="15" customHeight="1">
      <c r="A853" s="19">
        <v>102020079</v>
      </c>
      <c r="B853" t="s">
        <v>897</v>
      </c>
      <c r="E853" t="s">
        <v>898</v>
      </c>
      <c r="F853">
        <v>180005340</v>
      </c>
      <c r="J853" t="s">
        <v>311</v>
      </c>
      <c r="K853" t="s">
        <v>899</v>
      </c>
      <c r="L853" t="s">
        <v>900</v>
      </c>
      <c r="M853" t="s">
        <v>357</v>
      </c>
      <c r="AJ853" t="s">
        <v>328</v>
      </c>
      <c r="AL853" t="s">
        <v>259</v>
      </c>
      <c r="AM853" s="3" t="s">
        <v>260</v>
      </c>
      <c r="AX853" s="70"/>
      <c r="AY853" s="70"/>
      <c r="AZ853" s="70"/>
      <c r="BA853" s="70"/>
      <c r="BB853" s="2"/>
      <c r="BC853" s="70"/>
      <c r="BD853" s="70"/>
      <c r="BE853" s="70"/>
      <c r="BF853" s="2"/>
      <c r="BG853" s="20"/>
      <c r="BH853" s="22"/>
      <c r="BI853" s="22"/>
      <c r="BJ853" s="66"/>
      <c r="BK853" s="66"/>
      <c r="BL853" s="66"/>
      <c r="BO853" s="66"/>
      <c r="BQ853" s="66"/>
      <c r="BR853" s="66"/>
      <c r="BU853" s="66"/>
      <c r="BV853" s="66"/>
      <c r="BW853" s="66"/>
      <c r="BX853" s="66"/>
      <c r="CA853" s="66"/>
      <c r="CB853" s="66"/>
      <c r="CC853" s="66"/>
      <c r="CD853" s="66"/>
      <c r="CG853" s="66"/>
      <c r="CH853" s="66"/>
      <c r="CI853" s="66"/>
      <c r="CJ853" s="66"/>
      <c r="CM853" s="66"/>
      <c r="CN853" s="66"/>
      <c r="CO853" s="66"/>
      <c r="CP853" s="66"/>
      <c r="CS853" s="66"/>
      <c r="CT853" s="66"/>
      <c r="CU853" s="66"/>
      <c r="CV853" s="66"/>
      <c r="CY853" s="66"/>
      <c r="CZ853" s="66"/>
      <c r="DA853" s="66"/>
      <c r="DB853" s="66"/>
      <c r="DC853" s="66"/>
      <c r="DE853" s="66"/>
      <c r="DG853" s="66"/>
      <c r="DH853" s="66"/>
      <c r="DI853" s="66"/>
      <c r="DJ853" s="66"/>
      <c r="DK853" s="66"/>
      <c r="DL853" s="66"/>
      <c r="DM853" s="66"/>
      <c r="DN853" s="66"/>
      <c r="DO853" s="66"/>
      <c r="DP853" s="66"/>
      <c r="DQ853" s="66"/>
      <c r="DR853" s="66">
        <v>14400</v>
      </c>
      <c r="DS853" s="66">
        <v>0</v>
      </c>
      <c r="DT853" s="66">
        <v>14400</v>
      </c>
      <c r="DU853">
        <v>0.1</v>
      </c>
      <c r="DV853" t="s">
        <v>1404</v>
      </c>
      <c r="DW853" t="s">
        <v>1405</v>
      </c>
      <c r="FM853" s="9"/>
      <c r="FS853" s="66"/>
      <c r="FZ853" s="9"/>
      <c r="ID853" s="9">
        <v>43694</v>
      </c>
      <c r="IE853" s="4">
        <v>4500</v>
      </c>
      <c r="IF853" s="66">
        <v>500</v>
      </c>
      <c r="II853" t="s">
        <v>1410</v>
      </c>
      <c r="IJ853" t="s">
        <v>846</v>
      </c>
      <c r="IK853" t="s">
        <v>386</v>
      </c>
      <c r="IX853" s="240"/>
      <c r="IY853" s="240"/>
    </row>
    <row r="854" spans="1:263" ht="15" customHeight="1">
      <c r="A854" s="19">
        <v>102018104</v>
      </c>
      <c r="B854" s="18" t="s">
        <v>476</v>
      </c>
      <c r="C854" s="18"/>
      <c r="D854" s="13"/>
      <c r="E854" s="18" t="s">
        <v>477</v>
      </c>
      <c r="F854" s="19">
        <v>180004468</v>
      </c>
      <c r="G854" s="18"/>
      <c r="H854" s="18"/>
      <c r="I854" s="18"/>
      <c r="J854" s="18" t="s">
        <v>305</v>
      </c>
      <c r="K854" s="18" t="s">
        <v>478</v>
      </c>
      <c r="L854" s="18" t="s">
        <v>479</v>
      </c>
      <c r="M854" s="18" t="s">
        <v>309</v>
      </c>
      <c r="N854" s="18"/>
      <c r="O854" s="13"/>
      <c r="P854" s="18" t="s">
        <v>478</v>
      </c>
      <c r="Q854" s="18" t="s">
        <v>480</v>
      </c>
      <c r="R854" s="18" t="s">
        <v>357</v>
      </c>
      <c r="S854" s="18"/>
      <c r="T854" s="13"/>
      <c r="U854" s="18"/>
      <c r="V854" s="18"/>
      <c r="W854" s="18"/>
      <c r="X854" s="18"/>
      <c r="Y854" s="18"/>
      <c r="Z854" s="18"/>
      <c r="AA854" s="18"/>
      <c r="AB854" s="18"/>
      <c r="AC854" s="18"/>
      <c r="AD854" s="18"/>
      <c r="AE854" s="18"/>
      <c r="AF854" s="18"/>
      <c r="AG854" s="231"/>
      <c r="AH854" s="18"/>
      <c r="AI854" s="18"/>
      <c r="AJ854" s="14"/>
      <c r="AK854" s="14"/>
      <c r="AL854" s="14"/>
      <c r="AM854" s="24"/>
      <c r="AN854" s="24"/>
      <c r="AO854" s="18"/>
      <c r="AP854" s="13"/>
      <c r="AQ854" s="63"/>
      <c r="AR854" s="63"/>
      <c r="AS854" s="20"/>
      <c r="AT854" s="13"/>
      <c r="AU854" s="13"/>
      <c r="AV854" s="13"/>
      <c r="AW854" s="13"/>
      <c r="AX854" s="48"/>
      <c r="AY854" s="48"/>
      <c r="AZ854" s="48"/>
      <c r="BA854" s="48"/>
      <c r="BB854" s="19"/>
      <c r="BC854" s="48"/>
      <c r="BD854" s="48"/>
      <c r="BE854" s="48"/>
      <c r="BF854" s="48"/>
      <c r="BG854" s="20"/>
      <c r="BH854" s="22"/>
      <c r="BI854" s="22"/>
      <c r="BJ854" s="14"/>
      <c r="BK854" s="14"/>
      <c r="BL854" s="14"/>
      <c r="BM854" s="17"/>
      <c r="BN854" s="23"/>
      <c r="BO854" s="14"/>
      <c r="BP854" s="14"/>
      <c r="BQ854" s="14"/>
      <c r="BR854" s="14"/>
      <c r="BS854" s="17"/>
      <c r="BT854" s="23"/>
      <c r="BU854" s="14"/>
      <c r="BV854" s="14"/>
      <c r="BW854" s="14"/>
      <c r="BX854" s="14"/>
      <c r="BY854" s="17"/>
      <c r="BZ854" s="23"/>
      <c r="CA854" s="14"/>
      <c r="CB854" s="14"/>
      <c r="CC854" s="14"/>
      <c r="CD854" s="14"/>
      <c r="CE854" s="17"/>
      <c r="CF854" s="23"/>
      <c r="CG854" s="14"/>
      <c r="CH854" s="14"/>
      <c r="CI854" s="14"/>
      <c r="CJ854" s="14"/>
      <c r="CK854" s="17"/>
      <c r="CL854" s="23"/>
      <c r="CM854" s="14"/>
      <c r="CN854" s="14"/>
      <c r="CO854" s="14"/>
      <c r="CP854" s="14"/>
      <c r="CQ854" s="17"/>
      <c r="CR854" s="23"/>
      <c r="CS854" s="14"/>
      <c r="CT854" s="14"/>
      <c r="CU854" s="14"/>
      <c r="CV854" s="14"/>
      <c r="CW854" s="17"/>
      <c r="CX854" s="23"/>
      <c r="CY854" s="14"/>
      <c r="CZ854" s="14"/>
      <c r="DA854" s="14"/>
      <c r="DB854" s="14"/>
      <c r="DC854" s="14"/>
      <c r="DD854" s="14"/>
      <c r="DE854" s="47"/>
      <c r="DF854" s="24"/>
      <c r="DG854" s="14"/>
      <c r="DH854" s="32"/>
      <c r="DI854" s="14"/>
      <c r="DJ854" s="14"/>
      <c r="DK854" s="14"/>
      <c r="DL854" s="14"/>
      <c r="DM854" s="14"/>
      <c r="DN854" s="14"/>
      <c r="DO854" s="14"/>
      <c r="DP854" s="25"/>
      <c r="DQ854" s="14"/>
      <c r="DR854" s="25"/>
      <c r="DS854" s="25"/>
      <c r="DT854" s="25"/>
      <c r="DU854" s="36"/>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27"/>
      <c r="FE854" s="28"/>
      <c r="FF854" s="18"/>
      <c r="FG854" s="18"/>
      <c r="FH854" s="18"/>
      <c r="FI854" s="18"/>
      <c r="FJ854" s="18"/>
      <c r="FK854" s="18"/>
      <c r="FL854" s="28"/>
      <c r="FM854" s="27"/>
      <c r="FN854" s="18"/>
      <c r="FO854" s="18"/>
      <c r="FP854" s="18"/>
      <c r="FQ854" s="18"/>
      <c r="FR854" s="18"/>
      <c r="FS854" s="14"/>
      <c r="FT854" s="18"/>
      <c r="FU854" s="18"/>
      <c r="FV854" s="18"/>
      <c r="FW854" s="18"/>
      <c r="FX854" s="18"/>
      <c r="FY854" s="18"/>
      <c r="FZ854" s="27"/>
      <c r="GA854" s="18"/>
      <c r="GB854" s="18"/>
      <c r="GC854" s="18"/>
      <c r="GD854" s="18"/>
      <c r="GE854" s="18"/>
      <c r="GF854" s="18"/>
      <c r="GG854" s="18"/>
      <c r="GH854" s="18"/>
      <c r="GI854" s="18"/>
      <c r="GJ854" s="18"/>
      <c r="GK854" s="27"/>
      <c r="GL854" s="18"/>
      <c r="GM854" s="18"/>
      <c r="GN854" s="18"/>
      <c r="GO854" s="18"/>
      <c r="GP854" s="18"/>
      <c r="GQ854" s="18"/>
      <c r="GR854" s="18"/>
      <c r="GS854" s="18"/>
      <c r="GT854" s="18"/>
      <c r="GU854" s="18"/>
      <c r="GV854" s="27"/>
      <c r="GW854" s="18"/>
      <c r="GX854" s="18"/>
      <c r="GY854" s="18"/>
      <c r="GZ854" s="18"/>
      <c r="HA854" s="18"/>
      <c r="HB854" s="18"/>
      <c r="HC854" s="18"/>
      <c r="HD854" s="27"/>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27"/>
      <c r="IE854" s="14"/>
      <c r="IF854" s="14"/>
      <c r="IG854" s="27"/>
      <c r="IH854" s="18"/>
      <c r="II854" s="18"/>
      <c r="IJ854" s="18"/>
      <c r="IK854" s="18"/>
    </row>
    <row r="855" spans="1:263" ht="15" customHeight="1">
      <c r="A855" s="19">
        <v>102021068</v>
      </c>
      <c r="B855" s="18" t="s">
        <v>2111</v>
      </c>
      <c r="C855" s="18"/>
      <c r="D855" s="18"/>
      <c r="E855" s="18"/>
      <c r="F855" s="18"/>
      <c r="G855" s="18"/>
      <c r="H855" s="18"/>
      <c r="I855" s="18"/>
      <c r="J855" s="18" t="s">
        <v>434</v>
      </c>
      <c r="K855" s="18" t="s">
        <v>2112</v>
      </c>
      <c r="L855" s="18" t="s">
        <v>903</v>
      </c>
      <c r="M855" s="18" t="s">
        <v>403</v>
      </c>
      <c r="N855" s="18"/>
      <c r="O855" s="18"/>
      <c r="P855" s="18" t="s">
        <v>2113</v>
      </c>
      <c r="Q855" s="18" t="s">
        <v>1401</v>
      </c>
      <c r="R855" s="18" t="s">
        <v>403</v>
      </c>
      <c r="S855" s="18"/>
      <c r="T855" s="18"/>
      <c r="U855" s="18"/>
      <c r="V855" s="18"/>
      <c r="W855" s="18"/>
      <c r="X855" s="18"/>
      <c r="Y855" s="18"/>
      <c r="Z855" s="18"/>
      <c r="AA855" s="18"/>
      <c r="AB855" s="18"/>
      <c r="AC855" s="18"/>
      <c r="AD855" s="18" t="s">
        <v>2508</v>
      </c>
      <c r="AE855" s="18" t="s">
        <v>311</v>
      </c>
      <c r="AF855" s="18" t="s">
        <v>1638</v>
      </c>
      <c r="AG855" s="231" t="s">
        <v>2509</v>
      </c>
      <c r="AH855" s="18" t="s">
        <v>2510</v>
      </c>
      <c r="AI855" s="18"/>
      <c r="AJ855" s="18" t="s">
        <v>328</v>
      </c>
      <c r="AK855" s="18"/>
      <c r="AL855" s="24" t="s">
        <v>259</v>
      </c>
      <c r="AM855" s="24"/>
      <c r="AN855" s="24" t="s">
        <v>2194</v>
      </c>
      <c r="AO855" s="18" t="s">
        <v>2139</v>
      </c>
      <c r="AP855" s="13" t="s">
        <v>258</v>
      </c>
      <c r="AQ855" s="24" t="s">
        <v>2140</v>
      </c>
      <c r="AR855" s="24" t="s">
        <v>275</v>
      </c>
      <c r="AS855" s="13"/>
      <c r="AT855" s="13"/>
      <c r="AU855" s="13"/>
      <c r="AV855" s="13"/>
      <c r="AW855" s="13"/>
      <c r="AX855" s="48"/>
      <c r="AY855" s="48"/>
      <c r="AZ855" s="48"/>
      <c r="BA855" s="48"/>
      <c r="BB855" s="2"/>
      <c r="BC855" s="48"/>
      <c r="BD855" s="48"/>
      <c r="BE855" s="48"/>
      <c r="BF855" s="19"/>
      <c r="BG855" s="20"/>
      <c r="BH855" s="22"/>
      <c r="BI855" s="22"/>
      <c r="BJ855" s="14"/>
      <c r="BK855" s="22"/>
      <c r="BL855" s="14"/>
      <c r="BM855" s="14"/>
      <c r="BN855" s="14"/>
      <c r="BO855" s="17"/>
      <c r="BP855" s="23"/>
      <c r="BQ855" s="14"/>
      <c r="BR855" s="14"/>
      <c r="BS855" s="14"/>
      <c r="BT855" s="14"/>
      <c r="BU855" s="17"/>
      <c r="BV855" s="23"/>
      <c r="BW855" s="14"/>
      <c r="BX855" s="14"/>
      <c r="BY855" s="14"/>
      <c r="BZ855" s="14"/>
      <c r="CA855" s="17"/>
      <c r="CB855" s="23"/>
      <c r="CC855" s="14"/>
      <c r="CD855" s="14"/>
      <c r="CE855" s="14"/>
      <c r="CF855" s="14"/>
      <c r="CG855" s="17"/>
      <c r="CH855" s="23"/>
      <c r="CI855" s="14"/>
      <c r="CJ855" s="14"/>
      <c r="CK855" s="14"/>
      <c r="CL855" s="14"/>
      <c r="CM855" s="17"/>
      <c r="CN855" s="23"/>
      <c r="CO855" s="14"/>
      <c r="CP855" s="14"/>
      <c r="CQ855" s="14"/>
      <c r="CR855" s="14"/>
      <c r="CS855" s="17"/>
      <c r="CT855" s="23"/>
      <c r="CU855" s="14"/>
      <c r="CV855" s="14"/>
      <c r="CW855" s="14"/>
      <c r="CX855" s="14"/>
      <c r="CY855" s="14"/>
      <c r="CZ855" s="47"/>
      <c r="DA855" s="14"/>
      <c r="DB855" s="32"/>
      <c r="DC855" s="14"/>
      <c r="DD855" s="14"/>
      <c r="DE855" s="14"/>
      <c r="DF855" s="14"/>
      <c r="DG855" s="14"/>
      <c r="DH855" s="14"/>
      <c r="DI855" s="23"/>
      <c r="DJ855" s="25"/>
      <c r="DK855" s="14">
        <f>SUM(DF855:DJ855)</f>
        <v>0</v>
      </c>
      <c r="DL855" s="24" t="s">
        <v>1997</v>
      </c>
      <c r="DM855" s="25">
        <v>10800</v>
      </c>
      <c r="DN855" s="25">
        <v>0</v>
      </c>
      <c r="DO855" s="25">
        <f>SUM(DM855+DN855)</f>
        <v>10800</v>
      </c>
      <c r="DP855" s="36">
        <v>0.19</v>
      </c>
      <c r="DQ855" s="18" t="s">
        <v>2410</v>
      </c>
      <c r="DR855" s="18" t="s">
        <v>2411</v>
      </c>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t="s">
        <v>372</v>
      </c>
      <c r="FJ855" s="18" t="s">
        <v>373</v>
      </c>
      <c r="FK855" s="18" t="s">
        <v>374</v>
      </c>
      <c r="FL855" s="18" t="s">
        <v>259</v>
      </c>
      <c r="FM855" s="18" t="s">
        <v>260</v>
      </c>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4"/>
      <c r="IO855" s="18"/>
      <c r="IP855" s="18"/>
      <c r="IQ855" s="18"/>
      <c r="IR855" s="18"/>
      <c r="IS855" s="18"/>
    </row>
    <row r="856" spans="1:263" ht="15" customHeight="1">
      <c r="A856" s="19">
        <v>102021010</v>
      </c>
      <c r="B856" s="18" t="s">
        <v>2109</v>
      </c>
      <c r="C856" s="18"/>
      <c r="D856" s="18"/>
      <c r="E856" s="18" t="s">
        <v>2494</v>
      </c>
      <c r="F856" s="18">
        <v>210003119</v>
      </c>
      <c r="G856" s="18"/>
      <c r="H856" s="18"/>
      <c r="I856" s="18"/>
      <c r="J856" s="18" t="s">
        <v>434</v>
      </c>
      <c r="K856" s="18" t="s">
        <v>2113</v>
      </c>
      <c r="L856" s="18" t="s">
        <v>1018</v>
      </c>
      <c r="M856" s="18"/>
      <c r="N856" s="18"/>
      <c r="O856" s="18"/>
      <c r="P856" s="18" t="s">
        <v>2113</v>
      </c>
      <c r="Q856" s="18" t="s">
        <v>1401</v>
      </c>
      <c r="R856" s="18"/>
      <c r="S856" s="18"/>
      <c r="T856" s="18"/>
      <c r="U856" s="18"/>
      <c r="V856" s="18"/>
      <c r="W856" s="18"/>
      <c r="X856" s="18"/>
      <c r="Y856" s="18"/>
      <c r="Z856" s="18"/>
      <c r="AA856" s="18"/>
      <c r="AB856" s="18"/>
      <c r="AC856" s="18"/>
      <c r="AD856" s="18" t="s">
        <v>2508</v>
      </c>
      <c r="AE856" s="18" t="s">
        <v>311</v>
      </c>
      <c r="AF856" s="18" t="s">
        <v>1638</v>
      </c>
      <c r="AG856" s="231" t="s">
        <v>2509</v>
      </c>
      <c r="AH856" s="18" t="s">
        <v>2510</v>
      </c>
      <c r="AI856" s="18"/>
      <c r="AJ856" s="18" t="s">
        <v>2138</v>
      </c>
      <c r="AK856" s="18" t="s">
        <v>258</v>
      </c>
      <c r="AL856" s="18" t="s">
        <v>259</v>
      </c>
      <c r="AM856" s="24" t="s">
        <v>260</v>
      </c>
      <c r="AN856" s="24"/>
      <c r="AO856" s="18" t="s">
        <v>2139</v>
      </c>
      <c r="AP856" s="13" t="s">
        <v>258</v>
      </c>
      <c r="AQ856" s="24" t="s">
        <v>2140</v>
      </c>
      <c r="AR856" s="24" t="s">
        <v>275</v>
      </c>
      <c r="AS856" s="13"/>
      <c r="AT856" s="13"/>
      <c r="AU856" s="13"/>
      <c r="AV856" s="13"/>
      <c r="AW856" s="13"/>
      <c r="AX856" s="48"/>
      <c r="AY856" s="48"/>
      <c r="AZ856" s="48"/>
      <c r="BA856" s="48"/>
      <c r="BB856" s="19"/>
      <c r="BC856" s="48"/>
      <c r="BD856" s="48"/>
      <c r="BE856" s="48"/>
      <c r="BF856" s="19"/>
      <c r="BG856" s="20"/>
      <c r="BH856" s="22"/>
      <c r="BI856" s="22"/>
      <c r="BJ856" s="14"/>
      <c r="BK856" s="22"/>
      <c r="BL856" s="14"/>
      <c r="BM856" s="14"/>
      <c r="BN856" s="14"/>
      <c r="BO856" s="17"/>
      <c r="BP856" s="23"/>
      <c r="BQ856" s="14"/>
      <c r="BR856" s="14"/>
      <c r="BS856" s="14"/>
      <c r="BT856" s="14"/>
      <c r="BU856" s="17"/>
      <c r="BV856" s="23"/>
      <c r="BW856" s="14"/>
      <c r="BX856" s="14"/>
      <c r="BY856" s="14"/>
      <c r="BZ856" s="14"/>
      <c r="CA856" s="17"/>
      <c r="CB856" s="23"/>
      <c r="CC856" s="14"/>
      <c r="CD856" s="14"/>
      <c r="CE856" s="14"/>
      <c r="CF856" s="14"/>
      <c r="CG856" s="17"/>
      <c r="CH856" s="23"/>
      <c r="CI856" s="14"/>
      <c r="CJ856" s="14"/>
      <c r="CK856" s="14"/>
      <c r="CL856" s="14"/>
      <c r="CM856" s="17"/>
      <c r="CN856" s="23"/>
      <c r="CO856" s="14"/>
      <c r="CP856" s="14"/>
      <c r="CQ856" s="14"/>
      <c r="CR856" s="14"/>
      <c r="CS856" s="17"/>
      <c r="CT856" s="23"/>
      <c r="CU856" s="14"/>
      <c r="CV856" s="14"/>
      <c r="CW856" s="14"/>
      <c r="CX856" s="14"/>
      <c r="CY856" s="14"/>
      <c r="CZ856" s="47"/>
      <c r="DA856" s="14"/>
      <c r="DB856" s="32"/>
      <c r="DC856" s="14"/>
      <c r="DD856" s="14"/>
      <c r="DE856" s="14"/>
      <c r="DF856" s="14"/>
      <c r="DG856" s="14"/>
      <c r="DH856" s="14"/>
      <c r="DI856" s="14"/>
      <c r="DJ856" s="25">
        <v>100</v>
      </c>
      <c r="DK856" s="14">
        <f>SUM(DF856:DJ856)</f>
        <v>100</v>
      </c>
      <c r="DL856" s="24" t="s">
        <v>1997</v>
      </c>
      <c r="DM856" s="25">
        <v>12000</v>
      </c>
      <c r="DN856" s="25">
        <v>52400</v>
      </c>
      <c r="DO856" s="25">
        <f>SUM(DM856+DN856)</f>
        <v>64400</v>
      </c>
      <c r="DP856" s="36">
        <v>0.2</v>
      </c>
      <c r="DQ856" s="18" t="s">
        <v>2406</v>
      </c>
      <c r="DR856" s="18" t="s">
        <v>2407</v>
      </c>
      <c r="DS856" s="18" t="s">
        <v>2408</v>
      </c>
      <c r="DT856" s="18" t="s">
        <v>2409</v>
      </c>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t="s">
        <v>372</v>
      </c>
      <c r="FJ856" s="18" t="s">
        <v>373</v>
      </c>
      <c r="FK856" s="18" t="s">
        <v>374</v>
      </c>
      <c r="FL856" s="18" t="s">
        <v>259</v>
      </c>
      <c r="FM856" s="18" t="s">
        <v>260</v>
      </c>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27">
        <v>44377</v>
      </c>
      <c r="IL856" s="18"/>
      <c r="IM856" s="18"/>
      <c r="IN856" s="27">
        <v>43711</v>
      </c>
      <c r="IO856" s="27">
        <v>43739</v>
      </c>
      <c r="IP856" s="240"/>
      <c r="IQ856" s="240"/>
      <c r="IR856" s="240"/>
      <c r="IS856" s="240"/>
      <c r="IT856" s="240"/>
      <c r="IU856" s="240"/>
      <c r="IV856" s="240"/>
      <c r="IW856" s="240"/>
      <c r="IX856" s="240"/>
      <c r="IY856" s="240"/>
    </row>
    <row r="857" spans="1:263" ht="15" customHeight="1">
      <c r="A857" s="19">
        <v>102021010</v>
      </c>
      <c r="B857" s="18" t="s">
        <v>2109</v>
      </c>
      <c r="C857" s="10"/>
      <c r="D857" s="161"/>
      <c r="E857" s="10" t="s">
        <v>4929</v>
      </c>
      <c r="F857" s="160">
        <v>230003194</v>
      </c>
      <c r="G857" s="147"/>
      <c r="H857" s="10"/>
      <c r="I857" s="10"/>
      <c r="J857" s="28" t="s">
        <v>554</v>
      </c>
      <c r="K857" s="28" t="s">
        <v>4133</v>
      </c>
      <c r="L857" s="28" t="s">
        <v>1018</v>
      </c>
      <c r="M857" s="28"/>
      <c r="N857" s="28"/>
      <c r="O857" s="150"/>
      <c r="P857" s="28" t="s">
        <v>4133</v>
      </c>
      <c r="Q857" s="28" t="s">
        <v>1401</v>
      </c>
      <c r="R857" s="28"/>
      <c r="S857" s="28"/>
      <c r="T857" s="10"/>
      <c r="U857" s="10"/>
      <c r="V857" s="10"/>
      <c r="W857" s="10"/>
      <c r="X857" s="10"/>
      <c r="Y857" s="10"/>
      <c r="Z857" s="10"/>
      <c r="AA857" s="10"/>
      <c r="AB857" s="10"/>
      <c r="AC857" s="10"/>
      <c r="AD857" s="10" t="s">
        <v>5952</v>
      </c>
      <c r="AE857" s="10" t="s">
        <v>253</v>
      </c>
      <c r="AF857" s="10" t="s">
        <v>767</v>
      </c>
      <c r="AG857" s="141"/>
      <c r="AH857" s="10" t="s">
        <v>5953</v>
      </c>
      <c r="AI857" s="10"/>
      <c r="AJ857" s="18" t="s">
        <v>2138</v>
      </c>
      <c r="AK857" s="13" t="s">
        <v>258</v>
      </c>
      <c r="AL857" s="18" t="s">
        <v>259</v>
      </c>
      <c r="AM857" s="18" t="s">
        <v>260</v>
      </c>
      <c r="AN857" s="18"/>
      <c r="AO857" s="18" t="s">
        <v>4134</v>
      </c>
      <c r="AP857" s="13" t="s">
        <v>258</v>
      </c>
      <c r="AQ857" s="18" t="s">
        <v>2140</v>
      </c>
      <c r="AR857" s="18" t="s">
        <v>275</v>
      </c>
      <c r="AS857" s="18" t="s">
        <v>372</v>
      </c>
      <c r="AT857" s="18" t="s">
        <v>373</v>
      </c>
      <c r="AU857" s="18" t="s">
        <v>374</v>
      </c>
      <c r="AV857" s="18" t="s">
        <v>259</v>
      </c>
      <c r="AW857" s="18" t="s">
        <v>260</v>
      </c>
      <c r="AX857" s="1"/>
      <c r="AY857" s="1"/>
      <c r="AZ857" s="1" t="s">
        <v>258</v>
      </c>
      <c r="BA857" s="1" t="s">
        <v>258</v>
      </c>
      <c r="BB857" s="1" t="s">
        <v>258</v>
      </c>
      <c r="BC857" s="9">
        <v>45096</v>
      </c>
      <c r="BD857" s="115">
        <v>45060</v>
      </c>
      <c r="BE857" s="144">
        <v>45064</v>
      </c>
      <c r="BF857" s="70">
        <v>45156</v>
      </c>
      <c r="BG857" t="s">
        <v>4902</v>
      </c>
      <c r="BH857" s="9">
        <v>45142</v>
      </c>
      <c r="BI857" s="9">
        <v>45149</v>
      </c>
      <c r="BJ857" s="70">
        <v>45181</v>
      </c>
      <c r="BK857" s="70" t="s">
        <v>319</v>
      </c>
      <c r="BL857" s="20">
        <f ca="1">SUM(EB857)+220</f>
        <v>6003.0448000000006</v>
      </c>
      <c r="BM857" s="22">
        <f ca="1">PMT(10%/12,12,BL857,0,0)</f>
        <v>-527.7630096734955</v>
      </c>
      <c r="BN857" s="22">
        <f ca="1">SUM(BM857*-1)</f>
        <v>527.7630096734955</v>
      </c>
      <c r="BO857" s="25">
        <f>SUM(EJ857*0.0052)/12</f>
        <v>43.203333333333326</v>
      </c>
      <c r="BP857" s="22">
        <f ca="1">SUM(BN857+BO857)</f>
        <v>570.96634300682888</v>
      </c>
      <c r="BQ857" s="14">
        <v>0</v>
      </c>
      <c r="BR857" s="14">
        <f>SUM(BQ857*0.1)</f>
        <v>0</v>
      </c>
      <c r="BS857" s="14">
        <f ca="1">SUM(BT857*BU857)</f>
        <v>0</v>
      </c>
      <c r="BT857" s="17">
        <f>SUM((BQ857+BR857)*0.00833333333333333)</f>
        <v>0</v>
      </c>
      <c r="BU857" s="23">
        <f ca="1">MONTH(TODAY())+37</f>
        <v>41</v>
      </c>
      <c r="BV857" s="14">
        <f ca="1">SUM(BQ857,BR857,BS857)</f>
        <v>0</v>
      </c>
      <c r="BW857" s="14">
        <v>154.28</v>
      </c>
      <c r="BX857" s="14">
        <f>SUM(BW857*0.1)</f>
        <v>15.428000000000001</v>
      </c>
      <c r="BY857" s="14">
        <f ca="1">SUM(BZ857*CA857)</f>
        <v>57.983566666666647</v>
      </c>
      <c r="BZ857" s="17">
        <f>SUM((BW857+BX857)*0.00833333333333333)</f>
        <v>1.4142333333333328</v>
      </c>
      <c r="CA857" s="23">
        <f ca="1">MONTH(TODAY())+37</f>
        <v>41</v>
      </c>
      <c r="CB857" s="14">
        <f ca="1">SUM(BW857,BX857,BY857)</f>
        <v>227.69156666666663</v>
      </c>
      <c r="CC857" s="14">
        <f>SUM(EG857*0.0052)/2</f>
        <v>167.44</v>
      </c>
      <c r="CD857" s="14">
        <f>SUM(CC857*0.1)</f>
        <v>16.744</v>
      </c>
      <c r="CE857" s="14">
        <f ca="1">SUM(CF857*CG857)</f>
        <v>50.650599999999976</v>
      </c>
      <c r="CF857" s="17">
        <f>SUM((CC857+CD857)*0.00833333333333333)</f>
        <v>1.5348666666666659</v>
      </c>
      <c r="CG857" s="23">
        <f ca="1">MONTH(TODAY())+29</f>
        <v>33</v>
      </c>
      <c r="CH857" s="23">
        <f ca="1">SUM(CC857,CD857,CE857)</f>
        <v>234.83459999999997</v>
      </c>
      <c r="CI857" s="14">
        <f>SUM(EG857*0.0052)/2</f>
        <v>167.44</v>
      </c>
      <c r="CJ857" s="14">
        <f>SUM(CI857*0.1)</f>
        <v>16.744</v>
      </c>
      <c r="CK857" s="14">
        <f ca="1">SUM(CL857*CM857)</f>
        <v>44.511133333333312</v>
      </c>
      <c r="CL857" s="17">
        <f>SUM((CI857+CJ857)*0.00833333333333333)</f>
        <v>1.5348666666666659</v>
      </c>
      <c r="CM857" s="23">
        <f ca="1">MONTH(TODAY())+25</f>
        <v>29</v>
      </c>
      <c r="CN857" s="14">
        <f ca="1">SUM(CI857,CJ857,CK857)</f>
        <v>228.6951333333333</v>
      </c>
      <c r="CO857" s="14">
        <f>SUM(EJ857*0.0045)/2</f>
        <v>224.32499999999999</v>
      </c>
      <c r="CP857" s="14">
        <f>SUM(CO857*0.1)</f>
        <v>22.432500000000001</v>
      </c>
      <c r="CQ857" s="14">
        <f ca="1">SUM(CR857*CS857)</f>
        <v>47.295187499999976</v>
      </c>
      <c r="CR857" s="17">
        <f>SUM((CO857+CP857)*0.00833333333333333)</f>
        <v>2.0563124999999989</v>
      </c>
      <c r="CS857" s="23">
        <f ca="1">MONTH(TODAY())+19</f>
        <v>23</v>
      </c>
      <c r="CT857" s="14">
        <f ca="1">SUM(CO857,CP857,CQ857)</f>
        <v>294.05268749999999</v>
      </c>
      <c r="CU857" s="14">
        <f>SUM(EJ857*0.0045)/2</f>
        <v>224.32499999999999</v>
      </c>
      <c r="CV857" s="14">
        <f>SUM(CU857*0.1)</f>
        <v>22.432500000000001</v>
      </c>
      <c r="CW857" s="14">
        <f ca="1">SUM(CX857*CY857)</f>
        <v>34.957312499999979</v>
      </c>
      <c r="CX857" s="17">
        <f>SUM((CU857+CV857)*0.00833333333333333)</f>
        <v>2.0563124999999989</v>
      </c>
      <c r="CY857" s="23">
        <f ca="1">MONTH(TODAY())+13</f>
        <v>17</v>
      </c>
      <c r="CZ857" s="14">
        <f ca="1">SUM(CU857,CV857,CW857)</f>
        <v>281.71481249999999</v>
      </c>
      <c r="DA857" s="14">
        <f>SUM(EJ857*0.0045)/2</f>
        <v>224.32499999999999</v>
      </c>
      <c r="DB857" s="14">
        <f>SUM(DA857*0.1)</f>
        <v>22.432500000000001</v>
      </c>
      <c r="DC857" s="14">
        <f ca="1">SUM(DD857*DE857)</f>
        <v>22.619437499999989</v>
      </c>
      <c r="DD857" s="17">
        <f>SUM((DA857+DB857)*0.00833333333333333)</f>
        <v>2.0563124999999989</v>
      </c>
      <c r="DE857" s="23">
        <f ca="1">MONTH(TODAY())+7</f>
        <v>11</v>
      </c>
      <c r="DF857" s="14">
        <f ca="1">SUM(DA857,DB857,DC857)</f>
        <v>269.3769375</v>
      </c>
      <c r="DG857" s="14">
        <f>SUM(EJ857*0.0045)/2</f>
        <v>224.32499999999999</v>
      </c>
      <c r="DH857" s="14">
        <f>SUM(DG857*0.1)</f>
        <v>22.432500000000001</v>
      </c>
      <c r="DI857" s="14">
        <f ca="1">SUM(DJ857*DK857)</f>
        <v>10.281562499999994</v>
      </c>
      <c r="DJ857" s="17">
        <f>SUM((DG857+DH857)*0.00833333333333333)</f>
        <v>2.0563124999999989</v>
      </c>
      <c r="DK857" s="23">
        <f ca="1">MONTH(TODAY())+1</f>
        <v>5</v>
      </c>
      <c r="DL857" s="14">
        <f ca="1">SUM(DG857,DH857,DI857)</f>
        <v>257.0390625</v>
      </c>
      <c r="DM857" s="14">
        <f>SUM(BQ857, BW857, CC857,CI857,CO857,CU857,DA857,DG857)</f>
        <v>1386.46</v>
      </c>
      <c r="DN857" s="14">
        <f>SUM(BR857,BX857, CD857,CJ857,CP857,CV857,DB857,DH857)</f>
        <v>138.64600000000002</v>
      </c>
      <c r="DO857" s="14">
        <f ca="1">SUM(BS857,BY857, CE857,CK857,CQ857,CW857,DC857,DI857)</f>
        <v>268.29879999999986</v>
      </c>
      <c r="DP857" s="25">
        <f ca="1">SUM(DM857:DO857)</f>
        <v>1793.4047999999998</v>
      </c>
      <c r="DQ857" s="47">
        <f ca="1">SUM(DP857/EG857)</f>
        <v>2.784790062111801E-2</v>
      </c>
      <c r="DR857" s="14">
        <f>20+200+10+200+60+40+40+40+40+80+100+40+40+40+40+20+40+40+60+60+160+60+60</f>
        <v>1490</v>
      </c>
      <c r="DS857" s="32">
        <f>COUNTIF(AO857, "*")+COUNTIF(AJ857, "*")+COUNTIF(AA857, "*")+COUNTIF(EU857, "*")+COUNTIF(FA857, "*")+COUNTIF(FG857, "*")+COUNTIF(FK857, "*")+COUNTIF(FR857, "*")+COUNTIF(AT857, "*")+COUNTIF(GA857, "*")+COUNTIF(GL857, "*")+COUNTIF(GW857, "*")+COUNTIF(HE857, "*")+COUNTIF(HM857, "*")+COUNTIF(HU857, "*")</f>
        <v>4</v>
      </c>
      <c r="DT857" s="14">
        <f>1.2+22.95+55.17+7.81</f>
        <v>87.13</v>
      </c>
      <c r="DU857" s="4">
        <f>36.76+760+246.49</f>
        <v>1043.25</v>
      </c>
      <c r="DV857" s="4">
        <v>150</v>
      </c>
      <c r="DW857" s="4">
        <f>93.75+227.5</f>
        <v>321.25</v>
      </c>
      <c r="DX857" s="4">
        <v>140.5</v>
      </c>
      <c r="DY857" s="14">
        <f>IF(SUM(EE857*0.004)&lt;100, 100, SUM(EE857*0.004))</f>
        <v>100</v>
      </c>
      <c r="DZ857" s="4">
        <v>460</v>
      </c>
      <c r="EA857" s="14">
        <f>SUM(DU857:DZ857)</f>
        <v>2215</v>
      </c>
      <c r="EB857" s="14">
        <f ca="1">SUM(DP857,DR857,EA857,DT857,FX857)</f>
        <v>5783.0448000000006</v>
      </c>
      <c r="EC857" s="24" t="s">
        <v>5892</v>
      </c>
      <c r="ED857" s="23">
        <v>0.2</v>
      </c>
      <c r="EE857" s="14">
        <v>12000</v>
      </c>
      <c r="EF857" s="14">
        <v>52400</v>
      </c>
      <c r="EG857" s="14">
        <v>64400</v>
      </c>
      <c r="EH857" s="14">
        <v>18000</v>
      </c>
      <c r="EI857" s="14">
        <v>81700</v>
      </c>
      <c r="EJ857" s="14">
        <f>SUM(EH857+EI857)</f>
        <v>99700</v>
      </c>
      <c r="EK857" s="28" t="s">
        <v>4893</v>
      </c>
      <c r="EL857" s="10" t="s">
        <v>4894</v>
      </c>
      <c r="EM857" s="10" t="s">
        <v>4895</v>
      </c>
      <c r="EN857" s="10" t="s">
        <v>4896</v>
      </c>
      <c r="EO857" s="10" t="s">
        <v>4897</v>
      </c>
      <c r="EP857" s="10"/>
      <c r="EQ857" s="10"/>
      <c r="ER857" s="10"/>
      <c r="ES857" s="10" t="s">
        <v>4885</v>
      </c>
      <c r="ET857" s="10"/>
      <c r="EU857" s="10" t="s">
        <v>4886</v>
      </c>
      <c r="EV857" s="10"/>
      <c r="EW857" s="10" t="s">
        <v>4887</v>
      </c>
      <c r="EX857" s="10" t="s">
        <v>685</v>
      </c>
      <c r="EY857" s="10"/>
      <c r="EZ857" s="10"/>
      <c r="FA857" s="10"/>
      <c r="FB857" s="10"/>
      <c r="FC857" s="10"/>
      <c r="FD857" s="10"/>
      <c r="FE857" s="10"/>
      <c r="FF857" s="10"/>
      <c r="FG857" s="10"/>
      <c r="FH857" s="10"/>
      <c r="FI857" s="10"/>
      <c r="FJ857" s="10"/>
      <c r="FK857" s="10"/>
      <c r="FL857" s="10"/>
      <c r="FM857" s="10"/>
      <c r="FN857" s="10"/>
      <c r="FO857" s="9"/>
      <c r="FP857" s="10"/>
      <c r="FQ857" s="10"/>
      <c r="FR857" s="10"/>
      <c r="FS857" s="10"/>
      <c r="FT857" s="10"/>
      <c r="FU857" s="10"/>
      <c r="FV857" s="9"/>
      <c r="FW857" s="10"/>
      <c r="FX857" s="10">
        <v>197.51</v>
      </c>
      <c r="FY857" s="10"/>
      <c r="FZ857" s="10"/>
      <c r="GA857" s="10"/>
      <c r="GB857" s="10"/>
      <c r="GC857" s="10"/>
      <c r="GD857" s="10"/>
      <c r="GE857" s="9"/>
      <c r="GF857" s="10"/>
      <c r="GG857" s="10"/>
      <c r="GH857" s="10"/>
      <c r="GI857" s="10"/>
      <c r="GJ857" s="10"/>
      <c r="GK857" s="10"/>
      <c r="GL857" s="10"/>
      <c r="GM857" s="10"/>
      <c r="GN857" s="10"/>
      <c r="GO857" s="10"/>
      <c r="GP857" s="9"/>
      <c r="GQ857" s="10"/>
      <c r="GR857" s="10"/>
      <c r="GS857" s="10"/>
      <c r="GT857" s="10"/>
      <c r="GU857" s="10"/>
      <c r="GV857" s="10"/>
      <c r="GW857" s="10"/>
      <c r="GX857" s="10"/>
      <c r="GY857" s="10"/>
      <c r="GZ857" s="10"/>
      <c r="HA857" s="9"/>
      <c r="HB857" s="10"/>
      <c r="HC857" s="10"/>
      <c r="HD857" s="10"/>
      <c r="HE857" s="10"/>
      <c r="HF857" s="10"/>
      <c r="HG857" s="10"/>
      <c r="HH857" s="10"/>
      <c r="HI857" s="9"/>
      <c r="HJ857" s="10"/>
      <c r="HK857" s="10"/>
      <c r="HL857" s="10"/>
      <c r="HM857" s="10"/>
      <c r="HN857" s="10"/>
      <c r="HO857" s="10"/>
      <c r="HP857" s="10"/>
      <c r="HQ857" s="9"/>
      <c r="HR857" s="10"/>
      <c r="HS857" s="10"/>
      <c r="HT857" s="10"/>
      <c r="HU857" s="10"/>
      <c r="HV857" s="10"/>
      <c r="HW857" s="10"/>
      <c r="HX857" s="10"/>
      <c r="HY857" s="9">
        <v>45227</v>
      </c>
      <c r="HZ857" s="4"/>
      <c r="IA857" s="4"/>
      <c r="IB857" s="10"/>
      <c r="IC857" s="10"/>
      <c r="ID857" s="10"/>
      <c r="IE857" s="10"/>
      <c r="IF857" s="4"/>
      <c r="IG857" s="4"/>
      <c r="IH857" s="14">
        <f ca="1">SUM(HZ857-EB857-FX857-IF857)</f>
        <v>-5980.5548000000008</v>
      </c>
      <c r="II857" s="14"/>
      <c r="IJ857" s="14"/>
      <c r="IK857" s="9">
        <v>45187</v>
      </c>
      <c r="IL857" s="9">
        <v>45204</v>
      </c>
      <c r="IM857" s="9"/>
      <c r="IN857" s="9"/>
      <c r="IO857" s="9"/>
      <c r="IP857" s="27" t="s">
        <v>5913</v>
      </c>
      <c r="IQ857" s="18"/>
      <c r="IR857" s="18"/>
      <c r="IS857" s="18"/>
      <c r="IT857" s="18"/>
      <c r="IU857" s="18"/>
      <c r="IV857" s="18"/>
      <c r="IW857" s="18"/>
      <c r="IX857" s="18"/>
      <c r="IY857" s="18"/>
      <c r="IZ857" s="18"/>
      <c r="JA857" s="18"/>
      <c r="JB857" s="18"/>
      <c r="JC857" s="18"/>
    </row>
    <row r="858" spans="1:263" ht="15" customHeight="1">
      <c r="A858" s="19">
        <v>102020071</v>
      </c>
      <c r="B858" s="18" t="s">
        <v>1724</v>
      </c>
      <c r="C858" s="18"/>
      <c r="D858" s="13" t="s">
        <v>258</v>
      </c>
      <c r="E858" s="18"/>
      <c r="F858" s="18"/>
      <c r="G858" s="18"/>
      <c r="H858" s="18"/>
      <c r="I858" s="18"/>
      <c r="J858" s="18"/>
      <c r="K858" s="18" t="s">
        <v>1725</v>
      </c>
      <c r="L858" s="18"/>
      <c r="M858" s="18"/>
      <c r="N858" s="18"/>
      <c r="O858" s="18"/>
      <c r="P858" s="18"/>
      <c r="Q858" s="18"/>
      <c r="R858" s="18"/>
      <c r="S858" s="18"/>
      <c r="T858" s="18"/>
      <c r="U858" s="18"/>
      <c r="V858" s="18"/>
      <c r="W858" s="18"/>
      <c r="X858" s="18"/>
      <c r="Y858" s="18"/>
      <c r="Z858" s="18" t="s">
        <v>700</v>
      </c>
      <c r="AA858" s="18" t="s">
        <v>1716</v>
      </c>
      <c r="AB858" s="18" t="s">
        <v>274</v>
      </c>
      <c r="AC858" s="18" t="s">
        <v>275</v>
      </c>
      <c r="AD858" s="18"/>
      <c r="AE858" s="18"/>
      <c r="AF858" s="18"/>
      <c r="AG858" s="231"/>
      <c r="AH858" s="18"/>
      <c r="AI858" s="18"/>
      <c r="AJ858" s="18" t="s">
        <v>328</v>
      </c>
      <c r="AK858" s="18"/>
      <c r="AL858" s="18" t="s">
        <v>259</v>
      </c>
      <c r="AM858" s="24"/>
      <c r="AN858" s="24"/>
      <c r="AO858" s="18" t="s">
        <v>1726</v>
      </c>
      <c r="AP858" s="13" t="s">
        <v>258</v>
      </c>
      <c r="AQ858" s="24" t="s">
        <v>1727</v>
      </c>
      <c r="AR858" s="24"/>
      <c r="AS858" s="13"/>
      <c r="AT858" s="13"/>
      <c r="AU858" s="13"/>
      <c r="AV858" s="13"/>
      <c r="AW858" s="13"/>
      <c r="AX858" s="19"/>
      <c r="AY858" s="48"/>
      <c r="AZ858" s="48"/>
      <c r="BA858" s="19"/>
      <c r="BB858" s="19"/>
      <c r="BC858" s="19"/>
      <c r="BD858" s="19"/>
      <c r="BE858" s="19"/>
      <c r="BF858" s="19"/>
      <c r="BG858" s="20"/>
      <c r="BH858" s="22"/>
      <c r="BI858" s="22"/>
      <c r="BJ858" s="14"/>
      <c r="BK858" s="22"/>
      <c r="BL858" s="14"/>
      <c r="BM858" s="14"/>
      <c r="BN858" s="14"/>
      <c r="BO858" s="17"/>
      <c r="BP858" s="23"/>
      <c r="BQ858" s="14"/>
      <c r="BR858" s="14"/>
      <c r="BS858" s="14"/>
      <c r="BT858" s="14"/>
      <c r="BU858" s="17"/>
      <c r="BV858" s="23"/>
      <c r="BW858" s="14"/>
      <c r="BX858" s="14"/>
      <c r="BY858" s="14"/>
      <c r="BZ858" s="14"/>
      <c r="CA858" s="17"/>
      <c r="CB858" s="23"/>
      <c r="CC858" s="14"/>
      <c r="CD858" s="14"/>
      <c r="CE858" s="14"/>
      <c r="CF858" s="14"/>
      <c r="CG858" s="17"/>
      <c r="CH858" s="23"/>
      <c r="CI858" s="14"/>
      <c r="CJ858" s="14"/>
      <c r="CK858" s="14"/>
      <c r="CL858" s="14"/>
      <c r="CM858" s="17"/>
      <c r="CN858" s="23"/>
      <c r="CO858" s="14"/>
      <c r="CP858" s="14"/>
      <c r="CQ858" s="14"/>
      <c r="CR858" s="14"/>
      <c r="CS858" s="17"/>
      <c r="CT858" s="23"/>
      <c r="CU858" s="14"/>
      <c r="CV858" s="14"/>
      <c r="CW858" s="14"/>
      <c r="CX858" s="14"/>
      <c r="CY858" s="14"/>
      <c r="CZ858" s="14"/>
      <c r="DA858" s="14"/>
      <c r="DB858" s="14"/>
      <c r="DC858" s="14"/>
      <c r="DD858" s="14"/>
      <c r="DE858" s="14"/>
      <c r="DF858" s="47"/>
      <c r="DG858" s="14"/>
      <c r="DH858" s="32"/>
      <c r="DI858" s="14"/>
      <c r="DJ858" s="14">
        <v>150</v>
      </c>
      <c r="DK858" s="14">
        <f>SUM(DE858,DG858,DQ858, DJ858, DI858,FS858)</f>
        <v>150</v>
      </c>
      <c r="DL858" s="14"/>
      <c r="DM858" s="14"/>
      <c r="DN858" s="14"/>
      <c r="DO858" s="23"/>
      <c r="DP858" s="25"/>
      <c r="DQ858" s="14">
        <f>SUM(DL858:DP858)</f>
        <v>0</v>
      </c>
      <c r="DR858" s="24" t="s">
        <v>418</v>
      </c>
      <c r="DS858" s="25">
        <v>3000</v>
      </c>
      <c r="DT858" s="25">
        <v>0</v>
      </c>
      <c r="DU858" s="25">
        <f>SUM(DS858+DT858)</f>
        <v>3000</v>
      </c>
      <c r="DV858" s="36">
        <v>0.19</v>
      </c>
      <c r="DW858" s="18" t="s">
        <v>1828</v>
      </c>
      <c r="DX858" s="18" t="s">
        <v>1829</v>
      </c>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t="s">
        <v>372</v>
      </c>
      <c r="FO858" s="18" t="s">
        <v>373</v>
      </c>
      <c r="FP858" s="18" t="s">
        <v>374</v>
      </c>
      <c r="FQ858" s="18" t="s">
        <v>259</v>
      </c>
      <c r="FR858" s="18" t="s">
        <v>260</v>
      </c>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240"/>
      <c r="IQ858" s="240"/>
      <c r="IR858" s="240"/>
      <c r="IS858" s="240"/>
      <c r="IT858" s="240"/>
      <c r="IU858" s="240"/>
      <c r="IV858" s="240"/>
      <c r="IW858" s="240"/>
    </row>
    <row r="859" spans="1:263" ht="15" customHeight="1">
      <c r="A859" s="19">
        <v>102022074</v>
      </c>
      <c r="B859" t="s">
        <v>2819</v>
      </c>
      <c r="D859" s="1">
        <v>2025</v>
      </c>
      <c r="E859" s="3"/>
      <c r="F859" s="3"/>
      <c r="J859" t="s">
        <v>253</v>
      </c>
      <c r="K859" t="s">
        <v>419</v>
      </c>
      <c r="L859" t="s">
        <v>917</v>
      </c>
      <c r="M859" t="s">
        <v>309</v>
      </c>
      <c r="AG859" s="43"/>
      <c r="AJ859" t="s">
        <v>3072</v>
      </c>
      <c r="AK859" t="s">
        <v>258</v>
      </c>
      <c r="AL859" t="s">
        <v>259</v>
      </c>
      <c r="AM859"/>
      <c r="AN859"/>
      <c r="AO859" s="3" t="s">
        <v>3073</v>
      </c>
      <c r="AP859" s="3" t="s">
        <v>258</v>
      </c>
      <c r="AQ859" t="s">
        <v>259</v>
      </c>
      <c r="AR859" t="s">
        <v>260</v>
      </c>
      <c r="AS859" s="1"/>
      <c r="AT859" s="1"/>
      <c r="AU859" s="1"/>
      <c r="AV859" s="1"/>
      <c r="AW859" s="1"/>
      <c r="AX859" s="2"/>
      <c r="AY859" s="116"/>
      <c r="AZ859" s="115"/>
      <c r="BA859" s="2"/>
      <c r="BB859" s="2"/>
      <c r="BC859" s="2"/>
      <c r="BD859" s="2"/>
      <c r="BE859" s="2"/>
      <c r="BF859" s="2"/>
      <c r="BG859" s="20">
        <f ca="1">SUM(CY859)+214.5</f>
        <v>384.86400000000003</v>
      </c>
      <c r="BH859" s="22">
        <f ca="1">PMT(10%/12,12,BG859,0,0)</f>
        <v>-33.835660022890416</v>
      </c>
      <c r="BI859" s="22">
        <f ca="1">SUM(BH859*-1)</f>
        <v>33.835660022890416</v>
      </c>
      <c r="BJ859" s="14">
        <f>SUM(DI859*0.0052)/12</f>
        <v>5.2</v>
      </c>
      <c r="BK859" s="22">
        <f ca="1">SUM(BI859+BJ859)</f>
        <v>39.035660022890418</v>
      </c>
      <c r="BL859" s="14"/>
      <c r="BM859" s="14">
        <f>SUM(BL859*0.1)</f>
        <v>0</v>
      </c>
      <c r="BN859" s="14">
        <f ca="1">SUM(BO859*BP859)</f>
        <v>0</v>
      </c>
      <c r="BO859" s="17">
        <f>SUM((BL859+BM859)*0.00833333333333333)</f>
        <v>0</v>
      </c>
      <c r="BP859" s="23">
        <f ca="1">MONTH(TODAY())+49</f>
        <v>53</v>
      </c>
      <c r="BQ859" s="14">
        <f ca="1">SUM(BL859,BM859,BN859)</f>
        <v>0</v>
      </c>
      <c r="BR859" s="14"/>
      <c r="BS859" s="14">
        <f>SUM(BR859*0.1)</f>
        <v>0</v>
      </c>
      <c r="BT859" s="14">
        <f ca="1">SUM(BU859*BV859)</f>
        <v>0</v>
      </c>
      <c r="BU859" s="17">
        <f>SUM((BR859+BS859)*0.00833333333333333)</f>
        <v>0</v>
      </c>
      <c r="BV859" s="23">
        <f ca="1">MONTH(TODAY())+37</f>
        <v>41</v>
      </c>
      <c r="BW859" s="14">
        <f ca="1">SUM(BR859,BS859,BT859)</f>
        <v>0</v>
      </c>
      <c r="BX859" s="14"/>
      <c r="BY859" s="14">
        <f>SUM(BX859*0.1)</f>
        <v>0</v>
      </c>
      <c r="BZ859" s="14">
        <f ca="1">SUM(CA859*CB859)</f>
        <v>0</v>
      </c>
      <c r="CA859" s="17">
        <f>SUM((BX859+BY859)*0.00833333333333333)</f>
        <v>0</v>
      </c>
      <c r="CB859" s="23">
        <f ca="1">MONTH(TODAY())+25</f>
        <v>29</v>
      </c>
      <c r="CC859" s="14">
        <f ca="1">SUM(BX859,BY859,BZ859)</f>
        <v>0</v>
      </c>
      <c r="CD859" s="14">
        <f>SUM(DI859*0.0052)</f>
        <v>62.4</v>
      </c>
      <c r="CE859" s="14">
        <f>SUM(CD859*0.1)</f>
        <v>6.24</v>
      </c>
      <c r="CF859" s="14">
        <f ca="1">SUM(CG859*CH859)</f>
        <v>9.7239999999999949</v>
      </c>
      <c r="CG859" s="17">
        <f>SUM((CD859+CE859)*0.00833333333333333)</f>
        <v>0.57199999999999973</v>
      </c>
      <c r="CH859" s="23">
        <f ca="1">MONTH(TODAY())+13</f>
        <v>17</v>
      </c>
      <c r="CI859" s="14">
        <f ca="1">SUM(CD859,CE859,CF859)</f>
        <v>78.36399999999999</v>
      </c>
      <c r="CJ859" s="14">
        <f>SUM(DI859*0.0052)</f>
        <v>62.4</v>
      </c>
      <c r="CK859" s="14">
        <f>SUM(CJ859*0.1)</f>
        <v>6.24</v>
      </c>
      <c r="CL859" s="14">
        <f ca="1">SUM(CM859*CN859)</f>
        <v>2.8599999999999985</v>
      </c>
      <c r="CM859" s="17">
        <f>SUM((CJ859+CK859)*0.00833333333333333)</f>
        <v>0.57199999999999973</v>
      </c>
      <c r="CN859" s="23">
        <f ca="1">MONTH(TODAY())+1</f>
        <v>5</v>
      </c>
      <c r="CO859" s="14">
        <f ca="1">SUM(CJ859,CK859,CL859)</f>
        <v>71.5</v>
      </c>
      <c r="CP859" s="14">
        <f>SUM(BL859, BR859,BX859,CD859,CJ859)</f>
        <v>124.8</v>
      </c>
      <c r="CQ859" s="14">
        <f>SUM(BM859, BS859,BY859,CE859,CK859)</f>
        <v>12.48</v>
      </c>
      <c r="CR859" s="14">
        <f ca="1">SUM(BN859, BT859,BZ859,CF859,CL859)</f>
        <v>12.583999999999993</v>
      </c>
      <c r="CS859" s="14">
        <f ca="1">SUM(CP859:CR859)</f>
        <v>149.864</v>
      </c>
      <c r="CT859" s="47">
        <f ca="1">SUM(CS859/DI859)</f>
        <v>1.2488666666666667E-2</v>
      </c>
      <c r="CU859" s="14">
        <v>19.5</v>
      </c>
      <c r="CV859" s="32">
        <f>COUNTIF(DB859, "*")+COUNTIF(AO859, "*")+COUNTIF(AJ859, "*")+COUNTIF(AA859, "*")+COUNTIF(DY859, "*")+COUNTIF(EE859, "*")+COUNTIF(EK859, "*")+COUNTIF(EO859, "*")+COUNTIF(EV859, "*")+COUNTIF(FC859, "*")+COUNTIF(FJ859, "*")+COUNTIF(FU859, "*")+COUNTIF(GF859, "*")+COUNTIF(GN859, "*")+COUNTIF(GV859, "*")+COUNTIF(HD859, "*")+COUNTIF(HL859, "*")</f>
        <v>2</v>
      </c>
      <c r="CW859" s="14">
        <f>CV859*0.5</f>
        <v>1</v>
      </c>
      <c r="CX859" s="4"/>
      <c r="CY859" s="14">
        <f ca="1">SUM(CS859,CU859,DE859, CX859, CW859,FG859)</f>
        <v>170.364</v>
      </c>
      <c r="CZ859" s="4"/>
      <c r="DE859" s="14">
        <f>SUM(CZ859:DD859)</f>
        <v>0</v>
      </c>
      <c r="DF859" s="24" t="s">
        <v>2773</v>
      </c>
      <c r="DG859" s="4">
        <v>12000</v>
      </c>
      <c r="DH859" s="4">
        <v>0</v>
      </c>
      <c r="DI859" s="25">
        <f>SUM(DG859+DH859)</f>
        <v>12000</v>
      </c>
      <c r="DJ859" s="35">
        <v>0.15</v>
      </c>
      <c r="IC859" s="4"/>
    </row>
    <row r="860" spans="1:263" ht="15" customHeight="1">
      <c r="A860" s="19">
        <v>102017072</v>
      </c>
      <c r="B860" s="18" t="s">
        <v>350</v>
      </c>
      <c r="C860" s="13"/>
      <c r="D860" s="13"/>
      <c r="E860" s="18" t="s">
        <v>351</v>
      </c>
      <c r="F860" s="19">
        <v>180003503</v>
      </c>
      <c r="G860" s="18">
        <v>180003762</v>
      </c>
      <c r="H860" s="18"/>
      <c r="I860" s="18"/>
      <c r="J860" s="18" t="s">
        <v>305</v>
      </c>
      <c r="K860" s="18" t="s">
        <v>352</v>
      </c>
      <c r="L860" s="18" t="s">
        <v>353</v>
      </c>
      <c r="M860" s="18" t="s">
        <v>354</v>
      </c>
      <c r="N860" s="18"/>
      <c r="O860" s="13" t="s">
        <v>355</v>
      </c>
      <c r="P860" s="18" t="s">
        <v>352</v>
      </c>
      <c r="Q860" s="18" t="s">
        <v>356</v>
      </c>
      <c r="R860" s="18" t="s">
        <v>357</v>
      </c>
      <c r="S860" s="18"/>
      <c r="T860" s="13"/>
      <c r="U860" s="18"/>
      <c r="V860" s="18"/>
      <c r="W860" s="18"/>
      <c r="X860" s="18"/>
      <c r="Y860" s="18"/>
      <c r="Z860" s="18"/>
      <c r="AA860" s="18"/>
      <c r="AB860" s="18"/>
      <c r="AC860" s="18"/>
      <c r="AD860" s="18"/>
      <c r="AE860" s="18"/>
      <c r="AF860" s="13"/>
      <c r="AG860" s="24"/>
      <c r="AH860" s="14"/>
      <c r="AI860" s="14"/>
      <c r="AJ860" s="14"/>
      <c r="AK860" s="18"/>
      <c r="AL860" s="14"/>
      <c r="AM860" s="63"/>
      <c r="AN860" s="24"/>
      <c r="AO860" s="14"/>
      <c r="AP860" s="13"/>
      <c r="AQ860" s="63"/>
      <c r="AR860" s="63"/>
      <c r="AS860" s="13"/>
      <c r="AT860" s="13"/>
      <c r="AU860" s="13"/>
      <c r="AV860" s="13"/>
      <c r="AW860" s="13"/>
      <c r="AX860" s="48"/>
      <c r="AY860" s="48"/>
      <c r="AZ860" s="48"/>
      <c r="BA860" s="48"/>
      <c r="BB860" s="19"/>
      <c r="BC860" s="48"/>
      <c r="BD860" s="48"/>
      <c r="BE860" s="48"/>
      <c r="BF860" s="48"/>
      <c r="BG860" s="20"/>
      <c r="BH860" s="22"/>
      <c r="BI860" s="22"/>
      <c r="BJ860" s="14"/>
      <c r="BK860" s="14"/>
      <c r="BL860" s="14"/>
      <c r="BM860" s="17"/>
      <c r="BN860" s="23"/>
      <c r="BO860" s="14"/>
      <c r="BP860" s="14"/>
      <c r="BQ860" s="14"/>
      <c r="BR860" s="14"/>
      <c r="BS860" s="17"/>
      <c r="BT860" s="23"/>
      <c r="BU860" s="14"/>
      <c r="BV860" s="14"/>
      <c r="BW860" s="14"/>
      <c r="BX860" s="14"/>
      <c r="BY860" s="17"/>
      <c r="BZ860" s="23"/>
      <c r="CA860" s="14"/>
      <c r="CB860" s="14"/>
      <c r="CC860" s="14"/>
      <c r="CD860" s="14"/>
      <c r="CE860" s="17"/>
      <c r="CF860" s="23"/>
      <c r="CG860" s="14"/>
      <c r="CH860" s="14"/>
      <c r="CI860" s="14"/>
      <c r="CJ860" s="14"/>
      <c r="CK860" s="17"/>
      <c r="CL860" s="23"/>
      <c r="CM860" s="14"/>
      <c r="CN860" s="14"/>
      <c r="CO860" s="14"/>
      <c r="CP860" s="14"/>
      <c r="CQ860" s="17"/>
      <c r="CR860" s="23"/>
      <c r="CS860" s="14"/>
      <c r="CT860" s="14"/>
      <c r="CU860" s="14"/>
      <c r="CV860" s="14"/>
      <c r="CW860" s="17"/>
      <c r="CX860" s="23"/>
      <c r="CY860" s="14"/>
      <c r="CZ860" s="14"/>
      <c r="DA860" s="14"/>
      <c r="DB860" s="14"/>
      <c r="DC860" s="14"/>
      <c r="DD860" s="14"/>
      <c r="DE860" s="47"/>
      <c r="DF860" s="24"/>
      <c r="DG860" s="14"/>
      <c r="DH860" s="32"/>
      <c r="DI860" s="14"/>
      <c r="DJ860" s="14"/>
      <c r="DK860" s="14"/>
      <c r="DL860" s="14"/>
      <c r="DM860" s="14"/>
      <c r="DN860" s="14"/>
      <c r="DO860" s="14"/>
      <c r="DP860" s="25"/>
      <c r="DQ860" s="14"/>
      <c r="DR860" s="25"/>
      <c r="DS860" s="25"/>
      <c r="DT860" s="25"/>
      <c r="DU860" s="36"/>
      <c r="DV860" s="18"/>
      <c r="DW860" s="18"/>
      <c r="DX860" s="18"/>
      <c r="DY860" s="18"/>
      <c r="DZ860" s="18"/>
      <c r="EA860" s="18"/>
      <c r="EB860" s="18"/>
      <c r="EC860" s="18"/>
      <c r="ED860" s="18"/>
      <c r="EE860" s="18"/>
      <c r="EF860" s="18"/>
      <c r="EG860" s="18"/>
      <c r="EH860" s="18"/>
      <c r="EI860" s="18"/>
      <c r="EJ860" s="30"/>
      <c r="EK860" s="18"/>
      <c r="EL860" s="14"/>
      <c r="EM860" s="14"/>
      <c r="EN860" s="18"/>
      <c r="EO860" s="18"/>
      <c r="EP860" s="18"/>
      <c r="EQ860" s="18"/>
      <c r="ER860" s="18"/>
      <c r="ES860" s="18"/>
      <c r="ET860" s="18"/>
      <c r="EU860" s="18"/>
      <c r="EV860" s="18"/>
      <c r="EW860" s="30"/>
      <c r="EX860" s="18"/>
      <c r="EY860" s="18"/>
      <c r="EZ860" s="18"/>
      <c r="FA860" s="18"/>
      <c r="FB860" s="18"/>
      <c r="FC860" s="18"/>
      <c r="FD860" s="27"/>
      <c r="FE860" s="28"/>
      <c r="FF860" s="18"/>
      <c r="FG860" s="18"/>
      <c r="FH860" s="18"/>
      <c r="FI860" s="18"/>
      <c r="FJ860" s="18"/>
      <c r="FK860" s="18"/>
      <c r="FL860" s="28"/>
      <c r="FM860" s="27"/>
      <c r="FN860" s="18"/>
      <c r="FO860" s="18"/>
      <c r="FP860" s="18"/>
      <c r="FQ860" s="18"/>
      <c r="FR860" s="18"/>
      <c r="FS860" s="14"/>
      <c r="FT860" s="18"/>
      <c r="FU860" s="18"/>
      <c r="FV860" s="18"/>
      <c r="FW860" s="18"/>
      <c r="FX860" s="18"/>
      <c r="FY860" s="18"/>
      <c r="FZ860" s="27"/>
      <c r="GA860" s="18"/>
      <c r="GB860" s="18"/>
      <c r="GC860" s="18"/>
      <c r="GD860" s="18"/>
      <c r="GE860" s="18"/>
      <c r="GF860" s="18"/>
      <c r="GG860" s="18"/>
      <c r="GH860" s="18"/>
      <c r="GI860" s="18"/>
      <c r="GJ860" s="18"/>
      <c r="GK860" s="27"/>
      <c r="GL860" s="18"/>
      <c r="GM860" s="18"/>
      <c r="GN860" s="18"/>
      <c r="GO860" s="18"/>
      <c r="GP860" s="18"/>
      <c r="GQ860" s="18"/>
      <c r="GR860" s="18"/>
      <c r="GS860" s="18"/>
      <c r="GT860" s="18"/>
      <c r="GU860" s="18"/>
      <c r="GV860" s="27"/>
      <c r="GW860" s="18"/>
      <c r="GX860" s="18"/>
      <c r="GY860" s="18"/>
      <c r="GZ860" s="18"/>
      <c r="HA860" s="18"/>
      <c r="HB860" s="18"/>
      <c r="HC860" s="18"/>
      <c r="HD860" s="27"/>
      <c r="HE860" s="18"/>
      <c r="HF860" s="18"/>
      <c r="HG860" s="18"/>
      <c r="HH860" s="18"/>
      <c r="HI860" s="18"/>
      <c r="HJ860" s="18"/>
      <c r="HK860" s="18"/>
      <c r="HL860" s="27"/>
      <c r="HM860" s="18"/>
      <c r="HN860" s="18"/>
      <c r="HO860" s="18"/>
      <c r="HP860" s="18"/>
      <c r="HQ860" s="18"/>
      <c r="HR860" s="18"/>
      <c r="HS860" s="18"/>
      <c r="HT860" s="18"/>
      <c r="HU860" s="18"/>
      <c r="HV860" s="18"/>
      <c r="HW860" s="18"/>
      <c r="HX860" s="18"/>
      <c r="HY860" s="18"/>
      <c r="HZ860" s="18"/>
      <c r="IA860" s="18"/>
      <c r="IB860" s="18"/>
      <c r="IC860" s="18"/>
      <c r="ID860" s="27"/>
      <c r="IE860" s="14"/>
      <c r="IF860" s="14"/>
      <c r="IG860" s="27"/>
      <c r="IH860" s="18"/>
      <c r="II860" s="18"/>
      <c r="IJ860" s="18"/>
      <c r="IK860" s="18"/>
      <c r="IL860" s="4"/>
      <c r="IM860" s="4"/>
      <c r="IS860" s="18"/>
      <c r="IT860" s="18"/>
      <c r="IU860" s="18"/>
      <c r="IV860" s="18"/>
      <c r="IW860" s="18"/>
      <c r="IX860" s="18"/>
    </row>
    <row r="861" spans="1:263" ht="15" customHeight="1">
      <c r="A861" s="19">
        <v>102021005</v>
      </c>
      <c r="B861" t="s">
        <v>2110</v>
      </c>
      <c r="J861" t="s">
        <v>253</v>
      </c>
      <c r="K861" t="s">
        <v>400</v>
      </c>
      <c r="L861" t="s">
        <v>1561</v>
      </c>
      <c r="U861" s="18"/>
      <c r="V861" s="18"/>
      <c r="W861" s="18"/>
      <c r="X861" s="18"/>
      <c r="Y861" s="18"/>
      <c r="Z861" s="18"/>
      <c r="AA861" s="18"/>
      <c r="AB861" s="18"/>
      <c r="AC861" s="18"/>
      <c r="AD861" s="18"/>
      <c r="AE861" s="18"/>
      <c r="AF861" s="18"/>
      <c r="AG861" s="231"/>
      <c r="AH861" s="18"/>
      <c r="AI861" s="18"/>
      <c r="AJ861" s="18" t="s">
        <v>328</v>
      </c>
      <c r="AK861" s="18"/>
      <c r="AL861" s="18" t="s">
        <v>259</v>
      </c>
      <c r="AM861" s="24"/>
      <c r="AN861" s="24"/>
      <c r="AO861" s="18" t="s">
        <v>1563</v>
      </c>
      <c r="AP861" s="13" t="s">
        <v>258</v>
      </c>
      <c r="AQ861" s="24" t="s">
        <v>259</v>
      </c>
      <c r="AR861" s="24" t="s">
        <v>260</v>
      </c>
      <c r="AS861" s="18"/>
      <c r="AT861" s="18"/>
      <c r="AU861" s="18"/>
      <c r="AV861" s="18"/>
      <c r="AW861" s="18"/>
      <c r="AX861" s="19"/>
      <c r="AY861" s="19"/>
      <c r="AZ861" s="19"/>
      <c r="BA861" s="19"/>
      <c r="BB861" s="19"/>
      <c r="BC861" s="19"/>
      <c r="BD861" s="19"/>
      <c r="BE861" s="19"/>
      <c r="BF861" s="19"/>
      <c r="BG861" s="20"/>
      <c r="BH861" s="22"/>
      <c r="BI861" s="22"/>
      <c r="BJ861" s="14"/>
      <c r="BK861" s="14"/>
      <c r="BL861" s="14"/>
      <c r="BM861" s="17"/>
      <c r="BN861" s="23"/>
      <c r="BO861" s="14"/>
      <c r="BP861" s="14"/>
      <c r="BQ861" s="14"/>
      <c r="BR861" s="14"/>
      <c r="BS861" s="17"/>
      <c r="BT861" s="23"/>
      <c r="BU861" s="14"/>
      <c r="BV861" s="14"/>
      <c r="BW861" s="14"/>
      <c r="BX861" s="14"/>
      <c r="BY861" s="17"/>
      <c r="BZ861" s="23"/>
      <c r="CA861" s="14"/>
      <c r="CB861" s="14"/>
      <c r="CC861" s="14"/>
      <c r="CD861" s="14"/>
      <c r="CE861" s="17"/>
      <c r="CF861" s="23"/>
      <c r="CG861" s="14"/>
      <c r="CH861" s="14"/>
      <c r="CI861" s="14"/>
      <c r="CJ861" s="14"/>
      <c r="CK861" s="17"/>
      <c r="CL861" s="23"/>
      <c r="CM861" s="14"/>
      <c r="CN861" s="14"/>
      <c r="CO861" s="14"/>
      <c r="CP861" s="14"/>
      <c r="CQ861" s="17"/>
      <c r="CR861" s="23"/>
      <c r="CS861" s="14"/>
      <c r="CT861" s="14"/>
      <c r="CU861" s="14"/>
      <c r="CV861" s="14"/>
      <c r="CW861" s="17"/>
      <c r="CX861" s="23"/>
      <c r="CY861" s="14"/>
      <c r="CZ861" s="14"/>
      <c r="DA861" s="14"/>
      <c r="DB861" s="14"/>
      <c r="DC861" s="17"/>
      <c r="DD861" s="23"/>
      <c r="DE861" s="14"/>
      <c r="DF861" s="14"/>
      <c r="DG861" s="14"/>
      <c r="DH861" s="14"/>
      <c r="DI861" s="14"/>
      <c r="DJ861" s="47">
        <f>SUM(DI861/DY861)</f>
        <v>0</v>
      </c>
      <c r="DK861" s="14">
        <v>39</v>
      </c>
      <c r="DL861" s="32">
        <f>COUNTIF(DR861, "*")+COUNTIF(AO861, "*")+COUNTIF(AJ861, "*")+COUNTIF(AA861, "*")+COUNTIF(EO861, "*")+COUNTIF(EU861, "*")+COUNTIF(FA861, "*")+COUNTIF(FE861, "*")+COUNTIF(FL861, "*")+COUNTIF(FT861, "*")+COUNTIF(GA861, "*")+COUNTIF(GL861, "*")+COUNTIF(GW861, "*")+COUNTIF(HE861, "*")+COUNTIF(HM861, "*")+COUNTIF(HU861, "*")+COUNTIF(IC861, "*")</f>
        <v>2</v>
      </c>
      <c r="DM861" s="14">
        <f>DL861*0.5</f>
        <v>1</v>
      </c>
      <c r="DN861" s="14"/>
      <c r="DO861" s="14">
        <f>SUM(DI861,DK861,DU861, DN861, DM861,FX861)</f>
        <v>40</v>
      </c>
      <c r="DP861" s="14"/>
      <c r="DQ861" s="14"/>
      <c r="DR861" s="14"/>
      <c r="DS861" s="23"/>
      <c r="DT861" s="25"/>
      <c r="DU861" s="14">
        <f>SUM(DP861:DT861)</f>
        <v>0</v>
      </c>
      <c r="DV861" s="24" t="s">
        <v>1997</v>
      </c>
      <c r="DW861" s="25">
        <v>3000</v>
      </c>
      <c r="DX861" s="25">
        <v>0</v>
      </c>
      <c r="DY861" s="25">
        <f>SUM(DW861+DX861)</f>
        <v>3000</v>
      </c>
      <c r="DZ861" s="36">
        <v>0.17</v>
      </c>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27">
        <v>43711</v>
      </c>
      <c r="IO861" s="27">
        <v>43761</v>
      </c>
    </row>
    <row r="862" spans="1:263" ht="15" customHeight="1">
      <c r="A862" s="18">
        <v>102020010</v>
      </c>
      <c r="B862" s="18" t="s">
        <v>1562</v>
      </c>
      <c r="C862" s="28"/>
      <c r="D862" s="159"/>
      <c r="E862" s="150"/>
      <c r="F862" s="149"/>
      <c r="G862" s="150">
        <v>200003799</v>
      </c>
      <c r="H862" s="28"/>
      <c r="I862" s="28"/>
      <c r="J862" s="28" t="s">
        <v>253</v>
      </c>
      <c r="K862" s="28" t="s">
        <v>400</v>
      </c>
      <c r="L862" s="28" t="s">
        <v>1561</v>
      </c>
      <c r="M862" s="28"/>
      <c r="N862" s="28"/>
      <c r="O862" s="150"/>
      <c r="P862" s="28"/>
      <c r="Q862" s="28"/>
      <c r="R862" s="28"/>
      <c r="S862" s="28"/>
      <c r="T862" s="28"/>
      <c r="U862" s="28"/>
      <c r="V862" s="28"/>
      <c r="W862" s="28"/>
      <c r="X862" s="28"/>
      <c r="Y862" s="28"/>
      <c r="Z862" s="28"/>
      <c r="AA862" s="28"/>
      <c r="AB862" s="28"/>
      <c r="AC862" s="28"/>
      <c r="AD862" s="28"/>
      <c r="AE862" s="28"/>
      <c r="AF862" s="28"/>
      <c r="AG862" s="148" t="s">
        <v>1741</v>
      </c>
      <c r="AH862" s="28"/>
      <c r="AI862" s="28"/>
      <c r="AJ862" s="18"/>
      <c r="AK862" s="13"/>
      <c r="AL862" s="18"/>
      <c r="AM862" s="18"/>
      <c r="AN862" s="18"/>
      <c r="AO862" s="18" t="s">
        <v>1563</v>
      </c>
      <c r="AP862" s="13" t="s">
        <v>258</v>
      </c>
      <c r="AQ862" s="18" t="s">
        <v>259</v>
      </c>
      <c r="AR862" s="18" t="s">
        <v>260</v>
      </c>
      <c r="AS862" s="18"/>
      <c r="AT862" s="18"/>
      <c r="AU862" s="18"/>
      <c r="AV862" s="18"/>
      <c r="AW862" s="18"/>
      <c r="AX862" s="13"/>
      <c r="AY862" s="13"/>
      <c r="AZ862" s="13"/>
      <c r="BA862" s="13"/>
      <c r="BB862" s="13"/>
      <c r="BC862" s="48"/>
      <c r="BD862" s="114"/>
      <c r="BE862" s="143"/>
      <c r="BF862" s="48"/>
      <c r="BG862" s="19"/>
      <c r="BH862" s="48"/>
      <c r="BI862" s="48"/>
      <c r="BJ862" s="48"/>
      <c r="BK862" s="48"/>
      <c r="BL862" s="20">
        <f ca="1">SUM(EH862)+220</f>
        <v>6987.9962999999989</v>
      </c>
      <c r="BM862" s="22">
        <f ca="1">PMT(10%/12,12,BL862,0,0)</f>
        <v>-614.35589467452417</v>
      </c>
      <c r="BN862" s="22">
        <f ca="1">SUM(BM862*-1)</f>
        <v>614.35589467452417</v>
      </c>
      <c r="BO862" s="14">
        <f>SUM(EP862*0.0052)/12</f>
        <v>104.34666666666665</v>
      </c>
      <c r="BP862" s="22">
        <f ca="1">SUM(BN862+BO862)</f>
        <v>718.70256134119086</v>
      </c>
      <c r="BQ862" s="14">
        <v>358.08</v>
      </c>
      <c r="BR862" s="14">
        <f>SUM(BQ862*0.1)</f>
        <v>35.808</v>
      </c>
      <c r="BS862" s="14">
        <f ca="1">SUM(BT862*BU862)</f>
        <v>173.96719999999991</v>
      </c>
      <c r="BT862" s="17">
        <f>SUM((BQ862+BR862)*0.00833333333333333)</f>
        <v>3.2823999999999982</v>
      </c>
      <c r="BU862" s="23">
        <f ca="1">MONTH(TODAY())+49</f>
        <v>53</v>
      </c>
      <c r="BV862" s="14">
        <f ca="1">SUM(BQ862,BR862,BS862)</f>
        <v>567.85519999999985</v>
      </c>
      <c r="BW862" s="14">
        <f>SUM(EM862*0.0052)</f>
        <v>839.28</v>
      </c>
      <c r="BX862" s="14">
        <f>SUM(BW862*0.1)</f>
        <v>83.927999999999997</v>
      </c>
      <c r="BY862" s="14">
        <f ca="1">SUM(BZ862*CA862)</f>
        <v>315.42939999999982</v>
      </c>
      <c r="BZ862" s="17">
        <f>SUM((BW862+BX862)*0.00833333333333333)</f>
        <v>7.693399999999996</v>
      </c>
      <c r="CA862" s="23">
        <f ca="1">MONTH(TODAY())+37</f>
        <v>41</v>
      </c>
      <c r="CB862" s="14">
        <f ca="1">SUM(BW862,BX862,BY862)</f>
        <v>1238.6373999999998</v>
      </c>
      <c r="CC862" s="14">
        <f>SUM(EM862*0.0052)</f>
        <v>839.28</v>
      </c>
      <c r="CD862" s="14">
        <f>SUM(CC862*0.1)</f>
        <v>83.927999999999997</v>
      </c>
      <c r="CE862" s="14">
        <f ca="1">SUM(CF862*CG862)</f>
        <v>223.10859999999988</v>
      </c>
      <c r="CF862" s="17">
        <f>SUM((CC862+CD862)*0.00833333333333333)</f>
        <v>7.693399999999996</v>
      </c>
      <c r="CG862" s="23">
        <f ca="1">MONTH(TODAY())+25</f>
        <v>29</v>
      </c>
      <c r="CH862" s="14">
        <f ca="1">SUM(CC862,CD862,CE862)</f>
        <v>1146.3165999999999</v>
      </c>
      <c r="CI862" s="14">
        <f>SUM(EM862*0.0052)/2</f>
        <v>419.64</v>
      </c>
      <c r="CJ862" s="14">
        <f>SUM(CI862*0.1)</f>
        <v>41.963999999999999</v>
      </c>
      <c r="CK862" s="14">
        <f ca="1">SUM(CL862*CM862)</f>
        <v>80.780699999999953</v>
      </c>
      <c r="CL862" s="17">
        <f>SUM((CI862+CJ862)*0.00833333333333333)</f>
        <v>3.846699999999998</v>
      </c>
      <c r="CM862" s="23">
        <f ca="1">MONTH(TODAY())+17</f>
        <v>21</v>
      </c>
      <c r="CN862" s="23">
        <f ca="1">SUM(CI862,CJ862,CK862)</f>
        <v>542.38469999999995</v>
      </c>
      <c r="CO862" s="14">
        <f>SUM(EM862*0.0052)/2</f>
        <v>419.64</v>
      </c>
      <c r="CP862" s="14">
        <f>SUM(CO862*0.1)</f>
        <v>41.963999999999999</v>
      </c>
      <c r="CQ862" s="14">
        <f ca="1">SUM(CR862*CS862)</f>
        <v>65.39389999999996</v>
      </c>
      <c r="CR862" s="17">
        <f>SUM((CO862+CP862)*0.00833333333333333)</f>
        <v>3.846699999999998</v>
      </c>
      <c r="CS862" s="23">
        <f ca="1">MONTH(TODAY())+13</f>
        <v>17</v>
      </c>
      <c r="CT862" s="14">
        <f ca="1">SUM(CO862,CP862,CQ862)</f>
        <v>526.99789999999996</v>
      </c>
      <c r="CU862" s="14">
        <f>SUM(EP862*0.0045)/2</f>
        <v>541.79999999999995</v>
      </c>
      <c r="CV862" s="14">
        <f>SUM(CU862*0.1)</f>
        <v>54.18</v>
      </c>
      <c r="CW862" s="14">
        <f ca="1">SUM(CX862*CY862)</f>
        <v>54.631499999999967</v>
      </c>
      <c r="CX862" s="17">
        <f>SUM((CU862+CV862)*0.00833333333333333)</f>
        <v>4.9664999999999973</v>
      </c>
      <c r="CY862" s="23">
        <f ca="1">MONTH(TODAY())+7</f>
        <v>11</v>
      </c>
      <c r="CZ862" s="14">
        <f ca="1">SUM(CU862,CV862,CW862)</f>
        <v>650.61149999999986</v>
      </c>
      <c r="DA862" s="14">
        <f>SUM(EP862*0.0045)/2</f>
        <v>541.79999999999995</v>
      </c>
      <c r="DB862" s="14">
        <f>SUM(DA862*0.1)</f>
        <v>54.18</v>
      </c>
      <c r="DC862" s="14">
        <f ca="1">SUM(DD862*DE862)</f>
        <v>24.832499999999985</v>
      </c>
      <c r="DD862" s="17">
        <f>SUM((DA862+DB862)*0.00833333333333333)</f>
        <v>4.9664999999999973</v>
      </c>
      <c r="DE862" s="23">
        <f ca="1">MONTH(TODAY())+1</f>
        <v>5</v>
      </c>
      <c r="DF862" s="14">
        <f ca="1">SUM(DA862,DB862,DC862)</f>
        <v>620.81249999999989</v>
      </c>
      <c r="DG862" s="14">
        <f>SUM(EP862*0.0045)/2</f>
        <v>541.79999999999995</v>
      </c>
      <c r="DH862" s="14">
        <f>SUM(DG862*0.1)</f>
        <v>54.18</v>
      </c>
      <c r="DI862" s="14">
        <f ca="1">SUM(DJ862*DK862)</f>
        <v>-14.899499999999993</v>
      </c>
      <c r="DJ862" s="17">
        <f>SUM((DG862+DH862)*0.00833333333333333)</f>
        <v>4.9664999999999973</v>
      </c>
      <c r="DK862" s="23">
        <f ca="1">MONTH(TODAY())-7</f>
        <v>-3</v>
      </c>
      <c r="DL862" s="14">
        <f ca="1">SUM(DG862,DH862,DI862)</f>
        <v>581.08049999999992</v>
      </c>
      <c r="DM862" s="14">
        <f>SUM(EP862*0.0045)/2</f>
        <v>541.79999999999995</v>
      </c>
      <c r="DN862" s="14">
        <f>0</f>
        <v>0</v>
      </c>
      <c r="DO862" s="14">
        <f>SUM(DP862*DQ862)</f>
        <v>0</v>
      </c>
      <c r="DP862" s="17">
        <f>SUM((DM862+DN862)*0.00833333333333333)</f>
        <v>4.5149999999999979</v>
      </c>
      <c r="DQ862" s="23">
        <v>0</v>
      </c>
      <c r="DR862" s="14">
        <f>SUM(DM862,DN862,DO862)</f>
        <v>541.79999999999995</v>
      </c>
      <c r="DS862" s="14">
        <f>SUM(BQ862, BW862, CC862, CI862,CO862,CU862,DA862,DG862,DM862)</f>
        <v>5043.12</v>
      </c>
      <c r="DT862" s="14">
        <f>SUM(BR862,BX862,CD862, CJ862,CP862,CV862,DB862,DH862,DN862)</f>
        <v>450.13200000000001</v>
      </c>
      <c r="DU862" s="14">
        <f ca="1">SUM(BS862,BY862,CE862, CK862,CQ862,CW862,DC862,DI862,DO862)</f>
        <v>923.24429999999938</v>
      </c>
      <c r="DV862" s="25">
        <f ca="1">SUM(DS862:DU862)</f>
        <v>6416.4962999999989</v>
      </c>
      <c r="DW862" s="47">
        <f ca="1">SUM(DV862/EM862)</f>
        <v>3.9755243494423782E-2</v>
      </c>
      <c r="DX862" s="14">
        <f>39+58.5+156+58.5+39</f>
        <v>351</v>
      </c>
      <c r="DY862" s="32">
        <f>COUNTIF(AO862, "*")+COUNTIF(AJ862, "*")+COUNTIF(AA862, "*")+COUNTIF(FA862, "*")+COUNTIF(FG862, "*")+COUNTIF(FM862, "*")+COUNTIF(FQ862, "*")+COUNTIF(FX862, "*")+COUNTIF(AT862, "*")+COUNTIF(GG862, "*")+COUNTIF(GR862, "*")+COUNTIF(HC862, "*")+COUNTIF(HK862, "*")+COUNTIF(HS862, "*")+COUNTIF(IA862, "*")</f>
        <v>1</v>
      </c>
      <c r="DZ862" s="14">
        <v>0.5</v>
      </c>
      <c r="EA862" s="14"/>
      <c r="EB862" s="14"/>
      <c r="EC862" s="14"/>
      <c r="ED862" s="14"/>
      <c r="EE862" s="14"/>
      <c r="EF862" s="25"/>
      <c r="EG862" s="14">
        <f>SUM(EA862:EF862)</f>
        <v>0</v>
      </c>
      <c r="EH862" s="14">
        <f ca="1">SUM(DV862,DX862,EG862,DZ862,GD862)</f>
        <v>6767.9962999999989</v>
      </c>
      <c r="EI862" s="24" t="s">
        <v>2770</v>
      </c>
      <c r="EJ862" s="23">
        <v>0.23</v>
      </c>
      <c r="EK862" s="14">
        <v>15000</v>
      </c>
      <c r="EL862" s="14">
        <v>146400</v>
      </c>
      <c r="EM862" s="14">
        <f>SUM(EK862+EL862)</f>
        <v>161400</v>
      </c>
      <c r="EN862" s="14">
        <v>20000</v>
      </c>
      <c r="EO862" s="14">
        <v>220800</v>
      </c>
      <c r="EP862" s="14">
        <f>SUM(EN862+EO862)</f>
        <v>240800</v>
      </c>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7"/>
      <c r="FV862" s="28"/>
      <c r="FW862" s="28"/>
      <c r="FX862" s="28"/>
      <c r="FY862" s="28"/>
      <c r="FZ862" s="28"/>
      <c r="GA862" s="28"/>
      <c r="GB862" s="27"/>
      <c r="GC862" s="28"/>
      <c r="GD862" s="28"/>
      <c r="GE862" s="28"/>
      <c r="GF862" s="28"/>
      <c r="GG862" s="28"/>
      <c r="GH862" s="28"/>
      <c r="GI862" s="28"/>
      <c r="GJ862" s="28"/>
      <c r="GK862" s="27"/>
      <c r="GL862" s="28"/>
      <c r="GM862" s="28"/>
      <c r="GN862" s="28"/>
      <c r="GO862" s="28"/>
      <c r="GP862" s="28"/>
      <c r="GQ862" s="28"/>
      <c r="GR862" s="28"/>
      <c r="GS862" s="28"/>
      <c r="GT862" s="28"/>
      <c r="GU862" s="28"/>
      <c r="GV862" s="27"/>
      <c r="GW862" s="28"/>
      <c r="GX862" s="28"/>
      <c r="GY862" s="28"/>
      <c r="GZ862" s="28"/>
      <c r="HA862" s="28"/>
      <c r="HB862" s="28"/>
      <c r="HC862" s="28"/>
      <c r="HD862" s="28"/>
      <c r="HE862" s="28"/>
      <c r="HF862" s="28"/>
      <c r="HG862" s="27"/>
      <c r="HH862" s="28"/>
      <c r="HI862" s="28"/>
      <c r="HJ862" s="28"/>
      <c r="HK862" s="28"/>
      <c r="HL862" s="28"/>
      <c r="HM862" s="28"/>
      <c r="HN862" s="28"/>
      <c r="HO862" s="27"/>
      <c r="HP862" s="28"/>
      <c r="HQ862" s="28"/>
      <c r="HR862" s="28"/>
      <c r="HS862" s="28"/>
      <c r="HT862" s="28"/>
      <c r="HU862" s="28"/>
      <c r="HV862" s="28"/>
      <c r="HW862" s="27"/>
      <c r="HX862" s="28"/>
      <c r="HY862" s="28"/>
      <c r="HZ862" s="28"/>
      <c r="IA862" s="28"/>
      <c r="IB862" s="28"/>
      <c r="IC862" s="28"/>
      <c r="ID862" s="28"/>
      <c r="IE862" s="27"/>
      <c r="IF862" s="14"/>
      <c r="IG862" s="14"/>
      <c r="IH862" s="28"/>
      <c r="II862" s="28"/>
      <c r="IJ862" s="28"/>
      <c r="IK862" s="28"/>
      <c r="IL862" s="14"/>
      <c r="IM862" s="14"/>
      <c r="IN862" s="14">
        <f ca="1">SUM(IF862-EH862-GD862-IL862)</f>
        <v>-6767.9962999999989</v>
      </c>
      <c r="IO862" s="14"/>
      <c r="IP862" s="14"/>
      <c r="IQ862" s="27"/>
      <c r="IR862" s="27"/>
      <c r="IS862" s="27"/>
      <c r="IT862" s="27"/>
      <c r="IU862" s="27"/>
      <c r="IV862" s="27" t="s">
        <v>5913</v>
      </c>
    </row>
    <row r="863" spans="1:263" ht="15" customHeight="1">
      <c r="A863" s="19">
        <v>102017025</v>
      </c>
      <c r="B863" t="s">
        <v>2772</v>
      </c>
      <c r="D863" s="13"/>
      <c r="E863" s="3"/>
      <c r="F863" s="3"/>
      <c r="J863" t="s">
        <v>554</v>
      </c>
      <c r="K863" t="s">
        <v>478</v>
      </c>
      <c r="L863" t="s">
        <v>479</v>
      </c>
      <c r="M863" t="s">
        <v>309</v>
      </c>
      <c r="P863" t="s">
        <v>478</v>
      </c>
      <c r="Q863" t="s">
        <v>480</v>
      </c>
      <c r="R863" t="s">
        <v>357</v>
      </c>
      <c r="AD863" t="s">
        <v>3934</v>
      </c>
      <c r="AE863" t="s">
        <v>253</v>
      </c>
      <c r="AF863" t="s">
        <v>3934</v>
      </c>
      <c r="AG863" s="43"/>
      <c r="AH863" s="31" t="s">
        <v>3935</v>
      </c>
      <c r="AJ863" s="18" t="s">
        <v>853</v>
      </c>
      <c r="AK863" t="s">
        <v>258</v>
      </c>
      <c r="AL863" s="18" t="s">
        <v>259</v>
      </c>
      <c r="AM863" t="s">
        <v>260</v>
      </c>
      <c r="AN863"/>
      <c r="AO863" s="3" t="s">
        <v>2937</v>
      </c>
      <c r="AP863" s="3"/>
      <c r="AQ863" t="s">
        <v>259</v>
      </c>
      <c r="AR863"/>
      <c r="AS863" s="1"/>
      <c r="AT863" s="1"/>
      <c r="AU863" s="1"/>
      <c r="AV863" s="1"/>
      <c r="AW863" s="1"/>
      <c r="AX863" s="2"/>
      <c r="AY863" s="116"/>
      <c r="AZ863" s="115"/>
      <c r="BA863" s="2"/>
      <c r="BB863" s="2"/>
      <c r="BC863" s="2"/>
      <c r="BD863" s="2"/>
      <c r="BE863" s="2"/>
      <c r="BF863" s="2"/>
      <c r="BG863" s="20">
        <f ca="1">SUM(DE863)+214.5</f>
        <v>1152.5817916666667</v>
      </c>
      <c r="BH863" s="22">
        <f ca="1">PMT(10%/12,12,BG863,0,0)</f>
        <v>-101.33025081952908</v>
      </c>
      <c r="BI863" s="22">
        <f ca="1">SUM(BH863*-1)</f>
        <v>101.33025081952908</v>
      </c>
      <c r="BJ863" s="14">
        <f>SUM(DO863*0.0052)/12</f>
        <v>27.386666666666667</v>
      </c>
      <c r="BK863" s="22">
        <f ca="1">SUM(BI863+BJ863)</f>
        <v>128.71691748619574</v>
      </c>
      <c r="BL863" s="14"/>
      <c r="BM863" s="14">
        <f>SUM(BL863*0.1)</f>
        <v>0</v>
      </c>
      <c r="BN863" s="14">
        <f ca="1">SUM(BO863*BP863)</f>
        <v>0</v>
      </c>
      <c r="BO863" s="17">
        <f>SUM((BL863+BM863)*0.00833333333333333)</f>
        <v>0</v>
      </c>
      <c r="BP863" s="23">
        <f ca="1">MONTH(TODAY())+49</f>
        <v>53</v>
      </c>
      <c r="BQ863" s="14">
        <f ca="1">SUM(BL863,BM863,BN863)</f>
        <v>0</v>
      </c>
      <c r="BR863" s="14"/>
      <c r="BS863" s="14">
        <f>SUM(BR863*0.1)</f>
        <v>0</v>
      </c>
      <c r="BT863" s="14">
        <f ca="1">SUM(BU863*BV863)</f>
        <v>0</v>
      </c>
      <c r="BU863" s="17">
        <f>SUM((BR863+BS863)*0.00833333333333333)</f>
        <v>0</v>
      </c>
      <c r="BV863" s="23">
        <f ca="1">MONTH(TODAY())+37</f>
        <v>41</v>
      </c>
      <c r="BW863" s="14">
        <f ca="1">SUM(BR863,BS863,BT863)</f>
        <v>0</v>
      </c>
      <c r="BX863" s="14"/>
      <c r="BY863" s="14">
        <f>SUM(BX863*0.1)</f>
        <v>0</v>
      </c>
      <c r="BZ863" s="14">
        <f ca="1">SUM(CA863*CB863)</f>
        <v>0</v>
      </c>
      <c r="CA863" s="17">
        <f>SUM((BX863+BY863)*0.00833333333333333)</f>
        <v>0</v>
      </c>
      <c r="CB863" s="23">
        <f ca="1">MONTH(TODAY())+25</f>
        <v>29</v>
      </c>
      <c r="CC863" s="14">
        <f ca="1">SUM(BX863,BY863,BZ863)</f>
        <v>0</v>
      </c>
      <c r="CD863" s="14">
        <v>87.97</v>
      </c>
      <c r="CE863" s="14">
        <f>SUM(CD863*0.1)</f>
        <v>8.7970000000000006</v>
      </c>
      <c r="CF863" s="14">
        <f ca="1">SUM(CG863*CH863)</f>
        <v>13.708658333333327</v>
      </c>
      <c r="CG863" s="17">
        <f>SUM((CD863+CE863)*0.00833333333333333)</f>
        <v>0.80639166666666628</v>
      </c>
      <c r="CH863" s="23">
        <f ca="1">MONTH(TODAY())+13</f>
        <v>17</v>
      </c>
      <c r="CI863" s="14">
        <f ca="1">SUM(CD863,CE863,CF863)</f>
        <v>110.47565833333333</v>
      </c>
      <c r="CJ863" s="14">
        <f>SUM(DO863*0.0052)</f>
        <v>328.64</v>
      </c>
      <c r="CK863" s="14">
        <f>SUM(CJ863*0.1)</f>
        <v>32.863999999999997</v>
      </c>
      <c r="CL863" s="14">
        <f ca="1">SUM(CM863*CN863)</f>
        <v>15.062666666666658</v>
      </c>
      <c r="CM863" s="17">
        <f>SUM((CJ863+CK863)*0.00833333333333333)</f>
        <v>3.0125333333333315</v>
      </c>
      <c r="CN863" s="23">
        <f ca="1">MONTH(TODAY())+1</f>
        <v>5</v>
      </c>
      <c r="CO863" s="14">
        <f ca="1">SUM(CJ863,CK863,CL863)</f>
        <v>376.56666666666661</v>
      </c>
      <c r="CP863" s="14">
        <f>SUM(DO863*0.0052)/2</f>
        <v>164.32</v>
      </c>
      <c r="CQ863" s="14">
        <f>SUM(CP863*0.1)</f>
        <v>16.431999999999999</v>
      </c>
      <c r="CR863" s="14">
        <f ca="1">SUM(CS863*CT863)</f>
        <v>-3.0125333333333315</v>
      </c>
      <c r="CS863" s="17">
        <f>SUM((CP863+CQ863)*0.00833333333333333)</f>
        <v>1.5062666666666658</v>
      </c>
      <c r="CT863" s="23">
        <f ca="1">MONTH(TODAY())-6</f>
        <v>-2</v>
      </c>
      <c r="CU863" s="23">
        <f ca="1">SUM(CP863,CQ863,CR863)</f>
        <v>177.73946666666666</v>
      </c>
      <c r="CV863" s="14">
        <f>SUM(BL863, BR863, BX863, CD863, CJ863, CP863)</f>
        <v>580.93000000000006</v>
      </c>
      <c r="CW863" s="14">
        <f>SUM(BM863, BS863,BY863,CE863,CK863, CQ863)</f>
        <v>58.093000000000004</v>
      </c>
      <c r="CX863" s="14">
        <f ca="1">SUM(BN863, BT863,BZ863,CF863,CL863, CR863)</f>
        <v>25.758791666666653</v>
      </c>
      <c r="CY863" s="14">
        <f ca="1">SUM(CV863:CX863)</f>
        <v>664.78179166666666</v>
      </c>
      <c r="CZ863" s="47">
        <f ca="1">SUM(CY863/DO863)</f>
        <v>1.0518699235232068E-2</v>
      </c>
      <c r="DA863" s="14">
        <v>19.5</v>
      </c>
      <c r="DB863" s="32">
        <f>COUNTIF(DH863, "*")+COUNTIF(AO863, "*")+COUNTIF(AJ863, "*")+COUNTIF(AA863, "*")+COUNTIF(EE863, "*")+COUNTIF(EK863, "*")+COUNTIF(EQ863, "*")+COUNTIF(EU863, "*")+COUNTIF(FB863, "*")+COUNTIF(FI863, "*")+COUNTIF(FP863, "*")+COUNTIF(GA863, "*")+COUNTIF(GL863, "*")+COUNTIF(GT863, "*")+COUNTIF(HB863, "*")+COUNTIF(HJ863, "*")+COUNTIF(HR863, "*")</f>
        <v>2</v>
      </c>
      <c r="DC863" s="14">
        <f>DB863*0.5</f>
        <v>1</v>
      </c>
      <c r="DD863" s="4"/>
      <c r="DE863" s="14">
        <f ca="1">SUM(CY863,DA863,DK863, DD863, DC863,FM863)</f>
        <v>938.08179166666673</v>
      </c>
      <c r="DF863" s="4"/>
      <c r="DG863" s="4"/>
      <c r="DI863" s="14">
        <f>SUM(DO863*0.004)</f>
        <v>252.8</v>
      </c>
      <c r="DJ863" s="4"/>
      <c r="DK863" s="14">
        <f>SUM(DF863:DJ863)</f>
        <v>252.8</v>
      </c>
      <c r="DL863" s="24" t="s">
        <v>2773</v>
      </c>
      <c r="DM863" s="4">
        <v>12000</v>
      </c>
      <c r="DN863" s="4">
        <v>51200</v>
      </c>
      <c r="DO863" s="25">
        <f>SUM(DM863+DN863)</f>
        <v>63200</v>
      </c>
      <c r="DP863" s="35">
        <v>0.17</v>
      </c>
      <c r="II863" s="4"/>
    </row>
    <row r="864" spans="1:263" ht="15" customHeight="1">
      <c r="A864" s="19">
        <v>102017025</v>
      </c>
      <c r="B864" s="18" t="s">
        <v>851</v>
      </c>
      <c r="C864" s="18"/>
      <c r="D864" s="18"/>
      <c r="E864" s="18" t="s">
        <v>852</v>
      </c>
      <c r="F864" s="18">
        <v>180004467</v>
      </c>
      <c r="G864" s="18"/>
      <c r="H864" s="18"/>
      <c r="I864" s="18"/>
      <c r="J864" s="18" t="s">
        <v>311</v>
      </c>
      <c r="K864" s="18" t="s">
        <v>478</v>
      </c>
      <c r="L864" s="18" t="s">
        <v>479</v>
      </c>
      <c r="M864" s="18" t="s">
        <v>309</v>
      </c>
      <c r="N864" s="18"/>
      <c r="O864" s="13"/>
      <c r="P864" s="18"/>
      <c r="Q864" s="18"/>
      <c r="R864" s="18"/>
      <c r="S864" s="18"/>
      <c r="T864" s="13"/>
      <c r="U864" s="18"/>
      <c r="V864" s="18"/>
      <c r="W864" s="18"/>
      <c r="X864" s="18"/>
      <c r="Y864" s="18"/>
      <c r="Z864" s="18"/>
      <c r="AA864" s="18"/>
      <c r="AB864" s="18"/>
      <c r="AC864" s="18"/>
      <c r="AD864" s="18"/>
      <c r="AE864" s="13"/>
      <c r="AF864" s="18"/>
      <c r="AG864" s="24"/>
      <c r="AH864" s="18"/>
      <c r="AI864" s="18"/>
      <c r="AJ864" s="14"/>
      <c r="AK864" s="14"/>
      <c r="AL864" s="14"/>
      <c r="AM864" s="63"/>
      <c r="AN864" s="24"/>
      <c r="AO864" s="18"/>
      <c r="AP864" s="13"/>
      <c r="AQ864" s="63"/>
      <c r="AR864" s="63"/>
      <c r="AS864" s="20"/>
      <c r="AT864" s="13"/>
      <c r="AU864" s="13"/>
      <c r="AV864" s="13"/>
      <c r="AW864" s="13"/>
      <c r="AX864" s="21"/>
      <c r="AY864" s="21"/>
      <c r="AZ864" s="21"/>
      <c r="BA864" s="13"/>
      <c r="BB864" s="13"/>
      <c r="BC864" s="13"/>
      <c r="BD864" s="13"/>
      <c r="BE864" s="21"/>
      <c r="BF864" s="21"/>
      <c r="BG864" s="20"/>
      <c r="BH864" s="22"/>
      <c r="BI864" s="22"/>
      <c r="BJ864" s="14"/>
      <c r="BK864" s="14"/>
      <c r="BL864" s="14"/>
      <c r="BM864" s="17"/>
      <c r="BN864" s="23"/>
      <c r="BO864" s="14"/>
      <c r="BP864" s="18"/>
      <c r="BQ864" s="14"/>
      <c r="BR864" s="14"/>
      <c r="BS864" s="17"/>
      <c r="BT864" s="23"/>
      <c r="BU864" s="14"/>
      <c r="BV864" s="14"/>
      <c r="BW864" s="14"/>
      <c r="BX864" s="14"/>
      <c r="BY864" s="17"/>
      <c r="BZ864" s="23"/>
      <c r="CA864" s="14"/>
      <c r="CB864" s="14"/>
      <c r="CC864" s="14"/>
      <c r="CD864" s="14"/>
      <c r="CE864" s="17"/>
      <c r="CF864" s="23"/>
      <c r="CG864" s="14"/>
      <c r="CH864" s="14"/>
      <c r="CI864" s="14"/>
      <c r="CJ864" s="14"/>
      <c r="CK864" s="17"/>
      <c r="CL864" s="23"/>
      <c r="CM864" s="14"/>
      <c r="CN864" s="14"/>
      <c r="CO864" s="14"/>
      <c r="CP864" s="14"/>
      <c r="CQ864" s="17"/>
      <c r="CR864" s="23"/>
      <c r="CS864" s="14"/>
      <c r="CT864" s="14"/>
      <c r="CU864" s="14"/>
      <c r="CV864" s="14"/>
      <c r="CW864" s="17"/>
      <c r="CX864" s="23"/>
      <c r="CY864" s="14"/>
      <c r="CZ864" s="14"/>
      <c r="DA864" s="14"/>
      <c r="DB864" s="14"/>
      <c r="DC864" s="17"/>
      <c r="DD864" s="23"/>
      <c r="DE864" s="14"/>
      <c r="DF864" s="14"/>
      <c r="DG864" s="14"/>
      <c r="DH864" s="14"/>
      <c r="DI864" s="14"/>
      <c r="DJ864" s="24"/>
      <c r="DK864" s="14"/>
      <c r="DL864" s="234"/>
      <c r="DM864" s="14"/>
      <c r="DN864" s="14"/>
      <c r="DO864" s="14"/>
      <c r="DP864" s="14"/>
      <c r="DQ864" s="14"/>
      <c r="DR864" s="14"/>
      <c r="DS864" s="14"/>
      <c r="DT864" s="14"/>
      <c r="DU864" s="14"/>
      <c r="DV864" s="25"/>
      <c r="DW864" s="14"/>
      <c r="DX864" s="14"/>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27"/>
      <c r="FH864" s="28"/>
      <c r="FI864" s="18"/>
      <c r="FJ864" s="18"/>
      <c r="FK864" s="18"/>
      <c r="FL864" s="18"/>
      <c r="FM864" s="18"/>
      <c r="FN864" s="18"/>
      <c r="FO864" s="28"/>
      <c r="FP864" s="27"/>
      <c r="FQ864" s="18"/>
      <c r="FR864" s="18"/>
      <c r="FS864" s="18"/>
      <c r="FT864" s="18"/>
      <c r="FU864" s="18"/>
      <c r="FV864" s="18"/>
      <c r="FW864" s="18"/>
      <c r="FX864" s="18"/>
      <c r="FY864" s="18"/>
      <c r="FZ864" s="18"/>
      <c r="GA864" s="18"/>
      <c r="GB864" s="27"/>
      <c r="GC864" s="18"/>
      <c r="GD864" s="18"/>
      <c r="GE864" s="18"/>
      <c r="GF864" s="18"/>
      <c r="GG864" s="18"/>
      <c r="GH864" s="18"/>
      <c r="GI864" s="18"/>
      <c r="GJ864" s="18"/>
      <c r="GK864" s="18"/>
      <c r="GL864" s="18"/>
      <c r="GM864" s="27"/>
      <c r="GN864" s="18"/>
      <c r="GO864" s="18"/>
      <c r="GP864" s="18"/>
      <c r="GQ864" s="18"/>
      <c r="GR864" s="18"/>
      <c r="GS864" s="18"/>
      <c r="GT864" s="18"/>
      <c r="GU864" s="18"/>
      <c r="GV864" s="18"/>
      <c r="GW864" s="18"/>
      <c r="GX864" s="27"/>
      <c r="GY864" s="18"/>
      <c r="GZ864" s="18"/>
      <c r="HA864" s="18"/>
      <c r="HB864" s="18"/>
      <c r="HC864" s="18"/>
      <c r="HD864" s="18"/>
      <c r="HE864" s="18"/>
      <c r="HF864" s="27"/>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4"/>
      <c r="IN864" t="s">
        <v>846</v>
      </c>
      <c r="IO864" t="s">
        <v>386</v>
      </c>
      <c r="IP864" s="4">
        <v>0</v>
      </c>
      <c r="IQ864" s="9">
        <v>43160</v>
      </c>
      <c r="IR864" s="9">
        <v>43312</v>
      </c>
      <c r="IS864" s="9">
        <v>43328</v>
      </c>
      <c r="IT864" s="9">
        <v>43404</v>
      </c>
      <c r="IU864" s="9">
        <v>43406</v>
      </c>
    </row>
    <row r="865" spans="1:263" ht="15" customHeight="1">
      <c r="A865">
        <v>102024134</v>
      </c>
      <c r="B865" t="s">
        <v>5467</v>
      </c>
      <c r="D865" s="1"/>
      <c r="E865" s="3"/>
      <c r="F865" s="2"/>
      <c r="G865" s="3" t="s">
        <v>4659</v>
      </c>
      <c r="J865" t="s">
        <v>311</v>
      </c>
      <c r="K865" t="s">
        <v>5468</v>
      </c>
      <c r="L865" t="s">
        <v>5469</v>
      </c>
      <c r="M865" t="s">
        <v>392</v>
      </c>
      <c r="O865" s="3"/>
      <c r="AG865" s="43" t="s">
        <v>5852</v>
      </c>
      <c r="AK865" s="1"/>
      <c r="AM865"/>
      <c r="AN865"/>
      <c r="AO865" t="s">
        <v>5470</v>
      </c>
      <c r="AP865" s="1" t="s">
        <v>258</v>
      </c>
      <c r="AQ865" s="18" t="s">
        <v>259</v>
      </c>
      <c r="AR865" t="s">
        <v>260</v>
      </c>
      <c r="AS865" t="s">
        <v>372</v>
      </c>
      <c r="AT865" t="s">
        <v>373</v>
      </c>
      <c r="AU865" t="s">
        <v>374</v>
      </c>
      <c r="AV865" t="s">
        <v>259</v>
      </c>
      <c r="AW865" s="1" t="s">
        <v>260</v>
      </c>
      <c r="AY865" s="1"/>
      <c r="AZ865" s="1"/>
      <c r="BA865" s="1"/>
      <c r="BB865" s="1"/>
      <c r="BC865" s="2"/>
      <c r="BD865" s="115">
        <v>45408</v>
      </c>
      <c r="BE865" s="144">
        <v>45428</v>
      </c>
      <c r="BF865" s="2"/>
      <c r="BG865" s="2"/>
      <c r="BH865" s="2"/>
      <c r="BI865" s="2"/>
      <c r="BJ865" s="2"/>
      <c r="BK865" s="2"/>
      <c r="BL865" s="20">
        <f ca="1">SUM(EH865)+220</f>
        <v>1418.5291</v>
      </c>
      <c r="BM865" s="22">
        <f ca="1">PMT(10%/12,12,BL865,0,0)</f>
        <v>-124.711244388087</v>
      </c>
      <c r="BN865" s="22">
        <f ca="1">SUM(BM865*-1)</f>
        <v>124.711244388087</v>
      </c>
      <c r="BO865" s="14">
        <f>SUM(EP865*0.0052)/12</f>
        <v>26.736666666666665</v>
      </c>
      <c r="BP865" s="22">
        <f ca="1">SUM(BN865+BO865)</f>
        <v>151.44791105475366</v>
      </c>
      <c r="BQ865" s="14"/>
      <c r="BR865" s="14">
        <f>SUM(BQ865*0.1)</f>
        <v>0</v>
      </c>
      <c r="BS865" s="14">
        <f ca="1">SUM(BT865*BU865)</f>
        <v>0</v>
      </c>
      <c r="BT865" s="17">
        <f>SUM((BQ865+BR865)*0.00833333333333333)</f>
        <v>0</v>
      </c>
      <c r="BU865" s="23">
        <f ca="1">MONTH(TODAY())+49</f>
        <v>53</v>
      </c>
      <c r="BV865" s="14">
        <f ca="1">SUM(BQ865,BR865,BS865)</f>
        <v>0</v>
      </c>
      <c r="BW865" s="14">
        <v>0</v>
      </c>
      <c r="BX865" s="14">
        <f>SUM(BW865*0.1)</f>
        <v>0</v>
      </c>
      <c r="BY865" s="14">
        <f ca="1">SUM(BZ865*CA865)</f>
        <v>0</v>
      </c>
      <c r="BZ865" s="17">
        <f>SUM((BW865+BX865)*0.00833333333333333)</f>
        <v>0</v>
      </c>
      <c r="CA865" s="23">
        <f ca="1">MONTH(TODAY())+37</f>
        <v>41</v>
      </c>
      <c r="CB865" s="14">
        <f ca="1">SUM(BW865,BX865,BY865)</f>
        <v>0</v>
      </c>
      <c r="CC865" s="14">
        <v>0</v>
      </c>
      <c r="CD865" s="14">
        <f>SUM(CC865*0.1)</f>
        <v>0</v>
      </c>
      <c r="CE865" s="14">
        <f ca="1">SUM(CF865*CG865)</f>
        <v>0</v>
      </c>
      <c r="CF865" s="17">
        <f>SUM((CC865+CD865)*0.00833333333333333)</f>
        <v>0</v>
      </c>
      <c r="CG865" s="23">
        <f ca="1">MONTH(TODAY())+25</f>
        <v>29</v>
      </c>
      <c r="CH865" s="14">
        <f ca="1">SUM(CC865,CD865,CE865)</f>
        <v>0</v>
      </c>
      <c r="CI865" s="14">
        <f>SUM(EM865*0.0052)/2</f>
        <v>119.33999999999999</v>
      </c>
      <c r="CJ865" s="14">
        <f>SUM(CI865*0.1)</f>
        <v>11.933999999999999</v>
      </c>
      <c r="CK865" s="14">
        <f ca="1">SUM(CL865*CM865)</f>
        <v>22.97294999999999</v>
      </c>
      <c r="CL865" s="17">
        <f>SUM((CI865+CJ865)*0.00833333333333333)</f>
        <v>1.0939499999999995</v>
      </c>
      <c r="CM865" s="23">
        <f ca="1">MONTH(TODAY())+17</f>
        <v>21</v>
      </c>
      <c r="CN865" s="23">
        <f ca="1">SUM(CI865,CJ865,CK865)</f>
        <v>154.24695</v>
      </c>
      <c r="CO865" s="14">
        <f>SUM(EM865*0.0052)/2</f>
        <v>119.33999999999999</v>
      </c>
      <c r="CP865" s="14">
        <f>SUM(CO865*0.1)</f>
        <v>11.933999999999999</v>
      </c>
      <c r="CQ865" s="14">
        <f ca="1">SUM(CR865*CS865)</f>
        <v>18.597149999999992</v>
      </c>
      <c r="CR865" s="17">
        <f>SUM((CO865+CP865)*0.00833333333333333)</f>
        <v>1.0939499999999995</v>
      </c>
      <c r="CS865" s="23">
        <f ca="1">MONTH(TODAY())+13</f>
        <v>17</v>
      </c>
      <c r="CT865" s="23">
        <f ca="1">SUM(CO865,CP865,CQ865)</f>
        <v>149.87115</v>
      </c>
      <c r="CU865" s="14">
        <f>SUM(EP865*0.0045)/2</f>
        <v>138.82499999999999</v>
      </c>
      <c r="CV865" s="14">
        <f>SUM(CU865*0.1)</f>
        <v>13.8825</v>
      </c>
      <c r="CW865" s="14">
        <f ca="1">SUM(CX865*CY865)</f>
        <v>13.998187499999993</v>
      </c>
      <c r="CX865" s="17">
        <f>SUM((CU865+CV865)*0.00833333333333333)</f>
        <v>1.2725624999999994</v>
      </c>
      <c r="CY865" s="23">
        <f ca="1">MONTH(TODAY())+7</f>
        <v>11</v>
      </c>
      <c r="CZ865" s="23">
        <f ca="1">SUM(CU865,CV865,CW865)</f>
        <v>166.70568749999998</v>
      </c>
      <c r="DA865" s="14">
        <f>SUM(EP865*0.0045)/2</f>
        <v>138.82499999999999</v>
      </c>
      <c r="DB865" s="14">
        <f>SUM(DA865*0.1)</f>
        <v>13.8825</v>
      </c>
      <c r="DC865" s="14">
        <f ca="1">SUM(DD865*DE865)</f>
        <v>6.3628124999999969</v>
      </c>
      <c r="DD865" s="17">
        <f>SUM((DA865+DB865)*0.00833333333333333)</f>
        <v>1.2725624999999994</v>
      </c>
      <c r="DE865" s="23">
        <f ca="1">MONTH(TODAY())+1</f>
        <v>5</v>
      </c>
      <c r="DF865" s="14">
        <f ca="1">SUM(DA865,DB865,DC865)</f>
        <v>159.07031249999997</v>
      </c>
      <c r="DG865" s="14">
        <f>SUM(EP865*0.0045)/2</f>
        <v>138.82499999999999</v>
      </c>
      <c r="DH865" s="14">
        <f>0</f>
        <v>0</v>
      </c>
      <c r="DI865" s="14">
        <f>0</f>
        <v>0</v>
      </c>
      <c r="DJ865" s="17">
        <f>SUM((DG865+DH865)*0.00833333333333333)</f>
        <v>1.1568749999999994</v>
      </c>
      <c r="DK865" s="23">
        <f ca="1">MONTH(TODAY())+7</f>
        <v>11</v>
      </c>
      <c r="DL865" s="23">
        <f>SUM(DG865,DH865,DI865)</f>
        <v>138.82499999999999</v>
      </c>
      <c r="DM865" s="14">
        <f>0</f>
        <v>0</v>
      </c>
      <c r="DN865" s="14">
        <f>0</f>
        <v>0</v>
      </c>
      <c r="DO865" s="14">
        <f ca="1">SUM(DP865*DQ865)</f>
        <v>0</v>
      </c>
      <c r="DP865" s="17">
        <f>SUM((DM865+DN865)*0.00833333333333333)</f>
        <v>0</v>
      </c>
      <c r="DQ865" s="23">
        <f ca="1">MONTH(TODAY())+1</f>
        <v>5</v>
      </c>
      <c r="DR865" s="14">
        <f ca="1">SUM(DM865,DN865,DO865)</f>
        <v>0</v>
      </c>
      <c r="DS865" s="14">
        <f>SUM(BQ865, BW865, CC865, CI865,CO865,CU865,DA865,DG865,DM865)</f>
        <v>655.15499999999997</v>
      </c>
      <c r="DT865" s="14">
        <f>SUM(BR865,BX865,CD865, CJ865,CP865,CV865,DB865,DH865,DN865)</f>
        <v>51.633000000000003</v>
      </c>
      <c r="DU865" s="14">
        <f ca="1">SUM(BS865,BY865,CE865, CK865,CQ865,CW865,DC865,DI865,DO865)</f>
        <v>61.931099999999972</v>
      </c>
      <c r="DV865" s="25">
        <f ca="1">SUM(DS865:DU865)</f>
        <v>768.71910000000003</v>
      </c>
      <c r="DW865" s="47">
        <f ca="1">SUM(DV865/EM865)</f>
        <v>1.6747692810457519E-2</v>
      </c>
      <c r="DX865" s="14">
        <f>20+10+200</f>
        <v>230</v>
      </c>
      <c r="DY865" s="32">
        <f>COUNTIF(AO865, "*")+COUNTIF(AJ865, "*")+COUNTIF(AA865, "*")+COUNTIF(FA865, "*")+COUNTIF(FG865, "*")+COUNTIF(FM865, "*")+COUNTIF(FQ865, "*")+COUNTIF(FX865, "*")+COUNTIF(AS865, "*")+COUNTIF(GG865, "*")+COUNTIF(GR865, "*")+COUNTIF(HC865, "*")+COUNTIF(HK865, "*")+COUNTIF(HS865, "*")+COUNTIF(IA865, "*")</f>
        <v>2</v>
      </c>
      <c r="DZ865" s="14">
        <f>1.28+DY865*8</f>
        <v>17.28</v>
      </c>
      <c r="EA865" s="4">
        <v>150</v>
      </c>
      <c r="EB865" s="4">
        <v>32.53</v>
      </c>
      <c r="EC865" s="4"/>
      <c r="ED865" s="4"/>
      <c r="EF865" s="4"/>
      <c r="EG865" s="14">
        <f>SUM(EB865:EF865)</f>
        <v>32.53</v>
      </c>
      <c r="EH865" s="14">
        <f ca="1">SUM(DV865,DX865,EG865, EA865, DZ865,GD865)</f>
        <v>1198.5291</v>
      </c>
      <c r="EI865" s="24" t="s">
        <v>4935</v>
      </c>
      <c r="EJ865" s="23">
        <v>0.19</v>
      </c>
      <c r="EK865" s="14">
        <v>12000</v>
      </c>
      <c r="EL865" s="14">
        <v>33900</v>
      </c>
      <c r="EM865" s="14">
        <f>SUM(EK865+EL865)</f>
        <v>45900</v>
      </c>
      <c r="EN865" s="14">
        <v>18000</v>
      </c>
      <c r="EO865" s="14">
        <v>43700</v>
      </c>
      <c r="EP865" s="14">
        <f>SUM(EN865+EO865)</f>
        <v>61700</v>
      </c>
      <c r="EQ865" t="s">
        <v>5684</v>
      </c>
      <c r="ER865" s="10" t="s">
        <v>5685</v>
      </c>
      <c r="ES865" s="10"/>
      <c r="ET865" s="10"/>
      <c r="EU865" s="10"/>
      <c r="EV865" s="10"/>
      <c r="EW865" s="10"/>
      <c r="EX865" s="10"/>
      <c r="GD865" s="4"/>
      <c r="IE865" s="9"/>
      <c r="IN865" s="4"/>
      <c r="IO865" s="4"/>
      <c r="IP865" s="4"/>
      <c r="IQ865" s="9"/>
      <c r="IR865" s="9"/>
      <c r="IS865" s="9"/>
      <c r="IT865" s="9"/>
      <c r="IU865" s="9"/>
    </row>
    <row r="866" spans="1:263" ht="15" customHeight="1">
      <c r="A866" s="2">
        <v>102023015</v>
      </c>
      <c r="B866" t="s">
        <v>4062</v>
      </c>
      <c r="E866" t="s">
        <v>4914</v>
      </c>
      <c r="F866">
        <v>230002879</v>
      </c>
      <c r="G866" s="3">
        <v>230004637</v>
      </c>
      <c r="J866" t="s">
        <v>434</v>
      </c>
      <c r="K866" t="s">
        <v>4063</v>
      </c>
      <c r="L866" t="s">
        <v>879</v>
      </c>
      <c r="M866" t="s">
        <v>357</v>
      </c>
      <c r="O866" s="3"/>
      <c r="P866" t="s">
        <v>419</v>
      </c>
      <c r="Q866" t="s">
        <v>4064</v>
      </c>
      <c r="AD866" t="s">
        <v>4951</v>
      </c>
      <c r="AE866" t="s">
        <v>253</v>
      </c>
      <c r="AF866" t="s">
        <v>4063</v>
      </c>
      <c r="AG866" t="s">
        <v>4952</v>
      </c>
      <c r="AH866" t="s">
        <v>4953</v>
      </c>
      <c r="AI866" t="s">
        <v>349</v>
      </c>
      <c r="AM866"/>
      <c r="AN866"/>
      <c r="AO866" t="s">
        <v>4093</v>
      </c>
      <c r="AP866" s="3" t="s">
        <v>258</v>
      </c>
      <c r="AQ866" t="s">
        <v>259</v>
      </c>
      <c r="AR866" t="s">
        <v>260</v>
      </c>
      <c r="AS866" s="18" t="s">
        <v>372</v>
      </c>
      <c r="AT866" s="18" t="s">
        <v>373</v>
      </c>
      <c r="AU866" s="18" t="s">
        <v>374</v>
      </c>
      <c r="AV866" s="18" t="s">
        <v>259</v>
      </c>
      <c r="AW866" s="18" t="s">
        <v>260</v>
      </c>
      <c r="AX866" s="1"/>
      <c r="AY866" s="1" t="s">
        <v>258</v>
      </c>
      <c r="AZ866" s="1"/>
      <c r="BA866" s="1"/>
      <c r="BB866" s="1"/>
      <c r="BC866" s="70">
        <v>45092</v>
      </c>
      <c r="BD866" s="115">
        <v>45060</v>
      </c>
      <c r="BE866" s="115">
        <v>45012</v>
      </c>
      <c r="BF866" s="2"/>
      <c r="BG866" s="2"/>
      <c r="BH866" s="2"/>
      <c r="BI866" s="2"/>
      <c r="BJ866" s="70">
        <v>45177</v>
      </c>
      <c r="BK866" s="2" t="s">
        <v>319</v>
      </c>
      <c r="BL866" s="20">
        <f ca="1">SUM(EB866)+220</f>
        <v>5478.0924249999998</v>
      </c>
      <c r="BM866" s="22">
        <f ca="1">PMT(10%/12,12,BL866,0,0)</f>
        <v>-481.61135587186976</v>
      </c>
      <c r="BN866" s="22">
        <f ca="1">SUM(BM866*-1)</f>
        <v>481.61135587186976</v>
      </c>
      <c r="BO866" s="14">
        <f>SUM(EJ866*0.0052)/12</f>
        <v>111.40999999999998</v>
      </c>
      <c r="BP866" s="22">
        <f ca="1">SUM(BN866+BO866)</f>
        <v>593.02135587186979</v>
      </c>
      <c r="BQ866" s="14"/>
      <c r="BR866" s="14">
        <f>SUM(BQ866*0.1)</f>
        <v>0</v>
      </c>
      <c r="BS866" s="14">
        <f ca="1">SUM(BT866*BU866)</f>
        <v>0</v>
      </c>
      <c r="BT866" s="17">
        <f>SUM((BQ866+BR866)*0.00833333333333333)</f>
        <v>0</v>
      </c>
      <c r="BU866" s="23">
        <f ca="1">MONTH(TODAY())+61</f>
        <v>65</v>
      </c>
      <c r="BV866" s="14">
        <f ca="1">SUM(BQ866,BR866,BS866)</f>
        <v>0</v>
      </c>
      <c r="BW866" s="14"/>
      <c r="BX866" s="14">
        <f>SUM(BW866*0.1)</f>
        <v>0</v>
      </c>
      <c r="BY866" s="14">
        <f ca="1">SUM(BZ866*CA866)</f>
        <v>0</v>
      </c>
      <c r="BZ866" s="17">
        <f>SUM((BW866+BX866)*0.00833333333333333)</f>
        <v>0</v>
      </c>
      <c r="CA866" s="23">
        <f ca="1">MONTH(TODAY())+49</f>
        <v>53</v>
      </c>
      <c r="CB866" s="14">
        <f ca="1">SUM(BW866,BX866,BY866)</f>
        <v>0</v>
      </c>
      <c r="CC866" s="14">
        <v>0</v>
      </c>
      <c r="CD866" s="14">
        <f>SUM(CC866*0.1)</f>
        <v>0</v>
      </c>
      <c r="CE866" s="14">
        <f ca="1">SUM(CF866*CG866)</f>
        <v>0</v>
      </c>
      <c r="CF866" s="17">
        <f>SUM((CC866+CD866)*0.00833333333333333)</f>
        <v>0</v>
      </c>
      <c r="CG866" s="23">
        <f ca="1">MONTH(TODAY())+37</f>
        <v>41</v>
      </c>
      <c r="CH866" s="14">
        <f ca="1">SUM(CC866,CD866,CE866)</f>
        <v>0</v>
      </c>
      <c r="CI866" s="14">
        <f>SUM(EG866*0.0052)-336.22</f>
        <v>742.26</v>
      </c>
      <c r="CJ866" s="14">
        <f>SUM(CI866*0.1)</f>
        <v>74.225999999999999</v>
      </c>
      <c r="CK866" s="14">
        <f ca="1">SUM(CL866*CM866)</f>
        <v>197.31744999999989</v>
      </c>
      <c r="CL866" s="17">
        <f>SUM((CI866+CJ866)*0.00833333333333333)</f>
        <v>6.8040499999999966</v>
      </c>
      <c r="CM866" s="23">
        <f ca="1">MONTH(TODAY())+25</f>
        <v>29</v>
      </c>
      <c r="CN866" s="14">
        <f ca="1">SUM(CI866,CJ866,CK866)</f>
        <v>1013.8034499999999</v>
      </c>
      <c r="CO866" s="14">
        <f>SUM(EG866*0.0052)/2</f>
        <v>539.24</v>
      </c>
      <c r="CP866" s="14">
        <f>SUM(CO866*0.1)</f>
        <v>53.924000000000007</v>
      </c>
      <c r="CQ866" s="14">
        <f ca="1">SUM(CR866*CS866)</f>
        <v>103.80369999999996</v>
      </c>
      <c r="CR866" s="17">
        <f>SUM((CO866+CP866)*0.00833333333333333)</f>
        <v>4.9430333333333314</v>
      </c>
      <c r="CS866" s="23">
        <f ca="1">MONTH(TODAY())+17</f>
        <v>21</v>
      </c>
      <c r="CT866" s="23">
        <f ca="1">SUM(CO866,CP866,CQ866)</f>
        <v>696.96769999999992</v>
      </c>
      <c r="CU866" s="14">
        <f>SUM(EG866*0.0052)/2</f>
        <v>539.24</v>
      </c>
      <c r="CV866" s="14">
        <f>SUM(CU866*0.1)</f>
        <v>53.924000000000007</v>
      </c>
      <c r="CW866" s="14">
        <f ca="1">SUM(CX866*CY866)</f>
        <v>84.031566666666635</v>
      </c>
      <c r="CX866" s="17">
        <f>SUM((CU866+CV866)*0.00833333333333333)</f>
        <v>4.9430333333333314</v>
      </c>
      <c r="CY866" s="23">
        <f ca="1">MONTH(TODAY())+13</f>
        <v>17</v>
      </c>
      <c r="CZ866" s="23">
        <f ca="1">SUM(CU866,CV866,CW866)</f>
        <v>677.19556666666665</v>
      </c>
      <c r="DA866" s="14">
        <f>SUM(EJ866*0.0045)/2</f>
        <v>578.47499999999991</v>
      </c>
      <c r="DB866" s="14">
        <f>SUM(DA866*0.1)</f>
        <v>57.847499999999997</v>
      </c>
      <c r="DC866" s="14">
        <f ca="1">SUM(DD866*DE866)</f>
        <v>58.329562499999966</v>
      </c>
      <c r="DD866" s="17">
        <f>SUM((DA866+DB866)*0.00833333333333333)</f>
        <v>5.3026874999999967</v>
      </c>
      <c r="DE866" s="23">
        <f ca="1">MONTH(TODAY())+7</f>
        <v>11</v>
      </c>
      <c r="DF866" s="23">
        <f ca="1">SUM(DA866,DB866,DC866)</f>
        <v>694.65206249999983</v>
      </c>
      <c r="DG866" s="14">
        <f>SUM(EJ866*0.0045)/2-320.93</f>
        <v>257.5449999999999</v>
      </c>
      <c r="DH866" s="14">
        <f>SUM(DG866*0.1)</f>
        <v>25.754499999999993</v>
      </c>
      <c r="DI866" s="14">
        <f ca="1">SUM(DJ866*DK866)</f>
        <v>11.804145833333324</v>
      </c>
      <c r="DJ866" s="17">
        <f>SUM((DG866+DH866)*0.00833333333333333)</f>
        <v>2.3608291666666648</v>
      </c>
      <c r="DK866" s="23">
        <f ca="1">MONTH(TODAY())+1</f>
        <v>5</v>
      </c>
      <c r="DL866" s="14">
        <f ca="1">SUM(DG866,DH866,DI866)</f>
        <v>295.10364583333325</v>
      </c>
      <c r="DM866" s="14">
        <f>SUM( BQ866, BW866, CC866, CI866, CO866,CU866,DA866,DG866)</f>
        <v>2656.76</v>
      </c>
      <c r="DN866" s="14">
        <f>SUM(BR866,BX866,CD866,CJ866, CP866,CV866,DB866,DH866)</f>
        <v>265.67599999999999</v>
      </c>
      <c r="DO866" s="14">
        <f ca="1">SUM(BS866,BY866,CE866,CK866, CQ866,CW866,DC866,DI866)</f>
        <v>455.28642499999978</v>
      </c>
      <c r="DP866" s="25">
        <f ca="1">SUM(DM866:DO866)</f>
        <v>3377.7224249999999</v>
      </c>
      <c r="DQ866" s="47">
        <f ca="1">SUM(DP866/EG866)</f>
        <v>1.6286029050144649E-2</v>
      </c>
      <c r="DR866" s="14">
        <f>20+200+10+200+40+40+60+80+100+40+40+40</f>
        <v>870</v>
      </c>
      <c r="DS866" s="32">
        <f>COUNTIF(DX866, "*")+COUNTIF(AO866, "*")+COUNTIF(AJ866, "*")+COUNTIF(AA866, "*")+COUNTIF(EU866, "*")+COUNTIF(FA866, "*")+COUNTIF(FG866, "*")+COUNTIF(FK866, "*")+COUNTIF(FR866, "*")+COUNTIF(AT866, "*")+COUNTIF(GA866, "*")+COUNTIF(GL866, "*")+COUNTIF(GW866, "*")+COUNTIF(HE866, "*")+COUNTIF(HM866, "*")+COUNTIF(HU866, "*")</f>
        <v>5</v>
      </c>
      <c r="DT866" s="14">
        <f>DS866*0.6+DS866*7.45</f>
        <v>40.25</v>
      </c>
      <c r="DU866" s="4">
        <v>250</v>
      </c>
      <c r="DV866" s="4">
        <f>36.76+223.36</f>
        <v>260.12</v>
      </c>
      <c r="DW866" s="4"/>
      <c r="DX866" s="4">
        <v>0</v>
      </c>
      <c r="DZ866" s="4">
        <v>460</v>
      </c>
      <c r="EA866" s="14">
        <f>SUM(DV866:DZ866)</f>
        <v>720.12</v>
      </c>
      <c r="EB866" s="14">
        <f ca="1">SUM(DP866,DR866,EA866, DU866, DT866,FX866)</f>
        <v>5258.0924249999998</v>
      </c>
      <c r="EC866" s="24" t="s">
        <v>4920</v>
      </c>
      <c r="ED866" s="7">
        <v>0.39</v>
      </c>
      <c r="EE866" s="4">
        <v>24000</v>
      </c>
      <c r="EF866" s="4">
        <v>183400</v>
      </c>
      <c r="EG866" s="14">
        <f>SUM(EE866+EF866)</f>
        <v>207400</v>
      </c>
      <c r="EH866" s="14">
        <v>24000</v>
      </c>
      <c r="EI866" s="14">
        <v>233100</v>
      </c>
      <c r="EJ866" s="14">
        <f>SUM(EH866+EI866)</f>
        <v>257100</v>
      </c>
      <c r="EK866" s="43" t="s">
        <v>4570</v>
      </c>
      <c r="EL866" s="43" t="s">
        <v>4571</v>
      </c>
      <c r="EM866" t="s">
        <v>4573</v>
      </c>
      <c r="EN866" t="s">
        <v>4574</v>
      </c>
      <c r="EO866" t="s">
        <v>4575</v>
      </c>
      <c r="ES866" t="s">
        <v>4568</v>
      </c>
      <c r="EU866" t="s">
        <v>4093</v>
      </c>
      <c r="EW866" t="s">
        <v>259</v>
      </c>
      <c r="EX866" t="s">
        <v>260</v>
      </c>
      <c r="FX866" s="4"/>
      <c r="FY866" t="s">
        <v>859</v>
      </c>
      <c r="FZ866" t="s">
        <v>4576</v>
      </c>
      <c r="GA866" t="s">
        <v>3781</v>
      </c>
      <c r="GC866" t="s">
        <v>543</v>
      </c>
      <c r="GD866" t="s">
        <v>544</v>
      </c>
      <c r="GE866" s="9">
        <v>44103</v>
      </c>
      <c r="GF866" t="s">
        <v>4577</v>
      </c>
      <c r="GJ866" t="s">
        <v>4578</v>
      </c>
      <c r="GK866" t="s">
        <v>3767</v>
      </c>
      <c r="GL866" t="s">
        <v>3768</v>
      </c>
      <c r="GN866" t="s">
        <v>386</v>
      </c>
      <c r="GO866" t="s">
        <v>260</v>
      </c>
      <c r="GP866" s="9">
        <v>44195</v>
      </c>
      <c r="GQ866" t="s">
        <v>4579</v>
      </c>
      <c r="IA866" s="9"/>
      <c r="IL866" s="14">
        <f ca="1">SUM(IB866-EB866-FX866-IJ866)</f>
        <v>-5258.0924249999998</v>
      </c>
      <c r="IM866" s="14"/>
      <c r="IN866" s="14"/>
      <c r="IO866" s="9">
        <v>45187</v>
      </c>
      <c r="IP866" s="9"/>
      <c r="IQ866" s="9"/>
      <c r="IR866" s="9"/>
      <c r="IS866" s="9"/>
    </row>
    <row r="867" spans="1:263" ht="15" customHeight="1">
      <c r="A867" s="19">
        <v>102022055</v>
      </c>
      <c r="B867" t="s">
        <v>2804</v>
      </c>
      <c r="D867" s="1">
        <v>2025</v>
      </c>
      <c r="E867" s="3"/>
      <c r="F867" s="3"/>
      <c r="J867" t="s">
        <v>253</v>
      </c>
      <c r="K867" t="s">
        <v>399</v>
      </c>
      <c r="L867" t="s">
        <v>2052</v>
      </c>
      <c r="M867" t="s">
        <v>309</v>
      </c>
      <c r="AD867" t="s">
        <v>3455</v>
      </c>
      <c r="AE867" t="s">
        <v>253</v>
      </c>
      <c r="AF867" t="s">
        <v>3456</v>
      </c>
      <c r="AG867" s="43" t="s">
        <v>3457</v>
      </c>
      <c r="AH867" t="s">
        <v>3458</v>
      </c>
      <c r="AI867" t="s">
        <v>329</v>
      </c>
      <c r="AJ867" t="s">
        <v>328</v>
      </c>
      <c r="AL867" s="3" t="s">
        <v>259</v>
      </c>
      <c r="AM867"/>
      <c r="AN867"/>
      <c r="AO867" s="3" t="s">
        <v>604</v>
      </c>
      <c r="AP867" s="3" t="s">
        <v>258</v>
      </c>
      <c r="AQ867" t="s">
        <v>259</v>
      </c>
      <c r="AR867" t="s">
        <v>260</v>
      </c>
      <c r="AS867" s="1"/>
      <c r="AT867" s="1"/>
      <c r="AU867" s="1"/>
      <c r="AV867" s="1"/>
      <c r="AW867" s="1"/>
      <c r="AX867" s="2"/>
      <c r="AY867" s="116"/>
      <c r="AZ867" s="115"/>
      <c r="BA867" s="2"/>
      <c r="BB867" s="2"/>
      <c r="BC867" s="2"/>
      <c r="BD867" s="2"/>
      <c r="BE867" s="2"/>
      <c r="BF867" s="2"/>
      <c r="BG867" s="20">
        <f t="shared" ref="BG867:BG872" ca="1" si="304">SUM(CY867)+39+39</f>
        <v>300.31920000000002</v>
      </c>
      <c r="BH867" s="22">
        <f t="shared" ref="BH867:BH872" ca="1" si="305">PMT(10%/12,12,BG867,0,0)</f>
        <v>-26.402828920206698</v>
      </c>
      <c r="BI867" s="22">
        <f t="shared" ref="BI867:BI872" ca="1" si="306">SUM(BH867*-1)</f>
        <v>26.402828920206698</v>
      </c>
      <c r="BJ867" s="14">
        <f t="shared" ref="BJ867:BJ872" si="307">SUM(DI867*0.0052)/12</f>
        <v>4.8966666666666665</v>
      </c>
      <c r="BK867" s="22">
        <f t="shared" ref="BK867:BK872" ca="1" si="308">SUM(BI867+BJ867)</f>
        <v>31.299495586873363</v>
      </c>
      <c r="BL867" s="14"/>
      <c r="BM867" s="14">
        <f t="shared" ref="BM867:BM872" si="309">SUM(BL867*0.1)</f>
        <v>0</v>
      </c>
      <c r="BN867" s="14">
        <f t="shared" ref="BN867:BN872" ca="1" si="310">SUM(BO867*BP867)</f>
        <v>0</v>
      </c>
      <c r="BO867" s="17">
        <f t="shared" ref="BO867:BO872" si="311">SUM((BL867+BM867)*0.00833333333333333)</f>
        <v>0</v>
      </c>
      <c r="BP867" s="23">
        <f t="shared" ref="BP867:BP872" ca="1" si="312">MONTH(TODAY())+49</f>
        <v>53</v>
      </c>
      <c r="BQ867" s="14">
        <f t="shared" ref="BQ867:BQ872" ca="1" si="313">SUM(BL867,BM867,BN867)</f>
        <v>0</v>
      </c>
      <c r="BR867" s="14"/>
      <c r="BS867" s="14">
        <f t="shared" ref="BS867:BS872" si="314">SUM(BR867*0.1)</f>
        <v>0</v>
      </c>
      <c r="BT867" s="14">
        <f t="shared" ref="BT867:BT872" ca="1" si="315">SUM(BU867*BV867)</f>
        <v>0</v>
      </c>
      <c r="BU867" s="17">
        <f t="shared" ref="BU867:BU872" si="316">SUM((BR867+BS867)*0.00833333333333333)</f>
        <v>0</v>
      </c>
      <c r="BV867" s="23">
        <f t="shared" ref="BV867:BV872" ca="1" si="317">MONTH(TODAY())+37</f>
        <v>41</v>
      </c>
      <c r="BW867" s="14">
        <f t="shared" ref="BW867:BW872" ca="1" si="318">SUM(BR867,BS867,BT867)</f>
        <v>0</v>
      </c>
      <c r="BX867" s="14"/>
      <c r="BY867" s="14">
        <f t="shared" ref="BY867:BY872" si="319">SUM(BX867*0.1)</f>
        <v>0</v>
      </c>
      <c r="BZ867" s="14">
        <f t="shared" ref="BZ867:BZ872" ca="1" si="320">SUM(CA867*CB867)</f>
        <v>0</v>
      </c>
      <c r="CA867" s="17">
        <f t="shared" ref="CA867:CA872" si="321">SUM((BX867+BY867)*0.00833333333333333)</f>
        <v>0</v>
      </c>
      <c r="CB867" s="23">
        <f ca="1">MONTH(TODAY())+25</f>
        <v>29</v>
      </c>
      <c r="CC867" s="14">
        <f t="shared" ref="CC867:CC872" ca="1" si="322">SUM(BX867,BY867,BZ867)</f>
        <v>0</v>
      </c>
      <c r="CD867" s="14">
        <f t="shared" ref="CD867:CD872" si="323">SUM(DI867*0.0052)</f>
        <v>58.76</v>
      </c>
      <c r="CE867" s="14">
        <f t="shared" ref="CE867:CE872" si="324">SUM(CD867*0.1)</f>
        <v>5.8760000000000003</v>
      </c>
      <c r="CF867" s="14">
        <f t="shared" ref="CF867:CF872" si="325">SUM(CG867*CH867)</f>
        <v>9.6953999999999958</v>
      </c>
      <c r="CG867" s="17">
        <f t="shared" ref="CG867:CG872" si="326">SUM((CD867+CE867)*0.00833333333333333)</f>
        <v>0.53863333333333308</v>
      </c>
      <c r="CH867" s="23">
        <v>18</v>
      </c>
      <c r="CI867" s="14">
        <f t="shared" ref="CI867:CI872" si="327">SUM(CD867,CE867,CF867)</f>
        <v>74.331399999999988</v>
      </c>
      <c r="CJ867" s="14">
        <f t="shared" ref="CJ867:CJ872" si="328">SUM(DI867*0.0052)</f>
        <v>58.76</v>
      </c>
      <c r="CK867" s="14">
        <f t="shared" ref="CK867:CK872" si="329">SUM(CJ867*0.1)</f>
        <v>5.8760000000000003</v>
      </c>
      <c r="CL867" s="14">
        <f t="shared" ref="CL867:CL872" si="330">SUM(CM867*CN867)</f>
        <v>3.2317999999999985</v>
      </c>
      <c r="CM867" s="17">
        <f t="shared" ref="CM867:CM872" si="331">SUM((CJ867+CK867)*0.00833333333333333)</f>
        <v>0.53863333333333308</v>
      </c>
      <c r="CN867" s="23">
        <v>6</v>
      </c>
      <c r="CO867" s="14">
        <f t="shared" ref="CO867:CO872" si="332">SUM(CJ867,CK867,CL867)</f>
        <v>67.867799999999988</v>
      </c>
      <c r="CP867" s="14">
        <f t="shared" ref="CP867:CR872" si="333">SUM(BL867, BR867,BX867,CD867,CJ867)</f>
        <v>117.52</v>
      </c>
      <c r="CQ867" s="14">
        <f t="shared" si="333"/>
        <v>11.752000000000001</v>
      </c>
      <c r="CR867" s="14">
        <f t="shared" ca="1" si="333"/>
        <v>12.927199999999994</v>
      </c>
      <c r="CS867" s="14">
        <f t="shared" ref="CS867:CS872" ca="1" si="334">SUM(CP867:CR867)</f>
        <v>142.19919999999999</v>
      </c>
      <c r="CT867" s="47">
        <f t="shared" ref="CT867:CT872" ca="1" si="335">SUM(CS867/DI867)</f>
        <v>1.2584E-2</v>
      </c>
      <c r="CU867" s="14">
        <f t="shared" ref="CU867:CU872" si="336">58.5+19.5</f>
        <v>78</v>
      </c>
      <c r="CV867" s="32">
        <f t="shared" ref="CV867:CV872" si="337">COUNTIF(DB867, "*")+COUNTIF(AO867, "*")+COUNTIF(AJ867, "*")+COUNTIF(AA867, "*")+COUNTIF(DY867, "*")+COUNTIF(EE867, "*")+COUNTIF(EK867, "*")+COUNTIF(EO867, "*")+COUNTIF(EV867, "*")+COUNTIF(FC867, "*")+COUNTIF(FJ867, "*")+COUNTIF(FU867, "*")+COUNTIF(GF867, "*")+COUNTIF(GN867, "*")+COUNTIF(GV867, "*")+COUNTIF(HD867, "*")+COUNTIF(HL867, "*")</f>
        <v>2</v>
      </c>
      <c r="CW867" s="14">
        <f t="shared" ref="CW867:CW872" si="338">CV867*0.53*2</f>
        <v>2.12</v>
      </c>
      <c r="CX867" s="4"/>
      <c r="CY867" s="14">
        <f t="shared" ref="CY867:CY872" ca="1" si="339">SUM(CS867,CU867,DE867, CX867, CW867,FG867)</f>
        <v>222.3192</v>
      </c>
      <c r="CZ867" s="4"/>
      <c r="DE867" s="14">
        <f t="shared" ref="DE867:DE872" si="340">SUM(CZ867:DD867)</f>
        <v>0</v>
      </c>
      <c r="DF867" s="24" t="s">
        <v>2773</v>
      </c>
      <c r="DG867" s="4">
        <v>11300</v>
      </c>
      <c r="DH867" s="4">
        <v>0</v>
      </c>
      <c r="DI867" s="25">
        <f t="shared" ref="DI867:DI872" si="341">SUM(DG867+DH867)</f>
        <v>11300</v>
      </c>
      <c r="DJ867" s="35">
        <v>0.57999999999999996</v>
      </c>
      <c r="IC867" s="4"/>
    </row>
    <row r="868" spans="1:263" ht="15" customHeight="1">
      <c r="A868" s="19">
        <v>102022003</v>
      </c>
      <c r="B868" t="s">
        <v>2774</v>
      </c>
      <c r="D868" s="1">
        <v>2024</v>
      </c>
      <c r="E868" s="3"/>
      <c r="F868" s="3"/>
      <c r="J868" t="s">
        <v>253</v>
      </c>
      <c r="K868" t="s">
        <v>399</v>
      </c>
      <c r="L868" t="s">
        <v>2052</v>
      </c>
      <c r="M868" t="s">
        <v>309</v>
      </c>
      <c r="AD868" t="s">
        <v>3455</v>
      </c>
      <c r="AE868" t="s">
        <v>253</v>
      </c>
      <c r="AF868" t="s">
        <v>3456</v>
      </c>
      <c r="AG868" s="43" t="s">
        <v>3457</v>
      </c>
      <c r="AH868" t="s">
        <v>3458</v>
      </c>
      <c r="AI868" t="s">
        <v>329</v>
      </c>
      <c r="AJ868" s="18" t="s">
        <v>328</v>
      </c>
      <c r="AL868" s="18" t="s">
        <v>259</v>
      </c>
      <c r="AM868"/>
      <c r="AN868"/>
      <c r="AO868" s="3" t="s">
        <v>604</v>
      </c>
      <c r="AP868" s="3" t="s">
        <v>258</v>
      </c>
      <c r="AQ868" t="s">
        <v>259</v>
      </c>
      <c r="AR868" t="s">
        <v>260</v>
      </c>
      <c r="AS868" s="1"/>
      <c r="AT868" s="1"/>
      <c r="AU868" s="1"/>
      <c r="AV868" s="1"/>
      <c r="AW868" s="1"/>
      <c r="AX868" s="2"/>
      <c r="AY868" s="116"/>
      <c r="AZ868" s="115"/>
      <c r="BA868" s="2"/>
      <c r="BB868" s="2"/>
      <c r="BC868" s="2"/>
      <c r="BD868" s="2"/>
      <c r="BE868" s="2"/>
      <c r="BF868" s="2"/>
      <c r="BG868" s="20">
        <f t="shared" ca="1" si="304"/>
        <v>381.11419999999998</v>
      </c>
      <c r="BH868" s="22">
        <f t="shared" ca="1" si="305"/>
        <v>-33.505993028955324</v>
      </c>
      <c r="BI868" s="22">
        <f t="shared" ca="1" si="306"/>
        <v>33.505993028955324</v>
      </c>
      <c r="BJ868" s="14">
        <f t="shared" si="307"/>
        <v>4.8966666666666665</v>
      </c>
      <c r="BK868" s="22">
        <f t="shared" ca="1" si="308"/>
        <v>38.402659695621992</v>
      </c>
      <c r="BL868" s="14"/>
      <c r="BM868" s="14">
        <f t="shared" si="309"/>
        <v>0</v>
      </c>
      <c r="BN868" s="14">
        <f t="shared" ca="1" si="310"/>
        <v>0</v>
      </c>
      <c r="BO868" s="17">
        <f t="shared" si="311"/>
        <v>0</v>
      </c>
      <c r="BP868" s="23">
        <f t="shared" ca="1" si="312"/>
        <v>53</v>
      </c>
      <c r="BQ868" s="14">
        <f t="shared" ca="1" si="313"/>
        <v>0</v>
      </c>
      <c r="BR868" s="14"/>
      <c r="BS868" s="14">
        <f t="shared" si="314"/>
        <v>0</v>
      </c>
      <c r="BT868" s="14">
        <f t="shared" ca="1" si="315"/>
        <v>0</v>
      </c>
      <c r="BU868" s="17">
        <f t="shared" si="316"/>
        <v>0</v>
      </c>
      <c r="BV868" s="23">
        <f t="shared" ca="1" si="317"/>
        <v>41</v>
      </c>
      <c r="BW868" s="14">
        <f t="shared" ca="1" si="318"/>
        <v>0</v>
      </c>
      <c r="BX868" s="14">
        <f>SUM(DI868*0.0052)</f>
        <v>58.76</v>
      </c>
      <c r="BY868" s="14">
        <f t="shared" si="319"/>
        <v>5.8760000000000003</v>
      </c>
      <c r="BZ868" s="14">
        <f t="shared" si="320"/>
        <v>16.158999999999992</v>
      </c>
      <c r="CA868" s="17">
        <f t="shared" si="321"/>
        <v>0.53863333333333308</v>
      </c>
      <c r="CB868" s="23">
        <v>30</v>
      </c>
      <c r="CC868" s="14">
        <f t="shared" si="322"/>
        <v>80.794999999999987</v>
      </c>
      <c r="CD868" s="14">
        <f t="shared" si="323"/>
        <v>58.76</v>
      </c>
      <c r="CE868" s="14">
        <f t="shared" si="324"/>
        <v>5.8760000000000003</v>
      </c>
      <c r="CF868" s="14">
        <f t="shared" si="325"/>
        <v>9.6953999999999958</v>
      </c>
      <c r="CG868" s="17">
        <f t="shared" si="326"/>
        <v>0.53863333333333308</v>
      </c>
      <c r="CH868" s="23">
        <v>18</v>
      </c>
      <c r="CI868" s="14">
        <f t="shared" si="327"/>
        <v>74.331399999999988</v>
      </c>
      <c r="CJ868" s="14">
        <f t="shared" si="328"/>
        <v>58.76</v>
      </c>
      <c r="CK868" s="14">
        <f t="shared" si="329"/>
        <v>5.8760000000000003</v>
      </c>
      <c r="CL868" s="14">
        <f t="shared" si="330"/>
        <v>3.2317999999999985</v>
      </c>
      <c r="CM868" s="17">
        <f t="shared" si="331"/>
        <v>0.53863333333333308</v>
      </c>
      <c r="CN868" s="23">
        <v>6</v>
      </c>
      <c r="CO868" s="14">
        <f t="shared" si="332"/>
        <v>67.867799999999988</v>
      </c>
      <c r="CP868" s="14">
        <f t="shared" si="333"/>
        <v>176.28</v>
      </c>
      <c r="CQ868" s="14">
        <f t="shared" si="333"/>
        <v>17.628</v>
      </c>
      <c r="CR868" s="14">
        <f t="shared" ca="1" si="333"/>
        <v>29.086199999999987</v>
      </c>
      <c r="CS868" s="14">
        <f t="shared" ca="1" si="334"/>
        <v>222.99420000000001</v>
      </c>
      <c r="CT868" s="47">
        <f t="shared" ca="1" si="335"/>
        <v>1.9734000000000002E-2</v>
      </c>
      <c r="CU868" s="14">
        <f t="shared" si="336"/>
        <v>78</v>
      </c>
      <c r="CV868" s="32">
        <f t="shared" si="337"/>
        <v>2</v>
      </c>
      <c r="CW868" s="14">
        <f t="shared" si="338"/>
        <v>2.12</v>
      </c>
      <c r="CX868" s="4"/>
      <c r="CY868" s="14">
        <f t="shared" ca="1" si="339"/>
        <v>303.11419999999998</v>
      </c>
      <c r="CZ868" s="4"/>
      <c r="DE868" s="14">
        <f t="shared" si="340"/>
        <v>0</v>
      </c>
      <c r="DF868" s="24" t="s">
        <v>2770</v>
      </c>
      <c r="DG868" s="4">
        <v>11300</v>
      </c>
      <c r="DH868" s="4">
        <v>0</v>
      </c>
      <c r="DI868" s="25">
        <f t="shared" si="341"/>
        <v>11300</v>
      </c>
      <c r="DJ868" s="35">
        <v>0.56000000000000005</v>
      </c>
      <c r="IC868" s="4"/>
    </row>
    <row r="869" spans="1:263" ht="15" customHeight="1">
      <c r="A869" s="19">
        <v>102022004</v>
      </c>
      <c r="B869" t="s">
        <v>2775</v>
      </c>
      <c r="D869" s="1">
        <v>2024</v>
      </c>
      <c r="E869" s="3"/>
      <c r="F869" s="3"/>
      <c r="J869" t="s">
        <v>253</v>
      </c>
      <c r="K869" t="s">
        <v>399</v>
      </c>
      <c r="L869" t="s">
        <v>2052</v>
      </c>
      <c r="M869" t="s">
        <v>309</v>
      </c>
      <c r="AD869" t="s">
        <v>3455</v>
      </c>
      <c r="AE869" t="s">
        <v>253</v>
      </c>
      <c r="AF869" t="s">
        <v>3456</v>
      </c>
      <c r="AG869" s="43" t="s">
        <v>3457</v>
      </c>
      <c r="AH869" t="s">
        <v>3458</v>
      </c>
      <c r="AI869" t="s">
        <v>329</v>
      </c>
      <c r="AJ869" s="18" t="s">
        <v>328</v>
      </c>
      <c r="AL869" s="18" t="s">
        <v>259</v>
      </c>
      <c r="AM869"/>
      <c r="AN869"/>
      <c r="AO869" s="3" t="s">
        <v>604</v>
      </c>
      <c r="AP869" s="3" t="s">
        <v>258</v>
      </c>
      <c r="AQ869" t="s">
        <v>259</v>
      </c>
      <c r="AR869" t="s">
        <v>260</v>
      </c>
      <c r="AS869" s="1"/>
      <c r="AT869" s="1"/>
      <c r="AU869" s="1"/>
      <c r="AV869" s="1"/>
      <c r="AW869" s="1"/>
      <c r="AX869" s="2"/>
      <c r="AY869" s="116"/>
      <c r="AZ869" s="115"/>
      <c r="BA869" s="2"/>
      <c r="BB869" s="2"/>
      <c r="BC869" s="2"/>
      <c r="BD869" s="2"/>
      <c r="BE869" s="2"/>
      <c r="BF869" s="2"/>
      <c r="BG869" s="20">
        <f t="shared" ca="1" si="304"/>
        <v>381.11419999999998</v>
      </c>
      <c r="BH869" s="22">
        <f t="shared" ca="1" si="305"/>
        <v>-33.505993028955324</v>
      </c>
      <c r="BI869" s="22">
        <f t="shared" ca="1" si="306"/>
        <v>33.505993028955324</v>
      </c>
      <c r="BJ869" s="14">
        <f t="shared" si="307"/>
        <v>4.8966666666666665</v>
      </c>
      <c r="BK869" s="22">
        <f t="shared" ca="1" si="308"/>
        <v>38.402659695621992</v>
      </c>
      <c r="BL869" s="14"/>
      <c r="BM869" s="14">
        <f t="shared" si="309"/>
        <v>0</v>
      </c>
      <c r="BN869" s="14">
        <f t="shared" ca="1" si="310"/>
        <v>0</v>
      </c>
      <c r="BO869" s="17">
        <f t="shared" si="311"/>
        <v>0</v>
      </c>
      <c r="BP869" s="23">
        <f t="shared" ca="1" si="312"/>
        <v>53</v>
      </c>
      <c r="BQ869" s="14">
        <f t="shared" ca="1" si="313"/>
        <v>0</v>
      </c>
      <c r="BR869" s="14"/>
      <c r="BS869" s="14">
        <f t="shared" si="314"/>
        <v>0</v>
      </c>
      <c r="BT869" s="14">
        <f t="shared" ca="1" si="315"/>
        <v>0</v>
      </c>
      <c r="BU869" s="17">
        <f t="shared" si="316"/>
        <v>0</v>
      </c>
      <c r="BV869" s="23">
        <f t="shared" ca="1" si="317"/>
        <v>41</v>
      </c>
      <c r="BW869" s="14">
        <f t="shared" ca="1" si="318"/>
        <v>0</v>
      </c>
      <c r="BX869" s="14">
        <f>SUM(DI869*0.0052)</f>
        <v>58.76</v>
      </c>
      <c r="BY869" s="14">
        <f t="shared" si="319"/>
        <v>5.8760000000000003</v>
      </c>
      <c r="BZ869" s="14">
        <f t="shared" si="320"/>
        <v>16.158999999999992</v>
      </c>
      <c r="CA869" s="17">
        <f t="shared" si="321"/>
        <v>0.53863333333333308</v>
      </c>
      <c r="CB869" s="23">
        <v>30</v>
      </c>
      <c r="CC869" s="14">
        <f t="shared" si="322"/>
        <v>80.794999999999987</v>
      </c>
      <c r="CD869" s="14">
        <f t="shared" si="323"/>
        <v>58.76</v>
      </c>
      <c r="CE869" s="14">
        <f t="shared" si="324"/>
        <v>5.8760000000000003</v>
      </c>
      <c r="CF869" s="14">
        <f t="shared" si="325"/>
        <v>9.6953999999999958</v>
      </c>
      <c r="CG869" s="17">
        <f t="shared" si="326"/>
        <v>0.53863333333333308</v>
      </c>
      <c r="CH869" s="23">
        <v>18</v>
      </c>
      <c r="CI869" s="14">
        <f t="shared" si="327"/>
        <v>74.331399999999988</v>
      </c>
      <c r="CJ869" s="14">
        <f t="shared" si="328"/>
        <v>58.76</v>
      </c>
      <c r="CK869" s="14">
        <f t="shared" si="329"/>
        <v>5.8760000000000003</v>
      </c>
      <c r="CL869" s="14">
        <f t="shared" si="330"/>
        <v>3.2317999999999985</v>
      </c>
      <c r="CM869" s="17">
        <f t="shared" si="331"/>
        <v>0.53863333333333308</v>
      </c>
      <c r="CN869" s="23">
        <v>6</v>
      </c>
      <c r="CO869" s="14">
        <f t="shared" si="332"/>
        <v>67.867799999999988</v>
      </c>
      <c r="CP869" s="14">
        <f t="shared" si="333"/>
        <v>176.28</v>
      </c>
      <c r="CQ869" s="14">
        <f t="shared" si="333"/>
        <v>17.628</v>
      </c>
      <c r="CR869" s="14">
        <f t="shared" ca="1" si="333"/>
        <v>29.086199999999987</v>
      </c>
      <c r="CS869" s="14">
        <f t="shared" ca="1" si="334"/>
        <v>222.99420000000001</v>
      </c>
      <c r="CT869" s="47">
        <f t="shared" ca="1" si="335"/>
        <v>1.9734000000000002E-2</v>
      </c>
      <c r="CU869" s="14">
        <f t="shared" si="336"/>
        <v>78</v>
      </c>
      <c r="CV869" s="32">
        <f t="shared" si="337"/>
        <v>2</v>
      </c>
      <c r="CW869" s="14">
        <f t="shared" si="338"/>
        <v>2.12</v>
      </c>
      <c r="CX869" s="4"/>
      <c r="CY869" s="14">
        <f t="shared" ca="1" si="339"/>
        <v>303.11419999999998</v>
      </c>
      <c r="CZ869" s="4"/>
      <c r="DE869" s="14">
        <f t="shared" si="340"/>
        <v>0</v>
      </c>
      <c r="DF869" s="24" t="s">
        <v>2770</v>
      </c>
      <c r="DG869" s="4">
        <v>11300</v>
      </c>
      <c r="DH869" s="4">
        <v>0</v>
      </c>
      <c r="DI869" s="25">
        <f t="shared" si="341"/>
        <v>11300</v>
      </c>
      <c r="DJ869" s="35">
        <v>0.55000000000000004</v>
      </c>
      <c r="IC869" s="4"/>
    </row>
    <row r="870" spans="1:263" ht="15" customHeight="1">
      <c r="A870" s="19">
        <v>102022005</v>
      </c>
      <c r="B870" t="s">
        <v>2776</v>
      </c>
      <c r="D870" s="1">
        <v>2024</v>
      </c>
      <c r="E870" s="3"/>
      <c r="F870" s="3"/>
      <c r="J870" t="s">
        <v>253</v>
      </c>
      <c r="K870" t="s">
        <v>399</v>
      </c>
      <c r="L870" t="s">
        <v>2052</v>
      </c>
      <c r="M870" t="s">
        <v>309</v>
      </c>
      <c r="AD870" t="s">
        <v>3455</v>
      </c>
      <c r="AE870" t="s">
        <v>253</v>
      </c>
      <c r="AF870" t="s">
        <v>3456</v>
      </c>
      <c r="AG870" s="43" t="s">
        <v>3457</v>
      </c>
      <c r="AH870" t="s">
        <v>3458</v>
      </c>
      <c r="AI870" t="s">
        <v>329</v>
      </c>
      <c r="AJ870" s="18" t="s">
        <v>328</v>
      </c>
      <c r="AL870" s="18" t="s">
        <v>259</v>
      </c>
      <c r="AM870"/>
      <c r="AN870"/>
      <c r="AO870" s="3" t="s">
        <v>604</v>
      </c>
      <c r="AP870" s="3" t="s">
        <v>258</v>
      </c>
      <c r="AQ870" t="s">
        <v>259</v>
      </c>
      <c r="AR870" t="s">
        <v>260</v>
      </c>
      <c r="AS870" s="1"/>
      <c r="AT870" s="1"/>
      <c r="AU870" s="1"/>
      <c r="AV870" s="1"/>
      <c r="AW870" s="1"/>
      <c r="AX870" s="2"/>
      <c r="AY870" s="116"/>
      <c r="AZ870" s="115"/>
      <c r="BA870" s="2"/>
      <c r="BB870" s="2"/>
      <c r="BC870" s="2"/>
      <c r="BD870" s="2"/>
      <c r="BE870" s="2"/>
      <c r="BF870" s="2"/>
      <c r="BG870" s="20">
        <f t="shared" ca="1" si="304"/>
        <v>381.11419999999998</v>
      </c>
      <c r="BH870" s="22">
        <f t="shared" ca="1" si="305"/>
        <v>-33.505993028955324</v>
      </c>
      <c r="BI870" s="22">
        <f t="shared" ca="1" si="306"/>
        <v>33.505993028955324</v>
      </c>
      <c r="BJ870" s="14">
        <f t="shared" si="307"/>
        <v>4.8966666666666665</v>
      </c>
      <c r="BK870" s="22">
        <f t="shared" ca="1" si="308"/>
        <v>38.402659695621992</v>
      </c>
      <c r="BL870" s="14"/>
      <c r="BM870" s="14">
        <f t="shared" si="309"/>
        <v>0</v>
      </c>
      <c r="BN870" s="14">
        <f t="shared" ca="1" si="310"/>
        <v>0</v>
      </c>
      <c r="BO870" s="17">
        <f t="shared" si="311"/>
        <v>0</v>
      </c>
      <c r="BP870" s="23">
        <f t="shared" ca="1" si="312"/>
        <v>53</v>
      </c>
      <c r="BQ870" s="14">
        <f t="shared" ca="1" si="313"/>
        <v>0</v>
      </c>
      <c r="BR870" s="14"/>
      <c r="BS870" s="14">
        <f t="shared" si="314"/>
        <v>0</v>
      </c>
      <c r="BT870" s="14">
        <f t="shared" ca="1" si="315"/>
        <v>0</v>
      </c>
      <c r="BU870" s="17">
        <f t="shared" si="316"/>
        <v>0</v>
      </c>
      <c r="BV870" s="23">
        <f t="shared" ca="1" si="317"/>
        <v>41</v>
      </c>
      <c r="BW870" s="14">
        <f t="shared" ca="1" si="318"/>
        <v>0</v>
      </c>
      <c r="BX870" s="14">
        <f>SUM(DI870*0.0052)</f>
        <v>58.76</v>
      </c>
      <c r="BY870" s="14">
        <f t="shared" si="319"/>
        <v>5.8760000000000003</v>
      </c>
      <c r="BZ870" s="14">
        <f t="shared" si="320"/>
        <v>16.158999999999992</v>
      </c>
      <c r="CA870" s="17">
        <f t="shared" si="321"/>
        <v>0.53863333333333308</v>
      </c>
      <c r="CB870" s="23">
        <v>30</v>
      </c>
      <c r="CC870" s="14">
        <f t="shared" si="322"/>
        <v>80.794999999999987</v>
      </c>
      <c r="CD870" s="14">
        <f t="shared" si="323"/>
        <v>58.76</v>
      </c>
      <c r="CE870" s="14">
        <f t="shared" si="324"/>
        <v>5.8760000000000003</v>
      </c>
      <c r="CF870" s="14">
        <f t="shared" si="325"/>
        <v>9.6953999999999958</v>
      </c>
      <c r="CG870" s="17">
        <f t="shared" si="326"/>
        <v>0.53863333333333308</v>
      </c>
      <c r="CH870" s="23">
        <v>18</v>
      </c>
      <c r="CI870" s="14">
        <f t="shared" si="327"/>
        <v>74.331399999999988</v>
      </c>
      <c r="CJ870" s="14">
        <f t="shared" si="328"/>
        <v>58.76</v>
      </c>
      <c r="CK870" s="14">
        <f t="shared" si="329"/>
        <v>5.8760000000000003</v>
      </c>
      <c r="CL870" s="14">
        <f t="shared" si="330"/>
        <v>3.2317999999999985</v>
      </c>
      <c r="CM870" s="17">
        <f t="shared" si="331"/>
        <v>0.53863333333333308</v>
      </c>
      <c r="CN870" s="23">
        <v>6</v>
      </c>
      <c r="CO870" s="14">
        <f t="shared" si="332"/>
        <v>67.867799999999988</v>
      </c>
      <c r="CP870" s="14">
        <f t="shared" si="333"/>
        <v>176.28</v>
      </c>
      <c r="CQ870" s="14">
        <f t="shared" si="333"/>
        <v>17.628</v>
      </c>
      <c r="CR870" s="14">
        <f t="shared" ca="1" si="333"/>
        <v>29.086199999999987</v>
      </c>
      <c r="CS870" s="14">
        <f t="shared" ca="1" si="334"/>
        <v>222.99420000000001</v>
      </c>
      <c r="CT870" s="47">
        <f t="shared" ca="1" si="335"/>
        <v>1.9734000000000002E-2</v>
      </c>
      <c r="CU870" s="14">
        <f t="shared" si="336"/>
        <v>78</v>
      </c>
      <c r="CV870" s="32">
        <f t="shared" si="337"/>
        <v>2</v>
      </c>
      <c r="CW870" s="14">
        <f t="shared" si="338"/>
        <v>2.12</v>
      </c>
      <c r="CX870" s="4"/>
      <c r="CY870" s="14">
        <f t="shared" ca="1" si="339"/>
        <v>303.11419999999998</v>
      </c>
      <c r="CZ870" s="4"/>
      <c r="DE870" s="14">
        <f t="shared" si="340"/>
        <v>0</v>
      </c>
      <c r="DF870" s="24" t="s">
        <v>2770</v>
      </c>
      <c r="DG870" s="4">
        <v>11300</v>
      </c>
      <c r="DH870" s="4">
        <v>0</v>
      </c>
      <c r="DI870" s="25">
        <f t="shared" si="341"/>
        <v>11300</v>
      </c>
      <c r="DJ870" s="35">
        <v>0.53</v>
      </c>
      <c r="IC870" s="4"/>
    </row>
    <row r="871" spans="1:263" ht="15" customHeight="1">
      <c r="A871" s="19">
        <v>102022006</v>
      </c>
      <c r="B871" t="s">
        <v>2777</v>
      </c>
      <c r="D871" s="1">
        <v>2024</v>
      </c>
      <c r="E871" s="3"/>
      <c r="F871" s="3"/>
      <c r="J871" t="s">
        <v>253</v>
      </c>
      <c r="K871" t="s">
        <v>399</v>
      </c>
      <c r="L871" t="s">
        <v>2052</v>
      </c>
      <c r="M871" t="s">
        <v>309</v>
      </c>
      <c r="AD871" t="s">
        <v>3455</v>
      </c>
      <c r="AE871" t="s">
        <v>253</v>
      </c>
      <c r="AF871" t="s">
        <v>3456</v>
      </c>
      <c r="AG871" s="43" t="s">
        <v>3457</v>
      </c>
      <c r="AH871" t="s">
        <v>3458</v>
      </c>
      <c r="AI871" t="s">
        <v>329</v>
      </c>
      <c r="AJ871" s="18" t="s">
        <v>328</v>
      </c>
      <c r="AL871" s="18" t="s">
        <v>259</v>
      </c>
      <c r="AM871"/>
      <c r="AN871"/>
      <c r="AO871" s="3" t="s">
        <v>604</v>
      </c>
      <c r="AP871" s="3" t="s">
        <v>258</v>
      </c>
      <c r="AQ871" t="s">
        <v>259</v>
      </c>
      <c r="AR871" t="s">
        <v>260</v>
      </c>
      <c r="AS871" s="1"/>
      <c r="AT871" s="1"/>
      <c r="AU871" s="1"/>
      <c r="AV871" s="1"/>
      <c r="AW871" s="1"/>
      <c r="AX871" s="2"/>
      <c r="AY871" s="116"/>
      <c r="AZ871" s="115"/>
      <c r="BA871" s="2"/>
      <c r="BB871" s="2"/>
      <c r="BC871" s="2"/>
      <c r="BD871" s="2"/>
      <c r="BE871" s="2"/>
      <c r="BF871" s="2"/>
      <c r="BG871" s="20">
        <f t="shared" ca="1" si="304"/>
        <v>381.11419999999998</v>
      </c>
      <c r="BH871" s="22">
        <f t="shared" ca="1" si="305"/>
        <v>-33.505993028955324</v>
      </c>
      <c r="BI871" s="22">
        <f t="shared" ca="1" si="306"/>
        <v>33.505993028955324</v>
      </c>
      <c r="BJ871" s="14">
        <f t="shared" si="307"/>
        <v>4.8966666666666665</v>
      </c>
      <c r="BK871" s="22">
        <f t="shared" ca="1" si="308"/>
        <v>38.402659695621992</v>
      </c>
      <c r="BL871" s="14"/>
      <c r="BM871" s="14">
        <f t="shared" si="309"/>
        <v>0</v>
      </c>
      <c r="BN871" s="14">
        <f t="shared" ca="1" si="310"/>
        <v>0</v>
      </c>
      <c r="BO871" s="17">
        <f t="shared" si="311"/>
        <v>0</v>
      </c>
      <c r="BP871" s="23">
        <f t="shared" ca="1" si="312"/>
        <v>53</v>
      </c>
      <c r="BQ871" s="14">
        <f t="shared" ca="1" si="313"/>
        <v>0</v>
      </c>
      <c r="BR871" s="14"/>
      <c r="BS871" s="14">
        <f t="shared" si="314"/>
        <v>0</v>
      </c>
      <c r="BT871" s="14">
        <f t="shared" ca="1" si="315"/>
        <v>0</v>
      </c>
      <c r="BU871" s="17">
        <f t="shared" si="316"/>
        <v>0</v>
      </c>
      <c r="BV871" s="23">
        <f t="shared" ca="1" si="317"/>
        <v>41</v>
      </c>
      <c r="BW871" s="14">
        <f t="shared" ca="1" si="318"/>
        <v>0</v>
      </c>
      <c r="BX871" s="14">
        <f>SUM(DI871*0.0052)</f>
        <v>58.76</v>
      </c>
      <c r="BY871" s="14">
        <f t="shared" si="319"/>
        <v>5.8760000000000003</v>
      </c>
      <c r="BZ871" s="14">
        <f t="shared" si="320"/>
        <v>16.158999999999992</v>
      </c>
      <c r="CA871" s="17">
        <f t="shared" si="321"/>
        <v>0.53863333333333308</v>
      </c>
      <c r="CB871" s="23">
        <v>30</v>
      </c>
      <c r="CC871" s="14">
        <f t="shared" si="322"/>
        <v>80.794999999999987</v>
      </c>
      <c r="CD871" s="14">
        <f t="shared" si="323"/>
        <v>58.76</v>
      </c>
      <c r="CE871" s="14">
        <f t="shared" si="324"/>
        <v>5.8760000000000003</v>
      </c>
      <c r="CF871" s="14">
        <f t="shared" si="325"/>
        <v>9.6953999999999958</v>
      </c>
      <c r="CG871" s="17">
        <f t="shared" si="326"/>
        <v>0.53863333333333308</v>
      </c>
      <c r="CH871" s="23">
        <v>18</v>
      </c>
      <c r="CI871" s="14">
        <f t="shared" si="327"/>
        <v>74.331399999999988</v>
      </c>
      <c r="CJ871" s="14">
        <f t="shared" si="328"/>
        <v>58.76</v>
      </c>
      <c r="CK871" s="14">
        <f t="shared" si="329"/>
        <v>5.8760000000000003</v>
      </c>
      <c r="CL871" s="14">
        <f t="shared" si="330"/>
        <v>3.2317999999999985</v>
      </c>
      <c r="CM871" s="17">
        <f t="shared" si="331"/>
        <v>0.53863333333333308</v>
      </c>
      <c r="CN871" s="23">
        <v>6</v>
      </c>
      <c r="CO871" s="14">
        <f t="shared" si="332"/>
        <v>67.867799999999988</v>
      </c>
      <c r="CP871" s="14">
        <f t="shared" si="333"/>
        <v>176.28</v>
      </c>
      <c r="CQ871" s="14">
        <f t="shared" si="333"/>
        <v>17.628</v>
      </c>
      <c r="CR871" s="14">
        <f t="shared" ca="1" si="333"/>
        <v>29.086199999999987</v>
      </c>
      <c r="CS871" s="14">
        <f t="shared" ca="1" si="334"/>
        <v>222.99420000000001</v>
      </c>
      <c r="CT871" s="47">
        <f t="shared" ca="1" si="335"/>
        <v>1.9734000000000002E-2</v>
      </c>
      <c r="CU871" s="14">
        <f t="shared" si="336"/>
        <v>78</v>
      </c>
      <c r="CV871" s="32">
        <f t="shared" si="337"/>
        <v>2</v>
      </c>
      <c r="CW871" s="14">
        <f t="shared" si="338"/>
        <v>2.12</v>
      </c>
      <c r="CX871" s="4"/>
      <c r="CY871" s="14">
        <f t="shared" ca="1" si="339"/>
        <v>303.11419999999998</v>
      </c>
      <c r="CZ871" s="4"/>
      <c r="DE871" s="14">
        <f t="shared" si="340"/>
        <v>0</v>
      </c>
      <c r="DF871" s="24" t="s">
        <v>2770</v>
      </c>
      <c r="DG871" s="4">
        <v>11300</v>
      </c>
      <c r="DH871" s="4">
        <v>0</v>
      </c>
      <c r="DI871" s="25">
        <f t="shared" si="341"/>
        <v>11300</v>
      </c>
      <c r="DJ871" s="35">
        <v>0.56999999999999995</v>
      </c>
      <c r="IC871" s="4"/>
    </row>
    <row r="872" spans="1:263" ht="15" customHeight="1">
      <c r="A872" s="19">
        <v>102022007</v>
      </c>
      <c r="B872" t="s">
        <v>2778</v>
      </c>
      <c r="D872" s="1">
        <v>2024</v>
      </c>
      <c r="E872" s="3"/>
      <c r="F872" s="3"/>
      <c r="J872" t="s">
        <v>253</v>
      </c>
      <c r="K872" t="s">
        <v>399</v>
      </c>
      <c r="L872" t="s">
        <v>2052</v>
      </c>
      <c r="M872" t="s">
        <v>309</v>
      </c>
      <c r="AD872" t="s">
        <v>3455</v>
      </c>
      <c r="AE872" t="s">
        <v>253</v>
      </c>
      <c r="AF872" t="s">
        <v>3456</v>
      </c>
      <c r="AG872" s="43" t="s">
        <v>3457</v>
      </c>
      <c r="AH872" t="s">
        <v>3458</v>
      </c>
      <c r="AI872" t="s">
        <v>329</v>
      </c>
      <c r="AJ872" s="18" t="s">
        <v>328</v>
      </c>
      <c r="AL872" s="18" t="s">
        <v>259</v>
      </c>
      <c r="AM872"/>
      <c r="AN872"/>
      <c r="AO872" s="3" t="s">
        <v>604</v>
      </c>
      <c r="AP872" s="3" t="s">
        <v>258</v>
      </c>
      <c r="AQ872" t="s">
        <v>259</v>
      </c>
      <c r="AR872" t="s">
        <v>260</v>
      </c>
      <c r="AS872" s="1"/>
      <c r="AT872" s="1"/>
      <c r="AU872" s="1"/>
      <c r="AV872" s="1"/>
      <c r="AW872" s="1"/>
      <c r="AX872" s="2"/>
      <c r="AY872" s="116"/>
      <c r="AZ872" s="115"/>
      <c r="BA872" s="2"/>
      <c r="BB872" s="2"/>
      <c r="BC872" s="2"/>
      <c r="BD872" s="2"/>
      <c r="BE872" s="2"/>
      <c r="BF872" s="2"/>
      <c r="BG872" s="20">
        <f t="shared" ca="1" si="304"/>
        <v>381.11419999999998</v>
      </c>
      <c r="BH872" s="22">
        <f t="shared" ca="1" si="305"/>
        <v>-33.505993028955324</v>
      </c>
      <c r="BI872" s="22">
        <f t="shared" ca="1" si="306"/>
        <v>33.505993028955324</v>
      </c>
      <c r="BJ872" s="14">
        <f t="shared" si="307"/>
        <v>4.8966666666666665</v>
      </c>
      <c r="BK872" s="22">
        <f t="shared" ca="1" si="308"/>
        <v>38.402659695621992</v>
      </c>
      <c r="BL872" s="14"/>
      <c r="BM872" s="14">
        <f t="shared" si="309"/>
        <v>0</v>
      </c>
      <c r="BN872" s="14">
        <f t="shared" ca="1" si="310"/>
        <v>0</v>
      </c>
      <c r="BO872" s="17">
        <f t="shared" si="311"/>
        <v>0</v>
      </c>
      <c r="BP872" s="23">
        <f t="shared" ca="1" si="312"/>
        <v>53</v>
      </c>
      <c r="BQ872" s="14">
        <f t="shared" ca="1" si="313"/>
        <v>0</v>
      </c>
      <c r="BR872" s="14"/>
      <c r="BS872" s="14">
        <f t="shared" si="314"/>
        <v>0</v>
      </c>
      <c r="BT872" s="14">
        <f t="shared" ca="1" si="315"/>
        <v>0</v>
      </c>
      <c r="BU872" s="17">
        <f t="shared" si="316"/>
        <v>0</v>
      </c>
      <c r="BV872" s="23">
        <f t="shared" ca="1" si="317"/>
        <v>41</v>
      </c>
      <c r="BW872" s="14">
        <f t="shared" ca="1" si="318"/>
        <v>0</v>
      </c>
      <c r="BX872" s="14">
        <f>SUM(DI872*0.0052)</f>
        <v>58.76</v>
      </c>
      <c r="BY872" s="14">
        <f t="shared" si="319"/>
        <v>5.8760000000000003</v>
      </c>
      <c r="BZ872" s="14">
        <f t="shared" si="320"/>
        <v>16.158999999999992</v>
      </c>
      <c r="CA872" s="17">
        <f t="shared" si="321"/>
        <v>0.53863333333333308</v>
      </c>
      <c r="CB872" s="23">
        <v>30</v>
      </c>
      <c r="CC872" s="14">
        <f t="shared" si="322"/>
        <v>80.794999999999987</v>
      </c>
      <c r="CD872" s="14">
        <f t="shared" si="323"/>
        <v>58.76</v>
      </c>
      <c r="CE872" s="14">
        <f t="shared" si="324"/>
        <v>5.8760000000000003</v>
      </c>
      <c r="CF872" s="14">
        <f t="shared" si="325"/>
        <v>9.6953999999999958</v>
      </c>
      <c r="CG872" s="17">
        <f t="shared" si="326"/>
        <v>0.53863333333333308</v>
      </c>
      <c r="CH872" s="23">
        <v>18</v>
      </c>
      <c r="CI872" s="14">
        <f t="shared" si="327"/>
        <v>74.331399999999988</v>
      </c>
      <c r="CJ872" s="14">
        <f t="shared" si="328"/>
        <v>58.76</v>
      </c>
      <c r="CK872" s="14">
        <f t="shared" si="329"/>
        <v>5.8760000000000003</v>
      </c>
      <c r="CL872" s="14">
        <f t="shared" si="330"/>
        <v>3.2317999999999985</v>
      </c>
      <c r="CM872" s="17">
        <f t="shared" si="331"/>
        <v>0.53863333333333308</v>
      </c>
      <c r="CN872" s="23">
        <v>6</v>
      </c>
      <c r="CO872" s="14">
        <f t="shared" si="332"/>
        <v>67.867799999999988</v>
      </c>
      <c r="CP872" s="14">
        <f t="shared" si="333"/>
        <v>176.28</v>
      </c>
      <c r="CQ872" s="14">
        <f t="shared" si="333"/>
        <v>17.628</v>
      </c>
      <c r="CR872" s="14">
        <f t="shared" ca="1" si="333"/>
        <v>29.086199999999987</v>
      </c>
      <c r="CS872" s="14">
        <f t="shared" ca="1" si="334"/>
        <v>222.99420000000001</v>
      </c>
      <c r="CT872" s="47">
        <f t="shared" ca="1" si="335"/>
        <v>1.9734000000000002E-2</v>
      </c>
      <c r="CU872" s="14">
        <f t="shared" si="336"/>
        <v>78</v>
      </c>
      <c r="CV872" s="32">
        <f t="shared" si="337"/>
        <v>2</v>
      </c>
      <c r="CW872" s="14">
        <f t="shared" si="338"/>
        <v>2.12</v>
      </c>
      <c r="CX872" s="4"/>
      <c r="CY872" s="14">
        <f t="shared" ca="1" si="339"/>
        <v>303.11419999999998</v>
      </c>
      <c r="CZ872" s="4"/>
      <c r="DE872" s="14">
        <f t="shared" si="340"/>
        <v>0</v>
      </c>
      <c r="DF872" s="24" t="s">
        <v>2770</v>
      </c>
      <c r="DG872" s="4">
        <v>11300</v>
      </c>
      <c r="DH872" s="4">
        <v>0</v>
      </c>
      <c r="DI872" s="25">
        <f t="shared" si="341"/>
        <v>11300</v>
      </c>
      <c r="DJ872" s="35">
        <v>0.56999999999999995</v>
      </c>
      <c r="IC872" s="4"/>
    </row>
    <row r="873" spans="1:263" ht="15" customHeight="1">
      <c r="A873" s="19">
        <v>102023089</v>
      </c>
      <c r="B873" s="18" t="s">
        <v>4301</v>
      </c>
      <c r="D873" s="1"/>
      <c r="E873" t="s">
        <v>4933</v>
      </c>
      <c r="F873">
        <v>230003199</v>
      </c>
      <c r="G873" s="3"/>
      <c r="J873" s="18" t="s">
        <v>311</v>
      </c>
      <c r="K873" s="18" t="s">
        <v>956</v>
      </c>
      <c r="L873" s="18" t="s">
        <v>1006</v>
      </c>
      <c r="M873" s="18" t="s">
        <v>357</v>
      </c>
      <c r="N873" s="18"/>
      <c r="O873" s="19"/>
      <c r="P873" s="18"/>
      <c r="Q873" s="18"/>
      <c r="R873" s="18"/>
      <c r="S873" s="18"/>
      <c r="AD873" t="s">
        <v>4988</v>
      </c>
      <c r="AE873" t="s">
        <v>253</v>
      </c>
      <c r="AF873" t="s">
        <v>956</v>
      </c>
      <c r="AG873" s="43" t="s">
        <v>4989</v>
      </c>
      <c r="AH873" t="s">
        <v>4990</v>
      </c>
      <c r="AJ873" s="18"/>
      <c r="AM873"/>
      <c r="AN873"/>
      <c r="AO873" s="18" t="s">
        <v>4326</v>
      </c>
      <c r="AP873" s="3" t="s">
        <v>258</v>
      </c>
      <c r="AQ873" s="18" t="s">
        <v>259</v>
      </c>
      <c r="AR873" s="18" t="s">
        <v>260</v>
      </c>
      <c r="AS873" s="18" t="s">
        <v>372</v>
      </c>
      <c r="AT873" s="18" t="s">
        <v>373</v>
      </c>
      <c r="AU873" s="18" t="s">
        <v>374</v>
      </c>
      <c r="AV873" s="18" t="s">
        <v>259</v>
      </c>
      <c r="AW873" s="18" t="s">
        <v>260</v>
      </c>
      <c r="AX873" s="1"/>
      <c r="AY873" s="1"/>
      <c r="AZ873" s="1" t="s">
        <v>258</v>
      </c>
      <c r="BA873" s="1" t="s">
        <v>258</v>
      </c>
      <c r="BB873" s="1" t="s">
        <v>258</v>
      </c>
      <c r="BC873" s="70">
        <v>45097</v>
      </c>
      <c r="BD873" s="115">
        <v>45060</v>
      </c>
      <c r="BE873" s="115">
        <v>45050</v>
      </c>
      <c r="BF873" s="70">
        <v>45156</v>
      </c>
      <c r="BG873" t="s">
        <v>4902</v>
      </c>
      <c r="BH873" s="9">
        <v>45149</v>
      </c>
      <c r="BI873" s="9">
        <v>45149</v>
      </c>
      <c r="BJ873" s="70">
        <v>45177</v>
      </c>
      <c r="BK873" s="2" t="s">
        <v>319</v>
      </c>
      <c r="BL873" s="20">
        <f ca="1">SUM(EB873)+220</f>
        <v>4118.4729583333328</v>
      </c>
      <c r="BM873" s="22">
        <f ca="1">PMT(10%/12,12,BL873,0,0)</f>
        <v>-362.07920416467732</v>
      </c>
      <c r="BN873" s="22">
        <f ca="1">SUM(BM873*-1)</f>
        <v>362.07920416467732</v>
      </c>
      <c r="BO873" s="14">
        <f>SUM(EJ873*0.0052)/12</f>
        <v>18.286666666666665</v>
      </c>
      <c r="BP873" s="22">
        <f ca="1">SUM(BN873+BO873)</f>
        <v>380.36587083134401</v>
      </c>
      <c r="BQ873" s="14"/>
      <c r="BR873" s="14">
        <f>SUM(BQ873*0.1)</f>
        <v>0</v>
      </c>
      <c r="BS873" s="14">
        <f ca="1">SUM(BT873*BU873)</f>
        <v>0</v>
      </c>
      <c r="BT873" s="17">
        <f>SUM((BQ873+BR873)*0.00833333333333333)</f>
        <v>0</v>
      </c>
      <c r="BU873" s="23">
        <f ca="1">MONTH(TODAY())+49</f>
        <v>53</v>
      </c>
      <c r="BV873" s="14">
        <f ca="1">SUM(BQ873,BR873,BS873)</f>
        <v>0</v>
      </c>
      <c r="BW873" s="14"/>
      <c r="BX873" s="14">
        <f>SUM(BW873*0.1)</f>
        <v>0</v>
      </c>
      <c r="BY873" s="14">
        <f>SUM(BZ873*CA873)</f>
        <v>0</v>
      </c>
      <c r="BZ873" s="17">
        <f>SUM((BW873+BX873)*0.00833333333333333)</f>
        <v>0</v>
      </c>
      <c r="CA873" s="23">
        <v>49</v>
      </c>
      <c r="CB873" s="14">
        <f>SUM(BW873,BX873,BY873)</f>
        <v>0</v>
      </c>
      <c r="CC873" s="14">
        <v>0</v>
      </c>
      <c r="CD873" s="14">
        <f>SUM(CC873*0.1)</f>
        <v>0</v>
      </c>
      <c r="CE873" s="14">
        <f>SUM(CF873*CG873)</f>
        <v>0</v>
      </c>
      <c r="CF873" s="17">
        <f>SUM((CC873+CD873)*0.00833333333333333)</f>
        <v>0</v>
      </c>
      <c r="CG873" s="23">
        <v>37</v>
      </c>
      <c r="CH873" s="14">
        <f>SUM(CC873,CD873,CE873)</f>
        <v>0</v>
      </c>
      <c r="CI873" s="14">
        <f>SUM(EG873*0.0052)</f>
        <v>210.07999999999998</v>
      </c>
      <c r="CJ873" s="14">
        <f>SUM(CI873*0.1)</f>
        <v>21.007999999999999</v>
      </c>
      <c r="CK873" s="14">
        <f>SUM(CL873*CM873)</f>
        <v>48.14333333333331</v>
      </c>
      <c r="CL873" s="17">
        <f>SUM((CI873+CJ873)*0.00833333333333333)</f>
        <v>1.9257333333333324</v>
      </c>
      <c r="CM873" s="23">
        <v>25</v>
      </c>
      <c r="CN873" s="14">
        <f>SUM(CI873,CJ873,CK873)</f>
        <v>279.23133333333328</v>
      </c>
      <c r="CO873" s="14">
        <f>SUM(EG873*0.0052)/2</f>
        <v>105.03999999999999</v>
      </c>
      <c r="CP873" s="14">
        <f>SUM(CO873*0.1)</f>
        <v>10.504</v>
      </c>
      <c r="CQ873" s="14">
        <f>SUM(CR873*CS873)</f>
        <v>16.368733333333324</v>
      </c>
      <c r="CR873" s="17">
        <f>SUM((CO873+CP873)*0.00833333333333333)</f>
        <v>0.9628666666666662</v>
      </c>
      <c r="CS873" s="23">
        <v>17</v>
      </c>
      <c r="CT873" s="23">
        <f>SUM(CO873,CP873,CQ873)</f>
        <v>131.91273333333334</v>
      </c>
      <c r="CU873" s="14">
        <f>SUM(EG873*0.0052)/2</f>
        <v>105.03999999999999</v>
      </c>
      <c r="CV873" s="14">
        <f>SUM(CU873*0.1)</f>
        <v>10.504</v>
      </c>
      <c r="CW873" s="14">
        <f>SUM(CX873*CY873)</f>
        <v>12.517266666666661</v>
      </c>
      <c r="CX873" s="17">
        <f>SUM((CU873+CV873)*0.00833333333333333)</f>
        <v>0.9628666666666662</v>
      </c>
      <c r="CY873" s="23">
        <v>13</v>
      </c>
      <c r="CZ873" s="23">
        <f>SUM(CU873,CV873,CW873)</f>
        <v>128.06126666666665</v>
      </c>
      <c r="DA873" s="14">
        <f>SUM(EJ873*0.0045)/2</f>
        <v>94.949999999999989</v>
      </c>
      <c r="DB873" s="14">
        <f>SUM(DA873*0.1)</f>
        <v>9.4949999999999992</v>
      </c>
      <c r="DC873" s="14">
        <f>SUM(DD873*DE873)</f>
        <v>6.0926249999999973</v>
      </c>
      <c r="DD873" s="17">
        <f>SUM((DA873+DB873)*0.00833333333333333)</f>
        <v>0.87037499999999957</v>
      </c>
      <c r="DE873" s="23">
        <v>7</v>
      </c>
      <c r="DF873" s="23">
        <f>SUM(DA873,DB873,DC873)</f>
        <v>110.53762499999999</v>
      </c>
      <c r="DG873" s="14">
        <f>SUM(EJ873*0.0045)/2</f>
        <v>94.949999999999989</v>
      </c>
      <c r="DH873" s="14">
        <v>0</v>
      </c>
      <c r="DI873" s="14">
        <v>0</v>
      </c>
      <c r="DJ873" s="17">
        <f>SUM((DG873+DH873)*0.00833333333333333)</f>
        <v>0.79124999999999956</v>
      </c>
      <c r="DK873" s="23">
        <f ca="1">MONTH(TODAY())+1</f>
        <v>5</v>
      </c>
      <c r="DL873" s="14">
        <f>SUM(DG873,DH873,DI873)</f>
        <v>94.949999999999989</v>
      </c>
      <c r="DM873" s="14">
        <f>SUM( BQ873, BW873, CC873, CI873, CO873,CU873,DA873,DG873)</f>
        <v>610.05999999999995</v>
      </c>
      <c r="DN873" s="14">
        <f>SUM(BR873,BX873,CD873,CJ873, CP873,CV873,DB873,DH873)</f>
        <v>51.510999999999996</v>
      </c>
      <c r="DO873" s="14">
        <f ca="1">SUM(BS873,BY873,CE873,CK873, CQ873,CW873,DC873,DI873)</f>
        <v>83.121958333333296</v>
      </c>
      <c r="DP873" s="25">
        <f ca="1">SUM(DM873:DO873)</f>
        <v>744.69295833333319</v>
      </c>
      <c r="DQ873" s="47">
        <f ca="1">SUM(DP873/EG873)</f>
        <v>1.8432994018151811E-2</v>
      </c>
      <c r="DR873" s="14">
        <f>970</f>
        <v>970</v>
      </c>
      <c r="DS873" s="32">
        <f>COUNTIF(DX873, "*")+COUNTIF(AO873, "*")+COUNTIF(AJ873, "*")+COUNTIF(AA873, "*")+COUNTIF(EY873, "*")+COUNTIF(FE873, "*")+COUNTIF(FK873, "*")+COUNTIF(FO873, "*")+COUNTIF(FV873, "*")+COUNTIF(AT873, "*")+COUNTIF(GE873, "*")+COUNTIF(GP873, "*")+COUNTIF(HA873, "*")+COUNTIF(HI873, "*")+COUNTIF(HQ873, "*")+COUNTIF(HY873, "*")</f>
        <v>2</v>
      </c>
      <c r="DT873" s="14">
        <f>1.2+14.9+55.17</f>
        <v>71.27000000000001</v>
      </c>
      <c r="DU873" s="4">
        <v>300</v>
      </c>
      <c r="DV873" s="4">
        <f>36.76+414.6+246.49</f>
        <v>697.85</v>
      </c>
      <c r="DW873" s="4">
        <f>93.75+265</f>
        <v>358.75</v>
      </c>
      <c r="DX873" s="4">
        <v>122</v>
      </c>
      <c r="DY873" s="14">
        <v>100</v>
      </c>
      <c r="DZ873" s="4">
        <v>410</v>
      </c>
      <c r="EA873" s="14">
        <f>SUM(DV873:DZ873)</f>
        <v>1688.6</v>
      </c>
      <c r="EB873" s="14">
        <f ca="1">SUM(DP873,DR873,EA873, DU873, DT873,GB873)</f>
        <v>3898.4729583333328</v>
      </c>
      <c r="EC873" s="18" t="s">
        <v>4944</v>
      </c>
      <c r="ED873" s="130">
        <v>0.64</v>
      </c>
      <c r="EE873" s="14">
        <v>13800</v>
      </c>
      <c r="EF873" s="14">
        <v>26600</v>
      </c>
      <c r="EG873" s="14">
        <v>40400</v>
      </c>
      <c r="EH873" s="14">
        <v>18400</v>
      </c>
      <c r="EI873" s="14">
        <v>23800</v>
      </c>
      <c r="EJ873" s="14">
        <f>SUM(EH873+EI873)</f>
        <v>42200</v>
      </c>
      <c r="EK873" t="s">
        <v>4721</v>
      </c>
      <c r="EL873" t="s">
        <v>4722</v>
      </c>
      <c r="GB873" s="4">
        <v>123.91</v>
      </c>
      <c r="IE873" s="9">
        <v>45227</v>
      </c>
      <c r="IP873" s="14">
        <f ca="1">SUM(IF873-EB873-GB873-IN873)</f>
        <v>-4022.3829583333327</v>
      </c>
      <c r="IQ873" s="9">
        <v>45187</v>
      </c>
      <c r="IR873" s="9"/>
      <c r="IS873" s="9"/>
      <c r="IT873" s="9"/>
      <c r="IU873" s="9"/>
    </row>
    <row r="874" spans="1:263" ht="15" customHeight="1">
      <c r="A874" s="19">
        <v>102017039</v>
      </c>
      <c r="B874" s="18" t="s">
        <v>884</v>
      </c>
      <c r="C874" s="18"/>
      <c r="D874" s="18"/>
      <c r="E874" s="18" t="s">
        <v>885</v>
      </c>
      <c r="F874" s="19">
        <v>180002377</v>
      </c>
      <c r="G874" s="19"/>
      <c r="H874" s="19"/>
      <c r="I874" s="18"/>
      <c r="J874" s="18" t="s">
        <v>253</v>
      </c>
      <c r="K874" s="18" t="s">
        <v>886</v>
      </c>
      <c r="L874" s="18" t="s">
        <v>887</v>
      </c>
      <c r="M874" s="18" t="s">
        <v>256</v>
      </c>
      <c r="N874" s="18"/>
      <c r="O874" s="13"/>
      <c r="P874" s="18"/>
      <c r="Q874" s="18"/>
      <c r="R874" s="18"/>
      <c r="S874" s="18"/>
      <c r="T874" s="13"/>
      <c r="U874" s="18"/>
      <c r="V874" s="18"/>
      <c r="AE874" s="1"/>
      <c r="AJ874" s="4"/>
      <c r="AK874" s="4"/>
      <c r="AL874" s="4"/>
      <c r="AP874" s="13"/>
      <c r="AR874" s="34"/>
      <c r="AS874" s="5"/>
      <c r="AT874" s="13"/>
      <c r="AU874" s="1"/>
      <c r="AV874" s="1"/>
      <c r="AW874" s="1"/>
      <c r="AX874" s="1"/>
      <c r="AY874" s="1"/>
      <c r="AZ874" s="1"/>
      <c r="BA874" s="1"/>
      <c r="BB874" s="1"/>
      <c r="BC874" s="1"/>
      <c r="BD874" s="1"/>
      <c r="BE874" s="1"/>
      <c r="BF874" s="1"/>
      <c r="BG874" s="5"/>
      <c r="BH874" s="16"/>
      <c r="BI874" s="16"/>
      <c r="BK874" s="4"/>
      <c r="BL874" s="4"/>
      <c r="BM874" s="6"/>
      <c r="BN874" s="7"/>
      <c r="BO874" s="4"/>
      <c r="BQ874" s="4"/>
      <c r="BR874" s="4"/>
      <c r="BS874" s="6"/>
      <c r="BT874" s="7"/>
      <c r="BU874" s="4"/>
      <c r="BV874" s="4"/>
      <c r="BW874" s="4"/>
      <c r="BX874" s="4"/>
      <c r="BY874" s="6"/>
      <c r="BZ874" s="7"/>
      <c r="CA874" s="4"/>
      <c r="CC874" s="4"/>
      <c r="CD874" s="4"/>
      <c r="CE874" s="6"/>
      <c r="CF874" s="7"/>
      <c r="CG874" s="4"/>
      <c r="CH874" s="4"/>
      <c r="CI874" s="4"/>
      <c r="CJ874" s="4"/>
      <c r="CK874" s="6"/>
      <c r="CL874" s="7"/>
      <c r="CM874" s="4"/>
      <c r="CN874" s="4"/>
      <c r="CO874" s="4"/>
      <c r="CP874" s="4"/>
      <c r="CQ874" s="6"/>
      <c r="CR874" s="7"/>
      <c r="CS874" s="4"/>
      <c r="CT874" s="4"/>
      <c r="CU874" s="4"/>
      <c r="CV874" s="4"/>
      <c r="CW874" s="6"/>
      <c r="CX874" s="7"/>
      <c r="CY874" s="4"/>
      <c r="CZ874" s="4"/>
      <c r="DA874" s="4"/>
      <c r="DB874" s="4"/>
      <c r="DC874" s="6"/>
      <c r="DD874" s="7"/>
      <c r="DE874" s="4"/>
      <c r="DF874" s="4"/>
      <c r="DG874" s="4"/>
      <c r="DH874" s="4"/>
      <c r="DI874" s="6"/>
      <c r="DJ874" s="7"/>
      <c r="DK874" s="4"/>
      <c r="DL874" s="4"/>
      <c r="DM874" s="4"/>
      <c r="DN874" s="4"/>
      <c r="DO874" s="4"/>
      <c r="DP874" s="3"/>
      <c r="DQ874" s="4"/>
      <c r="DR874" s="4"/>
      <c r="DS874" s="4"/>
      <c r="DT874" s="4"/>
      <c r="DU874" s="4"/>
      <c r="DV874" s="4"/>
      <c r="DW874" s="4"/>
      <c r="DX874" s="4"/>
      <c r="DY874" s="4"/>
      <c r="DZ874" s="4"/>
      <c r="EA874" s="4"/>
      <c r="EB874" s="4"/>
      <c r="EC874" s="4"/>
      <c r="ED874" s="4"/>
      <c r="EE874" s="4"/>
      <c r="EF874" s="4"/>
      <c r="EG874" s="4"/>
      <c r="EH874" s="4"/>
      <c r="EI874" s="4"/>
      <c r="FQ874" s="9"/>
      <c r="FR874" s="10"/>
      <c r="FY874" s="10"/>
      <c r="GK874" s="9"/>
    </row>
    <row r="875" spans="1:263" ht="15" customHeight="1">
      <c r="A875" s="2">
        <v>102017039</v>
      </c>
      <c r="B875" t="s">
        <v>884</v>
      </c>
      <c r="E875" t="s">
        <v>885</v>
      </c>
      <c r="F875">
        <v>180002377</v>
      </c>
      <c r="J875" t="s">
        <v>253</v>
      </c>
      <c r="K875" t="s">
        <v>886</v>
      </c>
      <c r="L875" t="s">
        <v>887</v>
      </c>
      <c r="M875" t="s">
        <v>256</v>
      </c>
      <c r="AE875" s="1"/>
      <c r="AL875" s="4"/>
      <c r="AP875" s="13"/>
      <c r="AQ875" s="34"/>
      <c r="AR875" s="34"/>
      <c r="AS875" s="1"/>
      <c r="AT875" s="13"/>
      <c r="AU875" s="1"/>
      <c r="AV875" s="1"/>
      <c r="AW875" s="1"/>
      <c r="AX875" s="1"/>
      <c r="AY875" s="1"/>
      <c r="AZ875" s="15"/>
      <c r="BA875" s="1"/>
      <c r="BB875" s="1"/>
      <c r="BC875" s="1"/>
      <c r="BD875" s="1"/>
      <c r="BE875" s="1"/>
      <c r="BF875" s="1"/>
      <c r="BG875" s="5"/>
      <c r="BH875" s="16"/>
      <c r="BI875" s="16"/>
      <c r="BJ875" s="4"/>
      <c r="BK875" s="4"/>
      <c r="BL875" s="4"/>
      <c r="BM875" s="6"/>
      <c r="BN875" s="7"/>
      <c r="BO875" s="4"/>
      <c r="BQ875" s="4"/>
      <c r="BR875" s="4"/>
      <c r="BS875" s="6"/>
      <c r="BT875" s="7"/>
      <c r="BU875" s="4"/>
      <c r="BV875" s="4"/>
      <c r="BW875" s="4"/>
      <c r="BX875" s="4"/>
      <c r="BY875" s="6"/>
      <c r="BZ875" s="7"/>
      <c r="CA875" s="4"/>
      <c r="CB875" s="4"/>
      <c r="CC875" s="4"/>
      <c r="CD875" s="4"/>
      <c r="CE875" s="17"/>
      <c r="CF875" s="7"/>
      <c r="CG875" s="4"/>
      <c r="CH875" s="4"/>
      <c r="CI875" s="4"/>
      <c r="CJ875" s="4"/>
      <c r="CK875" s="6"/>
      <c r="CL875" s="7"/>
      <c r="CM875" s="4"/>
      <c r="CN875" s="4"/>
      <c r="CO875" s="4"/>
      <c r="CP875" s="4"/>
      <c r="CQ875" s="6"/>
      <c r="CR875" s="7"/>
      <c r="CS875" s="4"/>
      <c r="CT875" s="4"/>
      <c r="CU875" s="4"/>
      <c r="CV875" s="4"/>
      <c r="CW875" s="6"/>
      <c r="CX875" s="7"/>
      <c r="CY875" s="4"/>
      <c r="CZ875" s="4"/>
      <c r="DA875" s="4"/>
      <c r="DB875" s="4"/>
      <c r="DC875" s="6"/>
      <c r="DD875" s="7"/>
      <c r="DE875" s="4"/>
      <c r="DF875" s="4"/>
      <c r="DG875" s="4"/>
      <c r="DH875" s="14"/>
      <c r="DI875" s="14"/>
      <c r="DJ875" s="4"/>
      <c r="DK875" s="3"/>
      <c r="DL875" s="4"/>
      <c r="DM875" s="234"/>
      <c r="DN875" s="4"/>
      <c r="DO875" s="4"/>
      <c r="DP875" s="4"/>
      <c r="DQ875" s="4"/>
      <c r="DR875" s="4"/>
      <c r="DS875" s="4"/>
      <c r="DT875" s="4"/>
      <c r="DU875" s="8"/>
      <c r="DV875" s="4"/>
      <c r="DW875" s="8"/>
      <c r="DX875" s="4"/>
      <c r="DY875" s="4"/>
      <c r="DZ875" s="7"/>
      <c r="FI875" s="9"/>
      <c r="FJ875" s="10"/>
      <c r="FQ875" s="10"/>
      <c r="FR875" s="9"/>
      <c r="FX875" s="4"/>
      <c r="GE875" s="9"/>
      <c r="IJ875" s="4"/>
      <c r="IK875" s="4"/>
    </row>
    <row r="876" spans="1:263" ht="15" customHeight="1">
      <c r="A876" s="2">
        <v>102017039</v>
      </c>
      <c r="B876" t="s">
        <v>884</v>
      </c>
      <c r="E876" t="s">
        <v>885</v>
      </c>
      <c r="K876" t="s">
        <v>886</v>
      </c>
      <c r="L876" t="s">
        <v>887</v>
      </c>
      <c r="M876" t="s">
        <v>256</v>
      </c>
      <c r="O876" s="18"/>
      <c r="P876" s="18"/>
      <c r="Q876" s="18"/>
      <c r="R876" s="18"/>
      <c r="S876" s="18"/>
      <c r="T876" s="18"/>
      <c r="U876" s="18"/>
      <c r="V876" s="18"/>
      <c r="W876" s="18"/>
      <c r="X876" s="18"/>
      <c r="Y876" s="18"/>
      <c r="Z876" s="18"/>
      <c r="AA876" s="18"/>
      <c r="AB876" s="18"/>
      <c r="AC876" s="18"/>
      <c r="AD876" s="18"/>
      <c r="AE876" s="18"/>
      <c r="AF876" s="18"/>
      <c r="AG876" s="24"/>
      <c r="AH876" s="18"/>
      <c r="AI876" s="18"/>
      <c r="AJ876" s="18"/>
      <c r="AK876" s="37"/>
      <c r="AL876" s="18"/>
      <c r="AM876" s="24"/>
      <c r="AN876" s="24"/>
      <c r="AO876" s="18"/>
      <c r="AP876" s="13"/>
      <c r="AQ876" s="24"/>
      <c r="AR876" s="24"/>
      <c r="AS876" s="24"/>
      <c r="AT876" s="24"/>
      <c r="AU876" s="24"/>
      <c r="AV876" s="18"/>
      <c r="AW876" s="13"/>
      <c r="AX876" s="13"/>
      <c r="AY876" s="13"/>
      <c r="AZ876" s="13"/>
      <c r="BA876" s="13"/>
      <c r="BB876" s="19"/>
      <c r="BC876" s="19"/>
      <c r="BD876" s="48"/>
      <c r="BE876" s="19"/>
      <c r="BF876" s="19"/>
      <c r="BG876" s="19"/>
      <c r="BH876" s="19"/>
      <c r="BI876" s="19"/>
      <c r="BJ876" s="19"/>
      <c r="BK876" s="18"/>
      <c r="BL876" s="18"/>
      <c r="BM876" s="18"/>
      <c r="BN876" s="14"/>
      <c r="BO876" s="18"/>
      <c r="BP876" s="18"/>
      <c r="BQ876" s="18"/>
      <c r="BR876" s="18"/>
      <c r="BS876" s="18"/>
      <c r="BT876" s="23"/>
      <c r="BU876" s="18"/>
      <c r="BV876" s="18"/>
      <c r="BW876" s="18"/>
      <c r="BX876" s="18"/>
      <c r="BY876" s="18"/>
      <c r="BZ876" s="18"/>
      <c r="CA876" s="18"/>
      <c r="CB876" s="18"/>
      <c r="CC876" s="18"/>
      <c r="CD876" s="18"/>
      <c r="CE876" s="18"/>
      <c r="CF876" s="23"/>
      <c r="CG876" s="18"/>
      <c r="CH876" s="18"/>
      <c r="CI876" s="18"/>
      <c r="CJ876" s="18"/>
      <c r="CK876" s="18"/>
      <c r="CL876" s="23"/>
      <c r="CM876" s="18"/>
      <c r="CN876" s="18"/>
      <c r="CO876" s="18"/>
      <c r="CP876" s="18"/>
      <c r="CQ876" s="18"/>
      <c r="CR876" s="23"/>
      <c r="CS876" s="18"/>
      <c r="CT876" s="18"/>
      <c r="CU876" s="18"/>
      <c r="CV876" s="18"/>
      <c r="CW876" s="18"/>
      <c r="CX876" s="18"/>
      <c r="CY876" s="18"/>
      <c r="CZ876" s="14"/>
      <c r="DA876" s="14"/>
      <c r="DB876" s="14"/>
      <c r="DC876" s="14"/>
      <c r="DD876" s="18"/>
      <c r="DE876" s="18"/>
      <c r="DF876" s="18"/>
      <c r="DG876" s="14"/>
      <c r="DH876" s="18"/>
      <c r="DI876" s="18"/>
      <c r="DJ876" s="18"/>
      <c r="DK876" s="18"/>
      <c r="DL876" s="18"/>
      <c r="DM876" s="18"/>
      <c r="DN876" s="18"/>
      <c r="DO876" s="14">
        <f>SUM(DJ876:DN876)</f>
        <v>0</v>
      </c>
      <c r="DP876" s="18"/>
      <c r="DQ876" s="14"/>
      <c r="DR876" s="14"/>
      <c r="DS876" s="18"/>
      <c r="DT876" s="36"/>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27">
        <v>43694</v>
      </c>
      <c r="HZ876" s="18"/>
      <c r="IA876" s="18"/>
      <c r="IB876" s="18"/>
      <c r="IC876" s="18"/>
      <c r="ID876" s="18"/>
      <c r="IE876" s="18"/>
      <c r="IF876" s="18"/>
      <c r="IG876" s="18"/>
      <c r="IH876" s="18"/>
      <c r="II876" s="18"/>
      <c r="IJ876" s="14">
        <v>4639.66</v>
      </c>
      <c r="IK876" s="18"/>
      <c r="IL876" s="9"/>
      <c r="IS876" s="4"/>
      <c r="IT876" s="4"/>
    </row>
    <row r="877" spans="1:263" ht="15" customHeight="1">
      <c r="A877" s="19">
        <v>102022083</v>
      </c>
      <c r="B877" t="s">
        <v>884</v>
      </c>
      <c r="D877" s="1"/>
      <c r="J877" t="s">
        <v>311</v>
      </c>
      <c r="K877" t="s">
        <v>1186</v>
      </c>
      <c r="L877" t="s">
        <v>3083</v>
      </c>
      <c r="AG877" s="248"/>
      <c r="AJ877" t="s">
        <v>1399</v>
      </c>
      <c r="AK877" t="s">
        <v>258</v>
      </c>
      <c r="AL877" t="s">
        <v>259</v>
      </c>
      <c r="AM877" s="3" t="s">
        <v>260</v>
      </c>
      <c r="AO877" t="s">
        <v>773</v>
      </c>
      <c r="AP877" s="1" t="s">
        <v>258</v>
      </c>
      <c r="AQ877" s="3" t="s">
        <v>386</v>
      </c>
      <c r="AR877" s="3" t="s">
        <v>260</v>
      </c>
      <c r="AS877" s="1"/>
      <c r="AT877" s="1"/>
      <c r="AU877" s="1"/>
      <c r="AV877" s="1"/>
      <c r="AW877" s="1"/>
      <c r="AX877" s="2"/>
      <c r="AY877" s="116"/>
      <c r="AZ877" s="115"/>
      <c r="BA877" s="2"/>
      <c r="BB877" s="2"/>
      <c r="BC877" s="2"/>
      <c r="BD877" s="2"/>
      <c r="BE877" s="2"/>
      <c r="BF877" s="2"/>
      <c r="BG877" s="20"/>
      <c r="BH877" s="22"/>
      <c r="BI877" s="22"/>
      <c r="BJ877" s="14"/>
      <c r="BK877" s="22"/>
      <c r="BL877" s="14"/>
      <c r="BM877" s="14"/>
      <c r="BN877" s="14"/>
      <c r="BO877" s="17"/>
      <c r="BP877" s="23"/>
      <c r="BQ877" s="14"/>
      <c r="BR877" s="14"/>
      <c r="BS877" s="14"/>
      <c r="BT877" s="14"/>
      <c r="BU877" s="17"/>
      <c r="BV877" s="23"/>
      <c r="BW877" s="14"/>
      <c r="BX877" s="14"/>
      <c r="BY877" s="14"/>
      <c r="BZ877" s="14"/>
      <c r="CA877" s="17"/>
      <c r="CB877" s="23"/>
      <c r="CC877" s="14"/>
      <c r="CD877" s="14"/>
      <c r="CE877" s="14"/>
      <c r="CF877" s="14"/>
      <c r="CG877" s="17"/>
      <c r="CH877" s="23"/>
      <c r="CI877" s="14"/>
      <c r="CJ877" s="14"/>
      <c r="CK877" s="14"/>
      <c r="CL877" s="14"/>
      <c r="CM877" s="17"/>
      <c r="CN877" s="23"/>
      <c r="CO877" s="14"/>
      <c r="CP877" s="14"/>
      <c r="CQ877" s="14"/>
      <c r="CR877" s="14"/>
      <c r="CS877" s="14"/>
      <c r="CT877" s="47"/>
      <c r="CU877" s="14"/>
      <c r="CV877" s="32"/>
      <c r="CW877" s="14"/>
      <c r="CX877" s="4"/>
      <c r="CY877" s="14"/>
      <c r="CZ877" s="4"/>
      <c r="DE877" s="14"/>
      <c r="DF877" s="24"/>
      <c r="DG877" s="4"/>
      <c r="DH877" s="4"/>
      <c r="DI877" s="25"/>
      <c r="DJ877" s="35">
        <v>0.11</v>
      </c>
      <c r="IC877" s="4"/>
      <c r="JB877" s="18"/>
      <c r="JC877" s="18"/>
    </row>
    <row r="878" spans="1:263" ht="15" customHeight="1">
      <c r="A878" s="19">
        <v>102023052</v>
      </c>
      <c r="B878" s="18" t="s">
        <v>4229</v>
      </c>
      <c r="D878" s="1"/>
      <c r="E878" s="3"/>
      <c r="F878" s="3"/>
      <c r="G878" s="3"/>
      <c r="J878" s="18" t="s">
        <v>311</v>
      </c>
      <c r="K878" s="18" t="s">
        <v>4228</v>
      </c>
      <c r="L878" s="18" t="s">
        <v>2024</v>
      </c>
      <c r="M878" s="18" t="s">
        <v>403</v>
      </c>
      <c r="N878" s="18"/>
      <c r="O878" s="24" t="s">
        <v>258</v>
      </c>
      <c r="P878" s="18"/>
      <c r="Q878" s="18"/>
      <c r="R878" s="18"/>
      <c r="S878" s="18"/>
      <c r="AG878" s="43"/>
      <c r="AJ878" s="18"/>
      <c r="AK878" s="18"/>
      <c r="AL878" s="18"/>
      <c r="AM878" s="18"/>
      <c r="AN878" s="18"/>
      <c r="AO878" s="18" t="s">
        <v>4888</v>
      </c>
      <c r="AP878" s="18" t="s">
        <v>258</v>
      </c>
      <c r="AQ878" s="18" t="s">
        <v>259</v>
      </c>
      <c r="AR878" s="18" t="s">
        <v>260</v>
      </c>
      <c r="AS878" s="18" t="s">
        <v>372</v>
      </c>
      <c r="AT878" s="18" t="s">
        <v>373</v>
      </c>
      <c r="AU878" s="18" t="s">
        <v>374</v>
      </c>
      <c r="AV878" s="18" t="s">
        <v>259</v>
      </c>
      <c r="AW878" s="18" t="s">
        <v>260</v>
      </c>
      <c r="AX878" s="1"/>
      <c r="AY878" s="1"/>
      <c r="AZ878" s="1"/>
      <c r="BA878" s="1"/>
      <c r="BB878" s="1"/>
      <c r="BC878" s="2"/>
      <c r="BD878" s="115">
        <v>45060</v>
      </c>
      <c r="BE878" s="115">
        <v>45049</v>
      </c>
      <c r="BF878" s="2"/>
      <c r="BG878" s="2"/>
      <c r="BH878" s="2"/>
      <c r="BI878" s="2"/>
      <c r="BJ878" s="2"/>
      <c r="BK878" s="2"/>
      <c r="BL878" s="20">
        <f ca="1">SUM(EB878)+220</f>
        <v>1399.2402916666665</v>
      </c>
      <c r="BM878" s="22">
        <f ca="1">PMT(10%/12,12,BL878,0,0)</f>
        <v>-123.01545168985238</v>
      </c>
      <c r="BN878" s="22">
        <f ca="1">SUM(BM878*-1)</f>
        <v>123.01545168985238</v>
      </c>
      <c r="BO878" s="14">
        <f>SUM(EJ878*0.0052)/12</f>
        <v>27.646666666666665</v>
      </c>
      <c r="BP878" s="22">
        <f ca="1">SUM(BN878+BO878)</f>
        <v>150.66211835651904</v>
      </c>
      <c r="BQ878" s="14"/>
      <c r="BR878" s="14">
        <f>SUM(BQ878*0.1)</f>
        <v>0</v>
      </c>
      <c r="BS878" s="14">
        <f ca="1">SUM(BT878*BU878)</f>
        <v>0</v>
      </c>
      <c r="BT878" s="17">
        <f>SUM((BQ878+BR878)*0.00833333333333333)</f>
        <v>0</v>
      </c>
      <c r="BU878" s="23">
        <f ca="1">MONTH(TODAY())+49</f>
        <v>53</v>
      </c>
      <c r="BV878" s="14">
        <f ca="1">SUM(BQ878,BR878,BS878)</f>
        <v>0</v>
      </c>
      <c r="BW878" s="14"/>
      <c r="BX878" s="14">
        <f>SUM(BW878*0.1)</f>
        <v>0</v>
      </c>
      <c r="BY878" s="14">
        <f ca="1">SUM(BZ878*CA878)</f>
        <v>0</v>
      </c>
      <c r="BZ878" s="17">
        <f>SUM((BW878+BX878)*0.00833333333333333)</f>
        <v>0</v>
      </c>
      <c r="CA878" s="23">
        <f ca="1">MONTH(TODAY())+37</f>
        <v>41</v>
      </c>
      <c r="CB878" s="14">
        <f ca="1">SUM(BW878,BX878,BY878)</f>
        <v>0</v>
      </c>
      <c r="CC878" s="14">
        <v>0</v>
      </c>
      <c r="CD878" s="14">
        <f>SUM(CC878*0.1)</f>
        <v>0</v>
      </c>
      <c r="CE878" s="14">
        <f ca="1">SUM(CF878*CG878)</f>
        <v>0</v>
      </c>
      <c r="CF878" s="17">
        <f>SUM((CC878+CD878)*0.00833333333333333)</f>
        <v>0</v>
      </c>
      <c r="CG878" s="23">
        <f ca="1">MONTH(TODAY())+25</f>
        <v>29</v>
      </c>
      <c r="CH878" s="14">
        <f ca="1">SUM(CC878,CD878,CE878)</f>
        <v>0</v>
      </c>
      <c r="CI878" s="14">
        <f>SUM(EG878*0.0052)-29.59</f>
        <v>220.52999999999997</v>
      </c>
      <c r="CJ878" s="14">
        <f>SUM(CI878*0.1)</f>
        <v>22.052999999999997</v>
      </c>
      <c r="CK878" s="14">
        <f ca="1">SUM(CL878*CM878)</f>
        <v>34.365924999999976</v>
      </c>
      <c r="CL878" s="17">
        <f>SUM((CI878+CJ878)*0.00833333333333333)</f>
        <v>2.0215249999999987</v>
      </c>
      <c r="CM878" s="23">
        <f ca="1">MONTH(TODAY())+13</f>
        <v>17</v>
      </c>
      <c r="CN878" s="14">
        <f ca="1">SUM(CI878,CJ878,CK878)</f>
        <v>276.94892499999992</v>
      </c>
      <c r="CO878" s="14">
        <f>SUM(EG878*0.0052)/2</f>
        <v>125.05999999999999</v>
      </c>
      <c r="CP878" s="14">
        <f>SUM(CO878*0.1)</f>
        <v>12.506</v>
      </c>
      <c r="CQ878" s="14">
        <f ca="1">SUM(CR878*CS878)</f>
        <v>10.317449999999994</v>
      </c>
      <c r="CR878" s="17">
        <f>SUM((CO878+CP878)*0.00833333333333333)</f>
        <v>1.1463833333333326</v>
      </c>
      <c r="CS878" s="23">
        <f ca="1">MONTH(TODAY())+5</f>
        <v>9</v>
      </c>
      <c r="CT878" s="23">
        <f ca="1">SUM(CO878,CP878,CQ878)</f>
        <v>147.88344999999998</v>
      </c>
      <c r="CU878" s="14">
        <f>SUM(EG878*0.0052)/2</f>
        <v>125.05999999999999</v>
      </c>
      <c r="CV878" s="14">
        <f>SUM(CU878*0.1)</f>
        <v>12.506</v>
      </c>
      <c r="CW878" s="14">
        <f ca="1">SUM(CX878*CY878)</f>
        <v>5.7319166666666632</v>
      </c>
      <c r="CX878" s="17">
        <f>SUM((CU878+CV878)*0.00833333333333333)</f>
        <v>1.1463833333333326</v>
      </c>
      <c r="CY878" s="23">
        <f ca="1">MONTH(TODAY())+1</f>
        <v>5</v>
      </c>
      <c r="CZ878" s="23">
        <f ca="1">SUM(CU878,CV878,CW878)</f>
        <v>143.29791666666665</v>
      </c>
      <c r="DA878" s="14">
        <f>SUM(EJ878*0.0045)/2</f>
        <v>143.54999999999998</v>
      </c>
      <c r="DB878" s="14">
        <v>0</v>
      </c>
      <c r="DC878" s="14">
        <v>0</v>
      </c>
      <c r="DD878" s="17">
        <f>SUM((DA878+DB878)*0.00833333333333333)</f>
        <v>1.1962499999999994</v>
      </c>
      <c r="DE878" s="23">
        <f ca="1">MONTH(TODAY())-5</f>
        <v>-1</v>
      </c>
      <c r="DF878" s="23">
        <f>SUM(DA878,DB878,DC878)</f>
        <v>143.54999999999998</v>
      </c>
      <c r="DG878" s="14">
        <v>0</v>
      </c>
      <c r="DH878" s="14">
        <v>0</v>
      </c>
      <c r="DI878" s="14">
        <v>0</v>
      </c>
      <c r="DJ878" s="17">
        <f>SUM((DG878+DH878)*0.00833333333333333)</f>
        <v>0</v>
      </c>
      <c r="DK878" s="23">
        <f ca="1">MONTH(TODAY())+1</f>
        <v>5</v>
      </c>
      <c r="DL878" s="23">
        <f>SUM(DG878,DH878,DI878)</f>
        <v>0</v>
      </c>
      <c r="DM878" s="14">
        <f>SUM( BQ878, BW878, CC878, CI878, CO878,CU878,DA878,DG878)</f>
        <v>614.19999999999993</v>
      </c>
      <c r="DN878" s="14">
        <f>SUM(BR878,BX878,CD878,CJ878, CP878,CV878,DB878,DH878)</f>
        <v>47.064999999999998</v>
      </c>
      <c r="DO878" s="14">
        <f ca="1">SUM(BS878,BY878,CE878,CK878, CQ878,CW878,DC878,DI878)</f>
        <v>50.415291666666633</v>
      </c>
      <c r="DP878" s="25">
        <f ca="1">SUM(DM878:DO878)</f>
        <v>711.68029166666656</v>
      </c>
      <c r="DQ878" s="47">
        <f ca="1">SUM(DP878/EG878)</f>
        <v>1.4795848059598058E-2</v>
      </c>
      <c r="DR878" s="14">
        <f>20+200</f>
        <v>220</v>
      </c>
      <c r="DS878" s="32">
        <f>COUNTIF(DX878, "*")+COUNTIF(AO878, "*")+COUNTIF(AJ878, "*")+COUNTIF(AA878, "*")+COUNTIF(EY878, "*")+COUNTIF(FE878, "*")+COUNTIF(FK878, "*")+COUNTIF(FO878, "*")+COUNTIF(FV878, "*")+COUNTIF(AT878, "*")+COUNTIF(GE878, "*")+COUNTIF(GP878, "*")+COUNTIF(HA878, "*")+COUNTIF(HI878, "*")+COUNTIF(HQ878, "*")+COUNTIF(HY878, "*")+COUNTIF(IG878, "*")</f>
        <v>8</v>
      </c>
      <c r="DT878" s="14">
        <f>1.2+DS878*7.45</f>
        <v>60.800000000000004</v>
      </c>
      <c r="DU878" s="4">
        <v>150</v>
      </c>
      <c r="DV878" s="4">
        <v>36.76</v>
      </c>
      <c r="DW878" s="4"/>
      <c r="DX878" s="4"/>
      <c r="DZ878" s="4"/>
      <c r="EA878" s="14">
        <f>SUM(DV878:DZ878)</f>
        <v>36.76</v>
      </c>
      <c r="EB878" s="14">
        <f ca="1">SUM(DP878,DR878,EA878, DU878, DT878,GB878)</f>
        <v>1179.2402916666665</v>
      </c>
      <c r="EC878" s="24" t="s">
        <v>3879</v>
      </c>
      <c r="ED878" s="130">
        <v>0.37</v>
      </c>
      <c r="EE878" s="14">
        <v>12000</v>
      </c>
      <c r="EF878" s="14">
        <v>36100</v>
      </c>
      <c r="EG878" s="14">
        <v>48100</v>
      </c>
      <c r="EH878" s="14">
        <v>18000</v>
      </c>
      <c r="EI878" s="14">
        <v>45800</v>
      </c>
      <c r="EJ878" s="14">
        <f>SUM(EH878+EI878)</f>
        <v>63800</v>
      </c>
      <c r="EK878" t="s">
        <v>4686</v>
      </c>
      <c r="EL878" t="s">
        <v>4687</v>
      </c>
      <c r="EM878" t="s">
        <v>4688</v>
      </c>
      <c r="EW878" t="s">
        <v>4675</v>
      </c>
      <c r="EY878" t="s">
        <v>4676</v>
      </c>
      <c r="FA878" t="s">
        <v>4677</v>
      </c>
      <c r="FC878" t="s">
        <v>4678</v>
      </c>
      <c r="FE878" t="s">
        <v>4679</v>
      </c>
      <c r="FG878" t="s">
        <v>4680</v>
      </c>
      <c r="FI878" t="s">
        <v>4681</v>
      </c>
      <c r="FK878" t="s">
        <v>4682</v>
      </c>
      <c r="FM878" t="s">
        <v>259</v>
      </c>
      <c r="FN878" t="s">
        <v>4683</v>
      </c>
      <c r="FO878" t="s">
        <v>3526</v>
      </c>
      <c r="FQ878" t="s">
        <v>284</v>
      </c>
      <c r="FR878" t="s">
        <v>285</v>
      </c>
      <c r="FS878" s="9">
        <v>37057</v>
      </c>
      <c r="FT878" t="s">
        <v>4702</v>
      </c>
      <c r="GC878" t="s">
        <v>4689</v>
      </c>
      <c r="GE878" t="s">
        <v>4684</v>
      </c>
      <c r="GG878" t="s">
        <v>4685</v>
      </c>
      <c r="GN878" t="s">
        <v>4690</v>
      </c>
      <c r="GP878" t="s">
        <v>4691</v>
      </c>
      <c r="GR878" t="s">
        <v>4680</v>
      </c>
      <c r="IM878" s="9"/>
      <c r="IX878" s="14">
        <f ca="1">SUM(IN878-EB878-GB878-IV878)</f>
        <v>-1179.2402916666665</v>
      </c>
      <c r="IY878" s="9"/>
      <c r="IZ878" s="9"/>
      <c r="JA878" s="9"/>
      <c r="JB878" s="9"/>
      <c r="JC878" s="9"/>
    </row>
    <row r="879" spans="1:263" ht="15" customHeight="1">
      <c r="A879" s="2">
        <v>102024099</v>
      </c>
      <c r="B879" t="s">
        <v>5402</v>
      </c>
      <c r="C879" s="10"/>
      <c r="D879" s="161"/>
      <c r="E879" s="147" t="s">
        <v>5907</v>
      </c>
      <c r="F879" s="160">
        <v>240003256</v>
      </c>
      <c r="G879" s="147"/>
      <c r="H879" s="10"/>
      <c r="I879" s="10"/>
      <c r="J879" s="10" t="s">
        <v>253</v>
      </c>
      <c r="K879" s="10" t="s">
        <v>5821</v>
      </c>
      <c r="L879" s="10" t="s">
        <v>5403</v>
      </c>
      <c r="M879" s="10"/>
      <c r="N879" s="10"/>
      <c r="O879" s="147"/>
      <c r="P879" s="10"/>
      <c r="Q879" s="10"/>
      <c r="R879" s="10"/>
      <c r="S879" s="10"/>
      <c r="T879" s="10"/>
      <c r="U879" s="10"/>
      <c r="V879" s="10"/>
      <c r="W879" s="10"/>
      <c r="X879" s="10"/>
      <c r="Y879" s="10"/>
      <c r="Z879" s="10"/>
      <c r="AA879" s="10"/>
      <c r="AB879" s="10"/>
      <c r="AC879" s="10"/>
      <c r="AD879" s="10"/>
      <c r="AE879" s="10"/>
      <c r="AF879" s="10"/>
      <c r="AG879" s="141"/>
      <c r="AH879" s="10"/>
      <c r="AI879" s="10"/>
      <c r="AJ879" s="18" t="s">
        <v>328</v>
      </c>
      <c r="AK879" s="1"/>
      <c r="AL879" t="s">
        <v>259</v>
      </c>
      <c r="AM879"/>
      <c r="AN879"/>
      <c r="AO879" t="s">
        <v>5404</v>
      </c>
      <c r="AP879" s="1" t="s">
        <v>258</v>
      </c>
      <c r="AQ879" s="18" t="s">
        <v>5405</v>
      </c>
      <c r="AR879"/>
      <c r="AS879" t="s">
        <v>372</v>
      </c>
      <c r="AT879" t="s">
        <v>373</v>
      </c>
      <c r="AU879" t="s">
        <v>374</v>
      </c>
      <c r="AV879" t="s">
        <v>259</v>
      </c>
      <c r="AW879" s="1" t="s">
        <v>260</v>
      </c>
      <c r="AY879" s="1"/>
      <c r="AZ879" s="1" t="s">
        <v>258</v>
      </c>
      <c r="BA879" s="1" t="s">
        <v>258</v>
      </c>
      <c r="BB879" s="1" t="s">
        <v>258</v>
      </c>
      <c r="BC879" s="70">
        <v>45482</v>
      </c>
      <c r="BD879" s="115">
        <v>45415</v>
      </c>
      <c r="BE879" s="144">
        <v>45446</v>
      </c>
      <c r="BF879" s="70">
        <v>45534</v>
      </c>
      <c r="BG879" s="20" t="s">
        <v>319</v>
      </c>
      <c r="BH879" s="21">
        <v>45520</v>
      </c>
      <c r="BI879" s="21">
        <v>45527</v>
      </c>
      <c r="BJ879" s="70">
        <v>45548</v>
      </c>
      <c r="BK879" s="70" t="s">
        <v>319</v>
      </c>
      <c r="BL879" s="20">
        <f ca="1">SUM(EB879)+220</f>
        <v>2938.3675000000003</v>
      </c>
      <c r="BM879" s="22">
        <f ca="1">PMT(10%/12,12,BL879,0,0)</f>
        <v>-258.32918577032524</v>
      </c>
      <c r="BN879" s="22">
        <f ca="1">SUM(BM879*-1)</f>
        <v>258.32918577032524</v>
      </c>
      <c r="BO879" s="14">
        <f>SUM(EJ879*0.0052)/12</f>
        <v>8.6666666666666661</v>
      </c>
      <c r="BP879" s="22">
        <f ca="1">SUM(BN879+BO879)</f>
        <v>266.99585243699192</v>
      </c>
      <c r="BQ879" s="14">
        <v>0</v>
      </c>
      <c r="BR879" s="14">
        <f>SUM(BQ879*0.1)</f>
        <v>0</v>
      </c>
      <c r="BS879" s="14">
        <f ca="1">SUM(BT879*BU879)</f>
        <v>0</v>
      </c>
      <c r="BT879" s="17">
        <f>SUM((BQ879+BR879)*0.00833333333333333)</f>
        <v>0</v>
      </c>
      <c r="BU879" s="23">
        <f ca="1">MONTH(TODAY())+37</f>
        <v>41</v>
      </c>
      <c r="BV879" s="14">
        <f ca="1">SUM(BQ879,BR879,BS879)</f>
        <v>0</v>
      </c>
      <c r="BW879" s="14">
        <v>0</v>
      </c>
      <c r="BX879" s="14">
        <f>SUM(BW879*0.1)</f>
        <v>0</v>
      </c>
      <c r="BY879" s="14">
        <f ca="1">SUM(BZ879*CA879)</f>
        <v>0</v>
      </c>
      <c r="BZ879" s="17">
        <f>SUM((BW879+BX879)*0.00833333333333333)</f>
        <v>0</v>
      </c>
      <c r="CA879" s="23">
        <f ca="1">MONTH(TODAY())+37</f>
        <v>41</v>
      </c>
      <c r="CB879" s="14">
        <f ca="1">SUM(BW879,BX879,BY879)</f>
        <v>0</v>
      </c>
      <c r="CC879" s="14">
        <v>0</v>
      </c>
      <c r="CD879" s="14">
        <f>SUM(CC879*0.1)</f>
        <v>0</v>
      </c>
      <c r="CE879" s="14">
        <f ca="1">SUM(CF879*CG879)</f>
        <v>0</v>
      </c>
      <c r="CF879" s="17">
        <f>SUM((CC879+CD879)*0.00833333333333333)</f>
        <v>0</v>
      </c>
      <c r="CG879" s="23">
        <f ca="1">MONTH(TODAY())+29</f>
        <v>33</v>
      </c>
      <c r="CH879" s="23">
        <f ca="1">SUM(CC879,CD879,CE879)</f>
        <v>0</v>
      </c>
      <c r="CI879" s="14">
        <f>SUM(EG879*0.0052)/2</f>
        <v>39</v>
      </c>
      <c r="CJ879" s="14">
        <f>SUM(CI879*0.1)</f>
        <v>3.9000000000000004</v>
      </c>
      <c r="CK879" s="14">
        <f ca="1">SUM(CL879*CM879)</f>
        <v>10.367499999999994</v>
      </c>
      <c r="CL879" s="17">
        <f>SUM((CI879+CJ879)*0.00833333333333333)</f>
        <v>0.35749999999999982</v>
      </c>
      <c r="CM879" s="23">
        <f ca="1">MONTH(TODAY())+25</f>
        <v>29</v>
      </c>
      <c r="CN879" s="14">
        <f ca="1">SUM(CI879,CJ879,CK879)</f>
        <v>53.267499999999991</v>
      </c>
      <c r="CO879" s="14">
        <f>SUM(EJ879*0.0045)/2</f>
        <v>45</v>
      </c>
      <c r="CP879" s="14">
        <f>SUM(CO879*0.1)</f>
        <v>4.5</v>
      </c>
      <c r="CQ879" s="14">
        <f ca="1">SUM(CR879*CS879)</f>
        <v>9.4874999999999954</v>
      </c>
      <c r="CR879" s="17">
        <f>SUM((CO879+CP879)*0.00833333333333333)</f>
        <v>0.41249999999999981</v>
      </c>
      <c r="CS879" s="23">
        <f ca="1">MONTH(TODAY())+19</f>
        <v>23</v>
      </c>
      <c r="CT879" s="14">
        <f ca="1">SUM(CO879,CP879,CQ879)</f>
        <v>58.987499999999997</v>
      </c>
      <c r="CU879" s="14">
        <f>SUM(EJ879*0.0045)/2</f>
        <v>45</v>
      </c>
      <c r="CV879" s="14">
        <f>SUM(CU879*0.1)</f>
        <v>4.5</v>
      </c>
      <c r="CW879" s="14">
        <f ca="1">SUM(CX879*CY879)</f>
        <v>7.0124999999999966</v>
      </c>
      <c r="CX879" s="17">
        <f>SUM((CU879+CV879)*0.00833333333333333)</f>
        <v>0.41249999999999981</v>
      </c>
      <c r="CY879" s="23">
        <f ca="1">MONTH(TODAY())+13</f>
        <v>17</v>
      </c>
      <c r="CZ879" s="14">
        <f ca="1">SUM(CU879,CV879,CW879)</f>
        <v>56.512499999999996</v>
      </c>
      <c r="DA879" s="14">
        <f>SUM(EJ879*0.0045)/2</f>
        <v>45</v>
      </c>
      <c r="DB879" s="14">
        <f>SUM(DA879*0.1)</f>
        <v>4.5</v>
      </c>
      <c r="DC879" s="14">
        <f ca="1">SUM(DD879*DE879)</f>
        <v>4.5374999999999979</v>
      </c>
      <c r="DD879" s="17">
        <f>SUM((DA879+DB879)*0.00833333333333333)</f>
        <v>0.41249999999999981</v>
      </c>
      <c r="DE879" s="23">
        <f ca="1">MONTH(TODAY())+7</f>
        <v>11</v>
      </c>
      <c r="DF879" s="14">
        <f ca="1">SUM(DA879,DB879,DC879)</f>
        <v>54.037499999999994</v>
      </c>
      <c r="DG879" s="14">
        <f>SUM(EJ879*0.0045)/2</f>
        <v>45</v>
      </c>
      <c r="DH879" s="14">
        <f>SUM(DG879*0.1)</f>
        <v>4.5</v>
      </c>
      <c r="DI879" s="14">
        <f ca="1">SUM(DJ879*DK879)</f>
        <v>2.0624999999999991</v>
      </c>
      <c r="DJ879" s="17">
        <f>SUM((DG879+DH879)*0.00833333333333333)</f>
        <v>0.41249999999999981</v>
      </c>
      <c r="DK879" s="23">
        <f ca="1">MONTH(TODAY())+1</f>
        <v>5</v>
      </c>
      <c r="DL879" s="14">
        <f ca="1">SUM(DG879,DH879,DI879)</f>
        <v>51.5625</v>
      </c>
      <c r="DM879" s="14">
        <f>SUM(BQ879, BW879, CC879,CI879,CO879,CU879,DA879,DG879)</f>
        <v>219</v>
      </c>
      <c r="DN879" s="14">
        <f>SUM(BR879,BX879, CD879,CJ879,CP879,CV879,DB879,DH879)</f>
        <v>21.9</v>
      </c>
      <c r="DO879" s="14">
        <f ca="1">SUM(BS879,BY879, CE879,CK879,CQ879,CW879,DC879,DI879)</f>
        <v>33.46749999999998</v>
      </c>
      <c r="DP879" s="25">
        <f ca="1">SUM(DM879:DO879)</f>
        <v>274.36750000000001</v>
      </c>
      <c r="DQ879" s="47">
        <f ca="1">SUM(DP879/EG879)</f>
        <v>1.8291166666666667E-2</v>
      </c>
      <c r="DR879" s="14">
        <f>20+10+200+200+40+40+100+40</f>
        <v>650</v>
      </c>
      <c r="DS879" s="32">
        <f>COUNTIF(AO879, "*")+COUNTIF(AJ879, "*")+COUNTIF(AA879, "*")+COUNTIF(EU879, "*")+COUNTIF(FA879, "*")+COUNTIF(FG879, "*")+COUNTIF(FK879, "*")+COUNTIF(FR879, "*")+COUNTIF(AS879, "*")+COUNTIF(GA879, "*")+COUNTIF(GL879, "*")+COUNTIF(GW879, "*")+COUNTIF(HE879, "*")+COUNTIF(HM879, "*")+COUNTIF(HU879, "*")</f>
        <v>7</v>
      </c>
      <c r="DT879" s="14">
        <f>1.92+DS879*8</f>
        <v>57.92</v>
      </c>
      <c r="DU879" s="4">
        <f>26.67+471.66</f>
        <v>498.33000000000004</v>
      </c>
      <c r="DV879" s="25">
        <v>253.5</v>
      </c>
      <c r="DW879" s="4">
        <f>93.75+147.5</f>
        <v>241.25</v>
      </c>
      <c r="DX879" s="4">
        <v>183</v>
      </c>
      <c r="DY879" s="14">
        <f>IF(SUM(EE879*0.004)&lt;100, 100, SUM(EE879*0.004))</f>
        <v>100</v>
      </c>
      <c r="DZ879" s="4">
        <v>460</v>
      </c>
      <c r="EA879" s="14">
        <f>SUM(DU879:DZ879)</f>
        <v>1736.08</v>
      </c>
      <c r="EB879" s="14">
        <f ca="1">SUM(DP879,DR879,EA879,DT879,FX879)</f>
        <v>2718.3675000000003</v>
      </c>
      <c r="EC879" s="24" t="s">
        <v>5914</v>
      </c>
      <c r="ED879" s="23">
        <v>0.38</v>
      </c>
      <c r="EE879" s="14">
        <v>15000</v>
      </c>
      <c r="EF879" s="14">
        <v>0</v>
      </c>
      <c r="EG879" s="14">
        <f>SUM(EE879+EF879)</f>
        <v>15000</v>
      </c>
      <c r="EH879" s="14">
        <v>20000</v>
      </c>
      <c r="EI879" s="14">
        <v>0</v>
      </c>
      <c r="EJ879" s="14">
        <f>SUM(EH879+EI879)</f>
        <v>20000</v>
      </c>
      <c r="EK879" s="10" t="s">
        <v>5819</v>
      </c>
      <c r="EL879" s="10" t="s">
        <v>5820</v>
      </c>
      <c r="EM879" s="10"/>
      <c r="EN879" s="10"/>
      <c r="EO879" s="10"/>
      <c r="EP879" s="10"/>
      <c r="EQ879" s="10"/>
      <c r="ER879" s="10"/>
      <c r="ES879" s="10" t="s">
        <v>5822</v>
      </c>
      <c r="ET879" s="10"/>
      <c r="EU879" s="10" t="s">
        <v>463</v>
      </c>
      <c r="EV879" s="10"/>
      <c r="EW879" s="10"/>
      <c r="EX879" s="10"/>
      <c r="EY879" s="10" t="s">
        <v>5823</v>
      </c>
      <c r="EZ879" s="10"/>
      <c r="FA879" s="10" t="s">
        <v>463</v>
      </c>
      <c r="FB879" s="10"/>
      <c r="FC879" s="10"/>
      <c r="FD879" s="10"/>
      <c r="FE879" s="10" t="s">
        <v>5824</v>
      </c>
      <c r="FF879" s="10"/>
      <c r="FG879" s="10" t="s">
        <v>463</v>
      </c>
      <c r="FH879" s="10"/>
      <c r="FI879" s="10"/>
      <c r="FJ879" s="10" t="s">
        <v>5826</v>
      </c>
      <c r="FK879" s="10" t="s">
        <v>5825</v>
      </c>
      <c r="FL879" s="10"/>
      <c r="FM879" s="10" t="s">
        <v>5827</v>
      </c>
      <c r="FN879" s="10"/>
      <c r="FO879" s="9"/>
      <c r="FP879" s="10"/>
      <c r="FQ879" s="10"/>
      <c r="FR879" s="10"/>
      <c r="FS879" s="10"/>
      <c r="FT879" s="10"/>
      <c r="FU879" s="10"/>
      <c r="FV879" s="9"/>
      <c r="FW879" s="10"/>
      <c r="FX879" s="10"/>
      <c r="FY879" s="10"/>
      <c r="FZ879" s="10"/>
      <c r="GA879" s="10"/>
      <c r="GB879" s="10"/>
      <c r="GC879" s="10"/>
      <c r="GD879" s="10"/>
      <c r="GE879" s="9"/>
      <c r="GF879" s="10"/>
      <c r="GG879" s="10"/>
      <c r="GH879" s="10"/>
      <c r="GI879" s="10"/>
      <c r="GJ879" s="10"/>
      <c r="GK879" s="10"/>
      <c r="GL879" s="10"/>
      <c r="GM879" s="10"/>
      <c r="GN879" s="10"/>
      <c r="GO879" s="10"/>
      <c r="GP879" s="9"/>
      <c r="GQ879" s="10"/>
      <c r="GR879" s="10"/>
      <c r="GS879" s="10"/>
      <c r="GT879" s="10"/>
      <c r="GU879" s="10"/>
      <c r="GV879" s="10"/>
      <c r="GW879" s="10"/>
      <c r="GX879" s="10"/>
      <c r="GY879" s="10"/>
      <c r="GZ879" s="10"/>
      <c r="HA879" s="9"/>
      <c r="HB879" s="10"/>
      <c r="HC879" s="10"/>
      <c r="HD879" s="10"/>
      <c r="HE879" s="10"/>
      <c r="HF879" s="10"/>
      <c r="HG879" s="10"/>
      <c r="HH879" s="10"/>
      <c r="HI879" s="9"/>
      <c r="HJ879" s="10"/>
      <c r="HK879" s="10"/>
      <c r="HL879" s="10"/>
      <c r="HM879" s="10"/>
      <c r="HN879" s="10"/>
      <c r="HO879" s="10"/>
      <c r="HP879" s="10"/>
      <c r="HQ879" s="9"/>
      <c r="HR879" s="10"/>
      <c r="HS879" s="10"/>
      <c r="HT879" s="10"/>
      <c r="HU879" s="10"/>
      <c r="HV879" s="10"/>
      <c r="HW879" s="10"/>
      <c r="HX879" s="10"/>
      <c r="HY879" s="9"/>
      <c r="HZ879" s="4"/>
      <c r="IA879" s="4"/>
      <c r="IB879" s="10"/>
      <c r="IC879" s="10"/>
      <c r="ID879" s="10"/>
      <c r="IE879" s="10"/>
      <c r="IF879" s="4"/>
      <c r="IG879" s="4"/>
      <c r="IH879" s="4"/>
      <c r="II879" s="4"/>
      <c r="IJ879" s="4"/>
      <c r="IK879" s="9"/>
      <c r="IL879" s="9"/>
      <c r="IM879" s="9"/>
      <c r="IN879" s="9"/>
      <c r="IO879" s="9"/>
      <c r="IP879" t="s">
        <v>5913</v>
      </c>
    </row>
    <row r="880" spans="1:263" ht="15" customHeight="1">
      <c r="A880" s="2">
        <v>102018055</v>
      </c>
      <c r="B880" s="4" t="s">
        <v>1193</v>
      </c>
      <c r="C880" s="3"/>
      <c r="D880" s="3"/>
      <c r="E880" s="3"/>
      <c r="F880" s="3"/>
      <c r="G880" s="3"/>
      <c r="H880" s="3"/>
      <c r="J880" t="s">
        <v>305</v>
      </c>
      <c r="K880" t="s">
        <v>1194</v>
      </c>
      <c r="L880" t="s">
        <v>1195</v>
      </c>
      <c r="O880" s="1" t="s">
        <v>258</v>
      </c>
      <c r="P880" t="s">
        <v>1194</v>
      </c>
      <c r="Q880" t="s">
        <v>1196</v>
      </c>
      <c r="T880" s="1"/>
      <c r="AH880" s="1"/>
      <c r="AK880" s="4"/>
      <c r="AL880" s="4"/>
      <c r="AN880" s="34"/>
      <c r="AP880" s="5"/>
      <c r="AQ880" s="34"/>
      <c r="AR880" s="34"/>
      <c r="AS880" s="3"/>
      <c r="AT880" s="5"/>
      <c r="AU880" s="5"/>
      <c r="AV880" s="1"/>
      <c r="AW880" s="1"/>
      <c r="AX880" s="1"/>
      <c r="AY880" s="15"/>
      <c r="AZ880" s="15"/>
      <c r="BA880" s="15"/>
      <c r="BB880" s="15"/>
      <c r="BC880" s="1"/>
      <c r="BD880" s="15"/>
      <c r="BE880" s="15"/>
      <c r="BF880" s="15"/>
      <c r="BG880" s="1"/>
      <c r="BH880" s="5"/>
      <c r="BI880" s="16"/>
      <c r="BJ880" s="16"/>
      <c r="BL880" s="4"/>
      <c r="BM880" s="4"/>
      <c r="BN880" s="6"/>
      <c r="BO880" s="7"/>
      <c r="BP880" s="4"/>
      <c r="BQ880" s="4"/>
      <c r="BR880" s="4"/>
      <c r="BS880" s="4"/>
      <c r="BT880" s="6"/>
      <c r="BU880" s="7"/>
      <c r="BV880" s="4"/>
      <c r="BW880" s="4"/>
      <c r="BX880" s="4"/>
      <c r="BY880" s="4"/>
      <c r="BZ880" s="6"/>
      <c r="CA880" s="7"/>
      <c r="CB880" s="4"/>
      <c r="CC880" s="4"/>
      <c r="CD880" s="4"/>
      <c r="CE880" s="4"/>
      <c r="CF880" s="6"/>
      <c r="CG880" s="7"/>
      <c r="CH880" s="4"/>
      <c r="CI880" s="4"/>
      <c r="CJ880" s="4"/>
      <c r="CK880" s="4"/>
      <c r="CL880" s="6"/>
      <c r="CM880" s="7"/>
      <c r="CN880" s="4"/>
      <c r="CO880" s="4"/>
      <c r="CP880" s="4"/>
      <c r="CQ880" s="4"/>
      <c r="CR880" s="6"/>
      <c r="CS880" s="7"/>
      <c r="CT880" s="4"/>
      <c r="CU880" s="4"/>
      <c r="CV880" s="4"/>
      <c r="CW880" s="4"/>
      <c r="CX880" s="6"/>
      <c r="CY880" s="7"/>
      <c r="CZ880" s="4"/>
      <c r="DA880" s="4"/>
      <c r="DB880" s="4"/>
      <c r="DC880" s="4"/>
      <c r="DD880" s="6"/>
      <c r="DE880" s="7"/>
      <c r="DF880" s="4"/>
      <c r="DG880" s="4"/>
      <c r="DH880" s="4"/>
      <c r="DI880" s="14"/>
      <c r="DJ880" s="14"/>
      <c r="DK880" s="4"/>
      <c r="DM880" s="4"/>
      <c r="DN880" s="234"/>
      <c r="DO880" s="4"/>
      <c r="DP880" s="4"/>
      <c r="DQ880" s="4"/>
      <c r="DR880" s="4"/>
      <c r="DS880" s="4"/>
      <c r="DT880" s="4"/>
      <c r="DU880" s="7"/>
      <c r="DV880" s="8"/>
      <c r="DW880" s="4"/>
      <c r="DX880" s="8"/>
      <c r="DY880" s="4"/>
      <c r="DZ880" s="4"/>
      <c r="EA880" s="7"/>
      <c r="EJ880" s="11"/>
      <c r="EP880" s="11"/>
      <c r="EQ880" s="11"/>
      <c r="ER880" s="4"/>
      <c r="ES880" s="4"/>
      <c r="ET880" s="4"/>
      <c r="EU880" s="4"/>
      <c r="EV880" s="4"/>
      <c r="EW880" s="4"/>
      <c r="EX880" s="4"/>
      <c r="EY880" s="4"/>
      <c r="EZ880" s="4"/>
      <c r="FA880" s="4"/>
      <c r="FB880" s="4"/>
      <c r="FC880" s="4"/>
      <c r="FD880" s="4"/>
      <c r="FE880" s="4"/>
      <c r="FF880" s="4"/>
      <c r="FJ880" s="9"/>
      <c r="FS880" s="9"/>
      <c r="FY880" s="4"/>
      <c r="GF880" s="9"/>
      <c r="GN880" s="10"/>
      <c r="HC880" s="9"/>
      <c r="IK880" s="4"/>
      <c r="IL880" s="9"/>
      <c r="IS880" s="4"/>
      <c r="IT880" s="4"/>
    </row>
    <row r="881" spans="1:267" ht="15" customHeight="1">
      <c r="A881" s="19">
        <v>102022133</v>
      </c>
      <c r="B881" t="s">
        <v>2868</v>
      </c>
      <c r="D881" s="1"/>
      <c r="J881" t="s">
        <v>554</v>
      </c>
      <c r="K881" t="s">
        <v>1861</v>
      </c>
      <c r="L881" t="s">
        <v>420</v>
      </c>
      <c r="M881" t="s">
        <v>426</v>
      </c>
      <c r="P881" t="s">
        <v>1861</v>
      </c>
      <c r="Q881" t="s">
        <v>3145</v>
      </c>
      <c r="R881" t="s">
        <v>598</v>
      </c>
      <c r="AG881" s="248"/>
      <c r="AO881" t="s">
        <v>3146</v>
      </c>
      <c r="AP881" s="1" t="s">
        <v>258</v>
      </c>
      <c r="AQ881" s="3" t="s">
        <v>259</v>
      </c>
      <c r="AR881" s="3" t="s">
        <v>260</v>
      </c>
      <c r="AS881" s="1"/>
      <c r="AT881" s="1"/>
      <c r="AU881" s="1"/>
      <c r="AV881" s="1"/>
      <c r="AW881" s="1"/>
      <c r="AX881" s="2"/>
      <c r="AY881" s="116"/>
      <c r="AZ881" s="115"/>
      <c r="BA881" s="2"/>
      <c r="BB881" s="2"/>
      <c r="BC881" s="2"/>
      <c r="BD881" s="2"/>
      <c r="BE881" s="2"/>
      <c r="BF881" s="2"/>
      <c r="BG881" s="20"/>
      <c r="BH881" s="22"/>
      <c r="BI881" s="22"/>
      <c r="BJ881" s="14"/>
      <c r="BK881" s="22"/>
      <c r="BL881" s="14"/>
      <c r="BM881" s="14"/>
      <c r="BN881" s="14"/>
      <c r="BO881" s="17"/>
      <c r="BP881" s="23"/>
      <c r="BQ881" s="14"/>
      <c r="BR881" s="14"/>
      <c r="BS881" s="14"/>
      <c r="BT881" s="14"/>
      <c r="BU881" s="17"/>
      <c r="BV881" s="23"/>
      <c r="BW881" s="14"/>
      <c r="BX881" s="14"/>
      <c r="BY881" s="14"/>
      <c r="BZ881" s="14"/>
      <c r="CA881" s="17"/>
      <c r="CB881" s="23"/>
      <c r="CC881" s="14"/>
      <c r="CD881" s="14"/>
      <c r="CE881" s="14"/>
      <c r="CF881" s="14"/>
      <c r="CG881" s="17"/>
      <c r="CH881" s="23"/>
      <c r="CI881" s="14"/>
      <c r="CJ881" s="14"/>
      <c r="CK881" s="14"/>
      <c r="CL881" s="14"/>
      <c r="CM881" s="17"/>
      <c r="CN881" s="23"/>
      <c r="CO881" s="14"/>
      <c r="CP881" s="14"/>
      <c r="CQ881" s="14"/>
      <c r="CR881" s="14"/>
      <c r="CS881" s="14"/>
      <c r="CT881" s="47"/>
      <c r="CU881" s="14"/>
      <c r="CV881" s="32"/>
      <c r="CW881" s="14"/>
      <c r="CX881" s="4"/>
      <c r="CY881" s="14"/>
      <c r="CZ881" s="4"/>
      <c r="DE881" s="14"/>
      <c r="DF881" s="24"/>
      <c r="DG881" s="4"/>
      <c r="DH881" s="4"/>
      <c r="DI881" s="25"/>
      <c r="DJ881" s="35">
        <f>0.18+0.16+0.16</f>
        <v>0.5</v>
      </c>
      <c r="IC881" s="4"/>
      <c r="IZ881" s="240"/>
      <c r="JA881" s="240"/>
      <c r="JB881" s="240"/>
      <c r="JC881" s="240"/>
    </row>
    <row r="882" spans="1:267" ht="15" customHeight="1">
      <c r="A882" s="2">
        <v>102024170</v>
      </c>
      <c r="B882" t="s">
        <v>5564</v>
      </c>
      <c r="D882" s="1"/>
      <c r="E882" s="3"/>
      <c r="G882" s="3"/>
      <c r="J882" t="s">
        <v>554</v>
      </c>
      <c r="K882" t="s">
        <v>5565</v>
      </c>
      <c r="L882" t="s">
        <v>4476</v>
      </c>
      <c r="M882" t="s">
        <v>357</v>
      </c>
      <c r="O882" s="3"/>
      <c r="P882" t="s">
        <v>5565</v>
      </c>
      <c r="Q882" t="s">
        <v>3306</v>
      </c>
      <c r="R882" t="s">
        <v>537</v>
      </c>
      <c r="AG882" s="43"/>
      <c r="AJ882" s="18" t="s">
        <v>328</v>
      </c>
      <c r="AK882" s="1"/>
      <c r="AL882" s="18" t="s">
        <v>259</v>
      </c>
      <c r="AM882"/>
      <c r="AN882"/>
      <c r="AO882" t="s">
        <v>5566</v>
      </c>
      <c r="AQ882" s="18" t="s">
        <v>259</v>
      </c>
      <c r="AR882"/>
      <c r="AS882" t="s">
        <v>372</v>
      </c>
      <c r="AT882" t="s">
        <v>373</v>
      </c>
      <c r="AU882" t="s">
        <v>374</v>
      </c>
      <c r="AV882" t="s">
        <v>259</v>
      </c>
      <c r="AW882" s="1" t="s">
        <v>260</v>
      </c>
      <c r="AX882" s="1"/>
      <c r="AY882" s="1"/>
      <c r="AZ882" s="1"/>
      <c r="BA882" s="1"/>
      <c r="BB882" s="1"/>
      <c r="BC882" s="2"/>
      <c r="BD882" s="115">
        <v>45415</v>
      </c>
      <c r="BE882" s="144">
        <v>45446</v>
      </c>
      <c r="BF882" s="2"/>
      <c r="BG882" s="2"/>
      <c r="BH882" s="2"/>
      <c r="BI882" s="2"/>
      <c r="BJ882" s="2"/>
      <c r="BK882" s="2"/>
      <c r="BL882" s="20">
        <f ca="1">SUM(EH882)+220</f>
        <v>846.13319999999987</v>
      </c>
      <c r="BM882" s="22">
        <f ca="1">PMT(10%/12,12,BL882,0,0)</f>
        <v>-74.388550992767136</v>
      </c>
      <c r="BN882" s="22">
        <f ca="1">SUM(BM882*-1)</f>
        <v>74.388550992767136</v>
      </c>
      <c r="BO882" s="14">
        <f>SUM(EP882*0.0052)/12</f>
        <v>7.02</v>
      </c>
      <c r="BP882" s="22">
        <f ca="1">SUM(BN882+BO882)</f>
        <v>81.408550992767132</v>
      </c>
      <c r="BQ882" s="14"/>
      <c r="BR882" s="14">
        <f>SUM(BQ882*0.1)</f>
        <v>0</v>
      </c>
      <c r="BS882" s="14">
        <f ca="1">SUM(BT882*BU882)</f>
        <v>0</v>
      </c>
      <c r="BT882" s="17">
        <f>SUM((BQ882+BR882)*0.00833333333333333)</f>
        <v>0</v>
      </c>
      <c r="BU882" s="23">
        <f ca="1">MONTH(TODAY())+49</f>
        <v>53</v>
      </c>
      <c r="BV882" s="14">
        <f ca="1">SUM(BQ882,BR882,BS882)</f>
        <v>0</v>
      </c>
      <c r="BW882" s="14">
        <v>0</v>
      </c>
      <c r="BX882" s="14">
        <f>SUM(BW882*0.1)</f>
        <v>0</v>
      </c>
      <c r="BY882" s="14">
        <f ca="1">SUM(BZ882*CA882)</f>
        <v>0</v>
      </c>
      <c r="BZ882" s="17">
        <f>SUM((BW882+BX882)*0.00833333333333333)</f>
        <v>0</v>
      </c>
      <c r="CA882" s="23">
        <f ca="1">MONTH(TODAY())+37</f>
        <v>41</v>
      </c>
      <c r="CB882" s="14">
        <f ca="1">SUM(BW882,BX882,BY882)</f>
        <v>0</v>
      </c>
      <c r="CC882" s="14">
        <v>0</v>
      </c>
      <c r="CD882" s="14">
        <f>SUM(CC882*0.1)</f>
        <v>0</v>
      </c>
      <c r="CE882" s="14">
        <f ca="1">SUM(CF882*CG882)</f>
        <v>0</v>
      </c>
      <c r="CF882" s="17">
        <f>SUM((CC882+CD882)*0.00833333333333333)</f>
        <v>0</v>
      </c>
      <c r="CG882" s="23">
        <f ca="1">MONTH(TODAY())+25</f>
        <v>29</v>
      </c>
      <c r="CH882" s="14">
        <f ca="1">SUM(CC882,CD882,CE882)</f>
        <v>0</v>
      </c>
      <c r="CI882" s="14">
        <f>SUM(EM882*0.0052)/2</f>
        <v>28.08</v>
      </c>
      <c r="CJ882" s="14">
        <f>SUM(CI882*0.1)</f>
        <v>2.8079999999999998</v>
      </c>
      <c r="CK882" s="14">
        <f ca="1">SUM(CL882*CM882)</f>
        <v>5.4053999999999967</v>
      </c>
      <c r="CL882" s="17">
        <f>SUM((CI882+CJ882)*0.00833333333333333)</f>
        <v>0.25739999999999985</v>
      </c>
      <c r="CM882" s="23">
        <f ca="1">MONTH(TODAY())+17</f>
        <v>21</v>
      </c>
      <c r="CN882" s="23">
        <f ca="1">SUM(CI882,CJ882,CK882)</f>
        <v>36.293399999999991</v>
      </c>
      <c r="CO882" s="14">
        <f>SUM(EM882*0.0052)/2</f>
        <v>28.08</v>
      </c>
      <c r="CP882" s="14">
        <f>SUM(CO882*0.1)</f>
        <v>2.8079999999999998</v>
      </c>
      <c r="CQ882" s="14">
        <f ca="1">SUM(CR882*CS882)</f>
        <v>4.3757999999999972</v>
      </c>
      <c r="CR882" s="17">
        <f>SUM((CO882+CP882)*0.00833333333333333)</f>
        <v>0.25739999999999985</v>
      </c>
      <c r="CS882" s="23">
        <f ca="1">MONTH(TODAY())+13</f>
        <v>17</v>
      </c>
      <c r="CT882" s="23">
        <f ca="1">SUM(CO882,CP882,CQ882)</f>
        <v>35.263799999999996</v>
      </c>
      <c r="CU882" s="14">
        <f>SUM(EP882*0.0045)/2</f>
        <v>36.449999999999996</v>
      </c>
      <c r="CV882" s="14">
        <f>SUM(CU882*0.1)</f>
        <v>3.6449999999999996</v>
      </c>
      <c r="CW882" s="14">
        <f ca="1">SUM(CX882*CY882)</f>
        <v>3.6753749999999981</v>
      </c>
      <c r="CX882" s="17">
        <f>SUM((CU882+CV882)*0.00833333333333333)</f>
        <v>0.33412499999999984</v>
      </c>
      <c r="CY882" s="23">
        <f ca="1">MONTH(TODAY())+7</f>
        <v>11</v>
      </c>
      <c r="CZ882" s="23">
        <f ca="1">SUM(CU882,CV882,CW882)</f>
        <v>43.770374999999994</v>
      </c>
      <c r="DA882" s="14">
        <f>SUM(EP882*0.0045)/2</f>
        <v>36.449999999999996</v>
      </c>
      <c r="DB882" s="14">
        <f>SUM(DA882*0.1)</f>
        <v>3.6449999999999996</v>
      </c>
      <c r="DC882" s="14">
        <f ca="1">SUM(DD882*DE882)</f>
        <v>1.6706249999999991</v>
      </c>
      <c r="DD882" s="17">
        <f>SUM((DA882+DB882)*0.00833333333333333)</f>
        <v>0.33412499999999984</v>
      </c>
      <c r="DE882" s="23">
        <f ca="1">MONTH(TODAY())+1</f>
        <v>5</v>
      </c>
      <c r="DF882" s="14">
        <f ca="1">SUM(DA882,DB882,DC882)</f>
        <v>41.765625</v>
      </c>
      <c r="DG882" s="14">
        <f>SUM(EP882*0.0045)/2</f>
        <v>36.449999999999996</v>
      </c>
      <c r="DH882" s="14">
        <f>0</f>
        <v>0</v>
      </c>
      <c r="DI882" s="14">
        <f>0</f>
        <v>0</v>
      </c>
      <c r="DJ882" s="17">
        <f>SUM((DG882+DH882)*0.00833333333333333)</f>
        <v>0.30374999999999985</v>
      </c>
      <c r="DK882" s="23">
        <f ca="1">MONTH(TODAY())+7</f>
        <v>11</v>
      </c>
      <c r="DL882" s="23">
        <f>SUM(DG882,DH882,DI882)</f>
        <v>36.449999999999996</v>
      </c>
      <c r="DM882" s="14">
        <f>0</f>
        <v>0</v>
      </c>
      <c r="DN882" s="14">
        <f>0</f>
        <v>0</v>
      </c>
      <c r="DO882" s="14">
        <f ca="1">SUM(DP882*DQ882)</f>
        <v>0</v>
      </c>
      <c r="DP882" s="17">
        <f>SUM((DM882+DN882)*0.00833333333333333)</f>
        <v>0</v>
      </c>
      <c r="DQ882" s="23">
        <f ca="1">MONTH(TODAY())+1</f>
        <v>5</v>
      </c>
      <c r="DR882" s="14">
        <f ca="1">SUM(DM882,DN882,DO882)</f>
        <v>0</v>
      </c>
      <c r="DS882" s="14">
        <f>SUM(BQ882, BW882, CC882, CI882,CO882,CU882,DA882,DG882,DM882)</f>
        <v>165.50999999999996</v>
      </c>
      <c r="DT882" s="14">
        <f>SUM(BR882,BX882,CD882, CJ882,CP882,CV882,DB882,DH882,DN882)</f>
        <v>12.905999999999999</v>
      </c>
      <c r="DU882" s="14">
        <f ca="1">SUM(BS882,BY882,CE882, CK882,CQ882,CW882,DC882,DI882,DO882)</f>
        <v>15.127199999999993</v>
      </c>
      <c r="DV882" s="25">
        <f ca="1">SUM(DS882:DU882)</f>
        <v>193.54319999999996</v>
      </c>
      <c r="DW882" s="47">
        <f ca="1">SUM(DV882/EN882)</f>
        <v>1.1947111111111108E-2</v>
      </c>
      <c r="DX882" s="14">
        <f>20+10+200</f>
        <v>230</v>
      </c>
      <c r="DY882" s="32">
        <f>COUNTIF(AO882, "*")+COUNTIF(AJ882, "*")+COUNTIF(AA882, "*")+COUNTIF(FA882, "*")+COUNTIF(FG882, "*")+COUNTIF(FM882, "*")+COUNTIF(FQ882, "*")+COUNTIF(FX882, "*")+COUNTIF(AS882, "*")+COUNTIF(GG882, "*")+COUNTIF(GR882, "*")+COUNTIF(HC882, "*")+COUNTIF(HK882, "*")+COUNTIF(HS882, "*")+COUNTIF(IA882, "*")</f>
        <v>3</v>
      </c>
      <c r="DZ882" s="14">
        <f>1.92+DY882*8</f>
        <v>25.92</v>
      </c>
      <c r="EA882" s="25">
        <v>150</v>
      </c>
      <c r="EB882" s="4">
        <v>26.67</v>
      </c>
      <c r="EC882" s="4"/>
      <c r="ED882" s="4"/>
      <c r="EF882" s="4"/>
      <c r="EG882" s="14">
        <f>SUM(EB882:EF882)</f>
        <v>26.67</v>
      </c>
      <c r="EH882" s="14">
        <f ca="1">SUM(DV882,DX882,EG882, EA882, DZ882,GD882)</f>
        <v>626.13319999999987</v>
      </c>
      <c r="EI882" s="24" t="s">
        <v>4935</v>
      </c>
      <c r="EJ882" s="23">
        <v>0.22</v>
      </c>
      <c r="EK882" s="14">
        <v>10800</v>
      </c>
      <c r="EL882" s="14">
        <v>0</v>
      </c>
      <c r="EM882" s="4">
        <f>SUM(EK882+EL882)</f>
        <v>10800</v>
      </c>
      <c r="EN882" s="14">
        <v>16200</v>
      </c>
      <c r="EO882" s="14">
        <v>0</v>
      </c>
      <c r="EP882" s="4">
        <f>SUM(EN882+EO882)</f>
        <v>16200</v>
      </c>
      <c r="EQ882" s="10"/>
      <c r="ER882" s="10"/>
      <c r="ES882" s="10"/>
      <c r="ET882" s="10"/>
      <c r="EU882" s="10"/>
      <c r="EV882" s="10"/>
      <c r="EW882" s="10"/>
      <c r="EX882" s="10"/>
      <c r="GD882" s="4"/>
      <c r="IE882" s="9"/>
      <c r="IN882" s="4"/>
      <c r="IO882" s="4"/>
      <c r="IP882" s="4"/>
      <c r="IQ882" s="9"/>
      <c r="IR882" s="9"/>
      <c r="IS882" s="9"/>
      <c r="IT882" s="9"/>
      <c r="IU882" s="9"/>
    </row>
    <row r="883" spans="1:267" ht="15" customHeight="1">
      <c r="A883" s="19">
        <v>102021087</v>
      </c>
      <c r="B883" s="18" t="s">
        <v>2607</v>
      </c>
      <c r="D883" s="13">
        <v>2023</v>
      </c>
      <c r="E883" s="3"/>
      <c r="G883" s="3"/>
      <c r="J883" s="18" t="s">
        <v>434</v>
      </c>
      <c r="K883" s="18" t="s">
        <v>2602</v>
      </c>
      <c r="L883" s="18" t="s">
        <v>2603</v>
      </c>
      <c r="M883" s="18" t="s">
        <v>448</v>
      </c>
      <c r="O883" s="3"/>
      <c r="P883" s="18" t="s">
        <v>2604</v>
      </c>
      <c r="Q883" s="18" t="s">
        <v>2605</v>
      </c>
      <c r="R883" s="18" t="s">
        <v>392</v>
      </c>
      <c r="U883" t="s">
        <v>4007</v>
      </c>
      <c r="V883" t="s">
        <v>4008</v>
      </c>
      <c r="W883" t="s">
        <v>392</v>
      </c>
      <c r="AG883" s="43"/>
      <c r="AJ883" s="18" t="s">
        <v>328</v>
      </c>
      <c r="AL883" s="18" t="s">
        <v>259</v>
      </c>
      <c r="AM883"/>
      <c r="AN883"/>
      <c r="AO883" t="s">
        <v>2606</v>
      </c>
      <c r="AP883" s="3" t="s">
        <v>258</v>
      </c>
      <c r="AQ883" t="s">
        <v>344</v>
      </c>
      <c r="AR883" s="18" t="s">
        <v>260</v>
      </c>
      <c r="AS883" s="18" t="s">
        <v>372</v>
      </c>
      <c r="AT883" s="18" t="s">
        <v>373</v>
      </c>
      <c r="AU883" s="18" t="s">
        <v>374</v>
      </c>
      <c r="AV883" s="18" t="s">
        <v>259</v>
      </c>
      <c r="AW883" s="18" t="s">
        <v>260</v>
      </c>
      <c r="AX883" s="1"/>
      <c r="AY883" s="1"/>
      <c r="AZ883" s="1"/>
      <c r="BA883" s="1"/>
      <c r="BB883" s="1"/>
      <c r="BC883" s="2"/>
      <c r="BD883" s="115">
        <v>45060</v>
      </c>
      <c r="BE883" s="115">
        <v>44957</v>
      </c>
      <c r="BF883" s="2"/>
      <c r="BG883" s="2"/>
      <c r="BH883" s="2"/>
      <c r="BI883" s="2"/>
      <c r="BJ883" s="2"/>
      <c r="BK883" s="2"/>
      <c r="BL883" s="20">
        <f ca="1">SUM(EB883)+220</f>
        <v>1879.9740000000002</v>
      </c>
      <c r="BM883" s="22">
        <f ca="1">PMT(10%/12,12,BL883,0,0)</f>
        <v>-165.27958217935009</v>
      </c>
      <c r="BN883" s="22">
        <f ca="1">SUM(BM883*-1)</f>
        <v>165.27958217935009</v>
      </c>
      <c r="BO883" s="14">
        <f>SUM(EJ883*0.0052)/12</f>
        <v>7.8</v>
      </c>
      <c r="BP883" s="22">
        <f ca="1">SUM(BN883+BO883)</f>
        <v>173.0795821793501</v>
      </c>
      <c r="BQ883" s="14"/>
      <c r="BR883" s="14">
        <f>SUM(BQ883*0.1)</f>
        <v>0</v>
      </c>
      <c r="BS883" s="14">
        <f ca="1">SUM(BT883*BU883)</f>
        <v>0</v>
      </c>
      <c r="BT883" s="17">
        <f>SUM((BQ883+BR883)*0.00833333333333333)</f>
        <v>0</v>
      </c>
      <c r="BU883" s="23">
        <f ca="1">MONTH(TODAY())+61</f>
        <v>65</v>
      </c>
      <c r="BV883" s="14">
        <f ca="1">SUM(BQ883,BR883,BS883)</f>
        <v>0</v>
      </c>
      <c r="BW883" s="14">
        <f>SUM(EG883*0.0052)</f>
        <v>62.4</v>
      </c>
      <c r="BX883" s="14">
        <f>SUM(BW883*0.1)</f>
        <v>6.24</v>
      </c>
      <c r="BY883" s="14">
        <f ca="1">SUM(BZ883*CA883)</f>
        <v>30.315999999999985</v>
      </c>
      <c r="BZ883" s="17">
        <f>SUM((BW883+BX883)*0.00833333333333333)</f>
        <v>0.57199999999999973</v>
      </c>
      <c r="CA883" s="23">
        <f ca="1">MONTH(TODAY())+49</f>
        <v>53</v>
      </c>
      <c r="CB883" s="14">
        <f ca="1">SUM(BW883,BX883,BY883)</f>
        <v>98.955999999999989</v>
      </c>
      <c r="CC883" s="14">
        <f>SUM(EG883*0.0052)</f>
        <v>62.4</v>
      </c>
      <c r="CD883" s="14">
        <f>SUM(CC883*0.1)</f>
        <v>6.24</v>
      </c>
      <c r="CE883" s="14">
        <f ca="1">SUM(CF883*CG883)</f>
        <v>23.451999999999988</v>
      </c>
      <c r="CF883" s="17">
        <f>SUM((CC883+CD883)*0.00833333333333333)</f>
        <v>0.57199999999999973</v>
      </c>
      <c r="CG883" s="23">
        <f ca="1">MONTH(TODAY())+37</f>
        <v>41</v>
      </c>
      <c r="CH883" s="14">
        <f ca="1">SUM(CC883,CD883,CE883)</f>
        <v>92.091999999999985</v>
      </c>
      <c r="CI883" s="14">
        <f>SUM(EG883*0.0052)</f>
        <v>62.4</v>
      </c>
      <c r="CJ883" s="14">
        <f>SUM(CI883*0.1)</f>
        <v>6.24</v>
      </c>
      <c r="CK883" s="14">
        <f ca="1">SUM(CL883*CM883)</f>
        <v>16.587999999999994</v>
      </c>
      <c r="CL883" s="17">
        <f>SUM((CI883+CJ883)*0.00833333333333333)</f>
        <v>0.57199999999999973</v>
      </c>
      <c r="CM883" s="23">
        <f ca="1">MONTH(TODAY())+25</f>
        <v>29</v>
      </c>
      <c r="CN883" s="14">
        <f ca="1">SUM(CI883,CJ883,CK883)</f>
        <v>85.227999999999994</v>
      </c>
      <c r="CO883" s="14">
        <f>SUM(EG883*0.0052)/2</f>
        <v>31.2</v>
      </c>
      <c r="CP883" s="14">
        <f>SUM(CO883*0.1)</f>
        <v>3.12</v>
      </c>
      <c r="CQ883" s="14">
        <f ca="1">SUM(CR883*CS883)</f>
        <v>6.0059999999999976</v>
      </c>
      <c r="CR883" s="17">
        <f>SUM((CO883+CP883)*0.00833333333333333)</f>
        <v>0.28599999999999987</v>
      </c>
      <c r="CS883" s="23">
        <f ca="1">MONTH(TODAY())+17</f>
        <v>21</v>
      </c>
      <c r="CT883" s="23">
        <f ca="1">SUM(CO883,CP883,CQ883)</f>
        <v>40.326000000000001</v>
      </c>
      <c r="CU883" s="14">
        <f>SUM(EG883*0.0052)/2</f>
        <v>31.2</v>
      </c>
      <c r="CV883" s="14">
        <f>SUM(CU883*0.1)</f>
        <v>3.12</v>
      </c>
      <c r="CW883" s="14">
        <f ca="1">SUM(CX883*CY883)</f>
        <v>4.8619999999999974</v>
      </c>
      <c r="CX883" s="17">
        <f>SUM((CU883+CV883)*0.00833333333333333)</f>
        <v>0.28599999999999987</v>
      </c>
      <c r="CY883" s="23">
        <f ca="1">MONTH(TODAY())+13</f>
        <v>17</v>
      </c>
      <c r="CZ883" s="23">
        <f ca="1">SUM(CU883,CV883,CW883)</f>
        <v>39.181999999999995</v>
      </c>
      <c r="DA883" s="14">
        <f>SUM(EJ883*0.0045)/2</f>
        <v>40.5</v>
      </c>
      <c r="DB883" s="14">
        <f>SUM(DA883*0.1)</f>
        <v>4.05</v>
      </c>
      <c r="DC883" s="14">
        <f ca="1">SUM(DD883*DE883)</f>
        <v>4.0837499999999975</v>
      </c>
      <c r="DD883" s="17">
        <f>SUM((DA883+DB883)*0.00833333333333333)</f>
        <v>0.3712499999999998</v>
      </c>
      <c r="DE883" s="23">
        <f ca="1">MONTH(TODAY())+7</f>
        <v>11</v>
      </c>
      <c r="DF883" s="23">
        <f ca="1">SUM(DA883,DB883,DC883)</f>
        <v>48.633749999999992</v>
      </c>
      <c r="DG883" s="14">
        <f>SUM(EJ883*0.0045)/2</f>
        <v>40.5</v>
      </c>
      <c r="DH883" s="14">
        <f>SUM(DG883*0.1)</f>
        <v>4.05</v>
      </c>
      <c r="DI883" s="14">
        <f ca="1">SUM(DJ883*DK883)</f>
        <v>1.8562499999999991</v>
      </c>
      <c r="DJ883" s="17">
        <f>SUM((DG883+DH883)*0.00833333333333333)</f>
        <v>0.3712499999999998</v>
      </c>
      <c r="DK883" s="23">
        <f ca="1">MONTH(TODAY())+1</f>
        <v>5</v>
      </c>
      <c r="DL883" s="14">
        <f ca="1">SUM(DG883,DH883,DI883)</f>
        <v>46.406249999999993</v>
      </c>
      <c r="DM883" s="14">
        <f>SUM( BQ883, BW883, CC883, CI883, CO883,CU883,DA883,DG883)</f>
        <v>330.59999999999997</v>
      </c>
      <c r="DN883" s="14">
        <f>SUM(BR883,BX883,CD883,CJ883, CP883,CV883,DB883,DH883)</f>
        <v>33.06</v>
      </c>
      <c r="DO883" s="14">
        <f ca="1">SUM(BS883,BY883,CE883,CK883, CQ883,CW883,DC883,DI883)</f>
        <v>87.163999999999959</v>
      </c>
      <c r="DP883" s="25">
        <f ca="1">SUM(DM883:DO883)</f>
        <v>450.82399999999996</v>
      </c>
      <c r="DQ883" s="47">
        <f ca="1">SUM(DP883/EG883)</f>
        <v>3.756866666666666E-2</v>
      </c>
      <c r="DR883" s="14">
        <f>369.5+100+80+100</f>
        <v>649.5</v>
      </c>
      <c r="DS883" s="32">
        <f>COUNTIF(DW883, "*")+COUNTIF(AO883, "*")+COUNTIF(AJ883, "*")+COUNTIF(AA883, "*")+COUNTIF(EU883, "*")+COUNTIF(FA883, "*")+COUNTIF(FG883, "*")+COUNTIF(FK883, "*")+COUNTIF(FR883, "*")+COUNTIF(AT883, "*")+COUNTIF(GA883, "*")+COUNTIF(GL883, "*")+COUNTIF(GW883, "*")+COUNTIF(HE883, "*")+COUNTIF(HM883, "*")+COUNTIF(HU883, "*")</f>
        <v>6</v>
      </c>
      <c r="DT883" s="14">
        <f>DS883*0.5+DS883*7.45+55.17</f>
        <v>102.87</v>
      </c>
      <c r="DU883" s="4">
        <v>250</v>
      </c>
      <c r="DV883" s="4">
        <f>36.76+157.5</f>
        <v>194.26</v>
      </c>
      <c r="DW883" s="4"/>
      <c r="DZ883" s="4"/>
      <c r="EA883" s="14">
        <f>SUM(DV883:DZ883)</f>
        <v>194.26</v>
      </c>
      <c r="EB883" s="14">
        <f ca="1">SUM(DP883,DR883,EA883, DU883, DT883,FX883)</f>
        <v>1659.9740000000002</v>
      </c>
      <c r="EC883" s="24" t="s">
        <v>4954</v>
      </c>
      <c r="ED883" s="7">
        <v>0.28999999999999998</v>
      </c>
      <c r="EE883" s="4">
        <v>12000</v>
      </c>
      <c r="EF883" s="4">
        <v>0</v>
      </c>
      <c r="EG883" s="14">
        <f>SUM(EE883+EF883)</f>
        <v>12000</v>
      </c>
      <c r="EH883" s="14">
        <v>18000</v>
      </c>
      <c r="EI883" s="14">
        <v>0</v>
      </c>
      <c r="EJ883" s="14">
        <f>SUM(EH883+EI883)</f>
        <v>18000</v>
      </c>
      <c r="EK883" t="s">
        <v>4974</v>
      </c>
      <c r="EL883" t="s">
        <v>4994</v>
      </c>
      <c r="ES883" t="s">
        <v>4009</v>
      </c>
      <c r="EU883" t="s">
        <v>4010</v>
      </c>
      <c r="EW883" t="s">
        <v>344</v>
      </c>
      <c r="EX883" t="s">
        <v>260</v>
      </c>
      <c r="EY883" t="s">
        <v>4011</v>
      </c>
      <c r="FA883" t="s">
        <v>4014</v>
      </c>
      <c r="FC883" t="s">
        <v>4015</v>
      </c>
      <c r="FD883" t="s">
        <v>757</v>
      </c>
      <c r="FE883" t="s">
        <v>4012</v>
      </c>
      <c r="FG883" t="s">
        <v>4013</v>
      </c>
      <c r="FH883" t="s">
        <v>1060</v>
      </c>
      <c r="FI883" t="s">
        <v>757</v>
      </c>
      <c r="FX883" s="4">
        <v>12.52</v>
      </c>
      <c r="IA883" s="9">
        <v>45227</v>
      </c>
      <c r="IL883" s="14">
        <f ca="1">SUM(IB883-EB883-FX883-IJ883)</f>
        <v>-1672.4940000000001</v>
      </c>
      <c r="IM883" s="14"/>
      <c r="IN883" s="14"/>
      <c r="IO883" s="9"/>
      <c r="IP883" s="9"/>
      <c r="IQ883" s="9"/>
      <c r="IR883" s="9"/>
      <c r="IS883" s="9"/>
      <c r="IT883" s="18"/>
      <c r="IU883" s="18"/>
    </row>
    <row r="884" spans="1:267" ht="15" customHeight="1">
      <c r="A884" s="19">
        <v>102021086</v>
      </c>
      <c r="B884" s="18" t="s">
        <v>2601</v>
      </c>
      <c r="D884" s="13">
        <v>2023</v>
      </c>
      <c r="E884" s="3"/>
      <c r="G884" s="3"/>
      <c r="J884" s="18" t="s">
        <v>434</v>
      </c>
      <c r="K884" s="18" t="s">
        <v>2602</v>
      </c>
      <c r="L884" s="18" t="s">
        <v>971</v>
      </c>
      <c r="M884" s="18" t="s">
        <v>2608</v>
      </c>
      <c r="O884" s="3"/>
      <c r="P884" s="18"/>
      <c r="Q884" s="18"/>
      <c r="R884" s="18"/>
      <c r="AG884" s="43"/>
      <c r="AJ884" s="18" t="s">
        <v>328</v>
      </c>
      <c r="AL884" s="18" t="s">
        <v>259</v>
      </c>
      <c r="AM884"/>
      <c r="AN884"/>
      <c r="AO884" t="s">
        <v>2606</v>
      </c>
      <c r="AP884" s="3" t="s">
        <v>258</v>
      </c>
      <c r="AQ884" t="s">
        <v>344</v>
      </c>
      <c r="AR884" s="18" t="s">
        <v>260</v>
      </c>
      <c r="AS884" s="18" t="s">
        <v>372</v>
      </c>
      <c r="AT884" s="18" t="s">
        <v>373</v>
      </c>
      <c r="AU884" s="18" t="s">
        <v>374</v>
      </c>
      <c r="AV884" s="18" t="s">
        <v>259</v>
      </c>
      <c r="AW884" s="18" t="s">
        <v>260</v>
      </c>
      <c r="AX884" s="1"/>
      <c r="AY884" s="1"/>
      <c r="AZ884" s="1"/>
      <c r="BA884" s="1"/>
      <c r="BB884" s="1"/>
      <c r="BC884" s="2"/>
      <c r="BD884" s="115">
        <v>45060</v>
      </c>
      <c r="BE884" s="115">
        <v>44957</v>
      </c>
      <c r="BF884" s="2"/>
      <c r="BG884" s="2"/>
      <c r="BH884" s="2"/>
      <c r="BI884" s="2"/>
      <c r="BJ884" s="2"/>
      <c r="BK884" s="2"/>
      <c r="BL884" s="20">
        <f ca="1">SUM(EB884)+220</f>
        <v>1879.9740000000002</v>
      </c>
      <c r="BM884" s="22">
        <f ca="1">PMT(10%/12,12,BL884,0,0)</f>
        <v>-165.27958217935009</v>
      </c>
      <c r="BN884" s="22">
        <f ca="1">SUM(BM884*-1)</f>
        <v>165.27958217935009</v>
      </c>
      <c r="BO884" s="14">
        <f>SUM(EJ884*0.0052)/12</f>
        <v>7.8</v>
      </c>
      <c r="BP884" s="22">
        <f ca="1">SUM(BN884+BO884)</f>
        <v>173.0795821793501</v>
      </c>
      <c r="BQ884" s="14"/>
      <c r="BR884" s="14">
        <f>SUM(BQ884*0.1)</f>
        <v>0</v>
      </c>
      <c r="BS884" s="14">
        <f ca="1">SUM(BT884*BU884)</f>
        <v>0</v>
      </c>
      <c r="BT884" s="17">
        <f>SUM((BQ884+BR884)*0.00833333333333333)</f>
        <v>0</v>
      </c>
      <c r="BU884" s="23">
        <f ca="1">MONTH(TODAY())+61</f>
        <v>65</v>
      </c>
      <c r="BV884" s="14">
        <f ca="1">SUM(BQ884,BR884,BS884)</f>
        <v>0</v>
      </c>
      <c r="BW884" s="14">
        <f>SUM(EG884*0.0052)</f>
        <v>62.4</v>
      </c>
      <c r="BX884" s="14">
        <f>SUM(BW884*0.1)</f>
        <v>6.24</v>
      </c>
      <c r="BY884" s="14">
        <f ca="1">SUM(BZ884*CA884)</f>
        <v>30.315999999999985</v>
      </c>
      <c r="BZ884" s="17">
        <f>SUM((BW884+BX884)*0.00833333333333333)</f>
        <v>0.57199999999999973</v>
      </c>
      <c r="CA884" s="23">
        <f ca="1">MONTH(TODAY())+49</f>
        <v>53</v>
      </c>
      <c r="CB884" s="14">
        <f ca="1">SUM(BW884,BX884,BY884)</f>
        <v>98.955999999999989</v>
      </c>
      <c r="CC884" s="14">
        <f>SUM(EG884*0.0052)</f>
        <v>62.4</v>
      </c>
      <c r="CD884" s="14">
        <f>SUM(CC884*0.1)</f>
        <v>6.24</v>
      </c>
      <c r="CE884" s="14">
        <f ca="1">SUM(CF884*CG884)</f>
        <v>23.451999999999988</v>
      </c>
      <c r="CF884" s="17">
        <f>SUM((CC884+CD884)*0.00833333333333333)</f>
        <v>0.57199999999999973</v>
      </c>
      <c r="CG884" s="23">
        <f ca="1">MONTH(TODAY())+37</f>
        <v>41</v>
      </c>
      <c r="CH884" s="14">
        <f ca="1">SUM(CC884,CD884,CE884)</f>
        <v>92.091999999999985</v>
      </c>
      <c r="CI884" s="14">
        <f>SUM(EG884*0.0052)</f>
        <v>62.4</v>
      </c>
      <c r="CJ884" s="14">
        <f>SUM(CI884*0.1)</f>
        <v>6.24</v>
      </c>
      <c r="CK884" s="14">
        <f ca="1">SUM(CL884*CM884)</f>
        <v>16.587999999999994</v>
      </c>
      <c r="CL884" s="17">
        <f>SUM((CI884+CJ884)*0.00833333333333333)</f>
        <v>0.57199999999999973</v>
      </c>
      <c r="CM884" s="23">
        <f ca="1">MONTH(TODAY())+25</f>
        <v>29</v>
      </c>
      <c r="CN884" s="14">
        <f ca="1">SUM(CI884,CJ884,CK884)</f>
        <v>85.227999999999994</v>
      </c>
      <c r="CO884" s="14">
        <f>SUM(EG884*0.0052)/2</f>
        <v>31.2</v>
      </c>
      <c r="CP884" s="14">
        <f>SUM(CO884*0.1)</f>
        <v>3.12</v>
      </c>
      <c r="CQ884" s="14">
        <f ca="1">SUM(CR884*CS884)</f>
        <v>6.0059999999999976</v>
      </c>
      <c r="CR884" s="17">
        <f>SUM((CO884+CP884)*0.00833333333333333)</f>
        <v>0.28599999999999987</v>
      </c>
      <c r="CS884" s="23">
        <f ca="1">MONTH(TODAY())+17</f>
        <v>21</v>
      </c>
      <c r="CT884" s="23">
        <f ca="1">SUM(CO884,CP884,CQ884)</f>
        <v>40.326000000000001</v>
      </c>
      <c r="CU884" s="14">
        <f>SUM(EG884*0.0052)/2</f>
        <v>31.2</v>
      </c>
      <c r="CV884" s="14">
        <f>SUM(CU884*0.1)</f>
        <v>3.12</v>
      </c>
      <c r="CW884" s="14">
        <f ca="1">SUM(CX884*CY884)</f>
        <v>4.8619999999999974</v>
      </c>
      <c r="CX884" s="17">
        <f>SUM((CU884+CV884)*0.00833333333333333)</f>
        <v>0.28599999999999987</v>
      </c>
      <c r="CY884" s="23">
        <f ca="1">MONTH(TODAY())+13</f>
        <v>17</v>
      </c>
      <c r="CZ884" s="23">
        <f ca="1">SUM(CU884,CV884,CW884)</f>
        <v>39.181999999999995</v>
      </c>
      <c r="DA884" s="14">
        <f>SUM(EJ884*0.0045)/2</f>
        <v>40.5</v>
      </c>
      <c r="DB884" s="14">
        <f>SUM(DA884*0.1)</f>
        <v>4.05</v>
      </c>
      <c r="DC884" s="14">
        <f ca="1">SUM(DD884*DE884)</f>
        <v>4.0837499999999975</v>
      </c>
      <c r="DD884" s="17">
        <f>SUM((DA884+DB884)*0.00833333333333333)</f>
        <v>0.3712499999999998</v>
      </c>
      <c r="DE884" s="23">
        <f ca="1">MONTH(TODAY())+7</f>
        <v>11</v>
      </c>
      <c r="DF884" s="23">
        <f ca="1">SUM(DA884,DB884,DC884)</f>
        <v>48.633749999999992</v>
      </c>
      <c r="DG884" s="14">
        <f>SUM(EJ884*0.0045)/2</f>
        <v>40.5</v>
      </c>
      <c r="DH884" s="14">
        <f>SUM(DG884*0.1)</f>
        <v>4.05</v>
      </c>
      <c r="DI884" s="14">
        <f ca="1">SUM(DJ884*DK884)</f>
        <v>1.8562499999999991</v>
      </c>
      <c r="DJ884" s="17">
        <f>SUM((DG884+DH884)*0.00833333333333333)</f>
        <v>0.3712499999999998</v>
      </c>
      <c r="DK884" s="23">
        <f ca="1">MONTH(TODAY())+1</f>
        <v>5</v>
      </c>
      <c r="DL884" s="14">
        <f ca="1">SUM(DG884,DH884,DI884)</f>
        <v>46.406249999999993</v>
      </c>
      <c r="DM884" s="14">
        <f>SUM( BQ884, BW884, CC884, CI884, CO884,CU884,DA884,DG884)</f>
        <v>330.59999999999997</v>
      </c>
      <c r="DN884" s="14">
        <f>SUM(BR884,BX884,CD884,CJ884, CP884,CV884,DB884,DH884)</f>
        <v>33.06</v>
      </c>
      <c r="DO884" s="14">
        <f ca="1">SUM(BS884,BY884,CE884,CK884, CQ884,CW884,DC884,DI884)</f>
        <v>87.163999999999959</v>
      </c>
      <c r="DP884" s="25">
        <f ca="1">SUM(DM884:DO884)</f>
        <v>450.82399999999996</v>
      </c>
      <c r="DQ884" s="47">
        <f ca="1">SUM(DP884/EG884)</f>
        <v>3.756866666666666E-2</v>
      </c>
      <c r="DR884" s="14">
        <f>369.5+100+80+100</f>
        <v>649.5</v>
      </c>
      <c r="DS884" s="32">
        <f>COUNTIF(DW884, "*")+COUNTIF(AO884, "*")+COUNTIF(AJ884, "*")+COUNTIF(AA884, "*")+COUNTIF(EU884, "*")+COUNTIF(FA884, "*")+COUNTIF(FG884, "*")+COUNTIF(FK884, "*")+COUNTIF(FR884, "*")+COUNTIF(AT884, "*")+COUNTIF(GA884, "*")+COUNTIF(GL884, "*")+COUNTIF(GW884, "*")+COUNTIF(HE884, "*")+COUNTIF(HM884, "*")+COUNTIF(HU884, "*")</f>
        <v>6</v>
      </c>
      <c r="DT884" s="14">
        <f>DS884*0.5+DS884*7.45+55.17</f>
        <v>102.87</v>
      </c>
      <c r="DU884" s="4">
        <v>250</v>
      </c>
      <c r="DV884" s="4">
        <f>36.76+157.5</f>
        <v>194.26</v>
      </c>
      <c r="DW884" s="4"/>
      <c r="DZ884" s="4"/>
      <c r="EA884" s="14">
        <f>SUM(DV884:DZ884)</f>
        <v>194.26</v>
      </c>
      <c r="EB884" s="14">
        <f ca="1">SUM(DP884,DR884,EA884, DU884, DT884,FX884)</f>
        <v>1659.9740000000002</v>
      </c>
      <c r="EC884" s="24" t="s">
        <v>4954</v>
      </c>
      <c r="ED884" s="7">
        <v>0.32</v>
      </c>
      <c r="EE884" s="4">
        <v>12000</v>
      </c>
      <c r="EF884" s="4">
        <v>0</v>
      </c>
      <c r="EG884" s="14">
        <f>SUM(EE884+EF884)</f>
        <v>12000</v>
      </c>
      <c r="EH884" s="14">
        <v>18000</v>
      </c>
      <c r="EI884" s="14">
        <v>0</v>
      </c>
      <c r="EJ884" s="14">
        <f>SUM(EH884+EI884)</f>
        <v>18000</v>
      </c>
      <c r="EK884" s="14" t="s">
        <v>4992</v>
      </c>
      <c r="EL884" t="s">
        <v>4993</v>
      </c>
      <c r="ES884" t="s">
        <v>4009</v>
      </c>
      <c r="EU884" t="s">
        <v>4010</v>
      </c>
      <c r="EW884" t="s">
        <v>344</v>
      </c>
      <c r="EX884" t="s">
        <v>260</v>
      </c>
      <c r="EY884" t="s">
        <v>4011</v>
      </c>
      <c r="FA884" t="s">
        <v>4014</v>
      </c>
      <c r="FC884" t="s">
        <v>4015</v>
      </c>
      <c r="FD884" t="s">
        <v>757</v>
      </c>
      <c r="FE884" t="s">
        <v>4012</v>
      </c>
      <c r="FG884" t="s">
        <v>4013</v>
      </c>
      <c r="FH884" t="s">
        <v>1060</v>
      </c>
      <c r="FI884" t="s">
        <v>757</v>
      </c>
      <c r="FX884" s="4">
        <v>12.52</v>
      </c>
      <c r="IA884" s="9">
        <v>45227</v>
      </c>
      <c r="IL884" s="14">
        <f ca="1">SUM(IB884-EB884-FX884-IJ884)</f>
        <v>-1672.4940000000001</v>
      </c>
      <c r="IM884" s="14"/>
      <c r="IN884" s="14"/>
      <c r="IO884" s="9"/>
      <c r="IP884" s="9"/>
      <c r="IQ884" s="9"/>
      <c r="IR884" s="9"/>
      <c r="IS884" s="9"/>
    </row>
    <row r="885" spans="1:267" ht="15" customHeight="1">
      <c r="A885" s="2">
        <v>102017073</v>
      </c>
      <c r="B885" t="s">
        <v>985</v>
      </c>
      <c r="J885" t="s">
        <v>510</v>
      </c>
      <c r="K885" t="s">
        <v>352</v>
      </c>
      <c r="L885" t="s">
        <v>986</v>
      </c>
      <c r="O885" s="1"/>
      <c r="T885" s="1"/>
      <c r="AD885" s="3"/>
      <c r="AG885" s="1"/>
      <c r="AH885" s="4"/>
      <c r="AI885" s="4"/>
      <c r="AJ885" s="4"/>
      <c r="AK885" s="4"/>
      <c r="AL885" s="4"/>
      <c r="AO885" s="4"/>
      <c r="AP885" s="13"/>
      <c r="AQ885" s="34"/>
      <c r="AR885" s="34"/>
      <c r="AS885" s="5"/>
      <c r="AT885" s="13"/>
      <c r="AU885" s="1"/>
      <c r="AV885" s="1"/>
      <c r="AW885" s="1"/>
      <c r="AX885" s="1"/>
      <c r="AY885" s="15"/>
      <c r="AZ885" s="15"/>
      <c r="BA885" s="1"/>
      <c r="BB885" s="1"/>
      <c r="BC885" s="1"/>
      <c r="BD885" s="1"/>
      <c r="BE885" s="15"/>
      <c r="BF885" s="1"/>
      <c r="BG885" s="5"/>
      <c r="BH885" s="16"/>
      <c r="BI885" s="16"/>
      <c r="BJ885" s="4"/>
      <c r="BK885" s="4"/>
      <c r="BL885" s="4"/>
      <c r="BM885" s="6"/>
      <c r="BN885" s="7"/>
      <c r="BO885" s="4"/>
      <c r="BP885" s="4"/>
      <c r="BQ885" s="4"/>
      <c r="BR885" s="4"/>
      <c r="BS885" s="6"/>
      <c r="BT885" s="7"/>
      <c r="BU885" s="4"/>
      <c r="BV885" s="4"/>
      <c r="BW885" s="4"/>
      <c r="BX885" s="4"/>
      <c r="BY885" s="6"/>
      <c r="BZ885" s="7"/>
      <c r="CA885" s="4"/>
      <c r="CB885" s="4"/>
      <c r="CC885" s="4"/>
      <c r="CD885" s="4"/>
      <c r="CE885" s="6"/>
      <c r="CF885" s="7"/>
      <c r="CG885" s="4"/>
      <c r="CH885" s="4"/>
      <c r="CI885" s="4"/>
      <c r="CJ885" s="4"/>
      <c r="CK885" s="6"/>
      <c r="CL885" s="7"/>
      <c r="CM885" s="4"/>
      <c r="CN885" s="4"/>
      <c r="CO885" s="4"/>
      <c r="CP885" s="4"/>
      <c r="CQ885" s="6"/>
      <c r="CR885" s="7"/>
      <c r="CS885" s="4"/>
      <c r="CT885" s="4"/>
      <c r="CU885" s="4"/>
      <c r="CV885" s="4"/>
      <c r="CW885" s="6"/>
      <c r="CX885" s="7"/>
      <c r="CY885" s="4"/>
      <c r="CZ885" s="4"/>
      <c r="DA885" s="4"/>
      <c r="DB885" s="4"/>
      <c r="DC885" s="4"/>
      <c r="DD885" s="3"/>
      <c r="DE885" s="4"/>
      <c r="DF885" s="234"/>
      <c r="DG885" s="4"/>
      <c r="DH885" s="4"/>
      <c r="DI885" s="4"/>
      <c r="DJ885" s="4"/>
      <c r="DK885" s="4"/>
      <c r="DL885" s="4"/>
      <c r="DM885" s="4"/>
      <c r="DN885" s="8"/>
      <c r="DO885" s="4"/>
      <c r="DP885" s="8"/>
      <c r="DQ885" s="8"/>
      <c r="DR885" s="8"/>
      <c r="DS885" s="35"/>
      <c r="FB885" s="9"/>
      <c r="FC885" s="10"/>
      <c r="FJ885" s="10"/>
      <c r="FK885" s="9"/>
      <c r="FQ885" s="4"/>
      <c r="FX885" s="9"/>
      <c r="IC885" s="4"/>
      <c r="ID885" s="4"/>
      <c r="IE885" s="9"/>
      <c r="IZ885" s="240"/>
      <c r="JA885" s="240"/>
      <c r="JB885" s="240"/>
      <c r="JC885" s="240"/>
    </row>
    <row r="886" spans="1:267" ht="15" customHeight="1">
      <c r="A886" s="19">
        <v>102019059</v>
      </c>
      <c r="B886" s="14" t="s">
        <v>660</v>
      </c>
      <c r="C886" s="13"/>
      <c r="D886" s="13" t="s">
        <v>258</v>
      </c>
      <c r="E886" s="24"/>
      <c r="F886" s="19"/>
      <c r="G886" s="18"/>
      <c r="H886" s="18"/>
      <c r="I886" s="18"/>
      <c r="J886" s="18" t="s">
        <v>510</v>
      </c>
      <c r="K886" s="18" t="s">
        <v>661</v>
      </c>
      <c r="L886" s="18" t="s">
        <v>662</v>
      </c>
      <c r="M886" s="18"/>
      <c r="N886" s="18"/>
      <c r="O886" s="13"/>
      <c r="P886" s="18"/>
      <c r="Q886" s="18"/>
      <c r="R886" s="18"/>
      <c r="S886" s="18"/>
      <c r="T886" s="13"/>
      <c r="U886" s="18"/>
      <c r="V886" s="18"/>
      <c r="W886" s="18"/>
      <c r="X886" s="18"/>
      <c r="Y886" s="18"/>
      <c r="Z886" s="18"/>
      <c r="AA886" s="18"/>
      <c r="AB886" s="18"/>
      <c r="AC886" s="18"/>
      <c r="AD886" s="18"/>
      <c r="AE886" s="18"/>
      <c r="AF886" s="18"/>
      <c r="AG886" s="231"/>
      <c r="AH886" s="18"/>
      <c r="AI886" s="18"/>
      <c r="AJ886" s="14" t="s">
        <v>328</v>
      </c>
      <c r="AK886" s="14"/>
      <c r="AL886" s="18" t="s">
        <v>259</v>
      </c>
      <c r="AM886" s="24"/>
      <c r="AN886" s="24" t="s">
        <v>603</v>
      </c>
      <c r="AO886" s="14" t="s">
        <v>604</v>
      </c>
      <c r="AP886" s="20" t="s">
        <v>258</v>
      </c>
      <c r="AQ886" s="24" t="s">
        <v>259</v>
      </c>
      <c r="AR886" s="24" t="s">
        <v>260</v>
      </c>
      <c r="AS886" s="20"/>
      <c r="AT886" s="20"/>
      <c r="AU886" s="13"/>
      <c r="AV886" s="13"/>
      <c r="AW886" s="13"/>
      <c r="AX886" s="19"/>
      <c r="AY886" s="48"/>
      <c r="AZ886" s="48"/>
      <c r="BA886" s="19"/>
      <c r="BB886" s="19"/>
      <c r="BC886" s="19"/>
      <c r="BD886" s="19"/>
      <c r="BE886" s="19"/>
      <c r="BF886" s="19"/>
      <c r="BG886" s="20"/>
      <c r="BH886" s="22"/>
      <c r="BI886" s="22"/>
      <c r="BJ886" s="14"/>
      <c r="BK886" s="22"/>
      <c r="BL886" s="14"/>
      <c r="BM886" s="14"/>
      <c r="BN886" s="14"/>
      <c r="BO886" s="17"/>
      <c r="BP886" s="23"/>
      <c r="BQ886" s="14"/>
      <c r="BR886" s="14"/>
      <c r="BS886" s="14"/>
      <c r="BT886" s="14"/>
      <c r="BU886" s="17"/>
      <c r="BV886" s="23"/>
      <c r="BW886" s="14"/>
      <c r="BX886" s="14"/>
      <c r="BY886" s="14"/>
      <c r="BZ886" s="14"/>
      <c r="CA886" s="17"/>
      <c r="CB886" s="23"/>
      <c r="CC886" s="14"/>
      <c r="CD886" s="14"/>
      <c r="CE886" s="14"/>
      <c r="CF886" s="14"/>
      <c r="CG886" s="17"/>
      <c r="CH886" s="23"/>
      <c r="CI886" s="14"/>
      <c r="CJ886" s="14"/>
      <c r="CK886" s="14"/>
      <c r="CL886" s="14"/>
      <c r="CM886" s="17"/>
      <c r="CN886" s="23"/>
      <c r="CO886" s="14"/>
      <c r="CP886" s="14"/>
      <c r="CQ886" s="14"/>
      <c r="CR886" s="14"/>
      <c r="CS886" s="17"/>
      <c r="CT886" s="23"/>
      <c r="CU886" s="14"/>
      <c r="CV886" s="14"/>
      <c r="CW886" s="14"/>
      <c r="CX886" s="14"/>
      <c r="CY886" s="14"/>
      <c r="CZ886" s="14"/>
      <c r="DA886" s="14"/>
      <c r="DB886" s="14"/>
      <c r="DC886" s="14"/>
      <c r="DD886" s="14"/>
      <c r="DE886" s="14"/>
      <c r="DF886" s="47"/>
      <c r="DG886" s="14"/>
      <c r="DH886" s="32"/>
      <c r="DI886" s="14"/>
      <c r="DJ886" s="14">
        <v>300</v>
      </c>
      <c r="DK886" s="14">
        <f>SUM(DE886,DG886,DQ886, DJ886, DI886,FS886)</f>
        <v>332.58</v>
      </c>
      <c r="DL886" s="14">
        <v>32.58</v>
      </c>
      <c r="DM886" s="14"/>
      <c r="DN886" s="14"/>
      <c r="DO886" s="23"/>
      <c r="DP886" s="25"/>
      <c r="DQ886" s="14">
        <f>SUM(DL886:DP886)</f>
        <v>32.58</v>
      </c>
      <c r="DR886" s="24" t="s">
        <v>2217</v>
      </c>
      <c r="DS886" s="25">
        <v>6000</v>
      </c>
      <c r="DT886" s="25">
        <v>0</v>
      </c>
      <c r="DU886" s="25">
        <f>SUM(DS886+DT886)</f>
        <v>6000</v>
      </c>
      <c r="DV886" s="36">
        <v>0.21</v>
      </c>
      <c r="DW886" s="18" t="s">
        <v>2235</v>
      </c>
      <c r="DX886" s="18" t="s">
        <v>2236</v>
      </c>
      <c r="DY886" s="18"/>
      <c r="DZ886" s="18"/>
      <c r="EA886" s="18"/>
      <c r="EB886" s="18"/>
      <c r="EC886" s="18"/>
      <c r="ED886" s="18"/>
      <c r="EE886" s="18"/>
      <c r="EF886" s="18"/>
      <c r="EG886" s="18"/>
      <c r="EH886" s="18"/>
      <c r="EI886" s="18" t="s">
        <v>2222</v>
      </c>
      <c r="EJ886" s="18"/>
      <c r="EK886" s="18" t="s">
        <v>2223</v>
      </c>
      <c r="EL886" s="18" t="s">
        <v>784</v>
      </c>
      <c r="EM886" s="18" t="s">
        <v>259</v>
      </c>
      <c r="EN886" s="18" t="s">
        <v>260</v>
      </c>
      <c r="EO886" s="18" t="s">
        <v>2224</v>
      </c>
      <c r="EP886" s="18"/>
      <c r="EQ886" s="18" t="s">
        <v>2225</v>
      </c>
      <c r="ER886" s="18"/>
      <c r="ES886" s="18" t="s">
        <v>2226</v>
      </c>
      <c r="ET886" s="18"/>
      <c r="EU886" s="18" t="s">
        <v>2227</v>
      </c>
      <c r="EV886" s="18" t="s">
        <v>258</v>
      </c>
      <c r="EW886" s="18" t="s">
        <v>2228</v>
      </c>
      <c r="EX886" s="18"/>
      <c r="EY886" s="18"/>
      <c r="EZ886" s="18"/>
      <c r="FA886" s="18"/>
      <c r="FB886" s="18"/>
      <c r="FC886" s="18"/>
      <c r="FD886" s="18"/>
      <c r="FE886" s="27"/>
      <c r="FF886" s="18"/>
      <c r="FG886" s="18"/>
      <c r="FH886" s="18"/>
      <c r="FI886" s="18"/>
      <c r="FJ886" s="18"/>
      <c r="FK886" s="18"/>
      <c r="FL886" s="18"/>
      <c r="FM886" s="18"/>
      <c r="FN886" s="18" t="s">
        <v>372</v>
      </c>
      <c r="FO886" s="18" t="s">
        <v>373</v>
      </c>
      <c r="FP886" s="18" t="s">
        <v>374</v>
      </c>
      <c r="FQ886" s="18" t="s">
        <v>259</v>
      </c>
      <c r="FR886" s="18" t="s">
        <v>260</v>
      </c>
      <c r="FS886" s="14"/>
      <c r="FT886" s="18" t="s">
        <v>2229</v>
      </c>
      <c r="FU886" s="18"/>
      <c r="FV886" s="18" t="s">
        <v>2230</v>
      </c>
      <c r="FW886" s="18"/>
      <c r="FX886" s="18" t="s">
        <v>2231</v>
      </c>
      <c r="FY886" s="18"/>
      <c r="FZ886" s="27">
        <v>38961</v>
      </c>
      <c r="GA886" s="18" t="s">
        <v>2232</v>
      </c>
      <c r="GB886" s="18"/>
      <c r="GC886" s="18"/>
      <c r="GD886" s="18"/>
      <c r="GE886" s="18"/>
      <c r="GF886" s="18"/>
      <c r="GG886" s="18"/>
      <c r="GH886" s="28"/>
      <c r="GI886" s="18"/>
      <c r="GJ886" s="18"/>
      <c r="GK886" s="18"/>
      <c r="GL886" s="18"/>
      <c r="GM886" s="18"/>
      <c r="GN886" s="18"/>
      <c r="GO886" s="18"/>
      <c r="GP886" s="18"/>
      <c r="GQ886" s="18"/>
      <c r="GR886" s="18"/>
      <c r="GS886" s="18"/>
      <c r="GT886" s="18"/>
      <c r="GU886" s="18"/>
      <c r="GV886" s="18"/>
      <c r="GW886" s="27"/>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4"/>
      <c r="IF886" s="14"/>
      <c r="IG886" s="27"/>
      <c r="IH886" s="18"/>
      <c r="II886" s="18"/>
      <c r="IJ886" s="18"/>
      <c r="IK886" s="18"/>
      <c r="IL886" s="18"/>
      <c r="IM886" s="18"/>
      <c r="IN886" s="14"/>
      <c r="IO886" s="14"/>
      <c r="IP886" s="27">
        <v>43935</v>
      </c>
      <c r="IQ886" s="27">
        <v>43965</v>
      </c>
      <c r="IR886" s="18"/>
      <c r="IS886" s="18"/>
      <c r="IT886" s="18"/>
    </row>
    <row r="887" spans="1:267" ht="15" customHeight="1">
      <c r="A887" s="19">
        <v>102022047</v>
      </c>
      <c r="B887" t="s">
        <v>2798</v>
      </c>
      <c r="D887" s="1">
        <v>2025</v>
      </c>
      <c r="E887" s="3"/>
      <c r="F887" s="3"/>
      <c r="K887" t="s">
        <v>3017</v>
      </c>
      <c r="AD887" t="s">
        <v>3455</v>
      </c>
      <c r="AE887" t="s">
        <v>253</v>
      </c>
      <c r="AF887" t="s">
        <v>3456</v>
      </c>
      <c r="AG887" s="43" t="s">
        <v>3457</v>
      </c>
      <c r="AH887" t="s">
        <v>3458</v>
      </c>
      <c r="AI887" t="s">
        <v>329</v>
      </c>
      <c r="AJ887" t="s">
        <v>328</v>
      </c>
      <c r="AL887" s="3" t="s">
        <v>259</v>
      </c>
      <c r="AM887"/>
      <c r="AN887" t="s">
        <v>3018</v>
      </c>
      <c r="AO887" s="3" t="s">
        <v>604</v>
      </c>
      <c r="AP887" s="3" t="s">
        <v>258</v>
      </c>
      <c r="AQ887" t="s">
        <v>259</v>
      </c>
      <c r="AR887" t="s">
        <v>260</v>
      </c>
      <c r="AS887" s="1"/>
      <c r="AT887" s="1"/>
      <c r="AU887" s="1"/>
      <c r="AV887" s="1"/>
      <c r="AW887" s="1"/>
      <c r="AX887" s="2"/>
      <c r="AY887" s="116"/>
      <c r="AZ887" s="115"/>
      <c r="BA887" s="2"/>
      <c r="BB887" s="2"/>
      <c r="BC887" s="2"/>
      <c r="BD887" s="2"/>
      <c r="BE887" s="2"/>
      <c r="BF887" s="2"/>
      <c r="BG887" s="20">
        <f ca="1">SUM(CY887)+39+39</f>
        <v>346.88</v>
      </c>
      <c r="BH887" s="22">
        <f ca="1">PMT(10%/12,12,BG887,0,0)</f>
        <v>-30.496262962345728</v>
      </c>
      <c r="BI887" s="22">
        <f ca="1">SUM(BH887*-1)</f>
        <v>30.496262962345728</v>
      </c>
      <c r="BJ887" s="14">
        <f>SUM(DI887*0.0052)/12</f>
        <v>6.5</v>
      </c>
      <c r="BK887" s="22">
        <f ca="1">SUM(BI887+BJ887)</f>
        <v>36.996262962345725</v>
      </c>
      <c r="BL887" s="14"/>
      <c r="BM887" s="14">
        <f>SUM(BL887*0.1)</f>
        <v>0</v>
      </c>
      <c r="BN887" s="14">
        <f ca="1">SUM(BO887*BP887)</f>
        <v>0</v>
      </c>
      <c r="BO887" s="17">
        <f>SUM((BL887+BM887)*0.00833333333333333)</f>
        <v>0</v>
      </c>
      <c r="BP887" s="23">
        <f ca="1">MONTH(TODAY())+49</f>
        <v>53</v>
      </c>
      <c r="BQ887" s="14">
        <f ca="1">SUM(BL887,BM887,BN887)</f>
        <v>0</v>
      </c>
      <c r="BR887" s="14"/>
      <c r="BS887" s="14">
        <f>SUM(BR887*0.1)</f>
        <v>0</v>
      </c>
      <c r="BT887" s="14">
        <f ca="1">SUM(BU887*BV887)</f>
        <v>0</v>
      </c>
      <c r="BU887" s="17">
        <f>SUM((BR887+BS887)*0.00833333333333333)</f>
        <v>0</v>
      </c>
      <c r="BV887" s="23">
        <f ca="1">MONTH(TODAY())+37</f>
        <v>41</v>
      </c>
      <c r="BW887" s="14">
        <f ca="1">SUM(BR887,BS887,BT887)</f>
        <v>0</v>
      </c>
      <c r="BX887" s="14"/>
      <c r="BY887" s="14">
        <f>SUM(BX887*0.1)</f>
        <v>0</v>
      </c>
      <c r="BZ887" s="14">
        <f ca="1">SUM(CA887*CB887)</f>
        <v>0</v>
      </c>
      <c r="CA887" s="17">
        <f>SUM((BX887+BY887)*0.00833333333333333)</f>
        <v>0</v>
      </c>
      <c r="CB887" s="23">
        <f ca="1">MONTH(TODAY())+25</f>
        <v>29</v>
      </c>
      <c r="CC887" s="14">
        <f ca="1">SUM(BX887,BY887,BZ887)</f>
        <v>0</v>
      </c>
      <c r="CD887" s="14">
        <f>SUM(DI887*0.0052)</f>
        <v>78</v>
      </c>
      <c r="CE887" s="14">
        <f>SUM(CD887*0.1)</f>
        <v>7.8000000000000007</v>
      </c>
      <c r="CF887" s="14">
        <f>SUM(CG887*CH887)</f>
        <v>12.869999999999994</v>
      </c>
      <c r="CG887" s="17">
        <f>SUM((CD887+CE887)*0.00833333333333333)</f>
        <v>0.71499999999999964</v>
      </c>
      <c r="CH887" s="23">
        <v>18</v>
      </c>
      <c r="CI887" s="14">
        <f>SUM(CD887,CE887,CF887)</f>
        <v>98.669999999999987</v>
      </c>
      <c r="CJ887" s="14">
        <f>SUM(DI887*0.0052)</f>
        <v>78</v>
      </c>
      <c r="CK887" s="14">
        <f>SUM(CJ887*0.1)</f>
        <v>7.8000000000000007</v>
      </c>
      <c r="CL887" s="14">
        <f>SUM(CM887*CN887)</f>
        <v>4.2899999999999974</v>
      </c>
      <c r="CM887" s="17">
        <f>SUM((CJ887+CK887)*0.00833333333333333)</f>
        <v>0.71499999999999964</v>
      </c>
      <c r="CN887" s="23">
        <v>6</v>
      </c>
      <c r="CO887" s="14">
        <f>SUM(CJ887,CK887,CL887)</f>
        <v>90.089999999999989</v>
      </c>
      <c r="CP887" s="14">
        <f t="shared" ref="CP887:CR888" si="342">SUM(BL887, BR887,BX887,CD887,CJ887)</f>
        <v>156</v>
      </c>
      <c r="CQ887" s="14">
        <f t="shared" si="342"/>
        <v>15.600000000000001</v>
      </c>
      <c r="CR887" s="14">
        <f t="shared" ca="1" si="342"/>
        <v>17.159999999999989</v>
      </c>
      <c r="CS887" s="14">
        <f ca="1">SUM(CP887:CR887)</f>
        <v>188.76</v>
      </c>
      <c r="CT887" s="47">
        <f ca="1">SUM(CS887/DI887)</f>
        <v>1.2584E-2</v>
      </c>
      <c r="CU887" s="14">
        <f>58.5+19.5</f>
        <v>78</v>
      </c>
      <c r="CV887" s="32">
        <f>COUNTIF(DB887, "*")+COUNTIF(AO887, "*")+COUNTIF(AJ887, "*")+COUNTIF(AA887, "*")+COUNTIF(DY887, "*")+COUNTIF(EE887, "*")+COUNTIF(EK887, "*")+COUNTIF(EO887, "*")+COUNTIF(EV887, "*")+COUNTIF(FC887, "*")+COUNTIF(FJ887, "*")+COUNTIF(FU887, "*")+COUNTIF(GF887, "*")+COUNTIF(GN887, "*")+COUNTIF(GV887, "*")+COUNTIF(HD887, "*")+COUNTIF(HL887, "*")</f>
        <v>2</v>
      </c>
      <c r="CW887" s="14">
        <f>CV887*0.53*2</f>
        <v>2.12</v>
      </c>
      <c r="CX887" s="4"/>
      <c r="CY887" s="14">
        <f ca="1">SUM(CS887,CU887,DE887, CX887, CW887,FG887)</f>
        <v>268.88</v>
      </c>
      <c r="CZ887" s="4"/>
      <c r="DE887" s="14">
        <f>SUM(CZ887:DD887)</f>
        <v>0</v>
      </c>
      <c r="DF887" s="24" t="s">
        <v>2773</v>
      </c>
      <c r="DG887" s="4">
        <v>15000</v>
      </c>
      <c r="DH887" s="4">
        <v>0</v>
      </c>
      <c r="DI887" s="25">
        <f>SUM(DG887+DH887)</f>
        <v>15000</v>
      </c>
      <c r="DJ887" s="35">
        <v>0.64</v>
      </c>
      <c r="IC887" s="4"/>
      <c r="IL887" s="18"/>
      <c r="IM887" s="18"/>
      <c r="IN887" s="18"/>
      <c r="IO887" s="18"/>
      <c r="IP887" s="18"/>
      <c r="IQ887" s="18"/>
      <c r="IR887" s="18"/>
      <c r="IS887" s="18"/>
      <c r="IT887" s="18"/>
      <c r="IU887" s="18"/>
      <c r="IV887" s="18"/>
      <c r="IW887" s="18"/>
      <c r="IX887" s="18"/>
      <c r="IY887" s="18"/>
    </row>
    <row r="888" spans="1:267" s="18" customFormat="1" ht="15" customHeight="1">
      <c r="A888" s="19">
        <v>102022048</v>
      </c>
      <c r="B888" t="s">
        <v>2799</v>
      </c>
      <c r="C888"/>
      <c r="D888" s="1">
        <v>2025</v>
      </c>
      <c r="E888" s="3"/>
      <c r="F888" s="3"/>
      <c r="G888"/>
      <c r="H888"/>
      <c r="I888"/>
      <c r="J888"/>
      <c r="K888" t="s">
        <v>3017</v>
      </c>
      <c r="L888"/>
      <c r="M888"/>
      <c r="N888"/>
      <c r="O888"/>
      <c r="P888"/>
      <c r="Q888"/>
      <c r="R888"/>
      <c r="S888"/>
      <c r="T888"/>
      <c r="U888"/>
      <c r="V888"/>
      <c r="W888"/>
      <c r="X888"/>
      <c r="Y888"/>
      <c r="Z888"/>
      <c r="AA888"/>
      <c r="AB888"/>
      <c r="AC888"/>
      <c r="AD888" t="s">
        <v>3455</v>
      </c>
      <c r="AE888" t="s">
        <v>253</v>
      </c>
      <c r="AF888" t="s">
        <v>3456</v>
      </c>
      <c r="AG888" s="43" t="s">
        <v>3457</v>
      </c>
      <c r="AH888" t="s">
        <v>3458</v>
      </c>
      <c r="AI888" t="s">
        <v>329</v>
      </c>
      <c r="AJ888" t="s">
        <v>328</v>
      </c>
      <c r="AK888"/>
      <c r="AL888" s="3" t="s">
        <v>259</v>
      </c>
      <c r="AM888"/>
      <c r="AN888" t="s">
        <v>3018</v>
      </c>
      <c r="AO888" s="3" t="s">
        <v>604</v>
      </c>
      <c r="AP888" s="3" t="s">
        <v>258</v>
      </c>
      <c r="AQ888" t="s">
        <v>259</v>
      </c>
      <c r="AR888" t="s">
        <v>260</v>
      </c>
      <c r="AS888" s="1"/>
      <c r="AT888" s="1"/>
      <c r="AU888" s="1"/>
      <c r="AV888" s="1"/>
      <c r="AW888" s="1"/>
      <c r="AX888" s="2"/>
      <c r="AY888" s="116"/>
      <c r="AZ888" s="115"/>
      <c r="BA888" s="2"/>
      <c r="BB888" s="2"/>
      <c r="BC888" s="2"/>
      <c r="BD888" s="2"/>
      <c r="BE888" s="2"/>
      <c r="BF888" s="2"/>
      <c r="BG888" s="20">
        <f ca="1">SUM(CY888)+39+39</f>
        <v>346.88</v>
      </c>
      <c r="BH888" s="22">
        <f ca="1">PMT(10%/12,12,BG888,0,0)</f>
        <v>-30.496262962345728</v>
      </c>
      <c r="BI888" s="22">
        <f ca="1">SUM(BH888*-1)</f>
        <v>30.496262962345728</v>
      </c>
      <c r="BJ888" s="14">
        <f>SUM(DI888*0.0052)/12</f>
        <v>6.5</v>
      </c>
      <c r="BK888" s="22">
        <f ca="1">SUM(BI888+BJ888)</f>
        <v>36.996262962345725</v>
      </c>
      <c r="BL888" s="14"/>
      <c r="BM888" s="14">
        <f>SUM(BL888*0.1)</f>
        <v>0</v>
      </c>
      <c r="BN888" s="14">
        <f ca="1">SUM(BO888*BP888)</f>
        <v>0</v>
      </c>
      <c r="BO888" s="17">
        <f>SUM((BL888+BM888)*0.00833333333333333)</f>
        <v>0</v>
      </c>
      <c r="BP888" s="23">
        <f ca="1">MONTH(TODAY())+49</f>
        <v>53</v>
      </c>
      <c r="BQ888" s="14">
        <f ca="1">SUM(BL888,BM888,BN888)</f>
        <v>0</v>
      </c>
      <c r="BR888" s="14"/>
      <c r="BS888" s="14">
        <f>SUM(BR888*0.1)</f>
        <v>0</v>
      </c>
      <c r="BT888" s="14">
        <f ca="1">SUM(BU888*BV888)</f>
        <v>0</v>
      </c>
      <c r="BU888" s="17">
        <f>SUM((BR888+BS888)*0.00833333333333333)</f>
        <v>0</v>
      </c>
      <c r="BV888" s="23">
        <f ca="1">MONTH(TODAY())+37</f>
        <v>41</v>
      </c>
      <c r="BW888" s="14">
        <f ca="1">SUM(BR888,BS888,BT888)</f>
        <v>0</v>
      </c>
      <c r="BX888" s="14"/>
      <c r="BY888" s="14">
        <f>SUM(BX888*0.1)</f>
        <v>0</v>
      </c>
      <c r="BZ888" s="14">
        <f ca="1">SUM(CA888*CB888)</f>
        <v>0</v>
      </c>
      <c r="CA888" s="17">
        <f>SUM((BX888+BY888)*0.00833333333333333)</f>
        <v>0</v>
      </c>
      <c r="CB888" s="23">
        <f ca="1">MONTH(TODAY())+25</f>
        <v>29</v>
      </c>
      <c r="CC888" s="14">
        <f ca="1">SUM(BX888,BY888,BZ888)</f>
        <v>0</v>
      </c>
      <c r="CD888" s="14">
        <f>SUM(DI888*0.0052)</f>
        <v>78</v>
      </c>
      <c r="CE888" s="14">
        <f>SUM(CD888*0.1)</f>
        <v>7.8000000000000007</v>
      </c>
      <c r="CF888" s="14">
        <f>SUM(CG888*CH888)</f>
        <v>12.869999999999994</v>
      </c>
      <c r="CG888" s="17">
        <f>SUM((CD888+CE888)*0.00833333333333333)</f>
        <v>0.71499999999999964</v>
      </c>
      <c r="CH888" s="23">
        <v>18</v>
      </c>
      <c r="CI888" s="14">
        <f>SUM(CD888,CE888,CF888)</f>
        <v>98.669999999999987</v>
      </c>
      <c r="CJ888" s="14">
        <f>SUM(DI888*0.0052)</f>
        <v>78</v>
      </c>
      <c r="CK888" s="14">
        <f>SUM(CJ888*0.1)</f>
        <v>7.8000000000000007</v>
      </c>
      <c r="CL888" s="14">
        <f>SUM(CM888*CN888)</f>
        <v>4.2899999999999974</v>
      </c>
      <c r="CM888" s="17">
        <f>SUM((CJ888+CK888)*0.00833333333333333)</f>
        <v>0.71499999999999964</v>
      </c>
      <c r="CN888" s="23">
        <v>6</v>
      </c>
      <c r="CO888" s="14">
        <f>SUM(CJ888,CK888,CL888)</f>
        <v>90.089999999999989</v>
      </c>
      <c r="CP888" s="14">
        <f t="shared" si="342"/>
        <v>156</v>
      </c>
      <c r="CQ888" s="14">
        <f t="shared" si="342"/>
        <v>15.600000000000001</v>
      </c>
      <c r="CR888" s="14">
        <f t="shared" ca="1" si="342"/>
        <v>17.159999999999989</v>
      </c>
      <c r="CS888" s="14">
        <f ca="1">SUM(CP888:CR888)</f>
        <v>188.76</v>
      </c>
      <c r="CT888" s="47">
        <f ca="1">SUM(CS888/DI888)</f>
        <v>1.2584E-2</v>
      </c>
      <c r="CU888" s="14">
        <f>58.5+19.5</f>
        <v>78</v>
      </c>
      <c r="CV888" s="32">
        <f>COUNTIF(DB888, "*")+COUNTIF(AO888, "*")+COUNTIF(AJ888, "*")+COUNTIF(AA888, "*")+COUNTIF(DY888, "*")+COUNTIF(EE888, "*")+COUNTIF(EK888, "*")+COUNTIF(EO888, "*")+COUNTIF(EV888, "*")+COUNTIF(FC888, "*")+COUNTIF(FJ888, "*")+COUNTIF(FU888, "*")+COUNTIF(GF888, "*")+COUNTIF(GN888, "*")+COUNTIF(GV888, "*")+COUNTIF(HD888, "*")+COUNTIF(HL888, "*")</f>
        <v>2</v>
      </c>
      <c r="CW888" s="14">
        <f>CV888*0.53*2</f>
        <v>2.12</v>
      </c>
      <c r="CX888" s="4"/>
      <c r="CY888" s="14">
        <f ca="1">SUM(CS888,CU888,DE888, CX888, CW888,FG888)</f>
        <v>268.88</v>
      </c>
      <c r="CZ888" s="4"/>
      <c r="DA888"/>
      <c r="DB888"/>
      <c r="DC888"/>
      <c r="DD888"/>
      <c r="DE888" s="14">
        <f>SUM(CZ888:DD888)</f>
        <v>0</v>
      </c>
      <c r="DF888" s="24" t="s">
        <v>2773</v>
      </c>
      <c r="DG888" s="4">
        <v>15000</v>
      </c>
      <c r="DH888" s="4">
        <v>0</v>
      </c>
      <c r="DI888" s="25">
        <f>SUM(DG888+DH888)</f>
        <v>15000</v>
      </c>
      <c r="DJ888" s="35">
        <v>0.67</v>
      </c>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s="4"/>
      <c r="ID888"/>
      <c r="IE888"/>
      <c r="IF888"/>
      <c r="IG888"/>
      <c r="IH888"/>
      <c r="II888"/>
      <c r="IJ888"/>
      <c r="IK888"/>
      <c r="IL888"/>
      <c r="IM888"/>
      <c r="IN888"/>
      <c r="IO888"/>
      <c r="IP888"/>
      <c r="IQ888"/>
      <c r="IR888"/>
      <c r="IS888"/>
      <c r="IT888"/>
      <c r="IU888"/>
      <c r="IV888"/>
      <c r="IW888"/>
      <c r="IX888"/>
      <c r="IY888"/>
      <c r="IZ888"/>
      <c r="JA888"/>
      <c r="JB888"/>
      <c r="JC888"/>
    </row>
    <row r="889" spans="1:267" ht="15" customHeight="1">
      <c r="A889" s="19">
        <v>102017018</v>
      </c>
      <c r="B889" s="18" t="s">
        <v>818</v>
      </c>
      <c r="C889" s="18"/>
      <c r="D889" s="18"/>
      <c r="E889" s="18" t="s">
        <v>819</v>
      </c>
      <c r="F889" s="18">
        <v>170006436</v>
      </c>
      <c r="G889" s="18"/>
      <c r="H889" s="18"/>
      <c r="I889" s="18"/>
      <c r="J889" s="18" t="s">
        <v>510</v>
      </c>
      <c r="K889" s="18" t="s">
        <v>564</v>
      </c>
      <c r="L889" s="18" t="s">
        <v>820</v>
      </c>
      <c r="M889" s="18" t="s">
        <v>469</v>
      </c>
      <c r="N889" s="18"/>
      <c r="O889" s="13" t="s">
        <v>258</v>
      </c>
      <c r="P889" s="18"/>
      <c r="Q889" s="18"/>
      <c r="R889" s="18"/>
      <c r="S889" s="18"/>
      <c r="T889" s="13"/>
      <c r="U889" s="18"/>
      <c r="V889" s="18"/>
      <c r="W889" s="18"/>
      <c r="X889" s="18"/>
      <c r="Y889" s="18"/>
      <c r="Z889" s="18"/>
      <c r="AA889" s="18"/>
      <c r="AB889" s="18"/>
      <c r="AC889" s="18"/>
      <c r="AD889" s="18"/>
      <c r="AE889" s="13"/>
      <c r="AF889" s="18"/>
      <c r="AG889" s="24"/>
      <c r="AH889" s="18"/>
      <c r="AI889" s="18"/>
      <c r="AJ889" s="14"/>
      <c r="AK889" s="4"/>
      <c r="AL889" s="14"/>
      <c r="AM889" s="34"/>
      <c r="AN889" s="24"/>
      <c r="AO889" s="18"/>
      <c r="AP889" s="13"/>
      <c r="AQ889" s="24"/>
      <c r="AR889" s="34"/>
      <c r="AS889" s="5"/>
      <c r="AT889" s="13"/>
      <c r="AU889" s="13"/>
      <c r="AV889" s="13"/>
      <c r="AW889" s="13"/>
      <c r="AX889" s="15"/>
      <c r="AY889" s="15"/>
      <c r="AZ889" s="15"/>
      <c r="BA889" s="21"/>
      <c r="BB889" s="13"/>
      <c r="BC889" s="15"/>
      <c r="BD889" s="15"/>
      <c r="BE889" s="5"/>
      <c r="BF889" s="16"/>
      <c r="BG889" s="16"/>
      <c r="BH889" s="18"/>
      <c r="BI889" s="14"/>
      <c r="BJ889" s="14"/>
      <c r="BK889" s="17"/>
      <c r="BL889" s="7"/>
      <c r="BM889" s="14"/>
      <c r="BN889" s="18"/>
      <c r="BO889" s="14"/>
      <c r="BP889" s="14"/>
      <c r="BQ889" s="17"/>
      <c r="BR889" s="7"/>
      <c r="BS889" s="14"/>
      <c r="BT889" s="14"/>
      <c r="BU889" s="14"/>
      <c r="BV889" s="14"/>
      <c r="BW889" s="17"/>
      <c r="BX889" s="7"/>
      <c r="BY889" s="14"/>
      <c r="BZ889" s="18"/>
      <c r="CA889" s="14"/>
      <c r="CB889" s="14"/>
      <c r="CC889" s="17"/>
      <c r="CD889" s="7"/>
      <c r="CE889" s="14"/>
      <c r="CF889" s="14"/>
      <c r="CG889" s="14"/>
      <c r="CH889" s="14"/>
      <c r="CI889" s="17"/>
      <c r="CJ889" s="7"/>
      <c r="CK889" s="14"/>
      <c r="CL889" s="14"/>
      <c r="CM889" s="14"/>
      <c r="CN889" s="14"/>
      <c r="CO889" s="17"/>
      <c r="CP889" s="7"/>
      <c r="CQ889" s="4"/>
      <c r="CR889" s="14"/>
      <c r="CS889" s="14"/>
      <c r="CT889" s="14"/>
      <c r="CU889" s="17"/>
      <c r="CV889" s="7"/>
      <c r="CW889" s="4"/>
      <c r="CX889" s="14"/>
      <c r="CY889" s="14"/>
      <c r="CZ889" s="14"/>
      <c r="DA889" s="17"/>
      <c r="DB889" s="7"/>
      <c r="DC889" s="4"/>
      <c r="DD889" s="14"/>
      <c r="DE889" s="14"/>
      <c r="DF889" s="14"/>
      <c r="DG889" s="17"/>
      <c r="DH889" s="7"/>
      <c r="DI889" s="4"/>
      <c r="DJ889" s="14"/>
      <c r="DK889" s="14"/>
      <c r="DL889" s="14"/>
      <c r="DM889" s="14"/>
      <c r="DN889" s="24"/>
      <c r="DO889" s="14"/>
      <c r="DP889" s="14"/>
      <c r="DQ889" s="14"/>
      <c r="DR889" s="14"/>
      <c r="DS889" s="14"/>
      <c r="DT889" s="4"/>
      <c r="DU889" s="4"/>
      <c r="DV889" s="14"/>
      <c r="DW889" s="14"/>
      <c r="DX889" s="4"/>
      <c r="DY889" s="14"/>
      <c r="DZ889" s="14"/>
      <c r="EA889" s="14"/>
      <c r="EB889" s="14"/>
      <c r="EC889" s="4"/>
      <c r="ED889" s="14"/>
      <c r="EE889" s="14"/>
      <c r="EF889" s="14"/>
      <c r="EG889" s="237"/>
      <c r="EH889" s="237"/>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27"/>
      <c r="FN889" s="28"/>
      <c r="FO889" s="18"/>
      <c r="FP889" s="18"/>
      <c r="FQ889" s="18"/>
      <c r="FR889" s="18"/>
      <c r="FS889" s="18"/>
      <c r="FT889" s="18"/>
      <c r="FU889" s="28"/>
      <c r="FV889" s="18"/>
      <c r="FW889" s="18"/>
      <c r="FX889" s="18"/>
      <c r="FY889" s="18"/>
      <c r="FZ889" s="18"/>
      <c r="GA889" s="18"/>
      <c r="GB889" s="18"/>
      <c r="GC889" s="18"/>
      <c r="GD889" s="18"/>
      <c r="GE889" s="18"/>
      <c r="GF889" s="18"/>
      <c r="GG889" s="27"/>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N889" t="s">
        <v>809</v>
      </c>
      <c r="IO889" t="s">
        <v>386</v>
      </c>
      <c r="IP889" s="4">
        <v>453.11</v>
      </c>
      <c r="IQ889" s="9">
        <v>43160</v>
      </c>
      <c r="IR889" s="9">
        <v>43312</v>
      </c>
      <c r="IS889" s="9">
        <v>43328</v>
      </c>
      <c r="IT889" s="9">
        <v>43404</v>
      </c>
      <c r="IU889" s="9">
        <v>43406</v>
      </c>
    </row>
    <row r="890" spans="1:267" s="18" customFormat="1" ht="15" customHeight="1">
      <c r="A890" s="19">
        <v>102022174</v>
      </c>
      <c r="B890" t="s">
        <v>818</v>
      </c>
      <c r="C890"/>
      <c r="D890" s="1"/>
      <c r="E890"/>
      <c r="F890"/>
      <c r="G890"/>
      <c r="H890"/>
      <c r="I890"/>
      <c r="J890" t="s">
        <v>311</v>
      </c>
      <c r="K890" t="s">
        <v>1245</v>
      </c>
      <c r="L890" t="s">
        <v>3222</v>
      </c>
      <c r="M890" t="s">
        <v>357</v>
      </c>
      <c r="N890"/>
      <c r="O890"/>
      <c r="P890"/>
      <c r="Q890"/>
      <c r="R890"/>
      <c r="S890"/>
      <c r="T890"/>
      <c r="U890"/>
      <c r="V890"/>
      <c r="W890"/>
      <c r="X890"/>
      <c r="Y890"/>
      <c r="Z890"/>
      <c r="AA890"/>
      <c r="AB890"/>
      <c r="AC890"/>
      <c r="AD890"/>
      <c r="AE890"/>
      <c r="AF890"/>
      <c r="AG890" s="3"/>
      <c r="AH890"/>
      <c r="AI890"/>
      <c r="AJ890" t="s">
        <v>3223</v>
      </c>
      <c r="AK890" t="s">
        <v>258</v>
      </c>
      <c r="AL890" t="s">
        <v>259</v>
      </c>
      <c r="AM890" t="s">
        <v>260</v>
      </c>
      <c r="AN890"/>
      <c r="AO890" s="3" t="s">
        <v>3224</v>
      </c>
      <c r="AP890" s="3" t="s">
        <v>258</v>
      </c>
      <c r="AQ890" s="3" t="s">
        <v>259</v>
      </c>
      <c r="AR890" t="s">
        <v>260</v>
      </c>
      <c r="AS890" s="1"/>
      <c r="AT890" s="1"/>
      <c r="AU890" s="1"/>
      <c r="AV890" s="1"/>
      <c r="AW890" s="1"/>
      <c r="AX890" s="2"/>
      <c r="AY890" s="116"/>
      <c r="AZ890" s="115"/>
      <c r="BA890" s="2"/>
      <c r="BB890" s="2"/>
      <c r="BC890" s="2"/>
      <c r="BD890" s="2"/>
      <c r="BE890" s="2"/>
      <c r="BF890" s="2"/>
      <c r="BG890" s="20"/>
      <c r="BH890" s="22"/>
      <c r="BI890" s="22"/>
      <c r="BJ890" s="14"/>
      <c r="BK890" s="22"/>
      <c r="BL890" s="14"/>
      <c r="BM890" s="14"/>
      <c r="BN890" s="14"/>
      <c r="BO890" s="17"/>
      <c r="BP890" s="23"/>
      <c r="BQ890" s="14"/>
      <c r="BR890" s="14"/>
      <c r="BS890" s="14"/>
      <c r="BT890" s="14"/>
      <c r="BU890" s="17"/>
      <c r="BV890" s="23"/>
      <c r="BW890" s="14"/>
      <c r="BX890" s="14"/>
      <c r="BY890" s="14"/>
      <c r="BZ890" s="14"/>
      <c r="CA890" s="17"/>
      <c r="CB890" s="23"/>
      <c r="CC890" s="14"/>
      <c r="CD890" s="14"/>
      <c r="CE890" s="14"/>
      <c r="CF890" s="14"/>
      <c r="CG890" s="17"/>
      <c r="CH890" s="23"/>
      <c r="CI890" s="14"/>
      <c r="CJ890" s="14"/>
      <c r="CK890" s="14"/>
      <c r="CL890" s="14"/>
      <c r="CM890" s="17"/>
      <c r="CN890" s="23"/>
      <c r="CO890" s="14"/>
      <c r="CP890" s="14"/>
      <c r="CQ890" s="14"/>
      <c r="CR890" s="14"/>
      <c r="CS890" s="14"/>
      <c r="CT890" s="47"/>
      <c r="CU890" s="14"/>
      <c r="CV890" s="32"/>
      <c r="CW890" s="14"/>
      <c r="CX890" s="4"/>
      <c r="CY890" s="14"/>
      <c r="CZ890" s="4"/>
      <c r="DA890"/>
      <c r="DB890"/>
      <c r="DC890"/>
      <c r="DD890"/>
      <c r="DE890" s="14"/>
      <c r="DF890" s="24"/>
      <c r="DG890" s="4"/>
      <c r="DH890" s="4"/>
      <c r="DI890" s="25"/>
      <c r="DJ890" s="35">
        <v>0.25</v>
      </c>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s="4"/>
      <c r="ID890"/>
      <c r="IE890"/>
      <c r="IF890"/>
      <c r="IG890"/>
      <c r="IH890"/>
      <c r="II890"/>
      <c r="IJ890"/>
      <c r="IK890"/>
      <c r="IL890"/>
      <c r="IM890"/>
      <c r="IN890"/>
      <c r="IO890"/>
      <c r="IP890"/>
      <c r="IQ890"/>
      <c r="IR890"/>
      <c r="IS890"/>
      <c r="IT890"/>
      <c r="IU890"/>
      <c r="IV890"/>
      <c r="IW890"/>
      <c r="IX890"/>
      <c r="IY890"/>
      <c r="IZ890"/>
      <c r="JA890"/>
      <c r="JB890"/>
      <c r="JC890"/>
      <c r="JD890"/>
      <c r="JE890"/>
    </row>
    <row r="891" spans="1:267" ht="15" customHeight="1">
      <c r="A891" s="19">
        <v>102023141</v>
      </c>
      <c r="B891" s="18" t="s">
        <v>4350</v>
      </c>
      <c r="D891" s="1"/>
      <c r="E891" s="3"/>
      <c r="F891" s="3"/>
      <c r="J891" s="18"/>
      <c r="K891" s="18" t="s">
        <v>4499</v>
      </c>
      <c r="L891" s="130"/>
      <c r="M891" s="130"/>
      <c r="N891" s="130"/>
      <c r="O891" s="288"/>
      <c r="P891" s="130"/>
      <c r="Q891" s="130"/>
      <c r="R891" s="130"/>
      <c r="S891" s="130"/>
      <c r="Z891" t="s">
        <v>4501</v>
      </c>
      <c r="AA891" t="s">
        <v>4502</v>
      </c>
      <c r="AB891" t="s">
        <v>274</v>
      </c>
      <c r="AC891" t="s">
        <v>4503</v>
      </c>
      <c r="AG891" s="43"/>
      <c r="AH891" s="3"/>
      <c r="AI891" s="3"/>
      <c r="AJ891" s="18" t="s">
        <v>328</v>
      </c>
      <c r="AL891" t="s">
        <v>259</v>
      </c>
      <c r="AM891"/>
      <c r="AN891"/>
      <c r="AO891" s="18" t="s">
        <v>4500</v>
      </c>
      <c r="AP891" s="3" t="s">
        <v>258</v>
      </c>
      <c r="AQ891" s="18" t="s">
        <v>756</v>
      </c>
      <c r="AR891" t="s">
        <v>757</v>
      </c>
      <c r="AS891" s="18" t="s">
        <v>372</v>
      </c>
      <c r="AT891" s="18" t="s">
        <v>373</v>
      </c>
      <c r="AU891" s="18" t="s">
        <v>374</v>
      </c>
      <c r="AV891" s="18" t="s">
        <v>259</v>
      </c>
      <c r="AW891" s="18" t="s">
        <v>260</v>
      </c>
      <c r="AY891" s="1"/>
      <c r="AZ891" s="1"/>
      <c r="BA891" s="1"/>
      <c r="BB891" s="1"/>
      <c r="BC891" s="2"/>
      <c r="BD891" s="116"/>
      <c r="BE891" s="115"/>
      <c r="BF891" s="2"/>
      <c r="BG891" s="2"/>
      <c r="BH891" s="2"/>
      <c r="BI891" s="2"/>
      <c r="BJ891" s="2"/>
      <c r="BK891" s="2"/>
      <c r="BL891" s="20">
        <f ca="1">SUM(DP891)+220</f>
        <v>871.59999999999991</v>
      </c>
      <c r="BM891" s="22">
        <f ca="1">PMT(10%/12,12,BL891,0,0)</f>
        <v>-76.627487309676354</v>
      </c>
      <c r="BN891" s="22">
        <f ca="1">SUM(BM891*-1)</f>
        <v>76.627487309676354</v>
      </c>
      <c r="BO891" s="14">
        <f>SUM(DX891*0.0052)/12</f>
        <v>21.666666666666668</v>
      </c>
      <c r="BP891" s="22">
        <f ca="1">SUM(BN891+BO891)</f>
        <v>98.294153976343026</v>
      </c>
      <c r="BQ891" s="14"/>
      <c r="BR891" s="14">
        <f>SUM(BQ891*0.1)</f>
        <v>0</v>
      </c>
      <c r="BS891" s="14">
        <f ca="1">SUM(BT891*BU891)</f>
        <v>0</v>
      </c>
      <c r="BT891" s="17">
        <f>SUM((BQ891+BR891)*0.00833333333333333)</f>
        <v>0</v>
      </c>
      <c r="BU891" s="23">
        <f ca="1">MONTH(TODAY())+49</f>
        <v>53</v>
      </c>
      <c r="BV891" s="14">
        <f ca="1">SUM(BQ891,BR891,BS891)</f>
        <v>0</v>
      </c>
      <c r="BW891" s="14"/>
      <c r="BX891" s="14">
        <f>SUM(BW891*0.1)</f>
        <v>0</v>
      </c>
      <c r="BY891" s="14">
        <f ca="1">SUM(BZ891*CA891)</f>
        <v>0</v>
      </c>
      <c r="BZ891" s="17">
        <f>SUM((BW891+BX891)*0.00833333333333333)</f>
        <v>0</v>
      </c>
      <c r="CA891" s="23">
        <f ca="1">MONTH(TODAY())+37</f>
        <v>41</v>
      </c>
      <c r="CB891" s="14">
        <f ca="1">SUM(BW891,BX891,BY891)</f>
        <v>0</v>
      </c>
      <c r="CC891" s="14">
        <v>0</v>
      </c>
      <c r="CD891" s="14">
        <f>SUM(CC891*0.1)</f>
        <v>0</v>
      </c>
      <c r="CE891" s="14">
        <f ca="1">SUM(CF891*CG891)</f>
        <v>0</v>
      </c>
      <c r="CF891" s="17">
        <f>SUM((CC891+CD891)*0.00833333333333333)</f>
        <v>0</v>
      </c>
      <c r="CG891" s="23">
        <f ca="1">MONTH(TODAY())+25</f>
        <v>29</v>
      </c>
      <c r="CH891" s="14">
        <f ca="1">SUM(CC891,CD891,CE891)</f>
        <v>0</v>
      </c>
      <c r="CI891" s="14">
        <f>SUM(DU891*0.0052)</f>
        <v>260</v>
      </c>
      <c r="CJ891" s="14">
        <f>SUM(CI891*0.1)</f>
        <v>26</v>
      </c>
      <c r="CK891" s="14">
        <f ca="1">SUM(CL891*CM891)</f>
        <v>40.516666666666652</v>
      </c>
      <c r="CL891" s="17">
        <f>SUM((CI891+CJ891)*0.00833333333333333)</f>
        <v>2.3833333333333324</v>
      </c>
      <c r="CM891" s="23">
        <f ca="1">MONTH(TODAY())+13</f>
        <v>17</v>
      </c>
      <c r="CN891" s="14">
        <f ca="1">SUM(CI891,CJ891,CK891)</f>
        <v>326.51666666666665</v>
      </c>
      <c r="CO891" s="14">
        <f>SUM(DU891*0.0052)/2</f>
        <v>130</v>
      </c>
      <c r="CP891" s="14">
        <f>SUM(CO891*0.1)</f>
        <v>13</v>
      </c>
      <c r="CQ891" s="14">
        <f ca="1">SUM(CR891*CS891)</f>
        <v>10.724999999999996</v>
      </c>
      <c r="CR891" s="17">
        <f>SUM((CO891+CP891)*0.00833333333333333)</f>
        <v>1.1916666666666662</v>
      </c>
      <c r="CS891" s="23">
        <f ca="1">MONTH(TODAY())+5</f>
        <v>9</v>
      </c>
      <c r="CT891" s="23">
        <f ca="1">SUM(CO891,CP891,CQ891)</f>
        <v>153.72499999999999</v>
      </c>
      <c r="CU891" s="14">
        <f>SUM(DU891*0.0052)/2</f>
        <v>130</v>
      </c>
      <c r="CV891" s="14">
        <f>SUM(CU891*0.1)</f>
        <v>13</v>
      </c>
      <c r="CW891" s="14">
        <f ca="1">SUM(CX891*CY891)</f>
        <v>5.9583333333333313</v>
      </c>
      <c r="CX891" s="17">
        <f>SUM((CU891+CV891)*0.00833333333333333)</f>
        <v>1.1916666666666662</v>
      </c>
      <c r="CY891" s="23">
        <f ca="1">MONTH(TODAY())+1</f>
        <v>5</v>
      </c>
      <c r="CZ891" s="23">
        <f ca="1">SUM(CU891,CV891,CW891)</f>
        <v>148.95833333333334</v>
      </c>
      <c r="DA891" s="14">
        <f>SUM( BQ891, BW891, CC891, CI891, CO891,CU891)</f>
        <v>520</v>
      </c>
      <c r="DB891" s="14">
        <f>SUM(BR891,BX891,CD891,CJ891, CP891,CV891)</f>
        <v>52</v>
      </c>
      <c r="DC891" s="14">
        <f ca="1">SUM(BS891,BY891,CE891,CK891, CQ891,CW891)</f>
        <v>57.199999999999974</v>
      </c>
      <c r="DD891" s="25">
        <f ca="1">SUM(DA891:DC891)</f>
        <v>629.19999999999993</v>
      </c>
      <c r="DE891" s="47">
        <f ca="1">SUM(DD891/DU891)</f>
        <v>1.2583999999999998E-2</v>
      </c>
      <c r="DF891" s="14">
        <v>20</v>
      </c>
      <c r="DG891" s="32">
        <f>COUNTIF(DL891, "*")+COUNTIF(AO891, "*")+COUNTIF(AJ891, "*")+COUNTIF(AA891, "*")+COUNTIF(EM891, "*")+COUNTIF(ES891, "*")+COUNTIF(EY891, "*")+COUNTIF(FC891, "*")+COUNTIF(FJ891, "*")+COUNTIF(AT891, "*")+COUNTIF(FS891, "*")+COUNTIF(GD891, "*")+COUNTIF(GO891, "*")+COUNTIF(GW891, "*")+COUNTIF(HE891, "*")+COUNTIF(HM891, "*")+COUNTIF(HU891, "*")</f>
        <v>4</v>
      </c>
      <c r="DH891" s="14">
        <f>DG891*0.6</f>
        <v>2.4</v>
      </c>
      <c r="DI891" s="4"/>
      <c r="DJ891" s="4"/>
      <c r="DK891" s="4"/>
      <c r="DL891" s="4"/>
      <c r="DN891" s="4"/>
      <c r="DO891" s="14">
        <f>SUM(DJ891:DN891)</f>
        <v>0</v>
      </c>
      <c r="DP891" s="14">
        <f ca="1">SUM(DD891,DF891,DO891, DI891, DH891,FP891)</f>
        <v>651.59999999999991</v>
      </c>
      <c r="DQ891" s="24" t="s">
        <v>3879</v>
      </c>
      <c r="DR891" s="130">
        <v>0.19</v>
      </c>
      <c r="DS891" s="14">
        <v>50000</v>
      </c>
      <c r="DT891" s="14">
        <v>0</v>
      </c>
      <c r="DU891" s="14">
        <v>50000</v>
      </c>
      <c r="DV891" s="14">
        <v>50000</v>
      </c>
      <c r="DW891" s="14">
        <v>0</v>
      </c>
      <c r="DX891" s="14">
        <f>SUM(DV891+DW891)</f>
        <v>50000</v>
      </c>
      <c r="IA891" s="9"/>
      <c r="IL891" s="14">
        <f ca="1">SUM(IB891-DP891-FP891-IJ891)</f>
        <v>-651.59999999999991</v>
      </c>
      <c r="IM891" s="9"/>
      <c r="IN891" s="9"/>
      <c r="IO891" s="9"/>
      <c r="IP891" s="9"/>
      <c r="IQ891" s="9"/>
    </row>
    <row r="892" spans="1:267" ht="15" customHeight="1">
      <c r="A892" s="19">
        <v>102023129</v>
      </c>
      <c r="B892" s="18" t="s">
        <v>4345</v>
      </c>
      <c r="D892" s="1"/>
      <c r="E892" t="s">
        <v>4938</v>
      </c>
      <c r="F892">
        <v>230003228</v>
      </c>
      <c r="G892" s="3"/>
      <c r="J892" s="18" t="s">
        <v>253</v>
      </c>
      <c r="K892" s="18" t="s">
        <v>673</v>
      </c>
      <c r="L892" s="18" t="s">
        <v>3249</v>
      </c>
      <c r="M892" s="18" t="s">
        <v>256</v>
      </c>
      <c r="N892" s="18"/>
      <c r="O892" s="19"/>
      <c r="P892" s="18"/>
      <c r="Q892" s="18"/>
      <c r="R892" s="18"/>
      <c r="S892" s="18"/>
      <c r="AG892" s="43"/>
      <c r="AM892"/>
      <c r="AN892"/>
      <c r="AO892" t="s">
        <v>4346</v>
      </c>
      <c r="AP892" s="3" t="s">
        <v>258</v>
      </c>
      <c r="AQ892" t="s">
        <v>259</v>
      </c>
      <c r="AR892" t="s">
        <v>260</v>
      </c>
      <c r="AS892" s="18" t="s">
        <v>372</v>
      </c>
      <c r="AT892" s="18" t="s">
        <v>373</v>
      </c>
      <c r="AU892" s="18" t="s">
        <v>374</v>
      </c>
      <c r="AV892" s="18" t="s">
        <v>259</v>
      </c>
      <c r="AW892" s="18" t="s">
        <v>260</v>
      </c>
      <c r="AX892" s="1"/>
      <c r="AY892" s="1" t="s">
        <v>258</v>
      </c>
      <c r="AZ892" s="1"/>
      <c r="BA892" s="1"/>
      <c r="BB892" s="1"/>
      <c r="BC892" s="70">
        <v>45098</v>
      </c>
      <c r="BD892" s="115">
        <v>45060</v>
      </c>
      <c r="BE892" s="115">
        <v>45054</v>
      </c>
      <c r="BF892" s="2"/>
      <c r="BG892" s="2"/>
      <c r="BH892" s="2"/>
      <c r="BI892" s="2"/>
      <c r="BJ892" s="2"/>
      <c r="BK892" s="2"/>
      <c r="BL892" s="20">
        <f ca="1">SUM(EB892)+220</f>
        <v>2376.8335499999998</v>
      </c>
      <c r="BM892" s="22">
        <f ca="1">PMT(10%/12,12,BL892,0,0)</f>
        <v>-208.96143034630336</v>
      </c>
      <c r="BN892" s="22">
        <f ca="1">SUM(BM892*-1)</f>
        <v>208.96143034630336</v>
      </c>
      <c r="BO892" s="14">
        <f>SUM(EJ892*0.0052)/12</f>
        <v>41.08</v>
      </c>
      <c r="BP892" s="22">
        <f ca="1">SUM(BN892+BO892)</f>
        <v>250.04143034630334</v>
      </c>
      <c r="BQ892" s="14"/>
      <c r="BR892" s="14">
        <f>SUM(BQ892*0.1)</f>
        <v>0</v>
      </c>
      <c r="BS892" s="14">
        <f ca="1">SUM(BT892*BU892)</f>
        <v>0</v>
      </c>
      <c r="BT892" s="17">
        <f>SUM((BQ892+BR892)*0.00833333333333333)</f>
        <v>0</v>
      </c>
      <c r="BU892" s="23">
        <f ca="1">MONTH(TODAY())+49</f>
        <v>53</v>
      </c>
      <c r="BV892" s="14">
        <f ca="1">SUM(BQ892,BR892,BS892)</f>
        <v>0</v>
      </c>
      <c r="BW892" s="14"/>
      <c r="BX892" s="14">
        <f>SUM(BW892*0.1)</f>
        <v>0</v>
      </c>
      <c r="BY892" s="14">
        <f ca="1">SUM(BZ892*CA892)</f>
        <v>0</v>
      </c>
      <c r="BZ892" s="17">
        <f>SUM((BW892+BX892)*0.00833333333333333)</f>
        <v>0</v>
      </c>
      <c r="CA892" s="23">
        <f ca="1">MONTH(TODAY())+37</f>
        <v>41</v>
      </c>
      <c r="CB892" s="14">
        <f ca="1">SUM(BW892,BX892,BY892)</f>
        <v>0</v>
      </c>
      <c r="CC892" s="14">
        <v>0</v>
      </c>
      <c r="CD892" s="14">
        <f>SUM(CC892*0.1)</f>
        <v>0</v>
      </c>
      <c r="CE892" s="14">
        <f ca="1">SUM(CF892*CG892)</f>
        <v>0</v>
      </c>
      <c r="CF892" s="17">
        <f>SUM((CC892+CD892)*0.00833333333333333)</f>
        <v>0</v>
      </c>
      <c r="CG892" s="23">
        <f ca="1">MONTH(TODAY())+25</f>
        <v>29</v>
      </c>
      <c r="CH892" s="14">
        <f ca="1">SUM(CC892,CD892,CE892)</f>
        <v>0</v>
      </c>
      <c r="CI892" s="14">
        <f>SUM(EG892*0.0052)</f>
        <v>380.64</v>
      </c>
      <c r="CJ892" s="14">
        <f>SUM(CI892*0.1)</f>
        <v>38.064</v>
      </c>
      <c r="CK892" s="14">
        <f ca="1">SUM(CL892*CM892)</f>
        <v>59.316399999999973</v>
      </c>
      <c r="CL892" s="17">
        <f>SUM((CI892+CJ892)*0.00833333333333333)</f>
        <v>3.4891999999999985</v>
      </c>
      <c r="CM892" s="23">
        <f ca="1">MONTH(TODAY())+13</f>
        <v>17</v>
      </c>
      <c r="CN892" s="14">
        <f ca="1">SUM(CI892,CJ892,CK892)</f>
        <v>478.0204</v>
      </c>
      <c r="CO892" s="14">
        <f>SUM(EG892*0.0052)/2</f>
        <v>190.32</v>
      </c>
      <c r="CP892" s="14">
        <f>SUM(CO892*0.1)</f>
        <v>19.032</v>
      </c>
      <c r="CQ892" s="14">
        <f ca="1">SUM(CR892*CS892)</f>
        <v>15.701399999999992</v>
      </c>
      <c r="CR892" s="17">
        <f>SUM((CO892+CP892)*0.00833333333333333)</f>
        <v>1.7445999999999993</v>
      </c>
      <c r="CS892" s="23">
        <f ca="1">MONTH(TODAY())+5</f>
        <v>9</v>
      </c>
      <c r="CT892" s="23">
        <f ca="1">SUM(CO892,CP892,CQ892)</f>
        <v>225.05340000000001</v>
      </c>
      <c r="CU892" s="14">
        <f>SUM(EG892*0.0052)/2</f>
        <v>190.32</v>
      </c>
      <c r="CV892" s="14">
        <f>SUM(CU892*0.1)</f>
        <v>19.032</v>
      </c>
      <c r="CW892" s="14">
        <f ca="1">SUM(CX892*CY892)</f>
        <v>8.7229999999999954</v>
      </c>
      <c r="CX892" s="17">
        <f>SUM((CU892+CV892)*0.00833333333333333)</f>
        <v>1.7445999999999993</v>
      </c>
      <c r="CY892" s="23">
        <f ca="1">MONTH(TODAY())+1</f>
        <v>5</v>
      </c>
      <c r="CZ892" s="23">
        <f ca="1">SUM(CU892,CV892,CW892)</f>
        <v>218.07499999999999</v>
      </c>
      <c r="DA892" s="14">
        <f>SUM(EJ892*0.0045)/2</f>
        <v>213.29999999999998</v>
      </c>
      <c r="DB892" s="14">
        <f>SUM(DA892*0.1)</f>
        <v>21.33</v>
      </c>
      <c r="DC892" s="14">
        <f ca="1">SUM(DD892*DE892)</f>
        <v>-1.955249999999999</v>
      </c>
      <c r="DD892" s="17">
        <f>SUM((DA892+DB892)*0.00833333333333333)</f>
        <v>1.955249999999999</v>
      </c>
      <c r="DE892" s="23">
        <f ca="1">MONTH(TODAY())-5</f>
        <v>-1</v>
      </c>
      <c r="DF892" s="23">
        <f ca="1">SUM(DA892,DB892,DC892)</f>
        <v>232.67474999999999</v>
      </c>
      <c r="DG892" s="14">
        <f>SUM(EJ892*0.0045)/2</f>
        <v>213.29999999999998</v>
      </c>
      <c r="DH892" s="14">
        <v>0</v>
      </c>
      <c r="DI892" s="14">
        <v>0</v>
      </c>
      <c r="DJ892" s="17">
        <f>SUM((DG892+DH892)*0.00833333333333333)</f>
        <v>1.7774999999999992</v>
      </c>
      <c r="DK892" s="23">
        <f ca="1">MONTH(TODAY())+1</f>
        <v>5</v>
      </c>
      <c r="DL892" s="14">
        <f>SUM(DG892,DH892,DI892)</f>
        <v>213.29999999999998</v>
      </c>
      <c r="DM892" s="14">
        <f>SUM( BQ892, BW892, CC892, CI892, CO892,CU892,DA892,DG892)</f>
        <v>1187.8799999999999</v>
      </c>
      <c r="DN892" s="14">
        <f>SUM(BR892,BX892,CD892,CJ892, CP892,CV892,DB892,DH892)</f>
        <v>97.457999999999998</v>
      </c>
      <c r="DO892" s="14">
        <f ca="1">SUM(BS892,BY892,CE892,CK892, CQ892,CW892,DC892,DI892)</f>
        <v>81.785549999999972</v>
      </c>
      <c r="DP892" s="25">
        <f ca="1">SUM(DM892:DO892)</f>
        <v>1367.12355</v>
      </c>
      <c r="DQ892" s="47">
        <f ca="1">SUM(DP892/EG892)</f>
        <v>1.8676551229508197E-2</v>
      </c>
      <c r="DR892" s="14">
        <f>20+200+20+200+40</f>
        <v>480</v>
      </c>
      <c r="DS892" s="32">
        <f>COUNTIF(DX892, "*")+COUNTIF(AO892, "*")+COUNTIF(AJ892, "*")+COUNTIF(AA892, "*")+COUNTIF(EY892, "*")+COUNTIF(FE892, "*")+COUNTIF(FK892, "*")+COUNTIF(FO892, "*")+COUNTIF(FV892, "*")+COUNTIF(AT892, "*")+COUNTIF(GE892, "*")+COUNTIF(GP892, "*")+COUNTIF(HA892, "*")+COUNTIF(HI892, "*")+COUNTIF(HQ892, "*")+COUNTIF(HY892, "*")</f>
        <v>3</v>
      </c>
      <c r="DT892" s="14">
        <f>0.6+DS892*7.45</f>
        <v>22.950000000000003</v>
      </c>
      <c r="DU892" s="4">
        <v>250</v>
      </c>
      <c r="DV892" s="4">
        <v>36.76</v>
      </c>
      <c r="DW892" s="4"/>
      <c r="DX892" s="4"/>
      <c r="DZ892" s="4"/>
      <c r="EA892" s="14">
        <f>SUM(DV892:DZ892)</f>
        <v>36.76</v>
      </c>
      <c r="EB892" s="14">
        <f ca="1">SUM(DP892,DR892,EA892, DU892, DT892,GB892)</f>
        <v>2156.8335499999998</v>
      </c>
      <c r="EC892" s="24" t="s">
        <v>3879</v>
      </c>
      <c r="ED892" s="130">
        <v>0.19</v>
      </c>
      <c r="EE892" s="14">
        <v>15000</v>
      </c>
      <c r="EF892" s="14">
        <v>58200</v>
      </c>
      <c r="EG892" s="14">
        <v>73200</v>
      </c>
      <c r="EH892" s="14">
        <v>15000</v>
      </c>
      <c r="EI892" s="14">
        <v>79800</v>
      </c>
      <c r="EJ892" s="14">
        <f>SUM(EH892+EI892)</f>
        <v>94800</v>
      </c>
      <c r="EK892" t="s">
        <v>4769</v>
      </c>
      <c r="EL892" t="s">
        <v>4770</v>
      </c>
      <c r="EM892" t="s">
        <v>4771</v>
      </c>
      <c r="GB892" s="4"/>
      <c r="GC892" t="s">
        <v>297</v>
      </c>
      <c r="GD892" t="s">
        <v>4773</v>
      </c>
      <c r="GE892" t="s">
        <v>553</v>
      </c>
      <c r="GG892" t="s">
        <v>300</v>
      </c>
      <c r="GH892" t="s">
        <v>301</v>
      </c>
      <c r="GI892" s="9">
        <v>43892</v>
      </c>
      <c r="GJ892" t="s">
        <v>4772</v>
      </c>
      <c r="IE892" s="9"/>
      <c r="IP892" s="14">
        <f ca="1">SUM(IF892-EB892-GB892-IN892)</f>
        <v>-2156.8335499999998</v>
      </c>
      <c r="IQ892" s="9"/>
      <c r="IR892" s="9"/>
      <c r="IS892" s="9"/>
      <c r="IT892" s="9"/>
      <c r="IU892" s="9"/>
    </row>
    <row r="893" spans="1:267" ht="15" customHeight="1">
      <c r="A893" s="2">
        <v>102019056</v>
      </c>
      <c r="B893" s="4" t="s">
        <v>651</v>
      </c>
      <c r="C893" s="1"/>
      <c r="D893" s="1"/>
      <c r="E893" s="1"/>
      <c r="F893" s="3"/>
      <c r="G893">
        <v>190001122</v>
      </c>
      <c r="J893" t="s">
        <v>554</v>
      </c>
      <c r="K893" t="s">
        <v>652</v>
      </c>
      <c r="L893" t="s">
        <v>653</v>
      </c>
      <c r="M893" t="s">
        <v>650</v>
      </c>
      <c r="O893" s="1"/>
      <c r="P893" t="s">
        <v>652</v>
      </c>
      <c r="Q893" t="s">
        <v>654</v>
      </c>
      <c r="R893" t="s">
        <v>326</v>
      </c>
      <c r="AD893" s="1"/>
      <c r="AG893"/>
      <c r="AJ893" s="34"/>
      <c r="AK893" s="4"/>
      <c r="AO893" s="4"/>
      <c r="AP893" s="5"/>
      <c r="AS893" s="5"/>
      <c r="AT893" s="5"/>
      <c r="AU893" s="1"/>
      <c r="AV893" s="1"/>
      <c r="AW893" s="1"/>
      <c r="AX893" s="1"/>
      <c r="AY893" s="15"/>
      <c r="AZ893" s="15"/>
      <c r="BA893" s="1"/>
      <c r="BB893" s="1"/>
      <c r="BC893" s="1"/>
      <c r="BD893" s="1"/>
      <c r="BE893" s="1"/>
      <c r="BF893" s="1"/>
      <c r="BG893" s="5"/>
      <c r="BH893" s="16"/>
      <c r="BI893" s="16"/>
      <c r="BJ893" s="4"/>
      <c r="BK893" s="4"/>
      <c r="BL893" s="4"/>
      <c r="BM893" s="6"/>
      <c r="BN893" s="7"/>
      <c r="BO893" s="4"/>
      <c r="BQ893" s="4"/>
      <c r="BR893" s="4"/>
      <c r="BS893" s="6"/>
      <c r="BT893" s="7"/>
      <c r="BU893" s="4"/>
      <c r="BV893" s="4"/>
      <c r="BW893" s="4"/>
      <c r="BX893" s="4"/>
      <c r="BY893" s="6"/>
      <c r="BZ893" s="7"/>
      <c r="CA893" s="4"/>
      <c r="CB893" s="4"/>
      <c r="CC893" s="4"/>
      <c r="CD893" s="4"/>
      <c r="CE893" s="6"/>
      <c r="CF893" s="7"/>
      <c r="CG893" s="4"/>
      <c r="CH893" s="4"/>
      <c r="CI893" s="4"/>
      <c r="CJ893" s="4"/>
      <c r="CK893" s="6"/>
      <c r="CL893" s="7"/>
      <c r="CM893" s="4"/>
      <c r="CN893" s="4"/>
      <c r="CO893" s="4"/>
      <c r="CP893" s="4"/>
      <c r="CQ893" s="6"/>
      <c r="CR893" s="7"/>
      <c r="CS893" s="4"/>
      <c r="CT893" s="4"/>
      <c r="CU893" s="4"/>
      <c r="CV893" s="4"/>
      <c r="CW893" s="6"/>
      <c r="CX893" s="7"/>
      <c r="CY893" s="4"/>
      <c r="CZ893" s="4"/>
      <c r="DA893" s="4"/>
      <c r="DB893" s="4"/>
      <c r="DC893" s="6"/>
      <c r="DD893" s="7"/>
      <c r="DE893" s="4"/>
      <c r="DF893" s="4"/>
      <c r="DG893" s="4"/>
      <c r="DH893" s="14"/>
      <c r="DI893" s="14"/>
      <c r="DJ893" s="4"/>
      <c r="DK893" s="3"/>
      <c r="DL893" s="4"/>
      <c r="DM893" s="234"/>
      <c r="DN893" s="4"/>
      <c r="DO893" s="4"/>
      <c r="DP893" s="4"/>
      <c r="DQ893" s="4"/>
      <c r="DR893" s="4"/>
      <c r="DS893" s="4"/>
      <c r="DT893" s="4"/>
      <c r="DU893" s="8"/>
      <c r="DV893" s="4"/>
      <c r="DW893" s="8"/>
      <c r="DX893" s="4"/>
      <c r="DY893" s="4"/>
      <c r="DZ893" s="7"/>
      <c r="EI893" s="11"/>
      <c r="EO893" s="11"/>
      <c r="EP893" s="11"/>
      <c r="EQ893" s="4"/>
      <c r="ER893" s="4"/>
      <c r="ES893" s="4"/>
      <c r="ET893" s="4"/>
      <c r="EU893" s="4"/>
      <c r="EV893" s="4"/>
      <c r="EW893" s="4"/>
      <c r="EX893" s="4"/>
      <c r="EY893" s="4"/>
      <c r="EZ893" s="4"/>
      <c r="FA893" s="4"/>
      <c r="FB893" s="4"/>
      <c r="FC893" s="4"/>
      <c r="FD893" s="4"/>
      <c r="FE893" s="4"/>
      <c r="FI893" s="9"/>
      <c r="FR893" s="9"/>
      <c r="FX893" s="4"/>
      <c r="GC893" s="10"/>
      <c r="GM893" s="10"/>
      <c r="HB893" s="9"/>
      <c r="IJ893" s="4"/>
      <c r="IK893" s="4"/>
      <c r="IN893" t="s">
        <v>1410</v>
      </c>
      <c r="IO893" t="s">
        <v>846</v>
      </c>
      <c r="IP893" t="s">
        <v>386</v>
      </c>
      <c r="IS893" s="66">
        <v>42.5</v>
      </c>
      <c r="IT893" s="66">
        <v>0</v>
      </c>
      <c r="IU893" s="9">
        <v>43549</v>
      </c>
      <c r="IV893" s="9">
        <v>43565</v>
      </c>
      <c r="IW893" s="9">
        <v>43699</v>
      </c>
      <c r="IX893" s="9">
        <v>43711</v>
      </c>
      <c r="JC893" s="66">
        <v>33</v>
      </c>
    </row>
    <row r="894" spans="1:267" ht="15" customHeight="1">
      <c r="A894" s="2">
        <v>102019082</v>
      </c>
      <c r="B894" s="4" t="s">
        <v>1515</v>
      </c>
      <c r="C894" s="1"/>
      <c r="D894" s="1"/>
      <c r="E894" s="1"/>
      <c r="F894" s="1"/>
      <c r="G894" s="1"/>
      <c r="H894" s="2"/>
      <c r="J894" t="s">
        <v>554</v>
      </c>
      <c r="K894" t="s">
        <v>1516</v>
      </c>
      <c r="L894" t="s">
        <v>1517</v>
      </c>
      <c r="M894" t="s">
        <v>426</v>
      </c>
      <c r="O894" s="1"/>
      <c r="P894" t="s">
        <v>1516</v>
      </c>
      <c r="Q894" t="s">
        <v>1163</v>
      </c>
      <c r="R894" t="s">
        <v>850</v>
      </c>
      <c r="T894" s="1"/>
      <c r="BF894" s="66"/>
      <c r="BG894" s="66"/>
      <c r="BH894" s="66"/>
      <c r="BJ894" s="66"/>
      <c r="BK894" s="66"/>
      <c r="BN894" s="66"/>
      <c r="BP894" s="66"/>
      <c r="BQ894" s="66"/>
      <c r="BT894" s="66"/>
      <c r="BV894" s="66"/>
      <c r="BW894" s="66"/>
      <c r="BZ894" s="66"/>
      <c r="CB894" s="66"/>
      <c r="CC894" s="66"/>
      <c r="CF894" s="66"/>
      <c r="CH894" s="66"/>
      <c r="CI894" s="66"/>
      <c r="CL894" s="66"/>
      <c r="CN894" s="66"/>
      <c r="CO894" s="66"/>
      <c r="CR894" s="66"/>
      <c r="CT894" s="66"/>
      <c r="CU894" s="66"/>
      <c r="CX894" s="66"/>
      <c r="CZ894" s="66"/>
      <c r="DA894" s="66"/>
      <c r="DD894" s="66"/>
      <c r="DF894" s="66"/>
      <c r="DG894" s="66"/>
      <c r="DH894" s="66"/>
      <c r="DI894" s="66"/>
      <c r="DK894" s="66"/>
      <c r="DM894" s="66"/>
      <c r="DN894" s="66"/>
      <c r="DO894" s="66"/>
      <c r="DP894" s="66"/>
      <c r="DQ894" s="66"/>
      <c r="DS894" s="66"/>
      <c r="DT894" s="66"/>
      <c r="DU894" s="66"/>
      <c r="DV894" s="66"/>
      <c r="DW894" s="66"/>
      <c r="DX894" s="66"/>
      <c r="FQ894" s="9"/>
      <c r="IH894" s="9"/>
      <c r="II894" s="66"/>
      <c r="IJ894" s="66"/>
      <c r="JD894" s="9"/>
      <c r="JE894" s="9"/>
      <c r="JF894" s="9"/>
      <c r="JG894" s="9"/>
    </row>
    <row r="895" spans="1:267" ht="15" customHeight="1">
      <c r="A895" s="2">
        <v>102018067</v>
      </c>
      <c r="B895" s="4" t="s">
        <v>1221</v>
      </c>
      <c r="C895" s="3"/>
      <c r="D895" s="3"/>
      <c r="E895" s="3"/>
      <c r="J895" t="s">
        <v>305</v>
      </c>
      <c r="K895" t="s">
        <v>1222</v>
      </c>
      <c r="L895" t="s">
        <v>1054</v>
      </c>
      <c r="M895" t="s">
        <v>650</v>
      </c>
      <c r="O895" s="1"/>
      <c r="P895" t="s">
        <v>1222</v>
      </c>
      <c r="Q895" t="s">
        <v>917</v>
      </c>
      <c r="R895" t="s">
        <v>357</v>
      </c>
      <c r="T895" s="1"/>
      <c r="AH895" s="1"/>
      <c r="AK895" s="4"/>
      <c r="AL895" s="4"/>
      <c r="AP895" s="5"/>
      <c r="AQ895" s="34"/>
      <c r="AS895" s="3"/>
      <c r="AT895" s="5"/>
      <c r="AU895" s="5"/>
      <c r="AV895" s="1"/>
      <c r="AW895" s="1"/>
      <c r="AX895" s="1"/>
      <c r="AY895" s="1"/>
      <c r="AZ895" s="1"/>
      <c r="BA895" s="1"/>
      <c r="BB895" s="1"/>
      <c r="BC895" s="1"/>
      <c r="BD895" s="1"/>
      <c r="BE895" s="1"/>
      <c r="BF895" s="1"/>
      <c r="BG895" s="1"/>
      <c r="BH895" s="5"/>
      <c r="BI895" s="16"/>
      <c r="BJ895" s="16"/>
      <c r="BK895" s="4"/>
      <c r="BL895" s="4"/>
      <c r="BM895" s="4"/>
      <c r="BN895" s="6"/>
      <c r="BO895" s="7"/>
      <c r="BP895" s="4"/>
      <c r="BQ895" s="4"/>
      <c r="BR895" s="4"/>
      <c r="BS895" s="4"/>
      <c r="BT895" s="6"/>
      <c r="BU895" s="7"/>
      <c r="BV895" s="4"/>
      <c r="BW895" s="4"/>
      <c r="BX895" s="4"/>
      <c r="BY895" s="4"/>
      <c r="BZ895" s="6"/>
      <c r="CA895" s="7"/>
      <c r="CB895" s="4"/>
      <c r="CC895" s="4"/>
      <c r="CD895" s="4"/>
      <c r="CE895" s="4"/>
      <c r="CF895" s="6"/>
      <c r="CG895" s="7"/>
      <c r="CH895" s="4"/>
      <c r="CI895" s="4"/>
      <c r="CJ895" s="4"/>
      <c r="CK895" s="4"/>
      <c r="CL895" s="6"/>
      <c r="CM895" s="7"/>
      <c r="CN895" s="4"/>
      <c r="CO895" s="4"/>
      <c r="CP895" s="4"/>
      <c r="CQ895" s="4"/>
      <c r="CR895" s="6"/>
      <c r="CS895" s="7"/>
      <c r="CT895" s="4"/>
      <c r="CU895" s="4"/>
      <c r="CV895" s="4"/>
      <c r="CW895" s="4"/>
      <c r="CX895" s="6"/>
      <c r="CY895" s="7"/>
      <c r="CZ895" s="4"/>
      <c r="DA895" s="4"/>
      <c r="DB895" s="4"/>
      <c r="DC895" s="4"/>
      <c r="DD895" s="6"/>
      <c r="DE895" s="7"/>
      <c r="DF895" s="4"/>
      <c r="DG895" s="4"/>
      <c r="DH895" s="4"/>
      <c r="DI895" s="14"/>
      <c r="DJ895" s="14"/>
      <c r="DK895" s="4"/>
      <c r="DM895" s="4"/>
      <c r="DN895" s="234"/>
      <c r="DO895" s="4"/>
      <c r="DP895" s="4"/>
      <c r="DQ895" s="4"/>
      <c r="DR895" s="4"/>
      <c r="DS895" s="4"/>
      <c r="DT895" s="4"/>
      <c r="DU895" s="7"/>
      <c r="DV895" s="8"/>
      <c r="DW895" s="4"/>
      <c r="DX895" s="8"/>
      <c r="DY895" s="4"/>
      <c r="DZ895" s="4"/>
      <c r="EA895" s="7"/>
      <c r="EJ895" s="11"/>
      <c r="EP895" s="11"/>
      <c r="EQ895" s="11"/>
      <c r="ER895" s="4"/>
      <c r="ES895" s="4"/>
      <c r="ET895" s="4"/>
      <c r="EU895" s="4"/>
      <c r="EV895" s="4"/>
      <c r="EW895" s="4"/>
      <c r="EX895" s="4"/>
      <c r="EY895" s="4"/>
      <c r="EZ895" s="4"/>
      <c r="FA895" s="4"/>
      <c r="FB895" s="4"/>
      <c r="FC895" s="4"/>
      <c r="FD895" s="4"/>
      <c r="FE895" s="4"/>
      <c r="FF895" s="4"/>
      <c r="FJ895" s="9"/>
      <c r="FS895" s="9"/>
      <c r="FY895" s="4"/>
      <c r="GD895" s="10"/>
      <c r="GN895" s="10"/>
      <c r="HC895" s="9"/>
      <c r="IK895" s="4"/>
      <c r="IN895" s="4">
        <v>250.97</v>
      </c>
      <c r="IT895" s="9">
        <v>42696</v>
      </c>
    </row>
    <row r="896" spans="1:267" ht="15" customHeight="1">
      <c r="A896" s="19">
        <v>102019076</v>
      </c>
      <c r="B896" s="14" t="s">
        <v>697</v>
      </c>
      <c r="C896" s="13"/>
      <c r="D896" s="13"/>
      <c r="E896" s="24" t="s">
        <v>698</v>
      </c>
      <c r="F896" s="19">
        <v>190003321</v>
      </c>
      <c r="G896" s="18"/>
      <c r="H896" s="18"/>
      <c r="I896" s="18"/>
      <c r="J896" s="18"/>
      <c r="K896" s="18" t="s">
        <v>699</v>
      </c>
      <c r="L896" s="18"/>
      <c r="M896" s="18"/>
      <c r="N896" s="18"/>
      <c r="O896" s="13"/>
      <c r="P896" s="18"/>
      <c r="Q896" s="18"/>
      <c r="R896" s="18"/>
      <c r="S896" s="18"/>
      <c r="T896" s="13"/>
      <c r="U896" s="18"/>
      <c r="V896" s="18"/>
      <c r="W896" s="18"/>
      <c r="X896" s="18"/>
      <c r="Y896" s="18"/>
      <c r="Z896" s="18"/>
      <c r="AA896" s="18"/>
      <c r="AB896" s="18"/>
      <c r="AC896" s="18"/>
      <c r="AD896" s="18"/>
      <c r="AE896" s="18"/>
      <c r="AF896" s="18"/>
      <c r="AG896" s="231"/>
      <c r="AH896" s="18"/>
      <c r="AI896" s="18"/>
      <c r="AJ896" s="14"/>
      <c r="AK896" s="14"/>
      <c r="AL896" s="18"/>
      <c r="AM896" s="24"/>
      <c r="AN896" s="24"/>
      <c r="AO896" s="14"/>
      <c r="AP896" s="20"/>
      <c r="AQ896" s="24"/>
      <c r="AR896" s="24"/>
      <c r="AS896" s="20"/>
      <c r="AT896" s="20"/>
      <c r="AU896" s="13"/>
      <c r="AV896" s="13"/>
      <c r="AW896" s="13"/>
      <c r="AX896" s="48"/>
      <c r="AY896" s="48"/>
      <c r="AZ896" s="48"/>
      <c r="BA896" s="19"/>
      <c r="BB896" s="19"/>
      <c r="BC896" s="19"/>
      <c r="BD896" s="19"/>
      <c r="BE896" s="48"/>
      <c r="BF896" s="273"/>
      <c r="BG896" s="20"/>
      <c r="BH896" s="22"/>
      <c r="BI896" s="22"/>
      <c r="BJ896" s="14"/>
      <c r="BK896" s="14"/>
      <c r="BL896" s="14"/>
      <c r="BM896" s="17"/>
      <c r="BN896" s="23"/>
      <c r="BO896" s="14"/>
      <c r="BP896" s="14"/>
      <c r="BQ896" s="14"/>
      <c r="BR896" s="14"/>
      <c r="BS896" s="17"/>
      <c r="BT896" s="23"/>
      <c r="BU896" s="14"/>
      <c r="BV896" s="14"/>
      <c r="BW896" s="14"/>
      <c r="BX896" s="14"/>
      <c r="BY896" s="17"/>
      <c r="BZ896" s="23"/>
      <c r="CA896" s="14"/>
      <c r="CB896" s="14"/>
      <c r="CC896" s="14"/>
      <c r="CD896" s="14"/>
      <c r="CE896" s="17"/>
      <c r="CF896" s="23"/>
      <c r="CG896" s="14"/>
      <c r="CH896" s="14"/>
      <c r="CI896" s="14"/>
      <c r="CJ896" s="14"/>
      <c r="CK896" s="17"/>
      <c r="CL896" s="23"/>
      <c r="CM896" s="14"/>
      <c r="CN896" s="14"/>
      <c r="CO896" s="14"/>
      <c r="CP896" s="14"/>
      <c r="CQ896" s="17"/>
      <c r="CR896" s="23"/>
      <c r="CS896" s="14"/>
      <c r="CT896" s="14"/>
      <c r="CU896" s="14"/>
      <c r="CV896" s="14"/>
      <c r="CW896" s="17"/>
      <c r="CX896" s="23"/>
      <c r="CY896" s="14"/>
      <c r="CZ896" s="14"/>
      <c r="DA896" s="14"/>
      <c r="DB896" s="14"/>
      <c r="DC896" s="14"/>
      <c r="DD896" s="14"/>
      <c r="DE896" s="47"/>
      <c r="DF896" s="24"/>
      <c r="DG896" s="14"/>
      <c r="DH896" s="32"/>
      <c r="DI896" s="14"/>
      <c r="DJ896" s="14"/>
      <c r="DK896" s="14"/>
      <c r="DL896" s="14"/>
      <c r="DM896" s="14"/>
      <c r="DN896" s="14"/>
      <c r="DO896" s="23"/>
      <c r="DP896" s="25"/>
      <c r="DQ896" s="14"/>
      <c r="DR896" s="25"/>
      <c r="DS896" s="25"/>
      <c r="DT896" s="25"/>
      <c r="DU896" s="36"/>
      <c r="DV896" s="18"/>
      <c r="DW896" s="18"/>
      <c r="DX896" s="18"/>
      <c r="DY896" s="18"/>
      <c r="DZ896" s="18"/>
      <c r="EA896" s="18"/>
      <c r="EB896" s="18"/>
      <c r="EC896" s="18"/>
      <c r="ED896" s="30"/>
      <c r="EE896" s="18"/>
      <c r="EF896" s="18"/>
      <c r="EG896" s="18"/>
      <c r="EH896" s="18"/>
      <c r="EI896" s="18"/>
      <c r="EJ896" s="30"/>
      <c r="EK896" s="30"/>
      <c r="EL896" s="14"/>
      <c r="EM896" s="14"/>
      <c r="EN896" s="14"/>
      <c r="EO896" s="14"/>
      <c r="EP896" s="14"/>
      <c r="EQ896" s="14"/>
      <c r="ER896" s="14"/>
      <c r="ES896" s="14"/>
      <c r="ET896" s="14"/>
      <c r="EU896" s="14"/>
      <c r="EV896" s="14"/>
      <c r="EW896" s="14"/>
      <c r="EX896" s="14"/>
      <c r="EY896" s="14"/>
      <c r="EZ896" s="14"/>
      <c r="FA896" s="18"/>
      <c r="FB896" s="18"/>
      <c r="FC896" s="18"/>
      <c r="FD896" s="27"/>
      <c r="FE896" s="18"/>
      <c r="FF896" s="18"/>
      <c r="FG896" s="18"/>
      <c r="FH896" s="18"/>
      <c r="FI896" s="18"/>
      <c r="FJ896" s="18"/>
      <c r="FK896" s="27"/>
      <c r="FL896" s="18"/>
      <c r="FM896" s="27"/>
      <c r="FN896" s="18"/>
      <c r="FO896" s="18"/>
      <c r="FP896" s="18"/>
      <c r="FQ896" s="18"/>
      <c r="FR896" s="18"/>
      <c r="FS896" s="14"/>
      <c r="FT896" s="18"/>
      <c r="FU896" s="18"/>
      <c r="FV896" s="18"/>
      <c r="FW896" s="18"/>
      <c r="FX896" s="28"/>
      <c r="FY896" s="18"/>
      <c r="FZ896" s="18"/>
      <c r="GA896" s="18"/>
      <c r="GB896" s="18"/>
      <c r="GC896" s="18"/>
      <c r="GD896" s="18"/>
      <c r="GE896" s="18"/>
      <c r="GF896" s="18"/>
      <c r="GG896" s="18"/>
      <c r="GH896" s="28"/>
      <c r="GI896" s="18"/>
      <c r="GJ896" s="18"/>
      <c r="GK896" s="18"/>
      <c r="GL896" s="18"/>
      <c r="GM896" s="18"/>
      <c r="GN896" s="18"/>
      <c r="GO896" s="18"/>
      <c r="GP896" s="18"/>
      <c r="GQ896" s="18"/>
      <c r="GR896" s="18"/>
      <c r="GS896" s="18"/>
      <c r="GT896" s="18"/>
      <c r="GU896" s="18"/>
      <c r="GV896" s="18"/>
      <c r="GW896" s="27"/>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27"/>
      <c r="IE896" s="14"/>
      <c r="IF896" s="14"/>
      <c r="IG896" s="27"/>
      <c r="IH896" s="18"/>
      <c r="II896" s="18"/>
      <c r="IJ896" s="18"/>
      <c r="IK896" s="18"/>
      <c r="IL896" s="4"/>
      <c r="IM896" s="4"/>
    </row>
    <row r="897" spans="1:275" ht="15" customHeight="1">
      <c r="A897" s="19">
        <v>102019076</v>
      </c>
      <c r="B897" s="14" t="s">
        <v>697</v>
      </c>
      <c r="C897" s="14"/>
      <c r="D897" s="14"/>
      <c r="E897" s="24" t="s">
        <v>698</v>
      </c>
      <c r="F897" s="19">
        <v>190003321</v>
      </c>
      <c r="G897" s="19"/>
      <c r="H897" s="19"/>
      <c r="I897" s="19"/>
      <c r="J897" s="18"/>
      <c r="K897" s="18" t="s">
        <v>699</v>
      </c>
      <c r="L897" s="18"/>
      <c r="M897" s="18"/>
      <c r="N897" s="18"/>
      <c r="O897" s="13"/>
      <c r="P897" s="18"/>
      <c r="Q897" s="18"/>
      <c r="R897" s="18"/>
      <c r="S897" s="18"/>
      <c r="T897" s="13"/>
      <c r="U897" s="18"/>
      <c r="V897" s="18"/>
      <c r="W897" s="18"/>
      <c r="X897" s="18"/>
      <c r="Y897" s="18"/>
      <c r="Z897" s="18" t="s">
        <v>700</v>
      </c>
      <c r="AA897" s="18" t="s">
        <v>701</v>
      </c>
      <c r="AB897" s="18" t="s">
        <v>274</v>
      </c>
      <c r="AC897" s="18" t="s">
        <v>275</v>
      </c>
      <c r="AD897" s="18"/>
      <c r="AE897" s="18"/>
      <c r="AF897" s="18"/>
      <c r="AG897" s="37"/>
      <c r="AH897" s="18"/>
      <c r="AI897" s="18"/>
      <c r="AJ897" s="14" t="s">
        <v>328</v>
      </c>
      <c r="AK897" s="14"/>
      <c r="AL897" s="18" t="s">
        <v>259</v>
      </c>
      <c r="AM897" s="18"/>
      <c r="AN897" s="18"/>
      <c r="AO897" s="14" t="s">
        <v>702</v>
      </c>
      <c r="AP897" s="20" t="s">
        <v>258</v>
      </c>
      <c r="AQ897" s="18" t="s">
        <v>703</v>
      </c>
      <c r="AR897" s="24"/>
      <c r="AS897" s="20"/>
      <c r="AT897" s="20"/>
      <c r="AU897" s="13"/>
      <c r="AV897" s="13"/>
      <c r="AW897" s="13"/>
      <c r="AX897" s="21">
        <v>43654</v>
      </c>
      <c r="AY897" s="21">
        <v>43555</v>
      </c>
      <c r="AZ897" s="21">
        <v>43620</v>
      </c>
      <c r="BA897" s="13"/>
      <c r="BB897" s="13"/>
      <c r="BC897" s="13"/>
      <c r="BD897" s="13"/>
      <c r="BE897" s="21">
        <v>43763</v>
      </c>
      <c r="BF897" s="46" t="s">
        <v>319</v>
      </c>
      <c r="BG897" s="20">
        <f ca="1">SUM(DJ897)+206.5</f>
        <v>5258.561866666666</v>
      </c>
      <c r="BH897" s="22">
        <f ca="1">PMT(10%/12,12,BG897,0,0)</f>
        <v>-462.31113206189536</v>
      </c>
      <c r="BI897" s="22">
        <f ca="1">SUM(BH897*-1)</f>
        <v>462.31113206189536</v>
      </c>
      <c r="BJ897" s="14"/>
      <c r="BK897" s="14">
        <f>SUM(BJ897*0.1)</f>
        <v>0</v>
      </c>
      <c r="BL897" s="14">
        <f ca="1">SUM(BM897*BN897)</f>
        <v>0</v>
      </c>
      <c r="BM897" s="17">
        <f>SUM((BJ897+BK897)*0.00833333333333333)</f>
        <v>0</v>
      </c>
      <c r="BN897" s="23">
        <f ca="1">MONTH(TODAY())+73</f>
        <v>77</v>
      </c>
      <c r="BO897" s="14">
        <f ca="1">SUM(BJ897:BL897)</f>
        <v>0</v>
      </c>
      <c r="BP897" s="14"/>
      <c r="BQ897" s="14">
        <f>SUM(BP897*0.1)</f>
        <v>0</v>
      </c>
      <c r="BR897" s="14">
        <f ca="1">SUM(BS897*BT897)</f>
        <v>0</v>
      </c>
      <c r="BS897" s="17">
        <f>SUM((BP897+BQ897)*0.00833333333333333)</f>
        <v>0</v>
      </c>
      <c r="BT897" s="23">
        <f ca="1">MONTH(TODAY())+61</f>
        <v>65</v>
      </c>
      <c r="BU897" s="14">
        <f ca="1">SUM(BP897,BQ897,BR897)</f>
        <v>0</v>
      </c>
      <c r="BV897" s="14"/>
      <c r="BW897" s="14">
        <f>SUM(BV897*0.1)</f>
        <v>0</v>
      </c>
      <c r="BX897" s="14">
        <f>SUM(BY897*BZ897)</f>
        <v>0</v>
      </c>
      <c r="BY897" s="17">
        <f>SUM((BV897+BW897)*0.00833333333333333)</f>
        <v>0</v>
      </c>
      <c r="BZ897" s="23">
        <v>61</v>
      </c>
      <c r="CA897" s="14">
        <f>SUM(BV897,BW897,BX897)</f>
        <v>0</v>
      </c>
      <c r="CB897" s="14">
        <v>271.95999999999998</v>
      </c>
      <c r="CC897" s="14">
        <f>SUM(CB897*0.1)</f>
        <v>27.195999999999998</v>
      </c>
      <c r="CD897" s="14">
        <f>SUM(CE897*CF897)</f>
        <v>122.15536666666658</v>
      </c>
      <c r="CE897" s="17">
        <f>SUM((CB897+CC897)*0.00833333333333333)</f>
        <v>2.492966666666665</v>
      </c>
      <c r="CF897" s="23">
        <v>49</v>
      </c>
      <c r="CG897" s="14">
        <f>SUM(CB897,CC897,CD897)</f>
        <v>421.31136666666652</v>
      </c>
      <c r="CH897" s="14">
        <v>271.95999999999998</v>
      </c>
      <c r="CI897" s="14">
        <f>SUM(CH897*0.1)</f>
        <v>27.195999999999998</v>
      </c>
      <c r="CJ897" s="14">
        <f>SUM(CK897*CL897)</f>
        <v>92.239766666666611</v>
      </c>
      <c r="CK897" s="17">
        <f>SUM((CH897+CI897)*0.00833333333333333)</f>
        <v>2.492966666666665</v>
      </c>
      <c r="CL897" s="23">
        <v>37</v>
      </c>
      <c r="CM897" s="14">
        <f>SUM(CH897,CI897,CJ897)</f>
        <v>391.39576666666653</v>
      </c>
      <c r="CN897" s="14">
        <v>271.95999999999998</v>
      </c>
      <c r="CO897" s="14">
        <f>SUM(CN897*0.1)</f>
        <v>27.195999999999998</v>
      </c>
      <c r="CP897" s="14">
        <f>SUM(CQ897*CR897)</f>
        <v>62.324166666666628</v>
      </c>
      <c r="CQ897" s="17">
        <f>SUM((CN897+CO897)*0.00833333333333333)</f>
        <v>2.492966666666665</v>
      </c>
      <c r="CR897" s="23">
        <v>25</v>
      </c>
      <c r="CS897" s="14">
        <f>SUM(CN897,CO897,CP897)</f>
        <v>361.48016666666661</v>
      </c>
      <c r="CT897" s="14">
        <f>SUM(DS897*0.0052)</f>
        <v>271.95999999999998</v>
      </c>
      <c r="CU897" s="14">
        <f>SUM(CT897*0.1)</f>
        <v>27.195999999999998</v>
      </c>
      <c r="CV897" s="14">
        <f>SUM(CW897*CX897)</f>
        <v>32.408566666666644</v>
      </c>
      <c r="CW897" s="17">
        <f>SUM((CT897+CU897)*0.00833333333333333)</f>
        <v>2.492966666666665</v>
      </c>
      <c r="CX897" s="23">
        <v>13</v>
      </c>
      <c r="CY897" s="14">
        <f>SUM(CT897,CU897,CV897)</f>
        <v>331.56456666666656</v>
      </c>
      <c r="CZ897" s="14">
        <f>SUM(DS897*0.0052)</f>
        <v>271.95999999999998</v>
      </c>
      <c r="DA897" s="14">
        <f>SUM(BJ897, BP897, BV897, CB897, CH897, CN897,CT897,CZ897)</f>
        <v>1359.8</v>
      </c>
      <c r="DB897" s="14">
        <f>SUM(BK897, BQ897, BW897, CC897, CI897, CO897,CU897)</f>
        <v>108.78399999999999</v>
      </c>
      <c r="DC897" s="14">
        <f ca="1">SUM(BL897, BR897, BX897, CD897, CJ897, CP897,CV897)</f>
        <v>309.12786666666648</v>
      </c>
      <c r="DD897" s="14">
        <f ca="1">SUM(DA897:DC897)</f>
        <v>1777.7118666666663</v>
      </c>
      <c r="DE897" s="24" t="s">
        <v>320</v>
      </c>
      <c r="DF897" s="14">
        <f>832.5+663+39</f>
        <v>1534.5</v>
      </c>
      <c r="DG897" s="32">
        <f>COUNTIF(DM897, "*")+COUNTIF(AO897, "*")+COUNTIF(AJ897, "*")+COUNTIF(AA897, "*")+COUNTIF(EI897, "*")+COUNTIF(EO897, "*")+COUNTIF(EU897, "*")+COUNTIF(EY897, "*")+COUNTIF(FF897, "*")+COUNTIF(FM897, "*")+COUNTIF(FT897, "*")+COUNTIF(GE897, "*")+COUNTIF(GP897, "*")+COUNTIF(GX897, "*")+COUNTIF(HF897, "*")+COUNTIF(HN897, "*")+COUNTIF(HV897, "*")</f>
        <v>6</v>
      </c>
      <c r="DH897" s="14">
        <f>1+6*0.5+6*5.6+5*0.65+1.15*2+30+39.35</f>
        <v>112.5</v>
      </c>
      <c r="DI897" s="14">
        <v>300</v>
      </c>
      <c r="DJ897" s="14">
        <f ca="1">SUM(DD897,DF897,DP897, DI897, DH897,FQ897)</f>
        <v>5052.061866666666</v>
      </c>
      <c r="DK897" s="14">
        <v>0</v>
      </c>
      <c r="DL897" s="14">
        <f>21.89+167.05</f>
        <v>188.94</v>
      </c>
      <c r="DM897" s="14">
        <v>115.34</v>
      </c>
      <c r="DN897" s="14">
        <v>209.2</v>
      </c>
      <c r="DO897" s="25">
        <v>545</v>
      </c>
      <c r="DP897" s="14">
        <f>SUM(DK897:DO897)</f>
        <v>1058.48</v>
      </c>
      <c r="DQ897" s="25">
        <v>52300</v>
      </c>
      <c r="DR897" s="25">
        <v>0</v>
      </c>
      <c r="DS897" s="25">
        <f>SUM(DQ897+DR897)</f>
        <v>52300</v>
      </c>
      <c r="DT897" s="36">
        <v>25.99</v>
      </c>
      <c r="DU897" s="18" t="s">
        <v>704</v>
      </c>
      <c r="DV897" s="18" t="s">
        <v>705</v>
      </c>
      <c r="DW897" s="18"/>
      <c r="DX897" s="18"/>
      <c r="DY897" s="18"/>
      <c r="DZ897" s="18"/>
      <c r="EA897" s="18"/>
      <c r="EB897" s="18"/>
      <c r="EC897" s="18"/>
      <c r="ED897" s="18"/>
      <c r="EE897" s="18"/>
      <c r="EF897" s="18"/>
      <c r="EG897" s="18"/>
      <c r="EH897" s="18"/>
      <c r="EI897" s="18"/>
      <c r="EJ897" s="18"/>
      <c r="EK897" s="18"/>
      <c r="EL897" s="18"/>
      <c r="EM897" s="18"/>
      <c r="EN897" s="18"/>
      <c r="EO897" s="18"/>
      <c r="EP897" s="14"/>
      <c r="EQ897" s="14"/>
      <c r="ER897" s="14"/>
      <c r="ES897" s="14"/>
      <c r="ET897" s="14"/>
      <c r="EU897" s="14"/>
      <c r="EV897" s="14"/>
      <c r="EW897" s="14"/>
      <c r="EX897" s="14" t="s">
        <v>706</v>
      </c>
      <c r="EY897" s="14" t="s">
        <v>707</v>
      </c>
      <c r="EZ897" s="18" t="s">
        <v>708</v>
      </c>
      <c r="FA897" s="18" t="s">
        <v>709</v>
      </c>
      <c r="FB897" s="18" t="s">
        <v>471</v>
      </c>
      <c r="FC897" s="27">
        <v>41257</v>
      </c>
      <c r="FD897" s="18">
        <v>130001667</v>
      </c>
      <c r="FE897" s="18" t="s">
        <v>710</v>
      </c>
      <c r="FF897" s="18" t="s">
        <v>711</v>
      </c>
      <c r="FG897" s="18" t="s">
        <v>712</v>
      </c>
      <c r="FH897" s="18" t="s">
        <v>713</v>
      </c>
      <c r="FI897" s="18" t="s">
        <v>496</v>
      </c>
      <c r="FJ897" s="27">
        <v>41257</v>
      </c>
      <c r="FK897" s="18">
        <v>130001667</v>
      </c>
      <c r="FL897" s="18" t="s">
        <v>372</v>
      </c>
      <c r="FM897" s="18" t="s">
        <v>373</v>
      </c>
      <c r="FN897" s="18" t="s">
        <v>374</v>
      </c>
      <c r="FO897" s="18" t="s">
        <v>259</v>
      </c>
      <c r="FP897" s="18" t="s">
        <v>260</v>
      </c>
      <c r="FQ897" s="14">
        <v>268.87</v>
      </c>
      <c r="FR897" s="18"/>
      <c r="FS897" s="18"/>
      <c r="FT897" s="18"/>
      <c r="FU897" s="18"/>
      <c r="FV897" s="28"/>
      <c r="FW897" s="18"/>
      <c r="FX897" s="18"/>
      <c r="FY897" s="18"/>
      <c r="FZ897" s="18"/>
      <c r="GA897" s="18"/>
      <c r="GB897" s="18"/>
      <c r="GC897" s="18"/>
      <c r="GD897" s="18"/>
      <c r="GE897" s="18"/>
      <c r="GF897" s="28"/>
      <c r="GG897" s="18"/>
      <c r="GH897" s="18"/>
      <c r="GI897" s="18"/>
      <c r="GJ897" s="18"/>
      <c r="GK897" s="18"/>
      <c r="GL897" s="18"/>
      <c r="GM897" s="18"/>
      <c r="GN897" s="18"/>
      <c r="GO897" s="18"/>
      <c r="GP897" s="18"/>
      <c r="GQ897" s="18"/>
      <c r="GR897" s="18"/>
      <c r="GS897" s="18"/>
      <c r="GT897" s="18"/>
      <c r="GU897" s="27"/>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27">
        <v>44128</v>
      </c>
      <c r="IC897" s="14">
        <v>52300</v>
      </c>
      <c r="ID897" s="27">
        <v>44128</v>
      </c>
      <c r="IE897" s="14">
        <v>31000</v>
      </c>
      <c r="IF897" s="14">
        <v>3100</v>
      </c>
      <c r="IG897" s="27"/>
      <c r="IH897" s="18" t="s">
        <v>772</v>
      </c>
      <c r="II897" s="18" t="s">
        <v>1153</v>
      </c>
      <c r="IJ897" s="18" t="s">
        <v>386</v>
      </c>
      <c r="IK897" s="18"/>
      <c r="IL897" s="14"/>
      <c r="IM897" s="14"/>
      <c r="IN897" s="14">
        <v>273.83</v>
      </c>
      <c r="IO897" s="14">
        <f ca="1">SUM(IE897)-DJ897-IL897</f>
        <v>25947.938133333333</v>
      </c>
      <c r="IP897" s="27">
        <v>43774</v>
      </c>
      <c r="IQ897" s="27">
        <v>43789</v>
      </c>
      <c r="IR897" s="27">
        <v>44131</v>
      </c>
      <c r="IS897" s="27">
        <v>44133</v>
      </c>
      <c r="IT897" s="27">
        <v>44225</v>
      </c>
      <c r="IU897" s="18"/>
      <c r="IV897" s="18"/>
      <c r="IW897" s="18"/>
      <c r="IX897" s="18"/>
      <c r="IY897" s="18"/>
    </row>
    <row r="898" spans="1:275" ht="15" customHeight="1">
      <c r="A898" s="19">
        <v>102023128</v>
      </c>
      <c r="B898" s="18" t="s">
        <v>4358</v>
      </c>
      <c r="D898" s="1">
        <v>2025</v>
      </c>
      <c r="E898" s="3"/>
      <c r="G898" s="3"/>
      <c r="J898" s="18" t="s">
        <v>554</v>
      </c>
      <c r="K898" s="18" t="s">
        <v>4464</v>
      </c>
      <c r="L898" s="18" t="s">
        <v>4465</v>
      </c>
      <c r="M898" s="18" t="s">
        <v>598</v>
      </c>
      <c r="N898" s="18"/>
      <c r="O898" s="19"/>
      <c r="P898" s="18" t="s">
        <v>4464</v>
      </c>
      <c r="Q898" s="18" t="s">
        <v>4466</v>
      </c>
      <c r="R898" s="18" t="s">
        <v>392</v>
      </c>
      <c r="S898" s="18"/>
      <c r="AG898" s="43"/>
      <c r="AJ898" s="18" t="s">
        <v>328</v>
      </c>
      <c r="AL898" s="18" t="s">
        <v>259</v>
      </c>
      <c r="AM898"/>
      <c r="AN898"/>
      <c r="AO898" s="18" t="s">
        <v>4467</v>
      </c>
      <c r="AP898" s="3" t="s">
        <v>258</v>
      </c>
      <c r="AQ898" s="18" t="s">
        <v>259</v>
      </c>
      <c r="AR898" t="s">
        <v>260</v>
      </c>
      <c r="AS898" s="18" t="s">
        <v>372</v>
      </c>
      <c r="AT898" s="18" t="s">
        <v>373</v>
      </c>
      <c r="AU898" s="18" t="s">
        <v>374</v>
      </c>
      <c r="AV898" s="18" t="s">
        <v>259</v>
      </c>
      <c r="AW898" s="18" t="s">
        <v>260</v>
      </c>
      <c r="AX898" s="1"/>
      <c r="AY898" s="1"/>
      <c r="AZ898" s="1"/>
      <c r="BA898" s="1"/>
      <c r="BB898" s="1"/>
      <c r="BC898" s="2"/>
      <c r="BD898" s="115"/>
      <c r="BE898" s="115"/>
      <c r="BF898" s="2"/>
      <c r="BG898" s="2"/>
      <c r="BH898" s="2"/>
      <c r="BI898" s="2"/>
      <c r="BJ898" s="2"/>
      <c r="BK898" s="2"/>
      <c r="BL898" s="20">
        <f ca="1">SUM(EB898)+220</f>
        <v>306.74400000000003</v>
      </c>
      <c r="BM898" s="22">
        <f ca="1">PMT(10%/12,12,BL898,0,0)</f>
        <v>-26.967670912482063</v>
      </c>
      <c r="BN898" s="22">
        <f ca="1">SUM(BM898*-1)</f>
        <v>26.967670912482063</v>
      </c>
      <c r="BO898" s="14">
        <f>SUM(EJ898*0.0052)/12</f>
        <v>1.95</v>
      </c>
      <c r="BP898" s="22">
        <f ca="1">SUM(BN898+BO898)</f>
        <v>28.917670912482063</v>
      </c>
      <c r="BQ898" s="14"/>
      <c r="BR898" s="14">
        <f>SUM(BQ898*0.1)</f>
        <v>0</v>
      </c>
      <c r="BS898" s="14">
        <f ca="1">SUM(BT898*BU898)</f>
        <v>0</v>
      </c>
      <c r="BT898" s="17">
        <f>SUM((BQ898+BR898)*0.00833333333333333)</f>
        <v>0</v>
      </c>
      <c r="BU898" s="23">
        <f ca="1">MONTH(TODAY())+61</f>
        <v>65</v>
      </c>
      <c r="BV898" s="14">
        <f ca="1">SUM(BQ898,BR898,BS898)</f>
        <v>0</v>
      </c>
      <c r="BW898" s="14"/>
      <c r="BX898" s="14">
        <f>SUM(BW898*0.1)</f>
        <v>0</v>
      </c>
      <c r="BY898" s="14">
        <f ca="1">SUM(BZ898*CA898)</f>
        <v>0</v>
      </c>
      <c r="BZ898" s="17">
        <f>SUM((BW898+BX898)*0.00833333333333333)</f>
        <v>0</v>
      </c>
      <c r="CA898" s="23">
        <f ca="1">MONTH(TODAY())+49</f>
        <v>53</v>
      </c>
      <c r="CB898" s="14">
        <f ca="1">SUM(BW898,BX898,BY898)</f>
        <v>0</v>
      </c>
      <c r="CC898" s="14">
        <v>0</v>
      </c>
      <c r="CD898" s="14">
        <f>SUM(CC898*0.1)</f>
        <v>0</v>
      </c>
      <c r="CE898" s="14">
        <f ca="1">SUM(CF898*CG898)</f>
        <v>0</v>
      </c>
      <c r="CF898" s="17">
        <f>SUM((CC898+CD898)*0.00833333333333333)</f>
        <v>0</v>
      </c>
      <c r="CG898" s="23">
        <f ca="1">MONTH(TODAY())+37</f>
        <v>41</v>
      </c>
      <c r="CH898" s="14">
        <f ca="1">SUM(CC898,CD898,CE898)</f>
        <v>0</v>
      </c>
      <c r="CI898" s="14">
        <f>SUM(EG898*0.0052)</f>
        <v>15.6</v>
      </c>
      <c r="CJ898" s="14">
        <f>SUM(CI898*0.1)</f>
        <v>1.56</v>
      </c>
      <c r="CK898" s="14">
        <f ca="1">SUM(CL898*CM898)</f>
        <v>4.1469999999999985</v>
      </c>
      <c r="CL898" s="17">
        <f>SUM((CI898+CJ898)*0.00833333333333333)</f>
        <v>0.14299999999999993</v>
      </c>
      <c r="CM898" s="23">
        <f ca="1">MONTH(TODAY())+25</f>
        <v>29</v>
      </c>
      <c r="CN898" s="14">
        <f ca="1">SUM(CI898,CJ898,CK898)</f>
        <v>21.306999999999999</v>
      </c>
      <c r="CO898" s="14">
        <f>SUM(EG898*0.0052)/2</f>
        <v>7.8</v>
      </c>
      <c r="CP898" s="14">
        <f>SUM(CO898*0.1)</f>
        <v>0.78</v>
      </c>
      <c r="CQ898" s="14">
        <f ca="1">SUM(CR898*CS898)</f>
        <v>1.5014999999999994</v>
      </c>
      <c r="CR898" s="17">
        <f>SUM((CO898+CP898)*0.00833333333333333)</f>
        <v>7.1499999999999966E-2</v>
      </c>
      <c r="CS898" s="23">
        <f ca="1">MONTH(TODAY())+17</f>
        <v>21</v>
      </c>
      <c r="CT898" s="23">
        <f ca="1">SUM(CO898,CP898,CQ898)</f>
        <v>10.0815</v>
      </c>
      <c r="CU898" s="14">
        <f>SUM(EG898*0.0052)/2</f>
        <v>7.8</v>
      </c>
      <c r="CV898" s="14">
        <f>SUM(CU898*0.1)</f>
        <v>0.78</v>
      </c>
      <c r="CW898" s="14">
        <f ca="1">SUM(CX898*CY898)</f>
        <v>1.2154999999999994</v>
      </c>
      <c r="CX898" s="17">
        <f>SUM((CU898+CV898)*0.00833333333333333)</f>
        <v>7.1499999999999966E-2</v>
      </c>
      <c r="CY898" s="23">
        <f ca="1">MONTH(TODAY())+13</f>
        <v>17</v>
      </c>
      <c r="CZ898" s="23">
        <f ca="1">SUM(CU898,CV898,CW898)</f>
        <v>9.7954999999999988</v>
      </c>
      <c r="DA898" s="14">
        <f>SUM(EJ898*0.0045)/2</f>
        <v>10.125</v>
      </c>
      <c r="DB898" s="14">
        <f>SUM(DA898*0.1)</f>
        <v>1.0125</v>
      </c>
      <c r="DC898" s="14">
        <f ca="1">SUM(DD898*DE898)</f>
        <v>1.0209374999999994</v>
      </c>
      <c r="DD898" s="17">
        <f>SUM((DA898+DB898)*0.00833333333333333)</f>
        <v>9.2812499999999951E-2</v>
      </c>
      <c r="DE898" s="23">
        <f ca="1">MONTH(TODAY())+7</f>
        <v>11</v>
      </c>
      <c r="DF898" s="23">
        <f ca="1">SUM(DA898,DB898,DC898)</f>
        <v>12.158437499999998</v>
      </c>
      <c r="DG898" s="14">
        <f>SUM(EJ898*0.0045)/2</f>
        <v>10.125</v>
      </c>
      <c r="DH898" s="14">
        <f>SUM(DG898*0.1)</f>
        <v>1.0125</v>
      </c>
      <c r="DI898" s="14">
        <f ca="1">SUM(DJ898*DK898)</f>
        <v>0.46406249999999977</v>
      </c>
      <c r="DJ898" s="17">
        <f>SUM((DG898+DH898)*0.00833333333333333)</f>
        <v>9.2812499999999951E-2</v>
      </c>
      <c r="DK898" s="23">
        <f ca="1">MONTH(TODAY())+1</f>
        <v>5</v>
      </c>
      <c r="DL898" s="14">
        <f ca="1">SUM(DG898,DH898,DI898)</f>
        <v>11.601562499999998</v>
      </c>
      <c r="DM898" s="14">
        <f>SUM( BQ898, BW898, CC898, CI898, CO898,CU898,DA898,DG898)</f>
        <v>51.45</v>
      </c>
      <c r="DN898" s="14">
        <f>SUM(BR898,BX898,CD898,CJ898, CP898,CV898,DB898,DH898)</f>
        <v>5.1450000000000005</v>
      </c>
      <c r="DO898" s="14">
        <f ca="1">SUM(BS898,BY898,CE898,CK898, CQ898,CW898,DC898,DI898)</f>
        <v>8.3489999999999966</v>
      </c>
      <c r="DP898" s="25">
        <f ca="1">SUM(DM898:DO898)</f>
        <v>64.944000000000003</v>
      </c>
      <c r="DQ898" s="47">
        <f ca="1">SUM(DP898/EG898)</f>
        <v>2.1648000000000001E-2</v>
      </c>
      <c r="DR898" s="14">
        <v>20</v>
      </c>
      <c r="DS898" s="32">
        <f>COUNTIF(DX898, "*")+COUNTIF(AO898, "*")+COUNTIF(AJ898, "*")+COUNTIF(AA898, "*")+COUNTIF(EU898, "*")+COUNTIF(FA898, "*")+COUNTIF(FG898, "*")+COUNTIF(FK898, "*")+COUNTIF(FR898, "*")+COUNTIF(AT898, "*")+COUNTIF(GA898, "*")+COUNTIF(GL898, "*")+COUNTIF(GW898, "*")+COUNTIF(HE898, "*")+COUNTIF(HM898, "*")+COUNTIF(HU898, "*")</f>
        <v>3</v>
      </c>
      <c r="DT898" s="14">
        <f>DS898*0.6</f>
        <v>1.7999999999999998</v>
      </c>
      <c r="DU898" s="4"/>
      <c r="DV898" s="4"/>
      <c r="DW898" s="4"/>
      <c r="DX898" s="4"/>
      <c r="DZ898" s="4"/>
      <c r="EA898" s="14">
        <f>SUM(DV898:DZ898)</f>
        <v>0</v>
      </c>
      <c r="EB898" s="14">
        <f ca="1">SUM(DP898,DR898,EA898, DU898, DT898,FX898)</f>
        <v>86.744</v>
      </c>
      <c r="EC898" s="24" t="s">
        <v>3879</v>
      </c>
      <c r="ED898" s="130">
        <v>0.22</v>
      </c>
      <c r="EE898" s="14">
        <v>3000</v>
      </c>
      <c r="EF898" s="14">
        <v>0</v>
      </c>
      <c r="EG898" s="14">
        <f>SUM(EE898+EF898)</f>
        <v>3000</v>
      </c>
      <c r="EH898" s="14">
        <v>4500</v>
      </c>
      <c r="EI898" s="14">
        <v>0</v>
      </c>
      <c r="EJ898" s="14">
        <f>SUM(EH898+EI898)</f>
        <v>4500</v>
      </c>
      <c r="FO898" s="9"/>
      <c r="FV898" s="9"/>
      <c r="FX898" s="4"/>
      <c r="IA898" s="9"/>
      <c r="IL898" s="14">
        <f ca="1">SUM(IB898-EB898-FX898-IJ898)</f>
        <v>-86.744</v>
      </c>
      <c r="IM898" s="14"/>
      <c r="IN898" s="14"/>
      <c r="IO898" s="9"/>
      <c r="IP898" s="9"/>
      <c r="IQ898" s="9"/>
      <c r="IR898" s="9"/>
      <c r="IS898" s="9"/>
    </row>
    <row r="899" spans="1:275" ht="15" customHeight="1">
      <c r="A899" s="19">
        <v>102022070</v>
      </c>
      <c r="B899" t="s">
        <v>2815</v>
      </c>
      <c r="D899" s="1"/>
      <c r="E899" s="3" t="s">
        <v>3816</v>
      </c>
      <c r="F899" s="3">
        <v>220003008</v>
      </c>
      <c r="J899" t="s">
        <v>311</v>
      </c>
      <c r="K899" t="s">
        <v>415</v>
      </c>
      <c r="L899" t="s">
        <v>3062</v>
      </c>
      <c r="M899" t="s">
        <v>309</v>
      </c>
      <c r="AD899" t="s">
        <v>3902</v>
      </c>
      <c r="AE899" t="s">
        <v>554</v>
      </c>
      <c r="AF899" t="s">
        <v>3903</v>
      </c>
      <c r="AG899" s="43"/>
      <c r="AH899" t="s">
        <v>3063</v>
      </c>
      <c r="AI899" t="s">
        <v>259</v>
      </c>
      <c r="AM899"/>
      <c r="AN899"/>
      <c r="AO899" s="3" t="s">
        <v>3063</v>
      </c>
      <c r="AP899" s="3" t="s">
        <v>258</v>
      </c>
      <c r="AQ899" t="s">
        <v>259</v>
      </c>
      <c r="AR899" t="s">
        <v>260</v>
      </c>
      <c r="AS899" s="1"/>
      <c r="AT899" s="1" t="s">
        <v>258</v>
      </c>
      <c r="AU899" s="1"/>
      <c r="AV899" s="1"/>
      <c r="AW899" s="1"/>
      <c r="AX899" s="70">
        <v>44679</v>
      </c>
      <c r="AY899" s="115">
        <v>44647</v>
      </c>
      <c r="AZ899" s="115">
        <v>44636</v>
      </c>
      <c r="BA899" s="2"/>
      <c r="BB899" s="2"/>
      <c r="BC899" s="2"/>
      <c r="BD899" s="2"/>
      <c r="BE899" s="48">
        <v>44799</v>
      </c>
      <c r="BF899" s="19" t="s">
        <v>319</v>
      </c>
      <c r="BG899" s="20">
        <f ca="1">SUM(CZ899)+214.5</f>
        <v>2175.9473333333331</v>
      </c>
      <c r="BH899" s="22">
        <f ca="1">PMT(10%/12,12,BG899,0,0)</f>
        <v>-191.3003403757734</v>
      </c>
      <c r="BI899" s="22">
        <f ca="1">SUM(BH899*-1)</f>
        <v>191.3003403757734</v>
      </c>
      <c r="BJ899" s="14">
        <f>SUM(DJ899*0.0052)/12</f>
        <v>33.366666666666667</v>
      </c>
      <c r="BK899" s="22">
        <f ca="1">SUM(BI899+BJ899)</f>
        <v>224.66700704244008</v>
      </c>
      <c r="BL899" s="14"/>
      <c r="BM899" s="14">
        <f>SUM(BL899*0.1)</f>
        <v>0</v>
      </c>
      <c r="BN899" s="14">
        <f ca="1">SUM(BO899*BP899)</f>
        <v>0</v>
      </c>
      <c r="BO899" s="17">
        <f>SUM((BL899+BM899)*0.00833333333333333)</f>
        <v>0</v>
      </c>
      <c r="BP899" s="23">
        <f ca="1">MONTH(TODAY())+49</f>
        <v>53</v>
      </c>
      <c r="BQ899" s="14">
        <f ca="1">SUM(BL899,BM899,BN899)</f>
        <v>0</v>
      </c>
      <c r="BR899" s="14"/>
      <c r="BS899" s="14">
        <f>SUM(BR899*0.1)</f>
        <v>0</v>
      </c>
      <c r="BT899" s="14">
        <f ca="1">SUM(BU899*BV899)</f>
        <v>0</v>
      </c>
      <c r="BU899" s="17">
        <f>SUM((BR899+BS899)*0.00833333333333333)</f>
        <v>0</v>
      </c>
      <c r="BV899" s="23">
        <f ca="1">MONTH(TODAY())+37</f>
        <v>41</v>
      </c>
      <c r="BW899" s="14">
        <f ca="1">SUM(BR899,BS899,BT899)</f>
        <v>0</v>
      </c>
      <c r="BX899" s="14"/>
      <c r="BY899" s="14">
        <f>SUM(BX899*0.1)</f>
        <v>0</v>
      </c>
      <c r="BZ899" s="14">
        <f ca="1">SUM(CA899*CB899)</f>
        <v>0</v>
      </c>
      <c r="CA899" s="17">
        <f>SUM((BX899+BY899)*0.00833333333333333)</f>
        <v>0</v>
      </c>
      <c r="CB899" s="23">
        <f ca="1">MONTH(TODAY())+25</f>
        <v>29</v>
      </c>
      <c r="CC899" s="14">
        <f ca="1">SUM(BX899,BY899,BZ899)</f>
        <v>0</v>
      </c>
      <c r="CD899" s="14">
        <f>SUM(DJ899*0.0052)</f>
        <v>400.4</v>
      </c>
      <c r="CE899" s="14">
        <f>SUM(CD899*0.1)</f>
        <v>40.04</v>
      </c>
      <c r="CF899" s="14">
        <f ca="1">SUM(CG899*CH899)</f>
        <v>62.395666666666642</v>
      </c>
      <c r="CG899" s="17">
        <f>SUM((CD899+CE899)*0.00833333333333333)</f>
        <v>3.6703333333333319</v>
      </c>
      <c r="CH899" s="23">
        <f ca="1">MONTH(TODAY())+13</f>
        <v>17</v>
      </c>
      <c r="CI899" s="14">
        <f ca="1">SUM(CD899,CE899,CF899)</f>
        <v>502.83566666666661</v>
      </c>
      <c r="CJ899" s="14">
        <f>SUM(DJ899*0.0052)</f>
        <v>400.4</v>
      </c>
      <c r="CK899" s="14">
        <f>SUM(CJ899*0.1)</f>
        <v>40.04</v>
      </c>
      <c r="CL899" s="14">
        <f ca="1">SUM(CM899*CN899)</f>
        <v>18.351666666666659</v>
      </c>
      <c r="CM899" s="17">
        <f>SUM((CJ899+CK899)*0.00833333333333333)</f>
        <v>3.6703333333333319</v>
      </c>
      <c r="CN899" s="23">
        <f ca="1">MONTH(TODAY())+1</f>
        <v>5</v>
      </c>
      <c r="CO899" s="14">
        <f ca="1">SUM(CJ899,CK899,CL899)</f>
        <v>458.79166666666663</v>
      </c>
      <c r="CP899" s="14">
        <f>SUM(DJ899*0.0052)/2</f>
        <v>200.2</v>
      </c>
      <c r="CQ899" s="14">
        <f>SUM(BL899, BR899, BX899, CD899, CJ899, CP899)</f>
        <v>1001</v>
      </c>
      <c r="CR899" s="14">
        <f>SUM(BM899, BS899,BY899,CE899,CK899)</f>
        <v>80.08</v>
      </c>
      <c r="CS899" s="14">
        <f ca="1">SUM(BN899, BT899,BZ899,CF899,CL899)</f>
        <v>80.747333333333302</v>
      </c>
      <c r="CT899" s="14">
        <f ca="1">SUM(CQ899:CS899)</f>
        <v>1161.8273333333332</v>
      </c>
      <c r="CU899" s="47">
        <f ca="1">SUM(CT899/DJ899)</f>
        <v>1.5088666666666665E-2</v>
      </c>
      <c r="CV899" s="14">
        <f>19.5+19.5+195+195+58.5+39+39+39</f>
        <v>604.5</v>
      </c>
      <c r="CW899" s="32">
        <f>COUNTIF(DC899, "*")+COUNTIF(AO899, "*")+COUNTIF(AJ899, "*")+COUNTIF(AA899, "*")+COUNTIF(DZ899, "*")+COUNTIF(EF899, "*")+COUNTIF(EL899, "*")+COUNTIF(EP899, "*")+COUNTIF(EW899, "*")+COUNTIF(FD899, "*")+COUNTIF(FK899, "*")+COUNTIF(FV899, "*")+COUNTIF(GG899, "*")+COUNTIF(GO899, "*")+COUNTIF(GW899, "*")+COUNTIF(HE899, "*")+COUNTIF(HM899, "*")</f>
        <v>2</v>
      </c>
      <c r="CX899" s="14">
        <f>CW899*0.5+CW899*6.66</f>
        <v>14.32</v>
      </c>
      <c r="CY899" s="4">
        <v>150</v>
      </c>
      <c r="CZ899" s="14">
        <f ca="1">SUM(CT899,CV899,DF899, CY899, CX899,FH899)</f>
        <v>1961.4473333333331</v>
      </c>
      <c r="DA899" s="4">
        <v>30.8</v>
      </c>
      <c r="DB899" s="4"/>
      <c r="DF899" s="14">
        <f>SUM(DA899:DE899)</f>
        <v>30.8</v>
      </c>
      <c r="DG899" s="24" t="s">
        <v>2773</v>
      </c>
      <c r="DH899" s="4">
        <v>9000</v>
      </c>
      <c r="DI899" s="4">
        <v>68000</v>
      </c>
      <c r="DJ899" s="25">
        <f>SUM(DH899+DI899)</f>
        <v>77000</v>
      </c>
      <c r="DK899" s="35">
        <v>0.19</v>
      </c>
      <c r="DL899" t="s">
        <v>3481</v>
      </c>
      <c r="DM899" t="s">
        <v>3482</v>
      </c>
      <c r="DN899" t="s">
        <v>3483</v>
      </c>
      <c r="DO899" t="s">
        <v>3484</v>
      </c>
      <c r="DP899" t="s">
        <v>3485</v>
      </c>
      <c r="DX899" t="s">
        <v>3486</v>
      </c>
      <c r="DZ899" t="s">
        <v>3487</v>
      </c>
      <c r="EB899" t="s">
        <v>3488</v>
      </c>
      <c r="EC899" t="s">
        <v>471</v>
      </c>
      <c r="ID899" s="4"/>
    </row>
    <row r="900" spans="1:275" ht="15" customHeight="1">
      <c r="A900" s="19">
        <v>102021096</v>
      </c>
      <c r="B900" s="18" t="s">
        <v>2629</v>
      </c>
      <c r="D900" s="1"/>
      <c r="E900" s="3" t="s">
        <v>3724</v>
      </c>
      <c r="F900">
        <v>220002130</v>
      </c>
      <c r="G900" s="3"/>
      <c r="J900" s="18" t="s">
        <v>253</v>
      </c>
      <c r="K900" s="18" t="s">
        <v>2630</v>
      </c>
      <c r="L900" s="18" t="s">
        <v>2631</v>
      </c>
      <c r="M900" s="18" t="s">
        <v>650</v>
      </c>
      <c r="O900" s="3"/>
      <c r="AG900" s="43"/>
      <c r="AJ900" s="18" t="s">
        <v>2632</v>
      </c>
      <c r="AK900" t="s">
        <v>258</v>
      </c>
      <c r="AL900" s="18" t="s">
        <v>259</v>
      </c>
      <c r="AM900" t="s">
        <v>260</v>
      </c>
      <c r="AN900"/>
      <c r="AO900" t="s">
        <v>2633</v>
      </c>
      <c r="AP900" s="3" t="s">
        <v>258</v>
      </c>
      <c r="AQ900" t="s">
        <v>2634</v>
      </c>
      <c r="AR900"/>
      <c r="AS900" s="18" t="s">
        <v>372</v>
      </c>
      <c r="AT900" s="18" t="s">
        <v>373</v>
      </c>
      <c r="AU900" s="18" t="s">
        <v>374</v>
      </c>
      <c r="AV900" s="18" t="s">
        <v>259</v>
      </c>
      <c r="AW900" s="18" t="s">
        <v>260</v>
      </c>
      <c r="AX900" s="1"/>
      <c r="AY900" s="1" t="s">
        <v>258</v>
      </c>
      <c r="AZ900" s="1"/>
      <c r="BA900" s="1"/>
      <c r="BB900" s="1"/>
      <c r="BC900" s="70">
        <v>44644</v>
      </c>
      <c r="BD900" s="115">
        <v>44598</v>
      </c>
      <c r="BE900" s="115">
        <v>44614</v>
      </c>
      <c r="BF900" s="2"/>
      <c r="BG900" s="2"/>
      <c r="BH900" s="2"/>
      <c r="BI900" s="2"/>
      <c r="BJ900" s="48"/>
      <c r="BK900" s="19"/>
      <c r="BL900" s="20">
        <f ca="1">SUM(EB900)+220</f>
        <v>2320.41</v>
      </c>
      <c r="BM900" s="22">
        <f ca="1">PMT(10%/12,12,BL900,0,0)</f>
        <v>-204.00090388738653</v>
      </c>
      <c r="BN900" s="22">
        <f ca="1">SUM(BM900*-1)</f>
        <v>204.00090388738653</v>
      </c>
      <c r="BO900" s="14">
        <f>SUM(EJ900*0.0052)/12</f>
        <v>46.02</v>
      </c>
      <c r="BP900" s="22">
        <f ca="1">SUM(BN900+BO900)</f>
        <v>250.02090388738654</v>
      </c>
      <c r="BQ900" s="14"/>
      <c r="BR900" s="14">
        <f>SUM(BQ900*0.1)</f>
        <v>0</v>
      </c>
      <c r="BS900" s="14">
        <f ca="1">SUM(BT900*BU900)</f>
        <v>0</v>
      </c>
      <c r="BT900" s="17">
        <f>SUM((BQ900+BR900)*0.00833333333333333)</f>
        <v>0</v>
      </c>
      <c r="BU900" s="23">
        <f ca="1">MONTH(TODAY())+49</f>
        <v>53</v>
      </c>
      <c r="BV900" s="14">
        <f ca="1">SUM(BQ900,BR900,BS900)</f>
        <v>0</v>
      </c>
      <c r="BW900" s="14">
        <v>0</v>
      </c>
      <c r="BX900" s="14">
        <f>SUM(BW900*0.1)</f>
        <v>0</v>
      </c>
      <c r="BY900" s="14">
        <f ca="1">SUM(BZ900*CA900)</f>
        <v>0</v>
      </c>
      <c r="BZ900" s="17">
        <f>SUM((BW900+BX900)*0.00833333333333333)</f>
        <v>0</v>
      </c>
      <c r="CA900" s="23">
        <f ca="1">MONTH(TODAY())+37</f>
        <v>41</v>
      </c>
      <c r="CB900" s="14">
        <f ca="1">SUM(BW900,BX900,BY900)</f>
        <v>0</v>
      </c>
      <c r="CC900" s="14">
        <v>0</v>
      </c>
      <c r="CD900" s="14">
        <f>SUM(CC900*0.1)</f>
        <v>0</v>
      </c>
      <c r="CE900" s="254">
        <v>0</v>
      </c>
      <c r="CF900" s="17">
        <f>SUM((CC900+CD900)*0.00833333333333333)</f>
        <v>0</v>
      </c>
      <c r="CG900" s="23">
        <f ca="1">MONTH(TODAY())+25</f>
        <v>29</v>
      </c>
      <c r="CH900" s="14">
        <f>SUM(CC900,CD900,CE900)</f>
        <v>0</v>
      </c>
      <c r="CI900" s="14">
        <v>0</v>
      </c>
      <c r="CJ900" s="14">
        <f>SUM(CI900*0.1)</f>
        <v>0</v>
      </c>
      <c r="CK900" s="254">
        <v>0</v>
      </c>
      <c r="CL900" s="17">
        <f>SUM((CI900+CJ900)*0.00833333333333333)</f>
        <v>0</v>
      </c>
      <c r="CM900" s="23">
        <f ca="1">MONTH(TODAY())+13</f>
        <v>17</v>
      </c>
      <c r="CN900" s="14">
        <f>SUM(CI900,CJ900,CK900)</f>
        <v>0</v>
      </c>
      <c r="CO900" s="14">
        <v>0</v>
      </c>
      <c r="CP900" s="14">
        <f>SUM(CO900*0.1)</f>
        <v>0</v>
      </c>
      <c r="CQ900" s="14">
        <f ca="1">SUM(CR900*CS900)</f>
        <v>0</v>
      </c>
      <c r="CR900" s="17">
        <f>SUM((CO900+CP900)*0.00833333333333333)</f>
        <v>0</v>
      </c>
      <c r="CS900" s="23">
        <f ca="1">MONTH(TODAY())+5</f>
        <v>9</v>
      </c>
      <c r="CT900" s="23">
        <f ca="1">SUM(CO900,CP900,CQ900)</f>
        <v>0</v>
      </c>
      <c r="CU900" s="14">
        <v>0</v>
      </c>
      <c r="CV900" s="14">
        <f>SUM(CU900*0.1)</f>
        <v>0</v>
      </c>
      <c r="CW900" s="14">
        <f ca="1">SUM(CX900*CY900)</f>
        <v>0</v>
      </c>
      <c r="CX900" s="17">
        <f>SUM((CU900+CV900)*0.00833333333333333)</f>
        <v>0</v>
      </c>
      <c r="CY900" s="23">
        <f ca="1">MONTH(TODAY())+1</f>
        <v>5</v>
      </c>
      <c r="CZ900" s="23">
        <f ca="1">SUM(CU900,CV900,CW900)</f>
        <v>0</v>
      </c>
      <c r="DA900" s="14">
        <v>0</v>
      </c>
      <c r="DB900" s="14">
        <f>SUM(DA900*0.1)</f>
        <v>0</v>
      </c>
      <c r="DC900" s="14">
        <f ca="1">SUM(DD900*DE900)</f>
        <v>0</v>
      </c>
      <c r="DD900" s="17">
        <f>SUM((DA900+DB900)*0.00833333333333333)</f>
        <v>0</v>
      </c>
      <c r="DE900" s="23">
        <f ca="1">MONTH(TODAY())-5</f>
        <v>-1</v>
      </c>
      <c r="DF900" s="23">
        <f ca="1">SUM(DA900,DB900,DC900)</f>
        <v>0</v>
      </c>
      <c r="DG900" s="14">
        <f>SUM(EJ900*0.0045)/2</f>
        <v>238.95</v>
      </c>
      <c r="DH900" s="14">
        <v>0</v>
      </c>
      <c r="DI900" s="14">
        <v>0</v>
      </c>
      <c r="DJ900" s="17">
        <f>SUM((DG900+DH900)*0.00833333333333333)</f>
        <v>1.9912499999999991</v>
      </c>
      <c r="DK900" s="23">
        <f ca="1">MONTH(TODAY())+1</f>
        <v>5</v>
      </c>
      <c r="DL900" s="23">
        <f>SUM(DG900,DH900,DI900)</f>
        <v>238.95</v>
      </c>
      <c r="DM900" s="14">
        <f>SUM( BQ900, BW900, CC900, CI900, CO900,CU900,DA900,DG900)</f>
        <v>238.95</v>
      </c>
      <c r="DN900" s="14">
        <f>SUM(BR900,BX900,CD900,CJ900, CP900,CV900,DB900,DH900)</f>
        <v>0</v>
      </c>
      <c r="DO900" s="14">
        <f ca="1">SUM(BS900,BY900,CE900,CK900, CQ900,CW900,DC900,DI900)</f>
        <v>0</v>
      </c>
      <c r="DP900" s="25">
        <f ca="1">SUM(DM900:DO900)</f>
        <v>238.95</v>
      </c>
      <c r="DQ900" s="47">
        <f ca="1">SUM(DP900/EG900)</f>
        <v>2.5258985200845665E-3</v>
      </c>
      <c r="DR900" s="14">
        <f>19.5+39+19.5+195+195+39+39+39+39+39+39+97.5+39+58.5+97.5+156+58.5+40-395.68</f>
        <v>853.31999999999994</v>
      </c>
      <c r="DS900" s="32">
        <f>COUNTIF(DX900, "*")+COUNTIF(AO900, "*")+COUNTIF(AJ900, "*")+COUNTIF(AA900, "*")+COUNTIF(EY900, "*")+COUNTIF(FE900, "*")+COUNTIF(FK900, "*")+COUNTIF(FO900, "*")+COUNTIF(FV900, "*")+COUNTIF(AT900, "*")+COUNTIF(GE900, "*")+COUNTIF(GP900, "*")+COUNTIF(HA900, "*")+COUNTIF(HI900, "*")+COUNTIF(HQ900, "*")+COUNTIF(HY900, "*")+COUNTIF(IG900, "*")</f>
        <v>3</v>
      </c>
      <c r="DT900" s="14">
        <f>1.06+13.85+28</f>
        <v>42.91</v>
      </c>
      <c r="DU900" s="4">
        <v>300</v>
      </c>
      <c r="DV900" s="14">
        <v>50.23</v>
      </c>
      <c r="DW900" s="4"/>
      <c r="DX900" s="4"/>
      <c r="DY900">
        <v>130</v>
      </c>
      <c r="DZ900" s="4">
        <v>485</v>
      </c>
      <c r="EA900" s="14">
        <f>SUM(DV900:DZ900)</f>
        <v>665.23</v>
      </c>
      <c r="EB900" s="14">
        <f ca="1">SUM(DP900,DR900,EA900, DU900, DT900,GB900)</f>
        <v>2100.41</v>
      </c>
      <c r="EC900" s="24" t="s">
        <v>3908</v>
      </c>
      <c r="ED900" s="7">
        <v>0.15</v>
      </c>
      <c r="EE900" s="4">
        <v>10200</v>
      </c>
      <c r="EF900" s="4">
        <v>84400</v>
      </c>
      <c r="EG900" s="14">
        <f>SUM(EE900+EF900)</f>
        <v>94600</v>
      </c>
      <c r="EH900" s="14">
        <v>15300</v>
      </c>
      <c r="EI900" s="14">
        <v>90900</v>
      </c>
      <c r="EJ900" s="14">
        <f>SUM(EH900+EI900)</f>
        <v>106200</v>
      </c>
      <c r="EK900" t="s">
        <v>3401</v>
      </c>
      <c r="EL900" t="s">
        <v>3402</v>
      </c>
      <c r="EM900" t="s">
        <v>3403</v>
      </c>
      <c r="EN900" t="s">
        <v>3404</v>
      </c>
      <c r="IM900" s="9"/>
      <c r="IX900" s="14">
        <f ca="1">SUM(IN900-EB900-GB900-IV900)</f>
        <v>-2100.41</v>
      </c>
      <c r="IY900" s="9"/>
      <c r="IZ900" s="9"/>
      <c r="JA900" s="9"/>
      <c r="JB900" s="9"/>
      <c r="JC900" s="9"/>
    </row>
    <row r="901" spans="1:275" ht="15" customHeight="1">
      <c r="A901" s="19">
        <v>102020068</v>
      </c>
      <c r="B901" s="18" t="s">
        <v>1719</v>
      </c>
      <c r="C901" s="18"/>
      <c r="D901" s="13"/>
      <c r="E901" s="18"/>
      <c r="F901" s="18"/>
      <c r="G901" s="18">
        <v>200002142</v>
      </c>
      <c r="H901" s="18"/>
      <c r="I901" s="18"/>
      <c r="J901" s="18" t="s">
        <v>253</v>
      </c>
      <c r="K901" s="18" t="s">
        <v>1720</v>
      </c>
      <c r="L901" s="18" t="s">
        <v>817</v>
      </c>
      <c r="M901" s="18" t="s">
        <v>403</v>
      </c>
      <c r="N901" s="18"/>
      <c r="O901" s="18"/>
      <c r="P901" s="18"/>
      <c r="Q901" s="18"/>
      <c r="R901" s="18"/>
      <c r="S901" s="18"/>
      <c r="T901" s="18"/>
      <c r="U901" s="18"/>
      <c r="V901" s="18"/>
      <c r="W901" s="18"/>
      <c r="X901" s="18"/>
      <c r="Y901" s="18"/>
      <c r="Z901" s="18"/>
      <c r="AA901" s="18"/>
      <c r="AB901" s="18"/>
      <c r="AC901" s="18"/>
      <c r="AD901" s="18"/>
      <c r="AE901" s="18"/>
      <c r="AF901" s="18"/>
      <c r="AG901" s="24"/>
      <c r="AH901" s="18"/>
      <c r="AI901" s="18"/>
      <c r="AJ901" s="18"/>
      <c r="AK901" s="18"/>
      <c r="AL901" s="18"/>
      <c r="AM901" s="24"/>
      <c r="AN901" s="24"/>
      <c r="AO901" s="18"/>
      <c r="AP901" s="13"/>
      <c r="AQ901" s="24"/>
      <c r="AR901" s="24"/>
      <c r="AS901" s="18"/>
      <c r="AT901" s="18"/>
      <c r="AU901" s="18"/>
      <c r="AV901" s="18"/>
      <c r="AW901" s="18"/>
      <c r="AX901" s="19"/>
      <c r="AY901" s="19"/>
      <c r="AZ901" s="48"/>
      <c r="BA901" s="19"/>
      <c r="BB901" s="19"/>
      <c r="BC901" s="19"/>
      <c r="BD901" s="19"/>
      <c r="BE901" s="19"/>
      <c r="BF901" s="19"/>
      <c r="BG901" s="20"/>
      <c r="BH901" s="22"/>
      <c r="BI901" s="22"/>
      <c r="BJ901" s="14"/>
      <c r="BK901" s="22"/>
      <c r="BL901" s="14"/>
      <c r="BM901" s="14"/>
      <c r="BN901" s="14"/>
      <c r="BO901" s="17"/>
      <c r="BP901" s="23"/>
      <c r="BQ901" s="14"/>
      <c r="BR901" s="14"/>
      <c r="BS901" s="14"/>
      <c r="BT901" s="14"/>
      <c r="BU901" s="17"/>
      <c r="BV901" s="23"/>
      <c r="BW901" s="14"/>
      <c r="BX901" s="14"/>
      <c r="BY901" s="14"/>
      <c r="BZ901" s="14"/>
      <c r="CA901" s="17"/>
      <c r="CB901" s="23"/>
      <c r="CC901" s="14"/>
      <c r="CD901" s="14"/>
      <c r="CE901" s="14"/>
      <c r="CF901" s="14"/>
      <c r="CG901" s="17"/>
      <c r="CH901" s="23"/>
      <c r="CI901" s="14"/>
      <c r="CJ901" s="14"/>
      <c r="CK901" s="14"/>
      <c r="CL901" s="14"/>
      <c r="CM901" s="17"/>
      <c r="CN901" s="23"/>
      <c r="CO901" s="14"/>
      <c r="CP901" s="14"/>
      <c r="CQ901" s="14"/>
      <c r="CR901" s="14"/>
      <c r="CS901" s="17"/>
      <c r="CT901" s="23"/>
      <c r="CU901" s="14"/>
      <c r="CV901" s="14"/>
      <c r="CW901" s="14"/>
      <c r="CX901" s="14"/>
      <c r="CY901" s="17"/>
      <c r="CZ901" s="23"/>
      <c r="DA901" s="14"/>
      <c r="DB901" s="14"/>
      <c r="DC901" s="14"/>
      <c r="DD901" s="14"/>
      <c r="DE901" s="17"/>
      <c r="DF901" s="23"/>
      <c r="DG901" s="14"/>
      <c r="DH901" s="14"/>
      <c r="DI901" s="14"/>
      <c r="DJ901" s="14"/>
      <c r="DK901" s="14"/>
      <c r="DL901" s="47"/>
      <c r="DM901" s="14"/>
      <c r="DN901" s="32"/>
      <c r="DO901" s="14"/>
      <c r="DP901" s="14"/>
      <c r="DQ901" s="14"/>
      <c r="DR901" s="14"/>
      <c r="DS901" s="14"/>
      <c r="DT901" s="14"/>
      <c r="DU901" s="23"/>
      <c r="DV901" s="25"/>
      <c r="DW901" s="14"/>
      <c r="DX901" s="24"/>
      <c r="DY901" s="25"/>
      <c r="DZ901" s="25"/>
      <c r="EA901" s="25"/>
      <c r="EB901" s="36"/>
      <c r="EC901" s="277"/>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row>
    <row r="902" spans="1:275" ht="15" customHeight="1">
      <c r="A902" s="19">
        <v>102020068</v>
      </c>
      <c r="B902" t="s">
        <v>1719</v>
      </c>
      <c r="D902" s="13"/>
      <c r="J902" t="s">
        <v>554</v>
      </c>
      <c r="K902" t="s">
        <v>1720</v>
      </c>
      <c r="L902" t="s">
        <v>2934</v>
      </c>
      <c r="M902" t="s">
        <v>256</v>
      </c>
      <c r="P902" t="s">
        <v>1720</v>
      </c>
      <c r="Q902" t="s">
        <v>817</v>
      </c>
      <c r="R902" t="s">
        <v>403</v>
      </c>
      <c r="AD902" t="s">
        <v>3461</v>
      </c>
      <c r="AE902" t="s">
        <v>253</v>
      </c>
      <c r="AF902" t="s">
        <v>1720</v>
      </c>
      <c r="AG902" s="248" t="s">
        <v>3462</v>
      </c>
      <c r="AH902" s="3" t="s">
        <v>1721</v>
      </c>
      <c r="AI902" t="s">
        <v>259</v>
      </c>
      <c r="AJ902" s="18"/>
      <c r="AL902" s="18"/>
      <c r="AO902" t="s">
        <v>1721</v>
      </c>
      <c r="AP902" s="1" t="s">
        <v>258</v>
      </c>
      <c r="AQ902" s="3" t="s">
        <v>259</v>
      </c>
      <c r="AR902" s="3" t="s">
        <v>260</v>
      </c>
      <c r="AS902" s="1"/>
      <c r="AT902" s="1"/>
      <c r="AU902" s="1"/>
      <c r="AV902" s="1"/>
      <c r="AW902" s="1"/>
      <c r="AX902" s="2"/>
      <c r="AY902" s="116"/>
      <c r="AZ902" s="115"/>
      <c r="BA902" s="2"/>
      <c r="BB902" s="2"/>
      <c r="BC902" s="2"/>
      <c r="BD902" s="2"/>
      <c r="BE902" s="2"/>
      <c r="BF902" s="2"/>
      <c r="BG902" s="20"/>
      <c r="BH902" s="22"/>
      <c r="BI902" s="22"/>
      <c r="BJ902" s="14"/>
      <c r="BK902" s="22"/>
      <c r="BL902" s="14"/>
      <c r="BM902" s="14"/>
      <c r="BN902" s="14"/>
      <c r="BO902" s="17"/>
      <c r="BP902" s="23"/>
      <c r="BQ902" s="14"/>
      <c r="BR902" s="14"/>
      <c r="BS902" s="14"/>
      <c r="BT902" s="14"/>
      <c r="BU902" s="17"/>
      <c r="BV902" s="23"/>
      <c r="BW902" s="14"/>
      <c r="BX902" s="14"/>
      <c r="BY902" s="14"/>
      <c r="BZ902" s="14"/>
      <c r="CA902" s="17"/>
      <c r="CB902" s="23"/>
      <c r="CC902" s="14"/>
      <c r="CD902" s="14"/>
      <c r="CE902" s="14"/>
      <c r="CF902" s="14"/>
      <c r="CG902" s="17"/>
      <c r="CH902" s="23"/>
      <c r="CI902" s="14"/>
      <c r="CJ902" s="14"/>
      <c r="CK902" s="14"/>
      <c r="CL902" s="14"/>
      <c r="CM902" s="17"/>
      <c r="CN902" s="23"/>
      <c r="CO902" s="14"/>
      <c r="CP902" s="14"/>
      <c r="CQ902" s="14"/>
      <c r="CR902" s="14"/>
      <c r="CS902" s="14"/>
      <c r="CT902" s="47"/>
      <c r="CU902" s="14"/>
      <c r="CV902" s="32"/>
      <c r="CW902" s="14"/>
      <c r="CX902" s="4"/>
      <c r="CY902" s="14"/>
      <c r="CZ902" s="4"/>
      <c r="DE902" s="14"/>
      <c r="DF902" s="24"/>
      <c r="DG902" s="4"/>
      <c r="DH902" s="4"/>
      <c r="DI902" s="25"/>
      <c r="DJ902" s="35">
        <v>0.3</v>
      </c>
      <c r="FM902" t="s">
        <v>260</v>
      </c>
      <c r="IC902" s="4"/>
      <c r="IX902" s="18"/>
      <c r="IY902" s="18"/>
    </row>
    <row r="903" spans="1:275" ht="15" customHeight="1">
      <c r="A903" s="19">
        <v>102022082</v>
      </c>
      <c r="B903" t="s">
        <v>2827</v>
      </c>
      <c r="D903" s="1"/>
      <c r="E903" s="3"/>
      <c r="F903" s="3"/>
      <c r="J903" t="s">
        <v>311</v>
      </c>
      <c r="K903" t="s">
        <v>1186</v>
      </c>
      <c r="L903" t="s">
        <v>3083</v>
      </c>
      <c r="AG903" s="43"/>
      <c r="AJ903" t="s">
        <v>3085</v>
      </c>
      <c r="AK903" t="s">
        <v>258</v>
      </c>
      <c r="AL903" t="s">
        <v>259</v>
      </c>
      <c r="AM903" t="s">
        <v>260</v>
      </c>
      <c r="AN903"/>
      <c r="AO903" s="3" t="s">
        <v>773</v>
      </c>
      <c r="AP903" s="3" t="s">
        <v>258</v>
      </c>
      <c r="AQ903" t="s">
        <v>386</v>
      </c>
      <c r="AR903" t="s">
        <v>260</v>
      </c>
      <c r="AS903" s="1"/>
      <c r="AT903" s="1"/>
      <c r="AU903" s="1"/>
      <c r="AV903" s="1"/>
      <c r="AW903" s="1"/>
      <c r="AX903" s="2"/>
      <c r="AY903" s="116"/>
      <c r="AZ903" s="115"/>
      <c r="BA903" s="2"/>
      <c r="BB903" s="2"/>
      <c r="BC903" s="2"/>
      <c r="BD903" s="2"/>
      <c r="BE903" s="2"/>
      <c r="BF903" s="2"/>
      <c r="BG903" s="20">
        <f ca="1">SUM(CY903)+58.5+58.5</f>
        <v>967.99633333333327</v>
      </c>
      <c r="BH903" s="22">
        <f ca="1">PMT(10%/12,12,BG903,0,0)</f>
        <v>-85.102256480396107</v>
      </c>
      <c r="BI903" s="22">
        <f ca="1">SUM(BH903*-1)</f>
        <v>85.102256480396107</v>
      </c>
      <c r="BJ903" s="14">
        <f>SUM(DI903*0.0052)/12</f>
        <v>28.816666666666666</v>
      </c>
      <c r="BK903" s="22">
        <f ca="1">SUM(BI903+BJ903)</f>
        <v>113.91892314706277</v>
      </c>
      <c r="BL903" s="14"/>
      <c r="BM903" s="14">
        <f>SUM(BL903*0.1)</f>
        <v>0</v>
      </c>
      <c r="BN903" s="14">
        <f ca="1">SUM(BO903*BP903)</f>
        <v>0</v>
      </c>
      <c r="BO903" s="17">
        <f>SUM((BL903+BM903)*0.00833333333333333)</f>
        <v>0</v>
      </c>
      <c r="BP903" s="23">
        <f ca="1">MONTH(TODAY())+49</f>
        <v>53</v>
      </c>
      <c r="BQ903" s="14">
        <f ca="1">SUM(BL903,BM903,BN903)</f>
        <v>0</v>
      </c>
      <c r="BR903" s="14"/>
      <c r="BS903" s="14">
        <f>SUM(BR903*0.1)</f>
        <v>0</v>
      </c>
      <c r="BT903" s="14">
        <f ca="1">SUM(BU903*BV903)</f>
        <v>0</v>
      </c>
      <c r="BU903" s="17">
        <f>SUM((BR903+BS903)*0.00833333333333333)</f>
        <v>0</v>
      </c>
      <c r="BV903" s="23">
        <f ca="1">MONTH(TODAY())+37</f>
        <v>41</v>
      </c>
      <c r="BW903" s="14">
        <f ca="1">SUM(BR903,BS903,BT903)</f>
        <v>0</v>
      </c>
      <c r="BX903" s="14"/>
      <c r="BY903" s="14">
        <f>SUM(BX903*0.1)</f>
        <v>0</v>
      </c>
      <c r="BZ903" s="14">
        <f ca="1">SUM(CA903*CB903)</f>
        <v>0</v>
      </c>
      <c r="CA903" s="17">
        <f>SUM((BX903+BY903)*0.00833333333333333)</f>
        <v>0</v>
      </c>
      <c r="CB903" s="23">
        <f ca="1">MONTH(TODAY())+25</f>
        <v>29</v>
      </c>
      <c r="CC903" s="14">
        <f ca="1">SUM(BX903,BY903,BZ903)</f>
        <v>0</v>
      </c>
      <c r="CD903" s="14">
        <f>SUM(DI903*0.0052)</f>
        <v>345.8</v>
      </c>
      <c r="CE903" s="14">
        <f>SUM(CD903*0.1)</f>
        <v>34.580000000000005</v>
      </c>
      <c r="CF903" s="14">
        <f ca="1">SUM(CG903*CH903)</f>
        <v>53.887166666666637</v>
      </c>
      <c r="CG903" s="17">
        <f>SUM((CD903+CE903)*0.00833333333333333)</f>
        <v>3.1698333333333317</v>
      </c>
      <c r="CH903" s="23">
        <f ca="1">MONTH(TODAY())+13</f>
        <v>17</v>
      </c>
      <c r="CI903" s="14">
        <f ca="1">SUM(CD903,CE903,CF903)</f>
        <v>434.26716666666664</v>
      </c>
      <c r="CJ903" s="14">
        <f>SUM(DI903*0.0052)</f>
        <v>345.8</v>
      </c>
      <c r="CK903" s="14">
        <f>SUM(CJ903*0.1)</f>
        <v>34.580000000000005</v>
      </c>
      <c r="CL903" s="14">
        <f ca="1">SUM(CM903*CN903)</f>
        <v>15.849166666666658</v>
      </c>
      <c r="CM903" s="17">
        <f>SUM((CJ903+CK903)*0.00833333333333333)</f>
        <v>3.1698333333333317</v>
      </c>
      <c r="CN903" s="23">
        <f ca="1">MONTH(TODAY())+1</f>
        <v>5</v>
      </c>
      <c r="CO903" s="14">
        <f ca="1">SUM(CJ903,CK903,CL903)</f>
        <v>396.22916666666663</v>
      </c>
      <c r="CP903" s="14">
        <f>SUM(BL903, BR903,BX903,CD903,CJ903)</f>
        <v>691.6</v>
      </c>
      <c r="CQ903" s="14">
        <f>SUM(BM903, BS903,BY903,CE903,CK903)</f>
        <v>69.160000000000011</v>
      </c>
      <c r="CR903" s="14">
        <f ca="1">SUM(BN903, BT903,BZ903,CF903,CL903)</f>
        <v>69.736333333333292</v>
      </c>
      <c r="CS903" s="14">
        <f ca="1">SUM(CP903:CR903)</f>
        <v>830.49633333333327</v>
      </c>
      <c r="CT903" s="47">
        <f ca="1">SUM(CS903/DI903)</f>
        <v>1.2488666666666665E-2</v>
      </c>
      <c r="CU903" s="14">
        <v>19.5</v>
      </c>
      <c r="CV903" s="32">
        <f>COUNTIF(DB903, "*")+COUNTIF(AO903, "*")+COUNTIF(AJ903, "*")+COUNTIF(AA903, "*")+COUNTIF(DY903, "*")+COUNTIF(EE903, "*")+COUNTIF(EK903, "*")+COUNTIF(EO903, "*")+COUNTIF(EV903, "*")+COUNTIF(FC903, "*")+COUNTIF(FJ903, "*")+COUNTIF(FU903, "*")+COUNTIF(GF903, "*")+COUNTIF(GN903, "*")+COUNTIF(GV903, "*")+COUNTIF(HD903, "*")+COUNTIF(HL903, "*")</f>
        <v>2</v>
      </c>
      <c r="CW903" s="14">
        <f>CV903*0.5</f>
        <v>1</v>
      </c>
      <c r="CX903" s="4"/>
      <c r="CY903" s="14">
        <f ca="1">SUM(CS903,CU903,DE903, CX903, CW903,FG903)</f>
        <v>850.99633333333327</v>
      </c>
      <c r="CZ903" s="4"/>
      <c r="DE903" s="14">
        <f>SUM(CZ903:DD903)</f>
        <v>0</v>
      </c>
      <c r="DF903" s="24" t="s">
        <v>2773</v>
      </c>
      <c r="DG903" s="4">
        <v>12000</v>
      </c>
      <c r="DH903" s="4">
        <v>54500</v>
      </c>
      <c r="DI903" s="25">
        <f>SUM(DG903+DH903)</f>
        <v>66500</v>
      </c>
      <c r="DJ903" s="35">
        <v>0.36</v>
      </c>
      <c r="IC903" s="4"/>
    </row>
    <row r="904" spans="1:275" ht="15" customHeight="1">
      <c r="A904" s="19">
        <v>102023060</v>
      </c>
      <c r="B904" s="18" t="s">
        <v>4205</v>
      </c>
      <c r="D904" s="1"/>
      <c r="E904" s="3"/>
      <c r="F904" s="3"/>
      <c r="J904" s="18" t="s">
        <v>253</v>
      </c>
      <c r="K904" s="18" t="s">
        <v>3055</v>
      </c>
      <c r="L904" s="130" t="s">
        <v>927</v>
      </c>
      <c r="M904" s="130" t="s">
        <v>396</v>
      </c>
      <c r="N904" s="18"/>
      <c r="O904" s="252"/>
      <c r="P904" s="130"/>
      <c r="Q904" s="130"/>
      <c r="R904" s="130"/>
      <c r="S904" s="130"/>
      <c r="AG904" s="43"/>
      <c r="AH904" s="3"/>
      <c r="AI904" s="3"/>
      <c r="AJ904" s="18"/>
      <c r="AK904" s="18"/>
      <c r="AL904" s="18"/>
      <c r="AM904" s="18"/>
      <c r="AN904" s="18"/>
      <c r="AO904" s="18" t="s">
        <v>4204</v>
      </c>
      <c r="AP904" s="18" t="s">
        <v>258</v>
      </c>
      <c r="AQ904" s="18" t="s">
        <v>259</v>
      </c>
      <c r="AR904" s="18" t="s">
        <v>260</v>
      </c>
      <c r="AS904" s="18" t="s">
        <v>372</v>
      </c>
      <c r="AT904" s="18" t="s">
        <v>373</v>
      </c>
      <c r="AU904" s="18" t="s">
        <v>374</v>
      </c>
      <c r="AV904" s="18" t="s">
        <v>259</v>
      </c>
      <c r="AW904" s="18" t="s">
        <v>260</v>
      </c>
      <c r="AY904" s="1"/>
      <c r="AZ904" s="1"/>
      <c r="BA904" s="1"/>
      <c r="BB904" s="1"/>
      <c r="BC904" s="2"/>
      <c r="BD904" s="116"/>
      <c r="BE904" s="115"/>
      <c r="BF904" s="2"/>
      <c r="BG904" s="2"/>
      <c r="BH904" s="2"/>
      <c r="BI904" s="2"/>
      <c r="BJ904" s="2"/>
      <c r="BK904" s="2"/>
      <c r="BL904" s="20">
        <f ca="1">SUM(DP904)+220</f>
        <v>1344.8167999999998</v>
      </c>
      <c r="BM904" s="22">
        <f ca="1">PMT(10%/12,12,BL904,0,0)</f>
        <v>-118.23076213382235</v>
      </c>
      <c r="BN904" s="22">
        <f ca="1">SUM(BM904*-1)</f>
        <v>118.23076213382235</v>
      </c>
      <c r="BO904" s="14">
        <f>SUM(DX904*0.0052)/12</f>
        <v>39.65</v>
      </c>
      <c r="BP904" s="22">
        <f ca="1">SUM(BN904+BO904)</f>
        <v>157.88076213382234</v>
      </c>
      <c r="BQ904" s="14"/>
      <c r="BR904" s="14">
        <f>SUM(BQ904*0.1)</f>
        <v>0</v>
      </c>
      <c r="BS904" s="14">
        <f ca="1">SUM(BT904*BU904)</f>
        <v>0</v>
      </c>
      <c r="BT904" s="17">
        <f>SUM((BQ904+BR904)*0.00833333333333333)</f>
        <v>0</v>
      </c>
      <c r="BU904" s="23">
        <f ca="1">MONTH(TODAY())+49</f>
        <v>53</v>
      </c>
      <c r="BV904" s="14">
        <f ca="1">SUM(BQ904,BR904,BS904)</f>
        <v>0</v>
      </c>
      <c r="BW904" s="14"/>
      <c r="BX904" s="14">
        <f>SUM(BW904*0.1)</f>
        <v>0</v>
      </c>
      <c r="BY904" s="14">
        <f ca="1">SUM(BZ904*CA904)</f>
        <v>0</v>
      </c>
      <c r="BZ904" s="17">
        <f>SUM((BW904+BX904)*0.00833333333333333)</f>
        <v>0</v>
      </c>
      <c r="CA904" s="23">
        <f ca="1">MONTH(TODAY())+37</f>
        <v>41</v>
      </c>
      <c r="CB904" s="14">
        <f ca="1">SUM(BW904,BX904,BY904)</f>
        <v>0</v>
      </c>
      <c r="CC904" s="14">
        <v>0</v>
      </c>
      <c r="CD904" s="14">
        <f>SUM(CC904*0.1)</f>
        <v>0</v>
      </c>
      <c r="CE904" s="14">
        <f ca="1">SUM(CF904*CG904)</f>
        <v>0</v>
      </c>
      <c r="CF904" s="17">
        <f>SUM((CC904+CD904)*0.00833333333333333)</f>
        <v>0</v>
      </c>
      <c r="CG904" s="23">
        <f ca="1">MONTH(TODAY())+25</f>
        <v>29</v>
      </c>
      <c r="CH904" s="14">
        <f ca="1">SUM(CC904,CD904,CE904)</f>
        <v>0</v>
      </c>
      <c r="CI904" s="14">
        <f>SUM(DU904*0.0052)</f>
        <v>456.03999999999996</v>
      </c>
      <c r="CJ904" s="14">
        <f>SUM(CI904*0.1)</f>
        <v>45.603999999999999</v>
      </c>
      <c r="CK904" s="14">
        <f ca="1">SUM(CL904*CM904)</f>
        <v>71.066233333333287</v>
      </c>
      <c r="CL904" s="17">
        <f>SUM((CI904+CJ904)*0.00833333333333333)</f>
        <v>4.1803666666666643</v>
      </c>
      <c r="CM904" s="23">
        <f ca="1">MONTH(TODAY())+13</f>
        <v>17</v>
      </c>
      <c r="CN904" s="14">
        <f ca="1">SUM(CI904,CJ904,CK904)</f>
        <v>572.71023333333324</v>
      </c>
      <c r="CO904" s="14">
        <f>SUM(DU904*0.0052)/2</f>
        <v>228.01999999999998</v>
      </c>
      <c r="CP904" s="14">
        <f>SUM(CO904*0.1)</f>
        <v>22.802</v>
      </c>
      <c r="CQ904" s="14">
        <f ca="1">SUM(CR904*CS904)</f>
        <v>18.81164999999999</v>
      </c>
      <c r="CR904" s="17">
        <f>SUM((CO904+CP904)*0.00833333333333333)</f>
        <v>2.0901833333333322</v>
      </c>
      <c r="CS904" s="23">
        <f ca="1">MONTH(TODAY())+5</f>
        <v>9</v>
      </c>
      <c r="CT904" s="23">
        <f ca="1">SUM(CO904,CP904,CQ904)</f>
        <v>269.63364999999999</v>
      </c>
      <c r="CU904" s="14">
        <f>SUM(DU904*0.0052)/2</f>
        <v>228.01999999999998</v>
      </c>
      <c r="CV904" s="14">
        <f>SUM(CU904*0.1)</f>
        <v>22.802</v>
      </c>
      <c r="CW904" s="14">
        <f ca="1">SUM(CX904*CY904)</f>
        <v>10.450916666666661</v>
      </c>
      <c r="CX904" s="17">
        <f>SUM((CU904+CV904)*0.00833333333333333)</f>
        <v>2.0901833333333322</v>
      </c>
      <c r="CY904" s="23">
        <f ca="1">MONTH(TODAY())+1</f>
        <v>5</v>
      </c>
      <c r="CZ904" s="23">
        <f ca="1">SUM(CU904,CV904,CW904)</f>
        <v>261.27291666666662</v>
      </c>
      <c r="DA904" s="14">
        <f>SUM( BQ904, BW904, CC904, CI904, CO904,CU904)</f>
        <v>912.07999999999993</v>
      </c>
      <c r="DB904" s="14">
        <f>SUM(BR904,BX904,CD904,CJ904, CP904,CV904)</f>
        <v>91.207999999999998</v>
      </c>
      <c r="DC904" s="14">
        <f ca="1">SUM(BS904,BY904,CE904,CK904, CQ904,CW904)</f>
        <v>100.32879999999993</v>
      </c>
      <c r="DD904" s="25">
        <f ca="1">SUM(DA904:DC904)</f>
        <v>1103.6167999999998</v>
      </c>
      <c r="DE904" s="47">
        <f ca="1">SUM(DD904/DU904)</f>
        <v>1.2583999999999998E-2</v>
      </c>
      <c r="DF904" s="14">
        <v>20</v>
      </c>
      <c r="DG904" s="32">
        <f>COUNTIF(DL904, "*")+COUNTIF(AO904, "*")+COUNTIF(AJ904, "*")+COUNTIF(AA904, "*")+COUNTIF(EM904, "*")+COUNTIF(ES904, "*")+COUNTIF(EY904, "*")+COUNTIF(FC904, "*")+COUNTIF(FJ904, "*")+COUNTIF(AT904, "*")+COUNTIF(FS904, "*")+COUNTIF(GD904, "*")+COUNTIF(GO904, "*")+COUNTIF(GW904, "*")+COUNTIF(HE904, "*")+COUNTIF(HM904, "*")+COUNTIF(HU904, "*")</f>
        <v>2</v>
      </c>
      <c r="DH904" s="14">
        <f>DG904*0.6</f>
        <v>1.2</v>
      </c>
      <c r="DI904" s="4"/>
      <c r="DJ904" s="4"/>
      <c r="DK904" s="4"/>
      <c r="DL904" s="4"/>
      <c r="DN904" s="4"/>
      <c r="DO904" s="14">
        <f>SUM(DJ904:DN904)</f>
        <v>0</v>
      </c>
      <c r="DP904" s="14">
        <f ca="1">SUM(DD904,DF904,DO904, DI904, DH904,FP904)</f>
        <v>1124.8167999999998</v>
      </c>
      <c r="DQ904" s="24" t="s">
        <v>3879</v>
      </c>
      <c r="DR904" s="130">
        <v>0.52</v>
      </c>
      <c r="DS904" s="14">
        <v>12000</v>
      </c>
      <c r="DT904" s="14">
        <v>75700</v>
      </c>
      <c r="DU904" s="14">
        <v>87700</v>
      </c>
      <c r="DV904" s="14">
        <v>18000</v>
      </c>
      <c r="DW904" s="14">
        <v>73500</v>
      </c>
      <c r="DX904" s="14">
        <f>SUM(DV904+DW904)</f>
        <v>91500</v>
      </c>
      <c r="IA904" s="9"/>
      <c r="IL904" s="14">
        <f ca="1">SUM(IB904-DP904-FP904-IJ904)</f>
        <v>-1124.8167999999998</v>
      </c>
      <c r="IM904" s="9"/>
      <c r="IN904" s="9"/>
      <c r="IO904" s="9"/>
      <c r="IP904" s="9"/>
      <c r="IQ904" s="9"/>
    </row>
    <row r="905" spans="1:275" ht="15" customHeight="1">
      <c r="A905" s="2">
        <v>102018037</v>
      </c>
      <c r="B905" s="4" t="s">
        <v>1150</v>
      </c>
      <c r="J905" t="s">
        <v>253</v>
      </c>
      <c r="K905" t="s">
        <v>1151</v>
      </c>
      <c r="L905" t="s">
        <v>1152</v>
      </c>
      <c r="M905" t="s">
        <v>403</v>
      </c>
      <c r="O905" s="1"/>
      <c r="T905" s="1"/>
      <c r="AJ905" s="4"/>
      <c r="AK905" s="4"/>
      <c r="AO905" s="4"/>
      <c r="AP905" s="5"/>
      <c r="AQ905" s="34"/>
      <c r="AS905" s="1"/>
      <c r="AT905" s="1"/>
      <c r="AU905" s="29"/>
      <c r="AV905" s="1"/>
      <c r="AW905" s="1"/>
      <c r="AX905" s="1"/>
      <c r="AY905" s="1"/>
      <c r="AZ905" s="1"/>
      <c r="BA905" s="1"/>
      <c r="BB905" s="1"/>
      <c r="BC905" s="1"/>
      <c r="BD905" s="1"/>
      <c r="BE905" s="5"/>
      <c r="BF905" s="16"/>
      <c r="BG905" s="16"/>
      <c r="BI905" s="4"/>
      <c r="BJ905" s="4"/>
      <c r="BK905" s="6"/>
      <c r="BL905" s="7"/>
      <c r="BM905" s="4"/>
      <c r="BO905" s="4"/>
      <c r="BP905" s="4"/>
      <c r="BQ905" s="6"/>
      <c r="BR905" s="7"/>
      <c r="BS905" s="4"/>
      <c r="BU905" s="4"/>
      <c r="BV905" s="4"/>
      <c r="BW905" s="6"/>
      <c r="BX905" s="7"/>
      <c r="BY905" s="4"/>
      <c r="BZ905" s="6"/>
      <c r="CA905" s="4"/>
      <c r="CB905" s="4"/>
      <c r="CC905" s="6"/>
      <c r="CD905" s="7"/>
      <c r="CE905" s="4"/>
      <c r="CF905" s="6"/>
      <c r="CG905" s="4"/>
      <c r="CH905" s="4"/>
      <c r="CI905" s="6"/>
      <c r="CJ905" s="7"/>
      <c r="CK905" s="4"/>
      <c r="CL905" s="4"/>
      <c r="CM905" s="4"/>
      <c r="CN905" s="4"/>
      <c r="CO905" s="6"/>
      <c r="CP905" s="7"/>
      <c r="CQ905" s="4"/>
      <c r="CR905" s="4"/>
      <c r="CS905" s="4"/>
      <c r="CT905" s="4"/>
      <c r="CU905" s="6"/>
      <c r="CV905" s="7"/>
      <c r="CW905" s="4"/>
      <c r="CX905" s="4"/>
      <c r="CY905" s="4"/>
      <c r="CZ905" s="4"/>
      <c r="DA905" s="6"/>
      <c r="DB905" s="7"/>
      <c r="DC905" s="4"/>
      <c r="DD905" s="4"/>
      <c r="DE905" s="4"/>
      <c r="DF905" s="4"/>
      <c r="DG905" s="6"/>
      <c r="DH905" s="7"/>
      <c r="DI905" s="4"/>
      <c r="DJ905" s="4"/>
      <c r="DK905" s="4"/>
      <c r="DL905" s="4"/>
      <c r="DM905" s="4"/>
      <c r="DO905" s="4"/>
      <c r="DP905" s="4"/>
      <c r="DQ905" s="4"/>
      <c r="DR905" s="7"/>
      <c r="DS905" s="4"/>
      <c r="DT905" s="4"/>
      <c r="DU905" s="4"/>
      <c r="DV905" s="4"/>
      <c r="DW905" s="4"/>
      <c r="DX905" s="4"/>
      <c r="DY905" s="7"/>
      <c r="DZ905" s="7"/>
      <c r="EA905" s="4"/>
      <c r="EB905" s="4"/>
      <c r="EC905" s="4"/>
      <c r="ED905" s="4"/>
      <c r="EE905" s="11"/>
      <c r="EN905" s="11"/>
      <c r="ET905" s="11"/>
      <c r="EU905" s="4"/>
      <c r="EV905" s="4"/>
      <c r="EW905" s="4"/>
      <c r="EX905" s="4"/>
      <c r="EY905" s="4"/>
      <c r="EZ905" s="4"/>
      <c r="FA905" s="4"/>
      <c r="FB905" s="4"/>
      <c r="FC905" s="4"/>
      <c r="FD905" s="4"/>
      <c r="FE905" s="4"/>
      <c r="FF905" s="4"/>
      <c r="FG905" s="4"/>
      <c r="FH905" s="4"/>
      <c r="FN905" s="9"/>
      <c r="GD905" s="10"/>
      <c r="GN905" s="10"/>
      <c r="HC905" s="9"/>
      <c r="IR905" s="240"/>
      <c r="IS905" s="240"/>
      <c r="IT905" s="240"/>
    </row>
    <row r="906" spans="1:275" ht="15" customHeight="1">
      <c r="A906" s="19">
        <v>102021016</v>
      </c>
      <c r="B906" t="s">
        <v>1150</v>
      </c>
      <c r="J906" t="s">
        <v>253</v>
      </c>
      <c r="K906" t="s">
        <v>1151</v>
      </c>
      <c r="L906" t="s">
        <v>1152</v>
      </c>
      <c r="M906" t="s">
        <v>403</v>
      </c>
      <c r="U906" s="18"/>
      <c r="V906" s="18"/>
      <c r="W906" s="18"/>
      <c r="X906" s="18"/>
      <c r="Y906" s="18"/>
      <c r="Z906" s="18"/>
      <c r="AA906" s="18"/>
      <c r="AB906" s="18"/>
      <c r="AC906" s="18"/>
      <c r="AD906" s="18"/>
      <c r="AE906" s="18"/>
      <c r="AF906" s="24"/>
      <c r="AG906" s="37"/>
      <c r="AH906" s="18"/>
      <c r="AI906" s="18" t="s">
        <v>1129</v>
      </c>
      <c r="AJ906" s="18" t="s">
        <v>258</v>
      </c>
      <c r="AK906" s="18" t="s">
        <v>259</v>
      </c>
      <c r="AL906" s="24" t="s">
        <v>260</v>
      </c>
      <c r="AM906" s="24" t="s">
        <v>1130</v>
      </c>
      <c r="AN906" s="18" t="s">
        <v>1131</v>
      </c>
      <c r="AO906" s="13" t="s">
        <v>258</v>
      </c>
      <c r="AP906" s="24" t="s">
        <v>1132</v>
      </c>
      <c r="AQ906" s="24"/>
      <c r="AR906" s="18"/>
      <c r="AS906" s="18"/>
      <c r="AT906" s="18"/>
      <c r="AU906" s="18"/>
      <c r="AV906" s="18"/>
      <c r="AW906" s="19"/>
      <c r="AX906" s="19"/>
      <c r="AY906" s="19"/>
      <c r="AZ906" s="19"/>
      <c r="BA906" s="19"/>
      <c r="BB906" s="19"/>
      <c r="BC906" s="19"/>
      <c r="BD906" s="19"/>
      <c r="BE906" s="19"/>
      <c r="BF906" s="20"/>
      <c r="BG906" s="22"/>
      <c r="BH906" s="22"/>
      <c r="BI906" s="14"/>
      <c r="BJ906" s="14"/>
      <c r="BK906" s="14"/>
      <c r="BL906" s="17"/>
      <c r="BM906" s="23"/>
      <c r="BN906" s="14"/>
      <c r="BO906" s="14"/>
      <c r="BP906" s="14"/>
      <c r="BQ906" s="14"/>
      <c r="BR906" s="17"/>
      <c r="BS906" s="23"/>
      <c r="BT906" s="14"/>
      <c r="BU906" s="14"/>
      <c r="BV906" s="14"/>
      <c r="BW906" s="14"/>
      <c r="BX906" s="17"/>
      <c r="BY906" s="23"/>
      <c r="BZ906" s="14"/>
      <c r="CA906" s="14"/>
      <c r="CB906" s="14"/>
      <c r="CC906" s="14"/>
      <c r="CD906" s="17"/>
      <c r="CE906" s="23"/>
      <c r="CF906" s="14"/>
      <c r="CG906" s="14"/>
      <c r="CH906" s="14"/>
      <c r="CI906" s="14"/>
      <c r="CJ906" s="17"/>
      <c r="CK906" s="23"/>
      <c r="CL906" s="14"/>
      <c r="CM906" s="14"/>
      <c r="CN906" s="14"/>
      <c r="CO906" s="14"/>
      <c r="CP906" s="17"/>
      <c r="CQ906" s="23"/>
      <c r="CR906" s="14"/>
      <c r="CS906" s="14"/>
      <c r="CT906" s="14"/>
      <c r="CU906" s="14"/>
      <c r="CV906" s="17"/>
      <c r="CW906" s="23"/>
      <c r="CX906" s="14"/>
      <c r="CY906" s="14"/>
      <c r="CZ906" s="14"/>
      <c r="DA906" s="14"/>
      <c r="DB906" s="17"/>
      <c r="DC906" s="23"/>
      <c r="DD906" s="14"/>
      <c r="DE906" s="14"/>
      <c r="DF906" s="14"/>
      <c r="DG906" s="14"/>
      <c r="DH906" s="14">
        <f>SUM(DE906:DG906)</f>
        <v>0</v>
      </c>
      <c r="DI906" s="47">
        <f>SUM(DH906/DX906)</f>
        <v>0</v>
      </c>
      <c r="DJ906" s="14">
        <v>39</v>
      </c>
      <c r="DK906" s="32">
        <f>COUNTIF(DQ906, "*")+COUNTIF(AN906, "*")+COUNTIF(AI906, "*")+COUNTIF(AA906, "*")+COUNTIF(EN906, "*")+COUNTIF(ET906, "*")+COUNTIF(EZ906, "*")+COUNTIF(FD906, "*")+COUNTIF(FK906, "*")+COUNTIF(FS906, "*")+COUNTIF(FZ906, "*")+COUNTIF(GK906, "*")+COUNTIF(GV906, "*")+COUNTIF(HD906, "*")+COUNTIF(HL906, "*")+COUNTIF(HT906, "*")+COUNTIF(IB906, "*")</f>
        <v>2</v>
      </c>
      <c r="DL906" s="14">
        <f>DK906*0.5</f>
        <v>1</v>
      </c>
      <c r="DM906" s="14"/>
      <c r="DN906" s="14">
        <f>SUM(DH906,DJ906,DT906, DM906, DL906,FW906)</f>
        <v>40</v>
      </c>
      <c r="DO906" s="14"/>
      <c r="DP906" s="14"/>
      <c r="DQ906" s="14"/>
      <c r="DR906" s="23"/>
      <c r="DS906" s="25"/>
      <c r="DT906" s="14">
        <f>SUM(DO906:DS906)</f>
        <v>0</v>
      </c>
      <c r="DU906" s="24" t="s">
        <v>1997</v>
      </c>
      <c r="DV906" s="25">
        <v>12000</v>
      </c>
      <c r="DW906" s="25">
        <v>54400</v>
      </c>
      <c r="DX906" s="25">
        <f>SUM(DV906+DW906)</f>
        <v>66400</v>
      </c>
      <c r="DY906" s="36">
        <v>0.48</v>
      </c>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240"/>
      <c r="IK906" s="18"/>
      <c r="IL906" s="18"/>
      <c r="IM906" s="18"/>
      <c r="IN906" s="18"/>
      <c r="IO906" s="240"/>
      <c r="IP906" s="240"/>
      <c r="IQ906" s="240"/>
      <c r="IR906" s="240"/>
      <c r="IS906" s="240"/>
      <c r="IT906" s="240"/>
      <c r="IU906" s="240"/>
      <c r="IV906" s="240"/>
      <c r="IW906" s="240"/>
      <c r="IX906" s="240"/>
    </row>
    <row r="907" spans="1:275" ht="15" customHeight="1">
      <c r="A907" s="2">
        <v>102024084</v>
      </c>
      <c r="B907" t="s">
        <v>5382</v>
      </c>
      <c r="D907" s="1"/>
      <c r="E907" s="3"/>
      <c r="G907" s="3"/>
      <c r="J907" t="s">
        <v>253</v>
      </c>
      <c r="K907" t="s">
        <v>2602</v>
      </c>
      <c r="L907" t="s">
        <v>557</v>
      </c>
      <c r="M907" t="s">
        <v>537</v>
      </c>
      <c r="O907" s="3"/>
      <c r="AG907" s="43"/>
      <c r="AK907" s="1"/>
      <c r="AM907"/>
      <c r="AN907"/>
      <c r="AO907" t="s">
        <v>5383</v>
      </c>
      <c r="AP907" s="1" t="s">
        <v>258</v>
      </c>
      <c r="AQ907" s="18" t="s">
        <v>259</v>
      </c>
      <c r="AR907" t="s">
        <v>260</v>
      </c>
      <c r="AS907" t="s">
        <v>372</v>
      </c>
      <c r="AT907" t="s">
        <v>373</v>
      </c>
      <c r="AU907" t="s">
        <v>374</v>
      </c>
      <c r="AV907" t="s">
        <v>259</v>
      </c>
      <c r="AW907" s="1" t="s">
        <v>260</v>
      </c>
      <c r="AY907" s="1"/>
      <c r="AZ907" s="1"/>
      <c r="BA907" s="1"/>
      <c r="BB907" s="1"/>
      <c r="BC907" s="2"/>
      <c r="BD907" s="115">
        <v>45408</v>
      </c>
      <c r="BE907" s="144"/>
      <c r="BF907" s="2"/>
      <c r="BG907" s="2"/>
      <c r="BH907" s="2"/>
      <c r="BI907" s="2"/>
      <c r="BJ907" s="2"/>
      <c r="BK907" s="2"/>
      <c r="BL907" s="20">
        <f ca="1">SUM(EN907)+220</f>
        <v>1017.0761499999999</v>
      </c>
      <c r="BM907" s="22">
        <f ca="1">PMT(10%/12,12,BL907,0,0)</f>
        <v>-89.417152107732321</v>
      </c>
      <c r="BN907" s="22">
        <f ca="1">SUM(BM907*-1)</f>
        <v>89.417152107732321</v>
      </c>
      <c r="BO907" s="14">
        <f>SUM(EV907*0.0052)/12</f>
        <v>39.173333333333332</v>
      </c>
      <c r="BP907" s="22">
        <f ca="1">SUM(BN907+BO907)</f>
        <v>128.59048544106565</v>
      </c>
      <c r="BQ907" s="14"/>
      <c r="BR907" s="14">
        <f>SUM(BQ907*0.1)</f>
        <v>0</v>
      </c>
      <c r="BS907" s="14">
        <f ca="1">SUM(BT907*BU907)</f>
        <v>0</v>
      </c>
      <c r="BT907" s="17">
        <f>SUM((BQ907+BR907)*0.00833333333333333)</f>
        <v>0</v>
      </c>
      <c r="BU907" s="23">
        <f ca="1">MONTH(TODAY())+61</f>
        <v>65</v>
      </c>
      <c r="BV907" s="14">
        <f ca="1">SUM(BQ907,BR907,BS907)</f>
        <v>0</v>
      </c>
      <c r="BW907" s="14"/>
      <c r="BX907" s="14">
        <f>SUM(BW907*0.1)</f>
        <v>0</v>
      </c>
      <c r="BY907" s="14">
        <f ca="1">SUM(BZ907*CA907)</f>
        <v>0</v>
      </c>
      <c r="BZ907" s="17">
        <f>SUM((BW907+BX907)*0.00833333333333333)</f>
        <v>0</v>
      </c>
      <c r="CA907" s="23">
        <f ca="1">MONTH(TODAY())+49</f>
        <v>53</v>
      </c>
      <c r="CB907" s="14">
        <f ca="1">SUM(BW907,BX907,BY907)</f>
        <v>0</v>
      </c>
      <c r="CC907" s="14">
        <v>0</v>
      </c>
      <c r="CD907" s="14">
        <f>SUM(CC907*0.1)</f>
        <v>0</v>
      </c>
      <c r="CE907" s="14">
        <f ca="1">SUM(CF907*CG907)</f>
        <v>0</v>
      </c>
      <c r="CF907" s="17">
        <f>SUM((CC907+CD907)*0.00833333333333333)</f>
        <v>0</v>
      </c>
      <c r="CG907" s="23">
        <f ca="1">MONTH(TODAY())+37</f>
        <v>41</v>
      </c>
      <c r="CH907" s="14">
        <f ca="1">SUM(CC907,CD907,CE907)</f>
        <v>0</v>
      </c>
      <c r="CI907" s="14">
        <v>0</v>
      </c>
      <c r="CJ907" s="14">
        <f>SUM(CI907*0.1)</f>
        <v>0</v>
      </c>
      <c r="CK907" s="14">
        <f ca="1">SUM(CL907*CM907)</f>
        <v>0</v>
      </c>
      <c r="CL907" s="17">
        <f>SUM((CI907+CJ907)*0.00833333333333333)</f>
        <v>0</v>
      </c>
      <c r="CM907" s="23">
        <f ca="1">MONTH(TODAY())+25</f>
        <v>29</v>
      </c>
      <c r="CN907" s="14">
        <f ca="1">SUM(CI907,CJ907,CK907)</f>
        <v>0</v>
      </c>
      <c r="CO907" s="14">
        <v>0</v>
      </c>
      <c r="CP907" s="14">
        <f>SUM(CO907*0.1)</f>
        <v>0</v>
      </c>
      <c r="CQ907" s="14">
        <f ca="1">SUM(CR907*CS907)</f>
        <v>0</v>
      </c>
      <c r="CR907" s="17">
        <f>SUM((CO907+CP907)*0.00833333333333333)</f>
        <v>0</v>
      </c>
      <c r="CS907" s="23">
        <f ca="1">MONTH(TODAY())+17</f>
        <v>21</v>
      </c>
      <c r="CT907" s="23">
        <f ca="1">SUM(CO907,CP907,CQ907)</f>
        <v>0</v>
      </c>
      <c r="CU907" s="14">
        <f>SUM(ES907*0.0052)/2</f>
        <v>236.33999999999997</v>
      </c>
      <c r="CV907" s="14">
        <f>SUM(CU907*0.1)</f>
        <v>23.634</v>
      </c>
      <c r="CW907" s="14">
        <f ca="1">SUM(CX907*CY907)</f>
        <v>36.82964999999998</v>
      </c>
      <c r="CX907" s="17">
        <f>SUM((CU907+CV907)*0.00833333333333333)</f>
        <v>2.1664499999999989</v>
      </c>
      <c r="CY907" s="23">
        <f ca="1">MONTH(TODAY())+13</f>
        <v>17</v>
      </c>
      <c r="CZ907" s="23">
        <f ca="1">SUM(CU907,CV907,CW907)</f>
        <v>296.80364999999995</v>
      </c>
      <c r="DA907" s="14">
        <v>0</v>
      </c>
      <c r="DB907" s="14">
        <f>SUM(DA907*0.1)</f>
        <v>0</v>
      </c>
      <c r="DC907" s="14">
        <f ca="1">SUM(DD907*DE907)</f>
        <v>0</v>
      </c>
      <c r="DD907" s="17">
        <f>SUM((DA907+DB907)*0.00833333333333333)</f>
        <v>0</v>
      </c>
      <c r="DE907" s="23">
        <f ca="1">MONTH(TODAY())+7</f>
        <v>11</v>
      </c>
      <c r="DF907" s="23">
        <f ca="1">SUM(DA907,DB907,DC907)</f>
        <v>0</v>
      </c>
      <c r="DG907" s="14">
        <f>SUM(EV907*0.0045)/2</f>
        <v>203.39999999999998</v>
      </c>
      <c r="DH907" s="14">
        <f>SUM(DG907*0.1)</f>
        <v>20.34</v>
      </c>
      <c r="DI907" s="14">
        <f ca="1">SUM(DJ907*DK907)</f>
        <v>9.3224999999999945</v>
      </c>
      <c r="DJ907" s="17">
        <f>SUM((DG907+DH907)*0.00833333333333333)</f>
        <v>1.8644999999999989</v>
      </c>
      <c r="DK907" s="23">
        <f ca="1">MONTH(TODAY())+1</f>
        <v>5</v>
      </c>
      <c r="DL907" s="14">
        <f ca="1">SUM(DG907,DH907,DI907)</f>
        <v>233.06249999999997</v>
      </c>
      <c r="DM907" s="14">
        <f>SUM(EV907*0.0045)/2</f>
        <v>203.39999999999998</v>
      </c>
      <c r="DN907" s="14">
        <f>0</f>
        <v>0</v>
      </c>
      <c r="DO907" s="14">
        <f>0</f>
        <v>0</v>
      </c>
      <c r="DP907" s="17">
        <f>SUM((DM907+DN907)*0.00833333333333333)</f>
        <v>1.6949999999999992</v>
      </c>
      <c r="DQ907" s="23">
        <f ca="1">MONTH(TODAY())+7</f>
        <v>11</v>
      </c>
      <c r="DR907" s="23">
        <f>SUM(DM907,DN907,DO907)</f>
        <v>203.39999999999998</v>
      </c>
      <c r="DS907" s="14">
        <f>0</f>
        <v>0</v>
      </c>
      <c r="DT907" s="14">
        <f>0</f>
        <v>0</v>
      </c>
      <c r="DU907" s="14">
        <f ca="1">SUM(DV907*DW907)</f>
        <v>0</v>
      </c>
      <c r="DV907" s="17">
        <f>SUM((DS907+DT907)*0.00833333333333333)</f>
        <v>0</v>
      </c>
      <c r="DW907" s="23">
        <f ca="1">MONTH(TODAY())+1</f>
        <v>5</v>
      </c>
      <c r="DX907" s="14">
        <f ca="1">SUM(DS907,DT907,DU907)</f>
        <v>0</v>
      </c>
      <c r="DY907" s="14">
        <f>SUM( BQ907, BW907, CC907, CI907, CO907,CU907,DA907,DG907,DM907,DS907)</f>
        <v>643.13999999999987</v>
      </c>
      <c r="DZ907" s="14">
        <f>SUM(BR907,BX907,CD907,CJ907, CP907,CV907,DB907,DH907,DN907,DT907)</f>
        <v>43.974000000000004</v>
      </c>
      <c r="EA907" s="14">
        <f ca="1">SUM(BS907,BY907,CE907,CK907, CQ907,CW907,DC907,DI907,DO907,DU907)</f>
        <v>46.152149999999978</v>
      </c>
      <c r="EB907" s="25">
        <f ca="1">SUM(DY907:EA907)</f>
        <v>733.26614999999993</v>
      </c>
      <c r="EC907" s="47">
        <f ca="1">SUM(EB907/ES907)</f>
        <v>8.0667343234323424E-3</v>
      </c>
      <c r="ED907" s="14">
        <f>20+10</f>
        <v>30</v>
      </c>
      <c r="EE907" s="32">
        <f>COUNTIF(AO907, "*")+COUNTIF(AJ907, "*")+COUNTIF(AA907, "*")+COUNTIF(FG907, "*")+COUNTIF(FM907, "*")+COUNTIF(FS907, "*")+COUNTIF(FW907, "*")+COUNTIF(GD907, "*")+COUNTIF(AS907, "*")+COUNTIF(GM907, "*")+COUNTIF(GX907, "*")+COUNTIF(HI907, "*")+COUNTIF(HQ907, "*")+COUNTIF(HY907, "*")+COUNTIF(IG907, "*")</f>
        <v>2</v>
      </c>
      <c r="EF907" s="14">
        <f>EE907*0.64</f>
        <v>1.28</v>
      </c>
      <c r="EG907" s="4"/>
      <c r="EH907" s="4">
        <v>32.53</v>
      </c>
      <c r="EI907" s="4"/>
      <c r="EJ907" s="4"/>
      <c r="EL907" s="4"/>
      <c r="EM907" s="14">
        <f>SUM(EH907:EL907)</f>
        <v>32.53</v>
      </c>
      <c r="EN907" s="14">
        <f ca="1">SUM(EB907,ED907,EM907, EG907, EF907,GJ907)</f>
        <v>797.07614999999987</v>
      </c>
      <c r="EO907" s="24" t="s">
        <v>4935</v>
      </c>
      <c r="EP907" s="23">
        <v>0.56999999999999995</v>
      </c>
      <c r="EQ907" s="14">
        <v>18000</v>
      </c>
      <c r="ER907" s="14">
        <v>72900</v>
      </c>
      <c r="ES907" s="14">
        <f>SUM(EQ907+ER907)</f>
        <v>90900</v>
      </c>
      <c r="ET907" s="14">
        <v>22000</v>
      </c>
      <c r="EU907" s="14">
        <v>68400</v>
      </c>
      <c r="EV907" s="14">
        <f>SUM(ET907+EU907)</f>
        <v>90400</v>
      </c>
      <c r="EW907" s="10"/>
      <c r="EX907" s="10"/>
      <c r="EY907" s="10"/>
      <c r="EZ907" s="10"/>
      <c r="FA907" s="10"/>
      <c r="FB907" s="10"/>
      <c r="FC907" s="10"/>
      <c r="FD907" s="10"/>
      <c r="GJ907" s="4"/>
      <c r="IK907" s="9"/>
      <c r="IV907" s="4"/>
      <c r="IW907" s="4"/>
      <c r="IX907" s="4"/>
      <c r="IY907" s="9"/>
      <c r="IZ907" s="9"/>
      <c r="JA907" s="9"/>
      <c r="JB907" s="9"/>
      <c r="JC907" s="9"/>
      <c r="JD907" s="18"/>
    </row>
    <row r="908" spans="1:275" ht="15" customHeight="1">
      <c r="A908" s="2">
        <v>102023033</v>
      </c>
      <c r="B908" t="s">
        <v>4069</v>
      </c>
      <c r="D908" s="1">
        <v>2025</v>
      </c>
      <c r="G908" s="3"/>
      <c r="J908" t="s">
        <v>253</v>
      </c>
      <c r="K908" t="s">
        <v>390</v>
      </c>
      <c r="L908" t="s">
        <v>391</v>
      </c>
      <c r="M908" t="s">
        <v>392</v>
      </c>
      <c r="O908" s="3"/>
      <c r="AG908"/>
      <c r="AJ908" s="18" t="s">
        <v>328</v>
      </c>
      <c r="AL908" t="s">
        <v>259</v>
      </c>
      <c r="AM908"/>
      <c r="AN908"/>
      <c r="AO908" t="s">
        <v>393</v>
      </c>
      <c r="AP908" s="3" t="s">
        <v>258</v>
      </c>
      <c r="AQ908" t="s">
        <v>259</v>
      </c>
      <c r="AR908" t="s">
        <v>260</v>
      </c>
      <c r="AS908" s="18" t="s">
        <v>372</v>
      </c>
      <c r="AT908" s="18" t="s">
        <v>373</v>
      </c>
      <c r="AU908" s="18" t="s">
        <v>374</v>
      </c>
      <c r="AV908" s="18" t="s">
        <v>259</v>
      </c>
      <c r="AW908" s="18" t="s">
        <v>260</v>
      </c>
      <c r="AX908" s="1"/>
      <c r="AY908" s="1"/>
      <c r="AZ908" s="1"/>
      <c r="BA908" s="1"/>
      <c r="BB908" s="1"/>
      <c r="BC908" s="2"/>
      <c r="BD908" s="116"/>
      <c r="BE908" s="115"/>
      <c r="BF908" s="2"/>
      <c r="BG908" s="2"/>
      <c r="BH908" s="2"/>
      <c r="BI908" s="2"/>
      <c r="BJ908" s="2"/>
      <c r="BK908" s="2"/>
      <c r="BL908" s="20">
        <f ca="1">SUM(EB908)+220</f>
        <v>481.94099999999997</v>
      </c>
      <c r="BM908" s="22">
        <f ca="1">PMT(10%/12,12,BL908,0,0)</f>
        <v>-42.370270607518052</v>
      </c>
      <c r="BN908" s="22">
        <f ca="1">SUM(BM908*-1)</f>
        <v>42.370270607518052</v>
      </c>
      <c r="BO908" s="14">
        <f>SUM(EJ908*0.0052)/12</f>
        <v>3.9</v>
      </c>
      <c r="BP908" s="22">
        <f ca="1">SUM(BN908+BO908)</f>
        <v>46.27027060751805</v>
      </c>
      <c r="BQ908" s="14"/>
      <c r="BR908" s="14">
        <f>SUM(BQ908*0.1)</f>
        <v>0</v>
      </c>
      <c r="BS908" s="14">
        <f ca="1">SUM(BT908*BU908)</f>
        <v>0</v>
      </c>
      <c r="BT908" s="17">
        <f>SUM((BQ908+BR908)*0.00833333333333333)</f>
        <v>0</v>
      </c>
      <c r="BU908" s="23">
        <f ca="1">MONTH(TODAY())+61</f>
        <v>65</v>
      </c>
      <c r="BV908" s="14">
        <f ca="1">SUM(BQ908,BR908,BS908)</f>
        <v>0</v>
      </c>
      <c r="BW908" s="14"/>
      <c r="BX908" s="14">
        <f>SUM(BW908*0.1)</f>
        <v>0</v>
      </c>
      <c r="BY908" s="14">
        <f ca="1">SUM(BZ908*CA908)</f>
        <v>0</v>
      </c>
      <c r="BZ908" s="17">
        <f>SUM((BW908+BX908)*0.00833333333333333)</f>
        <v>0</v>
      </c>
      <c r="CA908" s="23">
        <f ca="1">MONTH(TODAY())+49</f>
        <v>53</v>
      </c>
      <c r="CB908" s="14">
        <f ca="1">SUM(BW908,BX908,BY908)</f>
        <v>0</v>
      </c>
      <c r="CC908" s="14">
        <f>SUM(EG908*0.0052)</f>
        <v>46.8</v>
      </c>
      <c r="CD908" s="14">
        <f>SUM(CC908*0.1)</f>
        <v>4.68</v>
      </c>
      <c r="CE908" s="14">
        <f ca="1">SUM(CF908*CG908)</f>
        <v>17.588999999999992</v>
      </c>
      <c r="CF908" s="17">
        <f>SUM((CC908+CD908)*0.00833333333333333)</f>
        <v>0.42899999999999977</v>
      </c>
      <c r="CG908" s="23">
        <f ca="1">MONTH(TODAY())+37</f>
        <v>41</v>
      </c>
      <c r="CH908" s="14">
        <f ca="1">SUM(CC908,CD908,CE908)</f>
        <v>69.068999999999988</v>
      </c>
      <c r="CI908" s="14">
        <f>SUM(EG908*0.0052)</f>
        <v>46.8</v>
      </c>
      <c r="CJ908" s="14">
        <f>SUM(CI908*0.1)</f>
        <v>4.68</v>
      </c>
      <c r="CK908" s="14">
        <f ca="1">SUM(CL908*CM908)</f>
        <v>12.440999999999994</v>
      </c>
      <c r="CL908" s="17">
        <f>SUM((CI908+CJ908)*0.00833333333333333)</f>
        <v>0.42899999999999977</v>
      </c>
      <c r="CM908" s="23">
        <f ca="1">MONTH(TODAY())+25</f>
        <v>29</v>
      </c>
      <c r="CN908" s="14">
        <f ca="1">SUM(CI908,CJ908,CK908)</f>
        <v>63.920999999999992</v>
      </c>
      <c r="CO908" s="14">
        <f>SUM(EG908*0.0052)/2</f>
        <v>23.4</v>
      </c>
      <c r="CP908" s="14">
        <f>SUM(CO908*0.1)</f>
        <v>2.34</v>
      </c>
      <c r="CQ908" s="14">
        <f ca="1">SUM(CR908*CS908)</f>
        <v>4.5044999999999975</v>
      </c>
      <c r="CR908" s="17">
        <f>SUM((CO908+CP908)*0.00833333333333333)</f>
        <v>0.21449999999999989</v>
      </c>
      <c r="CS908" s="23">
        <f ca="1">MONTH(TODAY())+17</f>
        <v>21</v>
      </c>
      <c r="CT908" s="23">
        <f ca="1">SUM(CO908,CP908,CQ908)</f>
        <v>30.244499999999995</v>
      </c>
      <c r="CU908" s="14">
        <f>SUM(EG908*0.0052)/2</f>
        <v>23.4</v>
      </c>
      <c r="CV908" s="14">
        <f>SUM(CU908*0.1)</f>
        <v>2.34</v>
      </c>
      <c r="CW908" s="14">
        <f ca="1">SUM(CX908*CY908)</f>
        <v>3.6464999999999979</v>
      </c>
      <c r="CX908" s="17">
        <f>SUM((CU908+CV908)*0.00833333333333333)</f>
        <v>0.21449999999999989</v>
      </c>
      <c r="CY908" s="23">
        <f ca="1">MONTH(TODAY())+13</f>
        <v>17</v>
      </c>
      <c r="CZ908" s="23">
        <f ca="1">SUM(CU908,CV908,CW908)</f>
        <v>29.386499999999998</v>
      </c>
      <c r="DA908" s="14">
        <f>SUM(EJ908*0.0045)/2</f>
        <v>20.25</v>
      </c>
      <c r="DB908" s="14">
        <f>SUM(DA908*0.1)</f>
        <v>2.0249999999999999</v>
      </c>
      <c r="DC908" s="14">
        <f ca="1">SUM(DD908*DE908)</f>
        <v>2.0418749999999988</v>
      </c>
      <c r="DD908" s="17">
        <f>SUM((DA908+DB908)*0.00833333333333333)</f>
        <v>0.1856249999999999</v>
      </c>
      <c r="DE908" s="23">
        <f ca="1">MONTH(TODAY())+7</f>
        <v>11</v>
      </c>
      <c r="DF908" s="23">
        <f ca="1">SUM(DA908,DB908,DC908)</f>
        <v>24.316874999999996</v>
      </c>
      <c r="DG908" s="14">
        <f>SUM(EJ908*0.0045)/2</f>
        <v>20.25</v>
      </c>
      <c r="DH908" s="14">
        <f>SUM(DG908*0.1)</f>
        <v>2.0249999999999999</v>
      </c>
      <c r="DI908" s="14">
        <f ca="1">SUM(DJ908*DK908)</f>
        <v>0.92812499999999953</v>
      </c>
      <c r="DJ908" s="17">
        <f>SUM((DG908+DH908)*0.00833333333333333)</f>
        <v>0.1856249999999999</v>
      </c>
      <c r="DK908" s="23">
        <f ca="1">MONTH(TODAY())+1</f>
        <v>5</v>
      </c>
      <c r="DL908" s="14">
        <f ca="1">SUM(DG908,DH908,DI908)</f>
        <v>23.203124999999996</v>
      </c>
      <c r="DM908" s="14">
        <f>SUM( BQ908, BW908, CC908, CI908, CO908,CU908,DA908,DG908)</f>
        <v>180.9</v>
      </c>
      <c r="DN908" s="14">
        <f>SUM(BR908,BX908,CD908,CJ908, CP908,CV908,DB908,DH908)</f>
        <v>18.089999999999996</v>
      </c>
      <c r="DO908" s="14">
        <f ca="1">SUM(BS908,BY908,CE908,CK908, CQ908,CW908,DC908,DI908)</f>
        <v>41.150999999999982</v>
      </c>
      <c r="DP908" s="25">
        <f ca="1">SUM(DM908:DO908)</f>
        <v>240.14099999999999</v>
      </c>
      <c r="DQ908" s="47">
        <f ca="1">SUM(DP908/EG908)</f>
        <v>2.6682333333333332E-2</v>
      </c>
      <c r="DR908" s="14">
        <v>20</v>
      </c>
      <c r="DS908" s="32">
        <f>COUNTIF(DX908, "*")+COUNTIF(AO908, "*")+COUNTIF(AJ908, "*")+COUNTIF(AA908, "*")+COUNTIF(EU908, "*")+COUNTIF(FA908, "*")+COUNTIF(FG908, "*")+COUNTIF(FK908, "*")+COUNTIF(FR908, "*")+COUNTIF(AT908, "*")+COUNTIF(GA908, "*")+COUNTIF(GL908, "*")+COUNTIF(GW908, "*")+COUNTIF(HE908, "*")+COUNTIF(HM908, "*")+COUNTIF(HU908, "*")</f>
        <v>3</v>
      </c>
      <c r="DT908" s="14">
        <f>DS908*0.6</f>
        <v>1.7999999999999998</v>
      </c>
      <c r="DU908" s="4"/>
      <c r="DV908" s="4"/>
      <c r="DW908" s="4"/>
      <c r="DX908" s="4"/>
      <c r="DZ908" s="4"/>
      <c r="EA908" s="14">
        <f>SUM(DV908:DZ908)</f>
        <v>0</v>
      </c>
      <c r="EB908" s="14">
        <f ca="1">SUM(DP908,DR908,EA908, DU908, DT908,FX908)</f>
        <v>261.94099999999997</v>
      </c>
      <c r="EC908" s="24" t="s">
        <v>3974</v>
      </c>
      <c r="ED908" s="7">
        <v>1.42</v>
      </c>
      <c r="EE908" s="4">
        <v>9000</v>
      </c>
      <c r="EF908" s="4">
        <v>0</v>
      </c>
      <c r="EG908" s="14">
        <f>SUM(EE908+EF908)</f>
        <v>9000</v>
      </c>
      <c r="EH908" s="14">
        <v>9000</v>
      </c>
      <c r="EI908" s="14">
        <v>0</v>
      </c>
      <c r="EJ908" s="14">
        <f>SUM(EH908+EI908)</f>
        <v>9000</v>
      </c>
      <c r="FX908" s="4"/>
      <c r="IA908" s="9"/>
      <c r="IL908" s="14">
        <f ca="1">SUM(IB908-EB908-FX908-IJ908)</f>
        <v>-261.94099999999997</v>
      </c>
      <c r="IM908" s="14"/>
      <c r="IN908" s="14"/>
      <c r="IO908" s="9"/>
      <c r="IP908" s="9"/>
      <c r="IQ908" s="9"/>
      <c r="IR908" s="9"/>
      <c r="IS908" s="9"/>
    </row>
    <row r="909" spans="1:275" s="3" customFormat="1" ht="15" customHeight="1">
      <c r="A909" s="2">
        <v>102020075</v>
      </c>
      <c r="B909" t="s">
        <v>1733</v>
      </c>
      <c r="C909"/>
      <c r="D909"/>
      <c r="E909"/>
      <c r="F909"/>
      <c r="G909"/>
      <c r="H909"/>
      <c r="I909"/>
      <c r="J909" t="s">
        <v>311</v>
      </c>
      <c r="K909" t="s">
        <v>1734</v>
      </c>
      <c r="L909" t="s">
        <v>1735</v>
      </c>
      <c r="M909" t="s">
        <v>357</v>
      </c>
      <c r="N909"/>
      <c r="O909"/>
      <c r="P909"/>
      <c r="Q909"/>
      <c r="R909"/>
      <c r="S909"/>
      <c r="T909" s="1"/>
      <c r="U909"/>
      <c r="V909"/>
      <c r="W909"/>
      <c r="X909"/>
      <c r="Y909"/>
      <c r="Z909"/>
      <c r="AA909"/>
      <c r="AB909"/>
      <c r="AC909"/>
      <c r="AD909"/>
      <c r="AE909"/>
      <c r="AF909"/>
      <c r="AG909" s="248"/>
      <c r="AH909"/>
      <c r="AI909"/>
      <c r="AJ909" s="4"/>
      <c r="AK909" s="4"/>
      <c r="AL909"/>
      <c r="AM909" s="34"/>
      <c r="AO909" s="4"/>
      <c r="AP909" s="5"/>
      <c r="AR909" s="34"/>
      <c r="AS909" s="5"/>
      <c r="AT909" s="5"/>
      <c r="AU909" s="1"/>
      <c r="AV909" s="1"/>
      <c r="AW909" s="1"/>
      <c r="AX909" s="1"/>
      <c r="AY909" s="15"/>
      <c r="AZ909" s="1"/>
      <c r="BA909" s="1"/>
      <c r="BB909" s="1"/>
      <c r="BC909" s="1"/>
      <c r="BD909" s="1"/>
      <c r="BE909" s="1"/>
      <c r="BF909" s="1"/>
      <c r="BG909" s="5"/>
      <c r="BH909" s="16"/>
      <c r="BI909" s="16"/>
      <c r="BJ909" s="4"/>
      <c r="BK909" s="4"/>
      <c r="BL909" s="4"/>
      <c r="BM909" s="6"/>
      <c r="BN909" s="7"/>
      <c r="BO909" s="4"/>
      <c r="BP909" s="4"/>
      <c r="BQ909" s="4"/>
      <c r="BR909" s="4"/>
      <c r="BS909" s="6"/>
      <c r="BT909" s="7"/>
      <c r="BU909" s="4"/>
      <c r="BV909" s="4"/>
      <c r="BW909" s="4"/>
      <c r="BX909" s="4"/>
      <c r="BY909" s="6"/>
      <c r="BZ909" s="7"/>
      <c r="CA909" s="4"/>
      <c r="CB909" s="4"/>
      <c r="CC909" s="4"/>
      <c r="CD909" s="4"/>
      <c r="CE909" s="6"/>
      <c r="CF909" s="7"/>
      <c r="CG909" s="4"/>
      <c r="CH909" s="4"/>
      <c r="CI909" s="4"/>
      <c r="CJ909" s="4"/>
      <c r="CK909" s="6"/>
      <c r="CL909" s="7"/>
      <c r="CM909" s="4"/>
      <c r="CN909" s="4"/>
      <c r="CO909" s="4"/>
      <c r="CP909" s="4"/>
      <c r="CQ909" s="6"/>
      <c r="CR909" s="7"/>
      <c r="CS909" s="4"/>
      <c r="CT909" s="4"/>
      <c r="CU909" s="4"/>
      <c r="CV909" s="4"/>
      <c r="CW909" s="6"/>
      <c r="CX909" s="7"/>
      <c r="CY909" s="4"/>
      <c r="CZ909" s="4"/>
      <c r="DA909" s="4"/>
      <c r="DB909" s="4"/>
      <c r="DC909" s="4"/>
      <c r="DD909"/>
      <c r="DE909" s="4"/>
      <c r="DF909" s="234"/>
      <c r="DG909" s="4"/>
      <c r="DH909" s="4"/>
      <c r="DI909" s="4"/>
      <c r="DJ909" s="4"/>
      <c r="DK909" s="4"/>
      <c r="DL909" s="4"/>
      <c r="DM909" s="7"/>
      <c r="DN909" s="8"/>
      <c r="DO909" s="4"/>
      <c r="DP909" s="8"/>
      <c r="DQ909" s="8"/>
      <c r="DR909" s="8"/>
      <c r="DS909" s="35"/>
      <c r="DT909"/>
      <c r="DU909"/>
      <c r="DV909"/>
      <c r="DW909"/>
      <c r="DX909"/>
      <c r="DY909"/>
      <c r="DZ909"/>
      <c r="EA909"/>
      <c r="EB909" s="11"/>
      <c r="EC909"/>
      <c r="ED909"/>
      <c r="EE909"/>
      <c r="EF909"/>
      <c r="EG909"/>
      <c r="EH909" s="11"/>
      <c r="EI909" s="11"/>
      <c r="EJ909" s="4"/>
      <c r="EK909" s="4"/>
      <c r="EL909" s="4"/>
      <c r="EM909" s="4"/>
      <c r="EN909" s="4"/>
      <c r="EO909" s="4"/>
      <c r="EP909" s="4"/>
      <c r="EQ909" s="4"/>
      <c r="ER909" s="4"/>
      <c r="ES909" s="4"/>
      <c r="ET909" s="4"/>
      <c r="EU909" s="4"/>
      <c r="EV909" s="4"/>
      <c r="EW909" s="4"/>
      <c r="EX909" s="4"/>
      <c r="EY909"/>
      <c r="EZ909"/>
      <c r="FA909"/>
      <c r="FB909" s="9"/>
      <c r="FC909"/>
      <c r="FD909"/>
      <c r="FE909"/>
      <c r="FF909"/>
      <c r="FG909"/>
      <c r="FH909"/>
      <c r="FI909"/>
      <c r="FJ909"/>
      <c r="FK909" s="9"/>
      <c r="FL909"/>
      <c r="FM909"/>
      <c r="FN909"/>
      <c r="FO909"/>
      <c r="FP909"/>
      <c r="FQ909" s="4"/>
      <c r="FR909"/>
      <c r="FS909"/>
      <c r="FT909"/>
      <c r="FU909"/>
      <c r="FV909" s="10"/>
      <c r="FW909"/>
      <c r="FX909"/>
      <c r="FY909"/>
      <c r="FZ909"/>
      <c r="GA909"/>
      <c r="GB909"/>
      <c r="GC909"/>
      <c r="GD909"/>
      <c r="GE909"/>
      <c r="GF909" s="10"/>
      <c r="GG909"/>
      <c r="GH909"/>
      <c r="GI909"/>
      <c r="GJ909"/>
      <c r="GK909"/>
      <c r="GL909"/>
      <c r="GM909"/>
      <c r="GN909"/>
      <c r="GO909"/>
      <c r="GP909"/>
      <c r="GQ909"/>
      <c r="GR909"/>
      <c r="GS909"/>
      <c r="GT909"/>
      <c r="GU909" s="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s="4"/>
      <c r="ID909" s="4"/>
      <c r="IE909" s="9"/>
      <c r="IF909"/>
      <c r="IG909"/>
      <c r="IH909"/>
      <c r="II909"/>
      <c r="IJ909"/>
      <c r="IK909"/>
      <c r="IL909"/>
      <c r="IM909"/>
      <c r="IN909"/>
      <c r="IO909"/>
      <c r="IP909"/>
      <c r="IQ909"/>
      <c r="IR909"/>
      <c r="IS909"/>
      <c r="IT909"/>
      <c r="IU909"/>
      <c r="IV909"/>
      <c r="IW909"/>
      <c r="IX909"/>
      <c r="IY909"/>
      <c r="IZ909"/>
      <c r="JA909"/>
      <c r="JB909"/>
      <c r="JC909"/>
      <c r="JD909"/>
      <c r="JE909"/>
    </row>
    <row r="910" spans="1:275" ht="15" customHeight="1">
      <c r="A910" s="19">
        <v>102022213</v>
      </c>
      <c r="B910" t="s">
        <v>2926</v>
      </c>
      <c r="D910" s="1"/>
      <c r="J910" t="s">
        <v>253</v>
      </c>
      <c r="K910" t="s">
        <v>3291</v>
      </c>
      <c r="L910" t="s">
        <v>3292</v>
      </c>
      <c r="M910" t="s">
        <v>976</v>
      </c>
      <c r="AG910" s="248"/>
      <c r="AJ910" t="s">
        <v>328</v>
      </c>
      <c r="AL910" t="s">
        <v>329</v>
      </c>
      <c r="AO910" t="s">
        <v>3293</v>
      </c>
      <c r="AP910" s="1" t="s">
        <v>258</v>
      </c>
      <c r="AQ910" s="3" t="s">
        <v>3294</v>
      </c>
      <c r="AS910" s="1"/>
      <c r="AT910" s="1"/>
      <c r="AU910" s="1"/>
      <c r="AV910" s="1"/>
      <c r="AW910" s="1"/>
      <c r="AX910" s="2"/>
      <c r="AY910" s="116"/>
      <c r="AZ910" s="115"/>
      <c r="BA910" s="2"/>
      <c r="BB910" s="2"/>
      <c r="BC910" s="2"/>
      <c r="BD910" s="2"/>
      <c r="BE910" s="2"/>
      <c r="BF910" s="2"/>
      <c r="BG910" s="20"/>
      <c r="BH910" s="22"/>
      <c r="BI910" s="22"/>
      <c r="BJ910" s="14"/>
      <c r="BK910" s="22"/>
      <c r="BL910" s="14"/>
      <c r="BM910" s="14"/>
      <c r="BN910" s="14"/>
      <c r="BO910" s="17"/>
      <c r="BP910" s="23"/>
      <c r="BQ910" s="14"/>
      <c r="BR910" s="14"/>
      <c r="BS910" s="14"/>
      <c r="BT910" s="14"/>
      <c r="BU910" s="17"/>
      <c r="BV910" s="23"/>
      <c r="BW910" s="14"/>
      <c r="BX910" s="14"/>
      <c r="BY910" s="14"/>
      <c r="BZ910" s="14"/>
      <c r="CA910" s="17"/>
      <c r="CB910" s="23"/>
      <c r="CC910" s="14"/>
      <c r="CD910" s="14"/>
      <c r="CE910" s="14"/>
      <c r="CF910" s="14"/>
      <c r="CG910" s="17"/>
      <c r="CH910" s="23"/>
      <c r="CI910" s="14"/>
      <c r="CJ910" s="14"/>
      <c r="CK910" s="14"/>
      <c r="CL910" s="14"/>
      <c r="CM910" s="17"/>
      <c r="CN910" s="23"/>
      <c r="CO910" s="14"/>
      <c r="CP910" s="14"/>
      <c r="CQ910" s="14"/>
      <c r="CR910" s="14"/>
      <c r="CS910" s="14"/>
      <c r="CT910" s="47"/>
      <c r="CU910" s="14"/>
      <c r="CV910" s="32"/>
      <c r="CW910" s="14"/>
      <c r="CX910" s="4"/>
      <c r="CY910" s="14"/>
      <c r="CZ910" s="4"/>
      <c r="DE910" s="14"/>
      <c r="DF910" s="24"/>
      <c r="DG910" s="4"/>
      <c r="DH910" s="4"/>
      <c r="DI910" s="25"/>
      <c r="DJ910" s="35">
        <v>4</v>
      </c>
      <c r="IC910" s="4"/>
    </row>
    <row r="911" spans="1:275" s="243" customFormat="1" ht="15" customHeight="1">
      <c r="A911" s="19">
        <v>102022205</v>
      </c>
      <c r="B911" t="s">
        <v>2920</v>
      </c>
      <c r="C911"/>
      <c r="D911" s="1"/>
      <c r="E911" s="3" t="s">
        <v>3877</v>
      </c>
      <c r="F911" s="3">
        <v>220003657</v>
      </c>
      <c r="G911"/>
      <c r="H911"/>
      <c r="I911"/>
      <c r="J911" t="s">
        <v>311</v>
      </c>
      <c r="K911" t="s">
        <v>3274</v>
      </c>
      <c r="L911" t="s">
        <v>3275</v>
      </c>
      <c r="M911" t="s">
        <v>357</v>
      </c>
      <c r="N911"/>
      <c r="O911"/>
      <c r="P911"/>
      <c r="Q911"/>
      <c r="R911"/>
      <c r="S911"/>
      <c r="T911"/>
      <c r="U911"/>
      <c r="V911"/>
      <c r="W911"/>
      <c r="X911"/>
      <c r="Y911"/>
      <c r="Z911"/>
      <c r="AA911"/>
      <c r="AB911"/>
      <c r="AC911"/>
      <c r="AD911" t="s">
        <v>3874</v>
      </c>
      <c r="AE911" t="s">
        <v>311</v>
      </c>
      <c r="AF911" t="s">
        <v>306</v>
      </c>
      <c r="AG911" s="43"/>
      <c r="AH911" s="31" t="s">
        <v>3875</v>
      </c>
      <c r="AI911"/>
      <c r="AJ911"/>
      <c r="AK911"/>
      <c r="AL911"/>
      <c r="AM911"/>
      <c r="AN911"/>
      <c r="AO911" s="3" t="s">
        <v>3276</v>
      </c>
      <c r="AP911" s="3" t="s">
        <v>258</v>
      </c>
      <c r="AQ911" t="s">
        <v>329</v>
      </c>
      <c r="AR911" t="s">
        <v>260</v>
      </c>
      <c r="AS911" s="1"/>
      <c r="AT911" s="1"/>
      <c r="AU911" s="1" t="s">
        <v>258</v>
      </c>
      <c r="AV911" s="1" t="s">
        <v>258</v>
      </c>
      <c r="AW911" s="1" t="s">
        <v>258</v>
      </c>
      <c r="AX911" s="70">
        <v>44693</v>
      </c>
      <c r="AY911" s="115">
        <v>44661</v>
      </c>
      <c r="AZ911" s="115">
        <v>44649</v>
      </c>
      <c r="BA911" s="70">
        <v>44743</v>
      </c>
      <c r="BB911" s="2" t="s">
        <v>318</v>
      </c>
      <c r="BC911" s="70">
        <v>44729</v>
      </c>
      <c r="BD911" s="70">
        <v>44736</v>
      </c>
      <c r="BE911" s="70">
        <v>44813</v>
      </c>
      <c r="BF911" s="19" t="s">
        <v>319</v>
      </c>
      <c r="BG911" s="20">
        <f ca="1">SUM(CZ911)+214.5</f>
        <v>1405.5980000000002</v>
      </c>
      <c r="BH911" s="22">
        <f ca="1">PMT(10%/12,12,BG911,0,0)</f>
        <v>-123.57439525872704</v>
      </c>
      <c r="BI911" s="22">
        <f ca="1">SUM(BH911*-1)</f>
        <v>123.57439525872704</v>
      </c>
      <c r="BJ911" s="14">
        <f>SUM(DJ911*0.0052)/12</f>
        <v>10.4</v>
      </c>
      <c r="BK911" s="22">
        <f ca="1">SUM(BI911+BJ911)</f>
        <v>133.97439525872704</v>
      </c>
      <c r="BL911" s="14"/>
      <c r="BM911" s="14">
        <f>SUM(BL911*0.1)</f>
        <v>0</v>
      </c>
      <c r="BN911" s="14">
        <f ca="1">SUM(BO911*BP911)</f>
        <v>0</v>
      </c>
      <c r="BO911" s="17">
        <f>SUM((BL911+BM911)*0.00833333333333333)</f>
        <v>0</v>
      </c>
      <c r="BP911" s="23">
        <f ca="1">MONTH(TODAY())+49</f>
        <v>53</v>
      </c>
      <c r="BQ911" s="14">
        <f ca="1">SUM(BL911,BM911,BN911)</f>
        <v>0</v>
      </c>
      <c r="BR911" s="14"/>
      <c r="BS911" s="14">
        <f>SUM(BR911*0.1)</f>
        <v>0</v>
      </c>
      <c r="BT911" s="14">
        <f ca="1">SUM(BU911*BV911)</f>
        <v>0</v>
      </c>
      <c r="BU911" s="17">
        <f>SUM((BR911+BS911)*0.00833333333333333)</f>
        <v>0</v>
      </c>
      <c r="BV911" s="23">
        <f ca="1">MONTH(TODAY())+37</f>
        <v>41</v>
      </c>
      <c r="BW911" s="14">
        <f ca="1">SUM(BR911,BS911,BT911)</f>
        <v>0</v>
      </c>
      <c r="BX911" s="14"/>
      <c r="BY911" s="14">
        <f>SUM(BX911*0.1)</f>
        <v>0</v>
      </c>
      <c r="BZ911" s="14">
        <f ca="1">SUM(CA911*CB911)</f>
        <v>0</v>
      </c>
      <c r="CA911" s="17">
        <f>SUM((BX911+BY911)*0.00833333333333333)</f>
        <v>0</v>
      </c>
      <c r="CB911" s="23">
        <f ca="1">MONTH(TODAY())+25</f>
        <v>29</v>
      </c>
      <c r="CC911" s="14">
        <f ca="1">SUM(BX911,BY911,BZ911)</f>
        <v>0</v>
      </c>
      <c r="CD911" s="14">
        <f>SUM(DJ911*0.0052)</f>
        <v>124.8</v>
      </c>
      <c r="CE911" s="14">
        <f>SUM(CD911*0.1)</f>
        <v>12.48</v>
      </c>
      <c r="CF911" s="14">
        <f ca="1">SUM(CG911*CH911)</f>
        <v>19.44799999999999</v>
      </c>
      <c r="CG911" s="17">
        <f>SUM((CD911+CE911)*0.00833333333333333)</f>
        <v>1.1439999999999995</v>
      </c>
      <c r="CH911" s="23">
        <f ca="1">MONTH(TODAY())+13</f>
        <v>17</v>
      </c>
      <c r="CI911" s="14">
        <f ca="1">SUM(CD911,CE911,CF911)</f>
        <v>156.72799999999998</v>
      </c>
      <c r="CJ911" s="14">
        <f>SUM(DJ911*0.0052)</f>
        <v>124.8</v>
      </c>
      <c r="CK911" s="14">
        <f>SUM(CJ911*0.1)</f>
        <v>12.48</v>
      </c>
      <c r="CL911" s="14">
        <f ca="1">SUM(CM911*CN911)</f>
        <v>5.7199999999999971</v>
      </c>
      <c r="CM911" s="17">
        <f>SUM((CJ911+CK911)*0.00833333333333333)</f>
        <v>1.1439999999999995</v>
      </c>
      <c r="CN911" s="23">
        <f ca="1">MONTH(TODAY())+1</f>
        <v>5</v>
      </c>
      <c r="CO911" s="14">
        <f ca="1">SUM(CJ911,CK911,CL911)</f>
        <v>143</v>
      </c>
      <c r="CP911" s="14">
        <f>SUM(DJ911*0.0052)/2</f>
        <v>62.4</v>
      </c>
      <c r="CQ911" s="14">
        <f>SUM(BL911, BR911, BX911, CD911, CJ911, CP911)</f>
        <v>312</v>
      </c>
      <c r="CR911" s="14">
        <f>SUM(BM911, BS911,BY911,CE911,CK911)</f>
        <v>24.96</v>
      </c>
      <c r="CS911" s="14">
        <f ca="1">SUM(BN911, BT911,BZ911,CF911,CL911)</f>
        <v>25.167999999999985</v>
      </c>
      <c r="CT911" s="14">
        <f ca="1">SUM(CQ911:CS911)</f>
        <v>362.12799999999999</v>
      </c>
      <c r="CU911" s="47">
        <f ca="1">SUM(CT911/DJ911)</f>
        <v>1.5088666666666667E-2</v>
      </c>
      <c r="CV911" s="14">
        <f>19.5+19.5+195+195+39+58.5</f>
        <v>526.5</v>
      </c>
      <c r="CW911" s="32">
        <f>COUNTIF(DC911, "*")+COUNTIF(AO911, "*")+COUNTIF(AJ911, "*")+COUNTIF(AA911, "*")+COUNTIF(DZ911, "*")+COUNTIF(EF911, "*")+COUNTIF(EL911, "*")+COUNTIF(EP911, "*")+COUNTIF(EW911, "*")+COUNTIF(FD911, "*")+COUNTIF(FK911, "*")+COUNTIF(FV911, "*")+COUNTIF(GG911, "*")+COUNTIF(GO911, "*")+COUNTIF(GW911, "*")+COUNTIF(HE911, "*")+COUNTIF(HM911, "*")</f>
        <v>4</v>
      </c>
      <c r="CX911" s="14">
        <f>CW911*0.5+CW911*6.66</f>
        <v>28.64</v>
      </c>
      <c r="CY911" s="4">
        <v>150</v>
      </c>
      <c r="CZ911" s="14">
        <f ca="1">SUM(CT911,CV911,DF911, CY911, CX911,FH911)</f>
        <v>1191.0980000000002</v>
      </c>
      <c r="DA911" s="14">
        <f>30.08</f>
        <v>30.08</v>
      </c>
      <c r="DB911">
        <v>93.75</v>
      </c>
      <c r="DC911"/>
      <c r="DD911"/>
      <c r="DE911"/>
      <c r="DF911" s="14">
        <f>SUM(DA911:DE911)</f>
        <v>123.83</v>
      </c>
      <c r="DG911" s="24" t="s">
        <v>2773</v>
      </c>
      <c r="DH911" s="4">
        <v>16600</v>
      </c>
      <c r="DI911" s="4">
        <v>7400</v>
      </c>
      <c r="DJ911" s="25">
        <f>SUM(DH911+DI911)</f>
        <v>24000</v>
      </c>
      <c r="DK911" s="35">
        <v>1.04</v>
      </c>
      <c r="DL911" t="s">
        <v>3710</v>
      </c>
      <c r="DM911" t="s">
        <v>3711</v>
      </c>
      <c r="DN911" t="s">
        <v>3712</v>
      </c>
      <c r="DO911"/>
      <c r="DP911"/>
      <c r="DQ911"/>
      <c r="DR911"/>
      <c r="DS911"/>
      <c r="DT911"/>
      <c r="DU911"/>
      <c r="DV911"/>
      <c r="DW911"/>
      <c r="DX911" t="s">
        <v>3846</v>
      </c>
      <c r="DY911"/>
      <c r="DZ911" t="s">
        <v>3847</v>
      </c>
      <c r="EA911"/>
      <c r="EB911" t="s">
        <v>329</v>
      </c>
      <c r="EC911" t="s">
        <v>260</v>
      </c>
      <c r="ED911" t="s">
        <v>3848</v>
      </c>
      <c r="EE911"/>
      <c r="EF911" t="s">
        <v>3849</v>
      </c>
      <c r="EG911"/>
      <c r="EH911" t="s">
        <v>329</v>
      </c>
      <c r="EI911" t="s">
        <v>260</v>
      </c>
      <c r="EJ911" t="s">
        <v>3850</v>
      </c>
      <c r="EK911"/>
      <c r="EL911" t="s">
        <v>3851</v>
      </c>
      <c r="EM911" t="s">
        <v>329</v>
      </c>
      <c r="EN911" t="s">
        <v>260</v>
      </c>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s="4"/>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row>
    <row r="912" spans="1:275" ht="15" customHeight="1">
      <c r="A912" s="19">
        <v>102023123</v>
      </c>
      <c r="B912" s="18" t="s">
        <v>4376</v>
      </c>
      <c r="D912" s="1"/>
      <c r="E912" s="3"/>
      <c r="F912" s="3"/>
      <c r="J912" s="18"/>
      <c r="K912" s="18" t="s">
        <v>4455</v>
      </c>
      <c r="L912" s="18"/>
      <c r="M912" s="18"/>
      <c r="N912" s="18"/>
      <c r="O912" s="19"/>
      <c r="P912" s="18"/>
      <c r="Q912" s="18"/>
      <c r="R912" s="18"/>
      <c r="S912" s="18"/>
      <c r="Z912" t="s">
        <v>4456</v>
      </c>
      <c r="AA912" t="s">
        <v>4457</v>
      </c>
      <c r="AB912" t="s">
        <v>300</v>
      </c>
      <c r="AC912" t="s">
        <v>301</v>
      </c>
      <c r="AG912" s="43"/>
      <c r="AJ912" s="18" t="s">
        <v>328</v>
      </c>
      <c r="AL912" s="18" t="s">
        <v>329</v>
      </c>
      <c r="AM912"/>
      <c r="AN912"/>
      <c r="AO912" s="18" t="s">
        <v>4457</v>
      </c>
      <c r="AP912" s="3" t="s">
        <v>258</v>
      </c>
      <c r="AQ912" s="18" t="s">
        <v>300</v>
      </c>
      <c r="AR912" s="18" t="s">
        <v>301</v>
      </c>
      <c r="AX912" s="1"/>
      <c r="AY912" s="1"/>
      <c r="AZ912" s="1"/>
      <c r="BA912" s="1"/>
      <c r="BB912" s="1"/>
      <c r="BC912" s="2"/>
      <c r="BD912" s="116"/>
      <c r="BE912" s="115"/>
      <c r="BF912" s="2"/>
      <c r="BG912" s="2"/>
      <c r="BH912" s="2"/>
      <c r="BI912" s="2"/>
      <c r="BJ912" s="2"/>
      <c r="BK912" s="2"/>
      <c r="BL912" s="20">
        <f ca="1">SUM(DP912)+220</f>
        <v>839.54</v>
      </c>
      <c r="BM912" s="22">
        <f ca="1">PMT(10%/12,12,BL912,0,0)</f>
        <v>-73.808903965082251</v>
      </c>
      <c r="BN912" s="22">
        <f ca="1">SUM(BM912*-1)</f>
        <v>73.808903965082251</v>
      </c>
      <c r="BO912" s="14">
        <f>SUM(DX912*0.0052)/12</f>
        <v>29.25</v>
      </c>
      <c r="BP912" s="22">
        <f ca="1">SUM(BN912+BO912)</f>
        <v>103.05890396508225</v>
      </c>
      <c r="BQ912" s="14"/>
      <c r="BR912" s="14">
        <f>SUM(BQ912*0.1)</f>
        <v>0</v>
      </c>
      <c r="BS912" s="14">
        <f ca="1">SUM(BT912*BU912)</f>
        <v>0</v>
      </c>
      <c r="BT912" s="17">
        <f>SUM((BQ912+BR912)*0.00833333333333333)</f>
        <v>0</v>
      </c>
      <c r="BU912" s="23">
        <f ca="1">MONTH(TODAY())+49</f>
        <v>53</v>
      </c>
      <c r="BV912" s="14">
        <f ca="1">SUM(BQ912,BR912,BS912)</f>
        <v>0</v>
      </c>
      <c r="BW912" s="14"/>
      <c r="BX912" s="14">
        <f>SUM(BW912*0.1)</f>
        <v>0</v>
      </c>
      <c r="BY912" s="14">
        <f ca="1">SUM(BZ912*CA912)</f>
        <v>0</v>
      </c>
      <c r="BZ912" s="17">
        <f>SUM((BW912+BX912)*0.00833333333333333)</f>
        <v>0</v>
      </c>
      <c r="CA912" s="23">
        <f ca="1">MONTH(TODAY())+37</f>
        <v>41</v>
      </c>
      <c r="CB912" s="14">
        <f ca="1">SUM(BW912,BX912,BY912)</f>
        <v>0</v>
      </c>
      <c r="CC912" s="14">
        <v>0</v>
      </c>
      <c r="CD912" s="14">
        <f>SUM(CC912*0.1)</f>
        <v>0</v>
      </c>
      <c r="CE912" s="14">
        <f ca="1">SUM(CF912*CG912)</f>
        <v>0</v>
      </c>
      <c r="CF912" s="17">
        <f>SUM((CC912+CD912)*0.00833333333333333)</f>
        <v>0</v>
      </c>
      <c r="CG912" s="23">
        <f ca="1">MONTH(TODAY())+25</f>
        <v>29</v>
      </c>
      <c r="CH912" s="14">
        <f ca="1">SUM(CC912,CD912,CE912)</f>
        <v>0</v>
      </c>
      <c r="CI912" s="14">
        <f>SUM(DU912*0.0052)</f>
        <v>247</v>
      </c>
      <c r="CJ912" s="14">
        <f>SUM(CI912*0.1)</f>
        <v>24.700000000000003</v>
      </c>
      <c r="CK912" s="14">
        <f ca="1">SUM(CL912*CM912)</f>
        <v>38.49083333333332</v>
      </c>
      <c r="CL912" s="17">
        <f>SUM((CI912+CJ912)*0.00833333333333333)</f>
        <v>2.2641666666666658</v>
      </c>
      <c r="CM912" s="23">
        <f ca="1">MONTH(TODAY())+13</f>
        <v>17</v>
      </c>
      <c r="CN912" s="14">
        <f ca="1">SUM(CI912,CJ912,CK912)</f>
        <v>310.19083333333333</v>
      </c>
      <c r="CO912" s="14">
        <f>SUM(DU912*0.0052)/2</f>
        <v>123.5</v>
      </c>
      <c r="CP912" s="14">
        <f>SUM(CO912*0.1)</f>
        <v>12.350000000000001</v>
      </c>
      <c r="CQ912" s="14">
        <f ca="1">SUM(CR912*CS912)</f>
        <v>10.188749999999995</v>
      </c>
      <c r="CR912" s="17">
        <f>SUM((CO912+CP912)*0.00833333333333333)</f>
        <v>1.1320833333333329</v>
      </c>
      <c r="CS912" s="23">
        <f ca="1">MONTH(TODAY())+5</f>
        <v>9</v>
      </c>
      <c r="CT912" s="23">
        <f ca="1">SUM(CO912,CP912,CQ912)</f>
        <v>146.03874999999999</v>
      </c>
      <c r="CU912" s="14">
        <f>SUM(DU912*0.0052)/2</f>
        <v>123.5</v>
      </c>
      <c r="CV912" s="14">
        <f>SUM(CU912*0.1)</f>
        <v>12.350000000000001</v>
      </c>
      <c r="CW912" s="14">
        <f ca="1">SUM(CX912*CY912)</f>
        <v>5.6604166666666647</v>
      </c>
      <c r="CX912" s="17">
        <f>SUM((CU912+CV912)*0.00833333333333333)</f>
        <v>1.1320833333333329</v>
      </c>
      <c r="CY912" s="23">
        <f ca="1">MONTH(TODAY())+1</f>
        <v>5</v>
      </c>
      <c r="CZ912" s="23">
        <f ca="1">SUM(CU912,CV912,CW912)</f>
        <v>141.51041666666666</v>
      </c>
      <c r="DA912" s="14">
        <f>SUM( BQ912, BW912, CC912, CI912, CO912,CU912)</f>
        <v>494</v>
      </c>
      <c r="DB912" s="14">
        <f>SUM(BR912,BX912,CD912,CJ912, CP912,CV912)</f>
        <v>49.400000000000006</v>
      </c>
      <c r="DC912" s="14">
        <f ca="1">SUM(BS912,BY912,CE912,CK912, CQ912,CW912)</f>
        <v>54.339999999999975</v>
      </c>
      <c r="DD912" s="25">
        <f ca="1">SUM(DA912:DC912)</f>
        <v>597.74</v>
      </c>
      <c r="DE912" s="47">
        <f ca="1">SUM(DD912/DU912)</f>
        <v>1.2584E-2</v>
      </c>
      <c r="DF912" s="14">
        <v>20</v>
      </c>
      <c r="DG912" s="32">
        <f>COUNTIF(DL912, "*")+COUNTIF(AO912, "*")+COUNTIF(AJ912, "*")+COUNTIF(AA912, "*")+COUNTIF(EM912, "*")+COUNTIF(ES912, "*")+COUNTIF(EY912, "*")+COUNTIF(FC912, "*")+COUNTIF(FJ912, "*")+COUNTIF(AT912, "*")+COUNTIF(FS912, "*")+COUNTIF(GD912, "*")+COUNTIF(GO912, "*")+COUNTIF(GW912, "*")+COUNTIF(HE912, "*")+COUNTIF(HM912, "*")+COUNTIF(HU912, "*")</f>
        <v>3</v>
      </c>
      <c r="DH912" s="14">
        <f>DG912*0.6</f>
        <v>1.7999999999999998</v>
      </c>
      <c r="DI912" s="4"/>
      <c r="DJ912" s="4"/>
      <c r="DK912" s="4"/>
      <c r="DL912" s="4"/>
      <c r="DN912" s="4"/>
      <c r="DO912" s="14">
        <f>SUM(DJ912:DN912)</f>
        <v>0</v>
      </c>
      <c r="DP912" s="14">
        <f ca="1">SUM(DD912,DF912,DO912, DI912, DH912,FP912)</f>
        <v>619.54</v>
      </c>
      <c r="DQ912" s="24" t="s">
        <v>3879</v>
      </c>
      <c r="DR912" s="130"/>
      <c r="DS912" s="14">
        <v>47500</v>
      </c>
      <c r="DT912" s="14">
        <v>0</v>
      </c>
      <c r="DU912" s="14">
        <v>47500</v>
      </c>
      <c r="DV912" s="14">
        <v>67500</v>
      </c>
      <c r="DW912" s="14">
        <v>0</v>
      </c>
      <c r="DX912" s="14">
        <f>SUM(DV912+DW912)</f>
        <v>67500</v>
      </c>
      <c r="IA912" s="9"/>
      <c r="IL912" s="14">
        <f ca="1">SUM(IB912-DP912-FP912-IJ912)</f>
        <v>-619.54</v>
      </c>
      <c r="IM912" s="9"/>
      <c r="IN912" s="9"/>
      <c r="IO912" s="9"/>
      <c r="IP912" s="9"/>
      <c r="IQ912" s="9"/>
    </row>
    <row r="913" spans="1:263" ht="15" customHeight="1">
      <c r="A913" s="2">
        <v>102017089</v>
      </c>
      <c r="B913" t="s">
        <v>1033</v>
      </c>
      <c r="F913" s="2"/>
      <c r="G913">
        <v>180001387</v>
      </c>
      <c r="J913" t="s">
        <v>311</v>
      </c>
      <c r="K913" t="s">
        <v>1019</v>
      </c>
      <c r="L913" t="s">
        <v>420</v>
      </c>
      <c r="M913" t="s">
        <v>537</v>
      </c>
      <c r="N913" t="s">
        <v>470</v>
      </c>
      <c r="O913" s="1"/>
      <c r="T913" s="1"/>
      <c r="AD913" s="1"/>
      <c r="AG913" s="34"/>
      <c r="AH913" s="4"/>
      <c r="AI913" s="4"/>
      <c r="AJ913" s="4"/>
      <c r="AK913" s="4"/>
      <c r="AO913" s="4"/>
      <c r="AP913" s="13"/>
      <c r="AQ913" s="34"/>
      <c r="AR913" s="34"/>
      <c r="AS913" s="5"/>
      <c r="AT913" s="13"/>
      <c r="AU913" s="1"/>
      <c r="AV913" s="1"/>
      <c r="AW913" s="1"/>
      <c r="AX913" s="15"/>
      <c r="AY913" s="15"/>
      <c r="AZ913" s="15"/>
      <c r="BA913" s="15"/>
      <c r="BB913" s="1"/>
      <c r="BC913" s="15"/>
      <c r="BD913" s="15"/>
      <c r="BE913" s="15"/>
      <c r="BF913" s="15"/>
      <c r="BG913" s="5"/>
      <c r="BH913" s="16"/>
      <c r="BI913" s="16"/>
      <c r="BK913" s="4"/>
      <c r="BL913" s="4"/>
      <c r="BM913" s="6"/>
      <c r="BN913" s="7"/>
      <c r="BO913" s="4"/>
      <c r="BQ913" s="4"/>
      <c r="BR913" s="4"/>
      <c r="BS913" s="6"/>
      <c r="BT913" s="7"/>
      <c r="BU913" s="4"/>
      <c r="BV913" s="4"/>
      <c r="BW913" s="4"/>
      <c r="BX913" s="4"/>
      <c r="BY913" s="6"/>
      <c r="BZ913" s="7"/>
      <c r="CA913" s="4"/>
      <c r="CC913" s="4"/>
      <c r="CD913" s="4"/>
      <c r="CE913" s="6"/>
      <c r="CF913" s="7"/>
      <c r="CG913" s="4"/>
      <c r="CH913" s="4"/>
      <c r="CI913" s="4"/>
      <c r="CJ913" s="4"/>
      <c r="CK913" s="6"/>
      <c r="CL913" s="7"/>
      <c r="CM913" s="4"/>
      <c r="CN913" s="4"/>
      <c r="CO913" s="4"/>
      <c r="CP913" s="4"/>
      <c r="CQ913" s="6"/>
      <c r="CR913" s="7"/>
      <c r="CS913" s="4"/>
      <c r="CT913" s="4"/>
      <c r="CU913" s="4"/>
      <c r="CV913" s="4"/>
      <c r="CW913" s="6"/>
      <c r="CX913" s="7"/>
      <c r="CY913" s="4"/>
      <c r="CZ913" s="4"/>
      <c r="DA913" s="4"/>
      <c r="DB913" s="4"/>
      <c r="DC913" s="6"/>
      <c r="DD913" s="7"/>
      <c r="DE913" s="4"/>
      <c r="DF913" s="4"/>
      <c r="DG913" s="4"/>
      <c r="DH913" s="4"/>
      <c r="DI913" s="6"/>
      <c r="DJ913" s="7"/>
      <c r="DK913" s="4"/>
      <c r="DL913" s="4"/>
      <c r="DM913" s="4"/>
      <c r="DN913" s="4"/>
      <c r="DO913" s="4"/>
      <c r="DP913" s="4"/>
      <c r="DQ913" s="3"/>
      <c r="DR913" s="4"/>
      <c r="DS913" s="4"/>
      <c r="DT913" s="4"/>
      <c r="DU913" s="4"/>
      <c r="DV913" s="4"/>
      <c r="DW913" s="4"/>
      <c r="DX913" s="4"/>
      <c r="DY913" s="4"/>
      <c r="DZ913" s="4"/>
      <c r="EA913" s="4"/>
      <c r="EB913" s="4"/>
      <c r="EC913" s="4"/>
      <c r="ED913" s="4"/>
      <c r="ES913" s="4"/>
      <c r="ET913" s="13"/>
      <c r="EU913" s="4"/>
      <c r="FL913" s="9"/>
      <c r="FM913" s="10"/>
      <c r="FT913" s="10"/>
      <c r="FU913" s="9"/>
      <c r="GG913" s="9"/>
    </row>
    <row r="914" spans="1:263" s="18" customFormat="1" ht="15" customHeight="1">
      <c r="A914" s="2">
        <v>102017100</v>
      </c>
      <c r="B914" t="s">
        <v>1064</v>
      </c>
      <c r="C914"/>
      <c r="D914"/>
      <c r="E914" t="s">
        <v>1065</v>
      </c>
      <c r="F914">
        <v>180004346</v>
      </c>
      <c r="G914"/>
      <c r="H914"/>
      <c r="I914"/>
      <c r="J914" t="s">
        <v>434</v>
      </c>
      <c r="K914" t="s">
        <v>922</v>
      </c>
      <c r="L914" t="s">
        <v>657</v>
      </c>
      <c r="M914"/>
      <c r="N914"/>
      <c r="O914" s="1"/>
      <c r="P914" t="s">
        <v>1066</v>
      </c>
      <c r="Q914" t="s">
        <v>1067</v>
      </c>
      <c r="R914"/>
      <c r="S914"/>
      <c r="T914" s="1"/>
      <c r="U914"/>
      <c r="V914"/>
      <c r="W914"/>
      <c r="Y914"/>
      <c r="Z914"/>
      <c r="AA914"/>
      <c r="AB914"/>
      <c r="AC914"/>
      <c r="AD914"/>
      <c r="AE914" s="1"/>
      <c r="AF914"/>
      <c r="AG914" s="3"/>
      <c r="AH914"/>
      <c r="AI914"/>
      <c r="AJ914" s="4"/>
      <c r="AL914" s="4"/>
      <c r="AM914" s="34"/>
      <c r="AN914" s="3"/>
      <c r="AO914" s="4"/>
      <c r="AP914" s="13"/>
      <c r="AQ914" s="34"/>
      <c r="AR914" s="34"/>
      <c r="AS914" s="13"/>
      <c r="AT914" s="13"/>
      <c r="AU914" s="1"/>
      <c r="AV914" s="1"/>
      <c r="AW914" s="1"/>
      <c r="AX914" s="1"/>
      <c r="AY914" s="1"/>
      <c r="AZ914" s="1"/>
      <c r="BA914" s="1"/>
      <c r="BB914" s="1"/>
      <c r="BC914" s="1"/>
      <c r="BD914" s="1"/>
      <c r="BE914" s="1"/>
      <c r="BF914" s="1"/>
      <c r="BG914" s="5"/>
      <c r="BH914" s="16"/>
      <c r="BI914" s="16"/>
      <c r="BJ914"/>
      <c r="BK914" s="4"/>
      <c r="BL914" s="4"/>
      <c r="BM914" s="6"/>
      <c r="BN914" s="7"/>
      <c r="BO914" s="4"/>
      <c r="BP914"/>
      <c r="BQ914" s="4"/>
      <c r="BR914" s="4"/>
      <c r="BS914" s="6"/>
      <c r="BT914" s="7"/>
      <c r="BU914" s="4"/>
      <c r="BV914" s="4"/>
      <c r="BW914" s="4"/>
      <c r="BX914" s="4"/>
      <c r="BY914" s="6"/>
      <c r="BZ914" s="7"/>
      <c r="CA914" s="4"/>
      <c r="CB914"/>
      <c r="CC914" s="4"/>
      <c r="CD914" s="4"/>
      <c r="CE914" s="6"/>
      <c r="CF914" s="7"/>
      <c r="CG914" s="4"/>
      <c r="CH914" s="4"/>
      <c r="CI914" s="4"/>
      <c r="CJ914" s="4"/>
      <c r="CK914" s="6"/>
      <c r="CL914" s="7"/>
      <c r="CM914" s="4"/>
      <c r="CN914" s="4"/>
      <c r="CO914" s="4"/>
      <c r="CP914" s="4"/>
      <c r="CQ914" s="6"/>
      <c r="CR914" s="7"/>
      <c r="CS914" s="4"/>
      <c r="CT914" s="4"/>
      <c r="CU914" s="4"/>
      <c r="CV914" s="4"/>
      <c r="CW914" s="6"/>
      <c r="CX914" s="7"/>
      <c r="CY914" s="4"/>
      <c r="CZ914" s="4"/>
      <c r="DA914" s="4"/>
      <c r="DB914" s="4"/>
      <c r="DC914" s="6"/>
      <c r="DD914" s="7"/>
      <c r="DE914" s="4"/>
      <c r="DF914" s="4"/>
      <c r="DG914" s="4"/>
      <c r="DH914" s="4"/>
      <c r="DI914" s="6"/>
      <c r="DJ914" s="7"/>
      <c r="DK914" s="4"/>
      <c r="DL914" s="4"/>
      <c r="DM914" s="4"/>
      <c r="DN914" s="4"/>
      <c r="DO914" s="4"/>
      <c r="DP914" s="3"/>
      <c r="DQ914" s="4"/>
      <c r="DR914" s="4"/>
      <c r="DS914" s="4"/>
      <c r="DT914" s="4"/>
      <c r="DU914" s="4"/>
      <c r="DV914" s="4"/>
      <c r="DW914" s="4"/>
      <c r="DX914" s="4"/>
      <c r="DY914" s="4"/>
      <c r="DZ914" s="4"/>
      <c r="EA914" s="4"/>
      <c r="EB914" s="4"/>
      <c r="EC914" s="4"/>
      <c r="ED914" s="4"/>
      <c r="EE914" s="4"/>
      <c r="EF914" s="4"/>
      <c r="EG914" s="4"/>
      <c r="EH914" s="4"/>
      <c r="EI914" s="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s="9"/>
      <c r="FR914" s="10"/>
      <c r="FS914"/>
      <c r="FT914"/>
      <c r="FU914"/>
      <c r="FV914"/>
      <c r="FW914"/>
      <c r="FX914"/>
      <c r="FY914" s="10"/>
      <c r="FZ914"/>
      <c r="GA914"/>
      <c r="GB914"/>
      <c r="GC914"/>
      <c r="GD914"/>
      <c r="GE914"/>
      <c r="GF914"/>
      <c r="GG914"/>
      <c r="GH914"/>
      <c r="GI914"/>
      <c r="GJ914"/>
      <c r="GK914" s="9"/>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row>
    <row r="915" spans="1:263" s="18" customFormat="1" ht="15" customHeight="1">
      <c r="A915" s="2">
        <v>102018110</v>
      </c>
      <c r="B915" t="s">
        <v>1064</v>
      </c>
      <c r="C915"/>
      <c r="D915"/>
      <c r="E915" t="s">
        <v>1319</v>
      </c>
      <c r="F915" s="2">
        <v>180004346</v>
      </c>
      <c r="G915" s="2"/>
      <c r="H915" s="2"/>
      <c r="I915"/>
      <c r="J915" t="s">
        <v>434</v>
      </c>
      <c r="K915" t="s">
        <v>922</v>
      </c>
      <c r="L915" t="s">
        <v>657</v>
      </c>
      <c r="M915"/>
      <c r="N915"/>
      <c r="O915" s="1"/>
      <c r="P915" t="s">
        <v>1066</v>
      </c>
      <c r="Q915" t="s">
        <v>1067</v>
      </c>
      <c r="R915"/>
      <c r="S915"/>
      <c r="T915" s="1"/>
      <c r="U915"/>
      <c r="V915"/>
      <c r="W915"/>
      <c r="X915"/>
      <c r="Y915"/>
      <c r="Z915"/>
      <c r="AA915"/>
      <c r="AB915"/>
      <c r="AC915"/>
      <c r="AD915"/>
      <c r="AE915"/>
      <c r="AF915"/>
      <c r="AG915" s="3"/>
      <c r="AH915"/>
      <c r="AI915"/>
      <c r="AJ915"/>
      <c r="AK915"/>
      <c r="AL915"/>
      <c r="AM915" s="3"/>
      <c r="AN915" s="3"/>
      <c r="AO915" s="4"/>
      <c r="AP915" s="5"/>
      <c r="AQ915" s="3"/>
      <c r="AR915" s="3"/>
      <c r="AS915" s="5"/>
      <c r="AT915" s="5"/>
      <c r="AU915" s="1"/>
      <c r="AV915" s="1"/>
      <c r="AW915" s="1"/>
      <c r="AX915" s="1"/>
      <c r="AY915" s="1"/>
      <c r="AZ915" s="1"/>
      <c r="BA915" s="1"/>
      <c r="BB915" s="1"/>
      <c r="BC915" s="1"/>
      <c r="BD915" s="1"/>
      <c r="BE915" s="1"/>
      <c r="BF915" s="1"/>
      <c r="BG915" s="5"/>
      <c r="BH915" s="16"/>
      <c r="BI915" s="16"/>
      <c r="BJ915"/>
      <c r="BK915" s="4"/>
      <c r="BL915" s="4"/>
      <c r="BM915" s="6"/>
      <c r="BN915" s="7"/>
      <c r="BO915" s="4"/>
      <c r="BP915" s="4"/>
      <c r="BQ915" s="4"/>
      <c r="BR915" s="4"/>
      <c r="BS915" s="6"/>
      <c r="BT915" s="7"/>
      <c r="BU915" s="4"/>
      <c r="BV915" s="4"/>
      <c r="BW915" s="4"/>
      <c r="BX915" s="4"/>
      <c r="BY915" s="6"/>
      <c r="BZ915" s="7"/>
      <c r="CA915" s="4"/>
      <c r="CB915" s="4"/>
      <c r="CC915" s="4"/>
      <c r="CD915" s="4"/>
      <c r="CE915" s="6"/>
      <c r="CF915" s="7"/>
      <c r="CG915" s="4"/>
      <c r="CH915" s="4"/>
      <c r="CI915" s="4"/>
      <c r="CJ915" s="4"/>
      <c r="CK915" s="6"/>
      <c r="CL915" s="7"/>
      <c r="CM915" s="4"/>
      <c r="CN915" s="4"/>
      <c r="CO915" s="4"/>
      <c r="CP915" s="4"/>
      <c r="CQ915" s="6"/>
      <c r="CR915" s="7"/>
      <c r="CS915" s="4"/>
      <c r="CT915" s="4"/>
      <c r="CU915" s="4"/>
      <c r="CV915" s="4"/>
      <c r="CW915" s="6"/>
      <c r="CX915" s="7"/>
      <c r="CY915" s="4"/>
      <c r="CZ915" s="4"/>
      <c r="DA915" s="4"/>
      <c r="DB915" s="4"/>
      <c r="DC915" s="6"/>
      <c r="DD915" s="7"/>
      <c r="DE915" s="4"/>
      <c r="DF915" s="4"/>
      <c r="DG915" s="4"/>
      <c r="DH915" s="14"/>
      <c r="DI915" s="14"/>
      <c r="DJ915" s="4"/>
      <c r="DK915" s="3"/>
      <c r="DL915" s="4"/>
      <c r="DM915" s="234"/>
      <c r="DN915" s="4"/>
      <c r="DO915" s="4"/>
      <c r="DP915" s="4"/>
      <c r="DQ915" s="4"/>
      <c r="DR915" s="4"/>
      <c r="DS915" s="4"/>
      <c r="DT915" s="7"/>
      <c r="DU915" s="8"/>
      <c r="DV915" s="4"/>
      <c r="DW915" s="4"/>
      <c r="DX915" s="4"/>
      <c r="DY915" s="4"/>
      <c r="DZ915" s="33"/>
      <c r="EA915" s="251"/>
      <c r="EB915" s="251"/>
      <c r="EC915"/>
      <c r="ED915"/>
      <c r="EE915"/>
      <c r="EF915"/>
      <c r="EG915"/>
      <c r="EH915"/>
      <c r="EI915" s="11"/>
      <c r="EJ915"/>
      <c r="EK915"/>
      <c r="EL915"/>
      <c r="EM915"/>
      <c r="EN915"/>
      <c r="EO915" s="11"/>
      <c r="EP915" s="11"/>
      <c r="EQ915" s="4"/>
      <c r="ER915" s="4"/>
      <c r="ES915" s="4"/>
      <c r="ET915" s="4"/>
      <c r="EU915" s="4"/>
      <c r="EV915" s="4"/>
      <c r="EW915" s="4"/>
      <c r="EX915" s="4"/>
      <c r="EY915" s="4"/>
      <c r="EZ915" s="4"/>
      <c r="FA915" s="4"/>
      <c r="FB915" s="4"/>
      <c r="FC915" s="4"/>
      <c r="FD915" s="4"/>
      <c r="FE915" s="4"/>
      <c r="FF915"/>
      <c r="FG915"/>
      <c r="FH915"/>
      <c r="FI915" s="9"/>
      <c r="FJ915"/>
      <c r="FK915"/>
      <c r="FL915"/>
      <c r="FM915"/>
      <c r="FN915"/>
      <c r="FO915"/>
      <c r="FP915"/>
      <c r="FQ915"/>
      <c r="FR915" s="9"/>
      <c r="FS915"/>
      <c r="FT915"/>
      <c r="FU915"/>
      <c r="FV915"/>
      <c r="FW915"/>
      <c r="FX915" s="4"/>
      <c r="FY915"/>
      <c r="FZ915"/>
      <c r="GA915"/>
      <c r="GB915"/>
      <c r="GC915" s="10"/>
      <c r="GD915"/>
      <c r="GE915"/>
      <c r="GF915"/>
      <c r="GG915"/>
      <c r="GH915"/>
      <c r="GI915"/>
      <c r="GJ915"/>
      <c r="GK915"/>
      <c r="GL915"/>
      <c r="GM915" s="10"/>
      <c r="GN915"/>
      <c r="GO915"/>
      <c r="GP915"/>
      <c r="GQ915"/>
      <c r="GR915"/>
      <c r="GS915"/>
      <c r="GT915"/>
      <c r="GU915"/>
      <c r="GV915"/>
      <c r="GW915"/>
      <c r="GX915"/>
      <c r="GY915"/>
      <c r="GZ915"/>
      <c r="HA915"/>
      <c r="HB915" s="9"/>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s="9"/>
      <c r="IJ915" s="4"/>
      <c r="IK915" s="4"/>
      <c r="IL915" s="9"/>
      <c r="IM915"/>
      <c r="IN915" t="s">
        <v>1367</v>
      </c>
      <c r="IO915" t="s">
        <v>1368</v>
      </c>
      <c r="IP915" t="s">
        <v>329</v>
      </c>
      <c r="IQ915"/>
      <c r="IR915"/>
      <c r="IS915" s="4">
        <v>100</v>
      </c>
      <c r="IT915" s="4"/>
      <c r="IU915"/>
      <c r="IV915"/>
      <c r="IW915"/>
      <c r="IX915"/>
      <c r="IY915"/>
      <c r="IZ915"/>
      <c r="JA915"/>
      <c r="JB915"/>
      <c r="JC915"/>
    </row>
    <row r="916" spans="1:263" ht="15" customHeight="1">
      <c r="A916" s="2">
        <v>102018110</v>
      </c>
      <c r="B916" t="s">
        <v>1064</v>
      </c>
      <c r="E916" t="s">
        <v>1319</v>
      </c>
      <c r="F916">
        <v>180004346</v>
      </c>
      <c r="J916" t="s">
        <v>434</v>
      </c>
      <c r="K916" t="s">
        <v>922</v>
      </c>
      <c r="L916" t="s">
        <v>657</v>
      </c>
      <c r="P916" t="s">
        <v>1066</v>
      </c>
      <c r="Q916" t="s">
        <v>1067</v>
      </c>
      <c r="AJ916" s="4"/>
      <c r="AO916" s="4"/>
      <c r="AP916" s="5"/>
      <c r="AS916" s="5"/>
      <c r="AT916" s="5"/>
      <c r="AU916" s="1"/>
      <c r="AV916" s="1"/>
      <c r="AW916" s="1"/>
      <c r="AX916" s="1"/>
      <c r="AY916" s="1"/>
      <c r="AZ916" s="1"/>
      <c r="BA916" s="1"/>
      <c r="BB916" s="1"/>
      <c r="BC916" s="1"/>
      <c r="BD916" s="1"/>
      <c r="BE916" s="1"/>
      <c r="BF916" s="1"/>
      <c r="BG916" s="5"/>
      <c r="BH916" s="16"/>
      <c r="BI916" s="16"/>
      <c r="BK916" s="4"/>
      <c r="BL916" s="4"/>
      <c r="BM916" s="6"/>
      <c r="BN916" s="7"/>
      <c r="BO916" s="4"/>
      <c r="BP916" s="4"/>
      <c r="BQ916" s="4"/>
      <c r="BR916" s="4"/>
      <c r="BS916" s="6"/>
      <c r="BT916" s="7"/>
      <c r="BU916" s="4"/>
      <c r="BV916" s="4"/>
      <c r="BW916" s="4"/>
      <c r="BX916" s="4"/>
      <c r="BY916" s="6"/>
      <c r="BZ916" s="7"/>
      <c r="CA916" s="4"/>
      <c r="CB916" s="4"/>
      <c r="CC916" s="4"/>
      <c r="CD916" s="4"/>
      <c r="CE916" s="6"/>
      <c r="CF916" s="7"/>
      <c r="CG916" s="4"/>
      <c r="CH916" s="4"/>
      <c r="CI916" s="4"/>
      <c r="CJ916" s="4"/>
      <c r="CK916" s="6"/>
      <c r="CL916" s="7"/>
      <c r="CM916" s="4"/>
      <c r="CN916" s="4"/>
      <c r="CO916" s="4"/>
      <c r="CP916" s="4"/>
      <c r="CQ916" s="6"/>
      <c r="CR916" s="7"/>
      <c r="CS916" s="4"/>
      <c r="CT916" s="4"/>
      <c r="CU916" s="4"/>
      <c r="CV916" s="4"/>
      <c r="CW916" s="6"/>
      <c r="CX916" s="7"/>
      <c r="CY916" s="4"/>
      <c r="CZ916" s="4"/>
      <c r="DA916" s="4"/>
      <c r="DB916" s="4"/>
      <c r="DC916" s="6"/>
      <c r="DD916" s="7"/>
      <c r="DE916" s="4"/>
      <c r="DF916" s="4"/>
      <c r="DG916" s="4"/>
      <c r="DH916" s="14"/>
      <c r="DI916" s="14"/>
      <c r="DJ916" s="4"/>
      <c r="DK916" s="3"/>
      <c r="DL916" s="4"/>
      <c r="DM916" s="234"/>
      <c r="DN916" s="4"/>
      <c r="DO916" s="4"/>
      <c r="DP916" s="4"/>
      <c r="DQ916" s="4"/>
      <c r="DR916" s="4"/>
      <c r="DS916" s="4"/>
      <c r="DT916" s="7"/>
      <c r="DU916" s="8"/>
      <c r="DV916" s="4"/>
      <c r="DW916" s="4"/>
      <c r="DX916" s="4"/>
      <c r="DY916" s="4"/>
      <c r="DZ916" s="33"/>
      <c r="EA916" s="251"/>
      <c r="EB916" s="251"/>
      <c r="EI916" s="11"/>
      <c r="EO916" s="11"/>
      <c r="EP916" s="11"/>
      <c r="EQ916" s="4"/>
      <c r="ER916" s="4"/>
      <c r="ES916" s="4"/>
      <c r="ET916" s="4"/>
      <c r="EU916" s="4"/>
      <c r="EV916" s="4"/>
      <c r="EW916" s="4"/>
      <c r="EX916" s="4"/>
      <c r="EY916" s="4"/>
      <c r="EZ916" s="4"/>
      <c r="FA916" s="4"/>
      <c r="FB916" s="4"/>
      <c r="FC916" s="4"/>
      <c r="FD916" s="4"/>
      <c r="FE916" s="4"/>
      <c r="FI916" s="9"/>
      <c r="FR916" s="9"/>
      <c r="FX916" s="4"/>
      <c r="GC916" s="10"/>
      <c r="GM916" s="10"/>
      <c r="HB916" s="9"/>
      <c r="II916" s="9"/>
      <c r="IJ916" s="4"/>
      <c r="IK916" s="4"/>
      <c r="IL916" s="18"/>
      <c r="IM916" s="18"/>
      <c r="IN916" s="14"/>
      <c r="IO916" s="14"/>
      <c r="IP916" s="18"/>
      <c r="IQ916" s="18"/>
      <c r="IR916" s="18"/>
      <c r="IS916" s="18"/>
      <c r="IT916" s="18"/>
    </row>
    <row r="917" spans="1:263" ht="15" customHeight="1">
      <c r="A917" s="2">
        <v>102018110</v>
      </c>
      <c r="B917" t="s">
        <v>1064</v>
      </c>
      <c r="E917" t="s">
        <v>1319</v>
      </c>
      <c r="K917" t="s">
        <v>922</v>
      </c>
      <c r="L917" t="s">
        <v>657</v>
      </c>
      <c r="O917" s="1"/>
      <c r="P917" t="s">
        <v>1066</v>
      </c>
      <c r="Q917" t="s">
        <v>1067</v>
      </c>
      <c r="S917" s="18"/>
      <c r="T917" s="18"/>
      <c r="U917" s="18"/>
      <c r="V917" s="18"/>
      <c r="W917" s="18"/>
      <c r="X917" s="18"/>
      <c r="Y917" s="18"/>
      <c r="Z917" s="18"/>
      <c r="AA917" s="18"/>
      <c r="AB917" s="18"/>
      <c r="AC917" s="18"/>
      <c r="AD917" s="18"/>
      <c r="AE917" s="18"/>
      <c r="AF917" s="18"/>
      <c r="AG917" s="24"/>
      <c r="AH917" s="18"/>
      <c r="AI917" s="18"/>
      <c r="AJ917" s="18"/>
      <c r="AK917" s="37"/>
      <c r="AL917" s="18"/>
      <c r="AM917" s="24"/>
      <c r="AN917" s="24"/>
      <c r="AO917" s="18"/>
      <c r="AP917" s="13"/>
      <c r="AQ917" s="24"/>
      <c r="AR917" s="24"/>
      <c r="AS917" s="24"/>
      <c r="AT917" s="24"/>
      <c r="AU917" s="24"/>
      <c r="AV917" s="18"/>
      <c r="AW917" s="13"/>
      <c r="AX917" s="13"/>
      <c r="AY917" s="13"/>
      <c r="AZ917" s="13"/>
      <c r="BA917" s="13"/>
      <c r="BB917" s="19"/>
      <c r="BC917" s="19"/>
      <c r="BD917" s="48"/>
      <c r="BE917" s="19"/>
      <c r="BF917" s="19"/>
      <c r="BG917" s="19"/>
      <c r="BH917" s="19"/>
      <c r="BI917" s="19"/>
      <c r="BJ917" s="19"/>
      <c r="BK917" s="18"/>
      <c r="BL917" s="18"/>
      <c r="BM917" s="18"/>
      <c r="BN917" s="14"/>
      <c r="BO917" s="18"/>
      <c r="BP917" s="18"/>
      <c r="BQ917" s="18"/>
      <c r="BR917" s="18"/>
      <c r="BS917" s="18"/>
      <c r="BT917" s="23"/>
      <c r="BU917" s="18"/>
      <c r="BV917" s="18"/>
      <c r="BW917" s="18"/>
      <c r="BX917" s="18"/>
      <c r="BY917" s="18"/>
      <c r="BZ917" s="18"/>
      <c r="CA917" s="18"/>
      <c r="CB917" s="18"/>
      <c r="CC917" s="18"/>
      <c r="CD917" s="18"/>
      <c r="CE917" s="18"/>
      <c r="CF917" s="23"/>
      <c r="CG917" s="18"/>
      <c r="CH917" s="18"/>
      <c r="CI917" s="18"/>
      <c r="CJ917" s="18"/>
      <c r="CK917" s="18"/>
      <c r="CL917" s="23"/>
      <c r="CM917" s="18"/>
      <c r="CN917" s="18"/>
      <c r="CO917" s="18"/>
      <c r="CP917" s="18"/>
      <c r="CQ917" s="18"/>
      <c r="CR917" s="18"/>
      <c r="CS917" s="18"/>
      <c r="CT917" s="18"/>
      <c r="CU917" s="18"/>
      <c r="CV917" s="18"/>
      <c r="CW917" s="18"/>
      <c r="CX917" s="18"/>
      <c r="CY917" s="18"/>
      <c r="CZ917" s="18"/>
      <c r="DA917" s="18"/>
      <c r="DB917" s="18"/>
      <c r="DC917" s="14"/>
      <c r="DD917" s="18"/>
      <c r="DE917" s="18"/>
      <c r="DF917" s="18"/>
      <c r="DG917" s="14"/>
      <c r="DH917" s="18"/>
      <c r="DI917" s="18"/>
      <c r="DJ917" s="18"/>
      <c r="DK917" s="18"/>
      <c r="DL917" s="18"/>
      <c r="DM917" s="18"/>
      <c r="DN917" s="18"/>
      <c r="DO917" s="14">
        <f>SUM(DJ917:DN917)</f>
        <v>0</v>
      </c>
      <c r="DP917" s="18"/>
      <c r="DQ917" s="14"/>
      <c r="DR917" s="14"/>
      <c r="DS917" s="18"/>
      <c r="DT917" s="36"/>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27">
        <v>43694</v>
      </c>
      <c r="HZ917" s="18"/>
      <c r="IA917" s="18"/>
      <c r="IB917" s="18"/>
      <c r="IC917" s="18"/>
      <c r="ID917" s="18"/>
      <c r="IE917" s="18"/>
      <c r="IF917" s="18"/>
      <c r="IG917" s="18"/>
      <c r="IH917" s="18"/>
      <c r="II917" s="18"/>
      <c r="IJ917" s="14">
        <v>4084.75</v>
      </c>
      <c r="IK917" s="18"/>
      <c r="IL917" s="18"/>
      <c r="IM917" s="18"/>
      <c r="IN917" s="14"/>
      <c r="IO917" s="14"/>
      <c r="IP917" s="27">
        <v>43931</v>
      </c>
      <c r="IQ917" s="27">
        <v>43965</v>
      </c>
      <c r="IR917" s="18"/>
      <c r="IS917" s="18"/>
      <c r="IT917" s="18"/>
    </row>
    <row r="918" spans="1:263" ht="15" customHeight="1">
      <c r="A918" s="2">
        <v>102019097</v>
      </c>
      <c r="B918" t="s">
        <v>1490</v>
      </c>
      <c r="F918" s="9"/>
      <c r="G918" s="9"/>
      <c r="H918" s="9"/>
      <c r="I918" s="9"/>
      <c r="K918" t="s">
        <v>922</v>
      </c>
      <c r="L918" t="s">
        <v>657</v>
      </c>
      <c r="O918" s="1"/>
      <c r="P918" t="s">
        <v>925</v>
      </c>
      <c r="Q918" t="s">
        <v>1067</v>
      </c>
      <c r="T918" s="1"/>
      <c r="AF918" s="3"/>
      <c r="AG918" s="272"/>
      <c r="BG918" s="5"/>
      <c r="BH918" s="16"/>
      <c r="BI918" s="16"/>
      <c r="BJ918" s="4"/>
      <c r="BK918" s="4"/>
      <c r="BL918" s="4"/>
      <c r="BM918" s="6"/>
      <c r="BN918" s="7"/>
      <c r="BO918" s="4"/>
      <c r="BP918" s="4"/>
      <c r="BQ918" s="4"/>
      <c r="BR918" s="4"/>
      <c r="BS918" s="6"/>
      <c r="BT918" s="7"/>
      <c r="BU918" s="4"/>
      <c r="BV918" s="4"/>
      <c r="BW918" s="4"/>
      <c r="BX918" s="4"/>
      <c r="BY918" s="6"/>
      <c r="BZ918" s="7"/>
      <c r="CA918" s="4"/>
      <c r="CB918" s="4"/>
      <c r="CC918" s="4"/>
      <c r="CD918" s="4"/>
      <c r="CE918" s="6"/>
      <c r="CF918" s="7"/>
      <c r="CG918" s="4"/>
      <c r="CH918" s="4"/>
      <c r="CI918" s="4"/>
      <c r="CJ918" s="4"/>
      <c r="CK918" s="6"/>
      <c r="CL918" s="7"/>
      <c r="CM918" s="4"/>
      <c r="CN918" s="4"/>
      <c r="CO918" s="4"/>
      <c r="CP918" s="4"/>
      <c r="CQ918" s="6"/>
      <c r="CR918" s="7"/>
      <c r="CS918" s="4"/>
      <c r="CT918" s="4"/>
      <c r="CU918" s="4"/>
      <c r="CV918" s="4"/>
      <c r="CW918" s="6"/>
      <c r="CX918" s="7"/>
      <c r="CY918" s="4"/>
      <c r="CZ918" s="4"/>
      <c r="DA918" s="4"/>
      <c r="DB918" s="4"/>
      <c r="DC918" s="4"/>
      <c r="DD918" s="3"/>
      <c r="DE918" s="4"/>
      <c r="DF918" s="234"/>
      <c r="DG918" s="4"/>
      <c r="DH918" s="4"/>
      <c r="DI918" s="4"/>
      <c r="DJ918" s="4"/>
      <c r="DK918" s="4"/>
      <c r="DL918" s="4"/>
      <c r="DM918" s="4"/>
      <c r="DN918" s="8"/>
      <c r="DO918" s="4"/>
      <c r="DP918" s="8"/>
      <c r="DQ918" s="8"/>
      <c r="DR918" s="8"/>
      <c r="DS918" s="2"/>
    </row>
    <row r="919" spans="1:263" ht="15" customHeight="1">
      <c r="A919" s="2">
        <v>102023024</v>
      </c>
      <c r="B919" t="s">
        <v>4048</v>
      </c>
      <c r="J919" t="s">
        <v>554</v>
      </c>
      <c r="K919" t="s">
        <v>1185</v>
      </c>
      <c r="L919" t="s">
        <v>4046</v>
      </c>
      <c r="M919" t="s">
        <v>256</v>
      </c>
      <c r="O919" s="3"/>
      <c r="P919" t="s">
        <v>1185</v>
      </c>
      <c r="Q919" t="s">
        <v>4047</v>
      </c>
      <c r="R919" t="s">
        <v>1220</v>
      </c>
      <c r="AG919"/>
      <c r="AJ919" s="18" t="s">
        <v>328</v>
      </c>
      <c r="AL919" t="s">
        <v>329</v>
      </c>
      <c r="AM919"/>
      <c r="AN919"/>
      <c r="AO919" t="s">
        <v>4101</v>
      </c>
      <c r="AP919" s="3" t="s">
        <v>258</v>
      </c>
      <c r="AQ919" t="s">
        <v>329</v>
      </c>
      <c r="AR919" t="s">
        <v>260</v>
      </c>
      <c r="AX919" s="1"/>
      <c r="AY919" s="1"/>
      <c r="AZ919" s="1"/>
      <c r="BA919" s="1"/>
      <c r="BB919" s="1"/>
      <c r="BC919" s="2"/>
      <c r="BD919" s="116"/>
      <c r="BE919" s="115"/>
      <c r="BF919" s="2"/>
      <c r="BG919" s="2"/>
      <c r="BH919" s="2"/>
      <c r="BI919" s="2"/>
      <c r="BJ919" s="2"/>
      <c r="BK919" s="2"/>
      <c r="BL919" s="20">
        <f ca="1">SUM(DP919)+220</f>
        <v>403.05312000000004</v>
      </c>
      <c r="BM919" s="22">
        <f ca="1">PMT(10%/12,12,BL919,0,0)</f>
        <v>-35.434772645623525</v>
      </c>
      <c r="BN919" s="22">
        <f ca="1">SUM(BM919*-1)</f>
        <v>35.434772645623525</v>
      </c>
      <c r="BO919" s="14">
        <f>SUM(DX919*0.0052)/12</f>
        <v>20.453333333333333</v>
      </c>
      <c r="BP919" s="22">
        <f ca="1">SUM(BN919+BO919)</f>
        <v>55.888105978956858</v>
      </c>
      <c r="BQ919" s="14"/>
      <c r="BR919" s="14">
        <f>SUM(BQ919*0.1)</f>
        <v>0</v>
      </c>
      <c r="BS919" s="14">
        <f ca="1">SUM(BT919*BU919)</f>
        <v>0</v>
      </c>
      <c r="BT919" s="17">
        <f>SUM((BQ919+BR919)*0.00833333333333333)</f>
        <v>0</v>
      </c>
      <c r="BU919" s="23">
        <f ca="1">MONTH(TODAY())+49</f>
        <v>53</v>
      </c>
      <c r="BV919" s="14">
        <f ca="1">SUM(BQ919,BR919,BS919)</f>
        <v>0</v>
      </c>
      <c r="BW919" s="14"/>
      <c r="BX919" s="14">
        <f>SUM(BW919*0.1)</f>
        <v>0</v>
      </c>
      <c r="BY919" s="14">
        <f ca="1">SUM(BZ919*CA919)</f>
        <v>0</v>
      </c>
      <c r="BZ919" s="17">
        <f>SUM((BW919+BX919)*0.00833333333333333)</f>
        <v>0</v>
      </c>
      <c r="CA919" s="23">
        <f ca="1">MONTH(TODAY())+37</f>
        <v>41</v>
      </c>
      <c r="CB919" s="14">
        <f ca="1">SUM(BW919,BX919,BY919)</f>
        <v>0</v>
      </c>
      <c r="CC919" s="14">
        <f>SUM(DU919*0.0052)</f>
        <v>12.947999999999999</v>
      </c>
      <c r="CD919" s="14">
        <f>SUM(CC919*0.1)</f>
        <v>1.2948</v>
      </c>
      <c r="CE919" s="14">
        <f ca="1">SUM(CF919*CG919)</f>
        <v>3.442009999999998</v>
      </c>
      <c r="CF919" s="17">
        <f>SUM((CC919+CD919)*0.00833333333333333)</f>
        <v>0.11868999999999993</v>
      </c>
      <c r="CG919" s="23">
        <f ca="1">MONTH(TODAY())+25</f>
        <v>29</v>
      </c>
      <c r="CH919" s="14">
        <f ca="1">SUM(CC919,CD919,CE919)</f>
        <v>17.684809999999999</v>
      </c>
      <c r="CI919" s="14">
        <f>SUM(DU919*0.0052)</f>
        <v>12.947999999999999</v>
      </c>
      <c r="CJ919" s="14">
        <f>SUM(CI919*0.1)</f>
        <v>1.2948</v>
      </c>
      <c r="CK919" s="14">
        <f ca="1">SUM(CL919*CM919)</f>
        <v>2.0177299999999989</v>
      </c>
      <c r="CL919" s="17">
        <f>SUM((CI919+CJ919)*0.00833333333333333)</f>
        <v>0.11868999999999993</v>
      </c>
      <c r="CM919" s="23">
        <f ca="1">MONTH(TODAY())+13</f>
        <v>17</v>
      </c>
      <c r="CN919" s="14">
        <f ca="1">SUM(CI919,CJ919,CK919)</f>
        <v>16.260529999999999</v>
      </c>
      <c r="CO919" s="14">
        <f>SUM(DU919*0.0052)/2+95.42</f>
        <v>101.89400000000001</v>
      </c>
      <c r="CP919" s="14">
        <f>SUM(CO919*0.1)</f>
        <v>10.189400000000001</v>
      </c>
      <c r="CQ919" s="14">
        <f ca="1">SUM(CR919*CS919)</f>
        <v>8.406254999999998</v>
      </c>
      <c r="CR919" s="17">
        <f>SUM((CO919+CP919)*0.00833333333333333)</f>
        <v>0.93402833333333302</v>
      </c>
      <c r="CS919" s="23">
        <f ca="1">MONTH(TODAY())+5</f>
        <v>9</v>
      </c>
      <c r="CT919" s="23">
        <f ca="1">SUM(CO919,CP919,CQ919)</f>
        <v>120.48965500000001</v>
      </c>
      <c r="CU919" s="14">
        <f>SUM(DU919*0.0052)/2</f>
        <v>6.4739999999999993</v>
      </c>
      <c r="CV919" s="14">
        <f>SUM(CU919*0.1)</f>
        <v>0.64739999999999998</v>
      </c>
      <c r="CW919" s="14">
        <f ca="1">SUM(CX919*CY919)</f>
        <v>0.29672499999999985</v>
      </c>
      <c r="CX919" s="17">
        <f>SUM((CU919+CV919)*0.00833333333333333)</f>
        <v>5.9344999999999967E-2</v>
      </c>
      <c r="CY919" s="23">
        <f ca="1">MONTH(TODAY())+1</f>
        <v>5</v>
      </c>
      <c r="CZ919" s="23">
        <f ca="1">SUM(CU919,CV919,CW919)</f>
        <v>7.418124999999999</v>
      </c>
      <c r="DA919" s="14">
        <f>SUM( BQ919, BW919, CC919, CI919, CO919,CU919)</f>
        <v>134.26400000000001</v>
      </c>
      <c r="DB919" s="14">
        <f>SUM(BR919,BX919,CD919,CJ919, CP919,CV919)</f>
        <v>13.426399999999999</v>
      </c>
      <c r="DC919" s="14">
        <f ca="1">SUM(BS919,BY919,CE919,CK919, CQ919,CW919)</f>
        <v>14.162719999999995</v>
      </c>
      <c r="DD919" s="25">
        <f ca="1">SUM(DA919:DC919)</f>
        <v>161.85312000000002</v>
      </c>
      <c r="DE919" s="47">
        <f ca="1">SUM(DD919/DU919)</f>
        <v>6.5001253012048205E-2</v>
      </c>
      <c r="DF919" s="14">
        <v>20</v>
      </c>
      <c r="DG919" s="32">
        <f>COUNTIF(DL919, "*")+COUNTIF(AO919, "*")+COUNTIF(AJ919, "*")+COUNTIF(AA919, "*")+COUNTIF(EM919, "*")+COUNTIF(ES919, "*")+COUNTIF(EY919, "*")+COUNTIF(FC919, "*")+COUNTIF(FJ919, "*")+COUNTIF(AT919, "*")+COUNTIF(FS919, "*")+COUNTIF(GD919, "*")+COUNTIF(GO919, "*")+COUNTIF(GW919, "*")+COUNTIF(HE919, "*")+COUNTIF(HM919, "*")+COUNTIF(HU919, "*")</f>
        <v>2</v>
      </c>
      <c r="DH919" s="14">
        <f>DG919*0.6</f>
        <v>1.2</v>
      </c>
      <c r="DI919" s="4"/>
      <c r="DJ919" s="4"/>
      <c r="DK919" s="4"/>
      <c r="DL919" s="4"/>
      <c r="DN919" s="4"/>
      <c r="DO919" s="14">
        <f>SUM(DJ919:DN919)</f>
        <v>0</v>
      </c>
      <c r="DP919" s="14">
        <f ca="1">SUM(DD919,DF919,DO919, DI919, DH919,FP919)</f>
        <v>183.05312000000001</v>
      </c>
      <c r="DQ919" s="24" t="s">
        <v>3879</v>
      </c>
      <c r="DR919" s="7">
        <v>8.3000000000000007</v>
      </c>
      <c r="DS919" s="4">
        <v>2490</v>
      </c>
      <c r="DT919" s="4">
        <v>0</v>
      </c>
      <c r="DU919" s="14">
        <f>SUM(DS919+DT919)</f>
        <v>2490</v>
      </c>
      <c r="DV919" s="14">
        <v>47200</v>
      </c>
      <c r="DW919" s="14">
        <v>0</v>
      </c>
      <c r="DX919" s="14">
        <f>SUM(DV919+DW919)</f>
        <v>47200</v>
      </c>
      <c r="IA919" s="9"/>
      <c r="IL919" s="14">
        <f ca="1">SUM(IB919-DP919-FP919-IJ919)</f>
        <v>-183.05312000000001</v>
      </c>
      <c r="IM919" s="9"/>
      <c r="IN919" s="9"/>
      <c r="IO919" s="9"/>
      <c r="IP919" s="9"/>
      <c r="IQ919" s="9"/>
    </row>
    <row r="920" spans="1:263" ht="15" customHeight="1">
      <c r="A920" s="2">
        <v>102023011</v>
      </c>
      <c r="B920" t="s">
        <v>4020</v>
      </c>
      <c r="C920" s="10"/>
      <c r="D920" s="10"/>
      <c r="E920" s="10"/>
      <c r="F920" s="160"/>
      <c r="G920" s="147">
        <v>230001917</v>
      </c>
      <c r="H920" s="10"/>
      <c r="I920" s="10"/>
      <c r="J920" s="10" t="s">
        <v>554</v>
      </c>
      <c r="K920" s="10" t="s">
        <v>306</v>
      </c>
      <c r="L920" s="10" t="s">
        <v>2638</v>
      </c>
      <c r="M920" s="10" t="s">
        <v>426</v>
      </c>
      <c r="N920" s="10"/>
      <c r="O920" s="147"/>
      <c r="P920" s="10" t="s">
        <v>306</v>
      </c>
      <c r="Q920" s="10" t="s">
        <v>1335</v>
      </c>
      <c r="R920" s="10" t="s">
        <v>428</v>
      </c>
      <c r="S920" s="10"/>
      <c r="T920" s="10"/>
      <c r="U920" s="10"/>
      <c r="V920" s="10"/>
      <c r="W920" s="10"/>
      <c r="X920" s="10"/>
      <c r="Y920" s="10"/>
      <c r="Z920" s="10"/>
      <c r="AA920" s="10"/>
      <c r="AB920" s="10"/>
      <c r="AC920" s="10"/>
      <c r="AD920" s="10" t="s">
        <v>4614</v>
      </c>
      <c r="AE920" s="10" t="s">
        <v>311</v>
      </c>
      <c r="AF920" s="10" t="s">
        <v>306</v>
      </c>
      <c r="AG920" s="10" t="s">
        <v>4615</v>
      </c>
      <c r="AH920" s="10" t="s">
        <v>3134</v>
      </c>
      <c r="AI920" s="10" t="s">
        <v>300</v>
      </c>
      <c r="AJ920" s="18" t="s">
        <v>4088</v>
      </c>
      <c r="AK920" s="1" t="s">
        <v>258</v>
      </c>
      <c r="AL920" t="s">
        <v>329</v>
      </c>
      <c r="AM920" t="s">
        <v>260</v>
      </c>
      <c r="AN920"/>
      <c r="AO920" t="s">
        <v>3134</v>
      </c>
      <c r="AP920" s="1" t="s">
        <v>258</v>
      </c>
      <c r="AQ920" t="s">
        <v>300</v>
      </c>
      <c r="AR920" t="s">
        <v>301</v>
      </c>
      <c r="AX920" s="1"/>
      <c r="AY920" s="1"/>
      <c r="AZ920" s="1"/>
      <c r="BA920" s="1"/>
      <c r="BB920" s="1"/>
      <c r="BC920" s="70"/>
      <c r="BD920" s="115"/>
      <c r="BE920" s="144">
        <v>45008</v>
      </c>
      <c r="BF920" s="70"/>
      <c r="BG920" s="2"/>
      <c r="BH920" s="70"/>
      <c r="BI920" s="70"/>
      <c r="BJ920" s="70"/>
      <c r="BK920" s="70"/>
      <c r="BL920" s="20">
        <f ca="1">SUM(EH920)+220</f>
        <v>5126.8633333333328</v>
      </c>
      <c r="BM920" s="22">
        <f ca="1">PMT(10%/12,12,BL920,0,0)</f>
        <v>-450.73273865700435</v>
      </c>
      <c r="BN920" s="22">
        <f ca="1">SUM(BM920*-1)</f>
        <v>450.73273865700435</v>
      </c>
      <c r="BO920" s="14">
        <f>SUM(EP920*0.0052)/12</f>
        <v>73.493333333333325</v>
      </c>
      <c r="BP920" s="22">
        <f ca="1">SUM(BN920+BO920)</f>
        <v>524.22607199033769</v>
      </c>
      <c r="BQ920" s="14"/>
      <c r="BR920" s="14">
        <f>SUM(BQ920*0.1)</f>
        <v>0</v>
      </c>
      <c r="BS920" s="14">
        <f ca="1">SUM(BT920*BU920)</f>
        <v>0</v>
      </c>
      <c r="BT920" s="17">
        <f>SUM((BQ920+BR920)*0.00833333333333333)</f>
        <v>0</v>
      </c>
      <c r="BU920" s="23">
        <f ca="1">MONTH(TODAY())+49</f>
        <v>53</v>
      </c>
      <c r="BV920" s="14">
        <f ca="1">SUM(BQ920,BR920,BS920)</f>
        <v>0</v>
      </c>
      <c r="BW920" s="14">
        <f>SUM(EM920*0.0052)</f>
        <v>613.6</v>
      </c>
      <c r="BX920" s="14">
        <f>SUM(BW920*0.1)</f>
        <v>61.360000000000007</v>
      </c>
      <c r="BY920" s="14">
        <f ca="1">SUM(BZ920*CA920)</f>
        <v>230.61133333333325</v>
      </c>
      <c r="BZ920" s="17">
        <f>SUM((BW920+BX920)*0.00833333333333333)</f>
        <v>5.6246666666666645</v>
      </c>
      <c r="CA920" s="23">
        <f ca="1">MONTH(TODAY())+37</f>
        <v>41</v>
      </c>
      <c r="CB920" s="14">
        <f ca="1">SUM(BW920,BX920,BY920)</f>
        <v>905.57133333333331</v>
      </c>
      <c r="CC920" s="14">
        <f>SUM(EM920*0.0052)</f>
        <v>613.6</v>
      </c>
      <c r="CD920" s="14">
        <f>SUM(CC920*0.1)</f>
        <v>61.360000000000007</v>
      </c>
      <c r="CE920" s="14">
        <f ca="1">SUM(CF920*CG920)</f>
        <v>163.11533333333327</v>
      </c>
      <c r="CF920" s="17">
        <f>SUM((CC920+CD920)*0.00833333333333333)</f>
        <v>5.6246666666666645</v>
      </c>
      <c r="CG920" s="23">
        <f ca="1">MONTH(TODAY())+25</f>
        <v>29</v>
      </c>
      <c r="CH920" s="14">
        <f ca="1">SUM(CC920,CD920,CE920)</f>
        <v>838.07533333333333</v>
      </c>
      <c r="CI920" s="14">
        <f>SUM(EM920*0.0052)/2</f>
        <v>306.8</v>
      </c>
      <c r="CJ920" s="14">
        <f>SUM(CI920*0.1)</f>
        <v>30.680000000000003</v>
      </c>
      <c r="CK920" s="14">
        <f ca="1">SUM(CL920*CM920)</f>
        <v>59.058999999999976</v>
      </c>
      <c r="CL920" s="17">
        <f>SUM((CI920+CJ920)*0.00833333333333333)</f>
        <v>2.8123333333333322</v>
      </c>
      <c r="CM920" s="23">
        <f ca="1">MONTH(TODAY())+17</f>
        <v>21</v>
      </c>
      <c r="CN920" s="23">
        <f ca="1">SUM(CI920,CJ920,CK920)</f>
        <v>396.53899999999999</v>
      </c>
      <c r="CO920" s="14">
        <f>SUM(EM920*0.0052)/2</f>
        <v>306.8</v>
      </c>
      <c r="CP920" s="14">
        <f>SUM(CO920*0.1)</f>
        <v>30.680000000000003</v>
      </c>
      <c r="CQ920" s="14">
        <f ca="1">SUM(CR920*CS920)</f>
        <v>47.809666666666651</v>
      </c>
      <c r="CR920" s="17">
        <f>SUM((CO920+CP920)*0.00833333333333333)</f>
        <v>2.8123333333333322</v>
      </c>
      <c r="CS920" s="23">
        <f ca="1">MONTH(TODAY())+13</f>
        <v>17</v>
      </c>
      <c r="CT920" s="14">
        <f ca="1">SUM(CO920,CP920,CQ920)</f>
        <v>385.28966666666668</v>
      </c>
      <c r="CU920" s="14">
        <f>SUM(EP920*0.0045)/2</f>
        <v>381.59999999999997</v>
      </c>
      <c r="CV920" s="14">
        <f>SUM(CU920*0.1)</f>
        <v>38.159999999999997</v>
      </c>
      <c r="CW920" s="14">
        <f ca="1">SUM(CX920*CY920)</f>
        <v>38.47799999999998</v>
      </c>
      <c r="CX920" s="17">
        <f>SUM((CU920+CV920)*0.00833333333333333)</f>
        <v>3.4979999999999984</v>
      </c>
      <c r="CY920" s="23">
        <f ca="1">MONTH(TODAY())+7</f>
        <v>11</v>
      </c>
      <c r="CZ920" s="14">
        <f ca="1">SUM(CU920,CV920,CW920)</f>
        <v>458.23799999999994</v>
      </c>
      <c r="DA920" s="14">
        <f>SUM(EP920*0.0045)/2</f>
        <v>381.59999999999997</v>
      </c>
      <c r="DB920" s="14">
        <f>SUM(DA920*0.1)</f>
        <v>38.159999999999997</v>
      </c>
      <c r="DC920" s="14">
        <f ca="1">SUM(DD920*DE920)</f>
        <v>17.489999999999991</v>
      </c>
      <c r="DD920" s="17">
        <f>SUM((DA920+DB920)*0.00833333333333333)</f>
        <v>3.4979999999999984</v>
      </c>
      <c r="DE920" s="23">
        <f ca="1">MONTH(TODAY())+1</f>
        <v>5</v>
      </c>
      <c r="DF920" s="14">
        <f ca="1">SUM(DA920,DB920,DC920)</f>
        <v>437.25</v>
      </c>
      <c r="DG920" s="14">
        <f>SUM(EP920*0.0045)/2</f>
        <v>381.59999999999997</v>
      </c>
      <c r="DH920" s="14">
        <f>SUM(DG920*0.1)</f>
        <v>38.159999999999997</v>
      </c>
      <c r="DI920" s="14">
        <f ca="1">SUM(DJ920*DK920)</f>
        <v>-10.493999999999996</v>
      </c>
      <c r="DJ920" s="17">
        <f>SUM((DG920+DH920)*0.00833333333333333)</f>
        <v>3.4979999999999984</v>
      </c>
      <c r="DK920" s="23">
        <f ca="1">MONTH(TODAY())-7</f>
        <v>-3</v>
      </c>
      <c r="DL920" s="14">
        <f ca="1">SUM(DG920,DH920,DI920)</f>
        <v>409.26600000000002</v>
      </c>
      <c r="DM920" s="14">
        <f>SUM(EP920*0.0045)/2</f>
        <v>381.59999999999997</v>
      </c>
      <c r="DN920" s="14">
        <f>SUM(DM920*0.1)</f>
        <v>38.159999999999997</v>
      </c>
      <c r="DO920" s="14">
        <f ca="1">SUM(DP920*DQ920)</f>
        <v>-24.48599999999999</v>
      </c>
      <c r="DP920" s="17">
        <f>SUM((DM920+DN920)*0.00833333333333333)</f>
        <v>3.4979999999999984</v>
      </c>
      <c r="DQ920" s="23">
        <f ca="1">MONTH(TODAY())-11</f>
        <v>-7</v>
      </c>
      <c r="DR920" s="14">
        <f ca="1">SUM(DM920,DN920,DO920)</f>
        <v>395.274</v>
      </c>
      <c r="DS920" s="14">
        <f>SUM(BQ920, BW920, CC920, CI920,CO920,CU920,DA920,DG920,DM920)</f>
        <v>3367.2</v>
      </c>
      <c r="DT920" s="14">
        <f>SUM(BR920,BX920,CD920, CJ920,CP920,CV920,DB920,DH920,DN920)</f>
        <v>336.71999999999991</v>
      </c>
      <c r="DU920" s="14">
        <f ca="1">SUM(BS920,BY920,CE920, CK920,CQ920,CW920,DC920,DI920,DO920)</f>
        <v>521.58333333333314</v>
      </c>
      <c r="DV920" s="25">
        <f ca="1">SUM(DS920:DU920)</f>
        <v>4225.5033333333331</v>
      </c>
      <c r="DW920" s="47">
        <f ca="1">SUM(DV920/EM920)</f>
        <v>3.5809350282485872E-2</v>
      </c>
      <c r="DX920" s="14">
        <f>20+200+60+160+60</f>
        <v>500</v>
      </c>
      <c r="DY920" s="32">
        <f>COUNTIF(AO920, "*")+COUNTIF(AJ920, "*")+COUNTIF(AA920, "*")+COUNTIF(FA920, "*")+COUNTIF(FG920, "*")+COUNTIF(FM920, "*")+COUNTIF(FQ920, "*")+COUNTIF(FX920, "*")+COUNTIF(AT920, "*")+COUNTIF(GG920, "*")+COUNTIF(GR920, "*")+COUNTIF(HC920, "*")+COUNTIF(HK920, "*")+COUNTIF(HS920, "*")+COUNTIF(IA920, "*")</f>
        <v>2</v>
      </c>
      <c r="DZ920" s="14">
        <f>DY920*0.6+DY920*7.45+7.45+7.81</f>
        <v>31.36</v>
      </c>
      <c r="EA920" s="4"/>
      <c r="EB920" s="4">
        <v>150</v>
      </c>
      <c r="EC920" s="4"/>
      <c r="ED920" s="4"/>
      <c r="EE920" s="4"/>
      <c r="EF920" s="4"/>
      <c r="EG920" s="14">
        <f>SUM(EA920:EF920)</f>
        <v>150</v>
      </c>
      <c r="EH920" s="14">
        <f ca="1">SUM(DV920,DX920,EG920,DZ920,GD920)</f>
        <v>4906.8633333333328</v>
      </c>
      <c r="EI920" s="24" t="s">
        <v>3974</v>
      </c>
      <c r="EJ920" s="7">
        <v>42.41</v>
      </c>
      <c r="EK920" s="4">
        <v>94700</v>
      </c>
      <c r="EL920" s="4">
        <v>23300</v>
      </c>
      <c r="EM920" s="14">
        <f>SUM(EK920+EL920)</f>
        <v>118000</v>
      </c>
      <c r="EN920" s="14">
        <v>129800</v>
      </c>
      <c r="EO920" s="14">
        <v>39800</v>
      </c>
      <c r="EP920" s="14">
        <f>SUM(EN920+EO920)</f>
        <v>169600</v>
      </c>
      <c r="EQ920" s="141" t="s">
        <v>4564</v>
      </c>
      <c r="ER920" s="141" t="s">
        <v>4565</v>
      </c>
      <c r="ES920" s="141" t="s">
        <v>4566</v>
      </c>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9"/>
      <c r="FV920" s="10"/>
      <c r="FW920" s="10"/>
      <c r="FX920" s="10"/>
      <c r="FY920" s="10"/>
      <c r="FZ920" s="10"/>
      <c r="GA920" s="10"/>
      <c r="GB920" s="9"/>
      <c r="GC920" s="10"/>
      <c r="GD920" s="10"/>
      <c r="GE920" s="10"/>
      <c r="GF920" s="10"/>
      <c r="GG920" s="10"/>
      <c r="GH920" s="10"/>
      <c r="GI920" s="10"/>
      <c r="GJ920" s="10"/>
      <c r="GK920" s="9"/>
      <c r="GL920" s="10"/>
      <c r="GM920" s="10"/>
      <c r="GN920" s="10"/>
      <c r="GO920" s="10"/>
      <c r="GP920" s="10"/>
      <c r="GQ920" s="10"/>
      <c r="GR920" s="10"/>
      <c r="GS920" s="10"/>
      <c r="GT920" s="10"/>
      <c r="GU920" s="10"/>
      <c r="GV920" s="9"/>
      <c r="GW920" s="10"/>
      <c r="GX920" s="10"/>
      <c r="GY920" s="10"/>
      <c r="GZ920" s="10"/>
      <c r="HA920" s="10"/>
      <c r="HB920" s="10"/>
      <c r="HC920" s="10"/>
      <c r="HD920" s="10"/>
      <c r="HE920" s="10"/>
      <c r="HF920" s="10"/>
      <c r="HG920" s="9"/>
      <c r="HH920" s="10"/>
      <c r="HI920" s="10"/>
      <c r="HJ920" s="10"/>
      <c r="HK920" s="10"/>
      <c r="HL920" s="10"/>
      <c r="HM920" s="10"/>
      <c r="HN920" s="10"/>
      <c r="HO920" s="9"/>
      <c r="HP920" s="10"/>
      <c r="HQ920" s="10"/>
      <c r="HR920" s="10"/>
      <c r="HS920" s="10"/>
      <c r="HT920" s="10"/>
      <c r="HU920" s="10"/>
      <c r="HV920" s="10"/>
      <c r="HW920" s="9"/>
      <c r="HX920" s="10"/>
      <c r="HY920" s="10"/>
      <c r="HZ920" s="10"/>
      <c r="IA920" s="10"/>
      <c r="IB920" s="10"/>
      <c r="IC920" s="10"/>
      <c r="ID920" s="10"/>
      <c r="IE920" s="9"/>
      <c r="IF920" s="4"/>
      <c r="IG920" s="4"/>
      <c r="IH920" s="10"/>
      <c r="II920" s="10"/>
      <c r="IJ920" s="10"/>
      <c r="IK920" s="10"/>
      <c r="IL920" s="4"/>
      <c r="IM920" s="4"/>
      <c r="IN920" s="14">
        <f ca="1">SUM(IF920-EH920-GD920-IL920)</f>
        <v>-4906.8633333333328</v>
      </c>
      <c r="IO920" s="14"/>
      <c r="IP920" s="14"/>
      <c r="IQ920" s="9"/>
      <c r="IR920" s="9"/>
      <c r="IS920" s="9"/>
      <c r="IT920" s="9"/>
      <c r="IU920" s="9"/>
      <c r="IV920" t="s">
        <v>5913</v>
      </c>
    </row>
    <row r="921" spans="1:263" ht="15" customHeight="1">
      <c r="A921" s="2">
        <v>102019011</v>
      </c>
      <c r="B921" s="4" t="s">
        <v>548</v>
      </c>
      <c r="C921" s="5"/>
      <c r="D921" s="5"/>
      <c r="E921" s="5"/>
      <c r="F921" s="3"/>
      <c r="G921" s="2"/>
      <c r="K921" t="s">
        <v>547</v>
      </c>
      <c r="O921" s="1"/>
      <c r="AC921" s="1"/>
      <c r="AG921"/>
      <c r="AJ921" s="4"/>
      <c r="AK921" s="3"/>
      <c r="AO921" s="4"/>
      <c r="AP921" s="5"/>
      <c r="AS921" s="5"/>
      <c r="AT921" s="5"/>
      <c r="AU921" s="1"/>
      <c r="AV921" s="1"/>
      <c r="AW921" s="1"/>
      <c r="AX921" s="1"/>
      <c r="AY921" s="1"/>
      <c r="AZ921" s="1"/>
      <c r="BA921" s="1"/>
      <c r="BB921" s="1"/>
      <c r="BC921" s="1"/>
      <c r="BD921" s="1"/>
      <c r="BE921" s="1"/>
      <c r="BF921" s="1"/>
      <c r="BG921" s="5"/>
      <c r="BH921" s="16"/>
      <c r="BI921" s="16"/>
      <c r="BK921" s="4"/>
      <c r="BL921" s="4"/>
      <c r="BM921" s="6"/>
      <c r="BN921" s="7"/>
      <c r="BO921" s="4"/>
      <c r="BP921" s="4"/>
      <c r="BQ921" s="4"/>
      <c r="BR921" s="4"/>
      <c r="BS921" s="6"/>
      <c r="BT921" s="7"/>
      <c r="BU921" s="4"/>
      <c r="BV921" s="4"/>
      <c r="BW921" s="4"/>
      <c r="BX921" s="4"/>
      <c r="BY921" s="6"/>
      <c r="BZ921" s="7"/>
      <c r="CA921" s="4"/>
      <c r="CB921" s="4"/>
      <c r="CC921" s="4"/>
      <c r="CD921" s="4"/>
      <c r="CE921" s="6"/>
      <c r="CF921" s="7"/>
      <c r="CG921" s="4"/>
      <c r="CH921" s="4"/>
      <c r="CI921" s="4"/>
      <c r="CJ921" s="4"/>
      <c r="CK921" s="6"/>
      <c r="CL921" s="7"/>
      <c r="CM921" s="4"/>
      <c r="CN921" s="4"/>
      <c r="CO921" s="4"/>
      <c r="CP921" s="4"/>
      <c r="CQ921" s="6"/>
      <c r="CR921" s="7"/>
      <c r="CS921" s="4"/>
      <c r="CT921" s="4"/>
      <c r="CU921" s="4"/>
      <c r="CV921" s="4"/>
      <c r="CW921" s="6"/>
      <c r="CX921" s="7"/>
      <c r="CY921" s="4"/>
      <c r="CZ921" s="4"/>
      <c r="DA921" s="4"/>
      <c r="DB921" s="4"/>
      <c r="DC921" s="6"/>
      <c r="DD921" s="7"/>
      <c r="DE921" s="4"/>
      <c r="DF921" s="4"/>
      <c r="DG921" s="4"/>
      <c r="DH921" s="14"/>
      <c r="DI921" s="14"/>
      <c r="DJ921" s="4"/>
      <c r="DK921" s="3"/>
      <c r="DL921" s="4"/>
      <c r="DM921" s="234"/>
      <c r="DN921" s="4"/>
      <c r="DO921" s="4"/>
      <c r="DP921" s="4"/>
      <c r="DQ921" s="4"/>
      <c r="DR921" s="4"/>
      <c r="DS921" s="4"/>
      <c r="DT921" s="7"/>
      <c r="DU921" s="8"/>
      <c r="DV921" s="4"/>
      <c r="DW921" s="4"/>
      <c r="DX921" s="4"/>
      <c r="DY921" s="4"/>
      <c r="DZ921" s="33"/>
      <c r="EA921" s="251"/>
      <c r="EI921" s="11"/>
      <c r="EO921" s="11"/>
      <c r="EP921" s="11"/>
      <c r="EQ921" s="4"/>
      <c r="ER921" s="4"/>
      <c r="ES921" s="4"/>
      <c r="ET921" s="4"/>
      <c r="EU921" s="4"/>
      <c r="EV921" s="4"/>
      <c r="EW921" s="4"/>
      <c r="EX921" s="4"/>
      <c r="EY921" s="4"/>
      <c r="EZ921" s="4"/>
      <c r="FA921" s="4"/>
      <c r="FB921" s="4"/>
      <c r="FC921" s="4"/>
      <c r="FD921" s="4"/>
      <c r="FE921" s="4"/>
      <c r="FI921" s="9"/>
      <c r="FR921" s="9"/>
      <c r="FX921" s="4"/>
      <c r="GC921" s="10"/>
      <c r="GM921" s="10"/>
      <c r="HB921" s="9"/>
      <c r="II921" s="9"/>
      <c r="IJ921" s="4"/>
      <c r="IK921" s="4"/>
      <c r="IL921" s="9"/>
      <c r="IS921" s="4"/>
      <c r="IT921" s="4">
        <v>78.760000000000005</v>
      </c>
    </row>
    <row r="922" spans="1:263" ht="15" customHeight="1">
      <c r="A922" s="19">
        <v>102021059</v>
      </c>
      <c r="B922" s="18" t="s">
        <v>2184</v>
      </c>
      <c r="C922" s="18"/>
      <c r="D922" s="18"/>
      <c r="E922" s="18"/>
      <c r="F922" s="18"/>
      <c r="G922" s="18"/>
      <c r="H922" s="18"/>
      <c r="I922" s="18"/>
      <c r="J922" s="18" t="s">
        <v>311</v>
      </c>
      <c r="K922" s="18" t="s">
        <v>2027</v>
      </c>
      <c r="L922" s="18" t="s">
        <v>574</v>
      </c>
      <c r="M922" s="18" t="s">
        <v>309</v>
      </c>
      <c r="N922" s="18"/>
      <c r="O922" s="18"/>
      <c r="P922" s="18"/>
      <c r="Q922" s="18"/>
      <c r="R922" s="18"/>
      <c r="S922" s="18"/>
      <c r="T922" s="18"/>
      <c r="U922" s="18"/>
      <c r="V922" s="18"/>
      <c r="W922" s="18"/>
      <c r="X922" s="18"/>
      <c r="Y922" s="18"/>
      <c r="Z922" s="18"/>
      <c r="AA922" s="18"/>
      <c r="AB922" s="18"/>
      <c r="AC922" s="18"/>
      <c r="AD922" s="18" t="s">
        <v>2425</v>
      </c>
      <c r="AE922" s="18" t="s">
        <v>311</v>
      </c>
      <c r="AF922" s="18" t="s">
        <v>1017</v>
      </c>
      <c r="AG922" s="231"/>
      <c r="AH922" s="97" t="s">
        <v>2426</v>
      </c>
      <c r="AI922" s="18"/>
      <c r="AJ922" s="18"/>
      <c r="AK922" s="18"/>
      <c r="AL922" s="18"/>
      <c r="AM922" s="24"/>
      <c r="AN922" s="24"/>
      <c r="AO922" s="18" t="s">
        <v>2185</v>
      </c>
      <c r="AP922" s="13" t="s">
        <v>258</v>
      </c>
      <c r="AQ922" s="24" t="s">
        <v>329</v>
      </c>
      <c r="AR922" s="24" t="s">
        <v>260</v>
      </c>
      <c r="AS922" s="13"/>
      <c r="AT922" s="13"/>
      <c r="AU922" s="13"/>
      <c r="AV922" s="13"/>
      <c r="AW922" s="13"/>
      <c r="AX922" s="19"/>
      <c r="AY922" s="48"/>
      <c r="AZ922" s="48"/>
      <c r="BA922" s="19"/>
      <c r="BB922" s="19"/>
      <c r="BC922" s="19"/>
      <c r="BD922" s="19"/>
      <c r="BE922" s="19"/>
      <c r="BF922" s="19"/>
      <c r="BG922" s="20"/>
      <c r="BH922" s="22"/>
      <c r="BI922" s="22"/>
      <c r="BJ922" s="14"/>
      <c r="BK922" s="22"/>
      <c r="BL922" s="14"/>
      <c r="BM922" s="14"/>
      <c r="BN922" s="14"/>
      <c r="BO922" s="17"/>
      <c r="BP922" s="23"/>
      <c r="BQ922" s="14"/>
      <c r="BR922" s="14"/>
      <c r="BS922" s="14"/>
      <c r="BT922" s="14"/>
      <c r="BU922" s="17"/>
      <c r="BV922" s="23"/>
      <c r="BW922" s="14"/>
      <c r="BX922" s="14"/>
      <c r="BY922" s="14"/>
      <c r="BZ922" s="14"/>
      <c r="CA922" s="17"/>
      <c r="CB922" s="23"/>
      <c r="CC922" s="14"/>
      <c r="CD922" s="14"/>
      <c r="CE922" s="14"/>
      <c r="CF922" s="14"/>
      <c r="CG922" s="17"/>
      <c r="CH922" s="23"/>
      <c r="CI922" s="14"/>
      <c r="CJ922" s="14"/>
      <c r="CK922" s="14"/>
      <c r="CL922" s="14"/>
      <c r="CM922" s="17"/>
      <c r="CN922" s="23"/>
      <c r="CO922" s="14"/>
      <c r="CP922" s="14"/>
      <c r="CQ922" s="14"/>
      <c r="CR922" s="14"/>
      <c r="CS922" s="17"/>
      <c r="CT922" s="23"/>
      <c r="CU922" s="14"/>
      <c r="CV922" s="14"/>
      <c r="CW922" s="14"/>
      <c r="CX922" s="14"/>
      <c r="CY922" s="14"/>
      <c r="CZ922" s="47"/>
      <c r="DA922" s="14"/>
      <c r="DB922" s="32"/>
      <c r="DC922" s="14"/>
      <c r="DD922" s="14"/>
      <c r="DE922" s="14"/>
      <c r="DF922" s="14"/>
      <c r="DG922" s="14"/>
      <c r="DH922" s="14"/>
      <c r="DI922" s="23"/>
      <c r="DJ922" s="25"/>
      <c r="DK922" s="14">
        <f>SUM(DF922:DJ922)</f>
        <v>0</v>
      </c>
      <c r="DL922" s="24" t="s">
        <v>1997</v>
      </c>
      <c r="DM922" s="25">
        <f>12000+3100+2600</f>
        <v>17700</v>
      </c>
      <c r="DN922" s="25">
        <f>6700+1400</f>
        <v>8100</v>
      </c>
      <c r="DO922" s="25">
        <f>SUM(DM922+DN922)</f>
        <v>25800</v>
      </c>
      <c r="DP922" s="36">
        <f>0.85+0.87+1.43</f>
        <v>3.15</v>
      </c>
      <c r="DQ922" s="18" t="s">
        <v>2350</v>
      </c>
      <c r="DR922" s="18" t="s">
        <v>2351</v>
      </c>
      <c r="DS922" s="18" t="s">
        <v>2352</v>
      </c>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4"/>
      <c r="IP922" s="27">
        <v>44434</v>
      </c>
      <c r="IQ922" s="18"/>
      <c r="IR922" s="18"/>
      <c r="IS922" s="18"/>
      <c r="IT922" s="18"/>
    </row>
    <row r="923" spans="1:263" ht="15" customHeight="1">
      <c r="A923" s="2">
        <v>102023023</v>
      </c>
      <c r="B923" t="s">
        <v>4045</v>
      </c>
      <c r="J923" t="s">
        <v>554</v>
      </c>
      <c r="K923" t="s">
        <v>1185</v>
      </c>
      <c r="L923" t="s">
        <v>4046</v>
      </c>
      <c r="M923" t="s">
        <v>256</v>
      </c>
      <c r="O923" s="3"/>
      <c r="P923" t="s">
        <v>1185</v>
      </c>
      <c r="Q923" t="s">
        <v>4047</v>
      </c>
      <c r="R923" t="s">
        <v>1220</v>
      </c>
      <c r="AG923"/>
      <c r="AJ923" s="18" t="s">
        <v>328</v>
      </c>
      <c r="AL923" t="s">
        <v>329</v>
      </c>
      <c r="AM923"/>
      <c r="AN923"/>
      <c r="AO923" t="s">
        <v>4101</v>
      </c>
      <c r="AP923" s="3" t="s">
        <v>258</v>
      </c>
      <c r="AQ923" t="s">
        <v>329</v>
      </c>
      <c r="AR923" t="s">
        <v>260</v>
      </c>
      <c r="AX923" s="1"/>
      <c r="AY923" s="1"/>
      <c r="AZ923" s="1"/>
      <c r="BA923" s="1"/>
      <c r="BB923" s="1"/>
      <c r="BC923" s="2"/>
      <c r="BD923" s="116"/>
      <c r="BE923" s="115"/>
      <c r="BF923" s="2"/>
      <c r="BG923" s="2"/>
      <c r="BH923" s="2"/>
      <c r="BI923" s="2"/>
      <c r="BJ923" s="2"/>
      <c r="BK923" s="2"/>
      <c r="BL923" s="20">
        <f ca="1">SUM(DP923)+220</f>
        <v>512.41230399999995</v>
      </c>
      <c r="BM923" s="22">
        <f ca="1">PMT(10%/12,12,BL923,0,0)</f>
        <v>-45.049182333733391</v>
      </c>
      <c r="BN923" s="22">
        <f ca="1">SUM(BM923*-1)</f>
        <v>45.049182333733391</v>
      </c>
      <c r="BO923" s="14">
        <f>SUM(DX923*0.0052)/12</f>
        <v>27.646666666666665</v>
      </c>
      <c r="BP923" s="22">
        <f ca="1">SUM(BN923+BO923)</f>
        <v>72.695849000400059</v>
      </c>
      <c r="BQ923" s="14"/>
      <c r="BR923" s="14">
        <f>SUM(BQ923*0.1)</f>
        <v>0</v>
      </c>
      <c r="BS923" s="14">
        <f ca="1">SUM(BT923*BU923)</f>
        <v>0</v>
      </c>
      <c r="BT923" s="17">
        <f>SUM((BQ923+BR923)*0.00833333333333333)</f>
        <v>0</v>
      </c>
      <c r="BU923" s="23">
        <f ca="1">MONTH(TODAY())+49</f>
        <v>53</v>
      </c>
      <c r="BV923" s="14">
        <f ca="1">SUM(BQ923,BR923,BS923)</f>
        <v>0</v>
      </c>
      <c r="BW923" s="14"/>
      <c r="BX923" s="14">
        <f>SUM(BW923*0.1)</f>
        <v>0</v>
      </c>
      <c r="BY923" s="14">
        <f ca="1">SUM(BZ923*CA923)</f>
        <v>0</v>
      </c>
      <c r="BZ923" s="17">
        <f>SUM((BW923+BX923)*0.00833333333333333)</f>
        <v>0</v>
      </c>
      <c r="CA923" s="23">
        <f ca="1">MONTH(TODAY())+37</f>
        <v>41</v>
      </c>
      <c r="CB923" s="14">
        <f ca="1">SUM(BW923,BX923,BY923)</f>
        <v>0</v>
      </c>
      <c r="CC923" s="14">
        <f>SUM(DU923*0.0052)</f>
        <v>46.113599999999998</v>
      </c>
      <c r="CD923" s="14">
        <f>SUM(CC923*0.1)</f>
        <v>4.6113600000000003</v>
      </c>
      <c r="CE923" s="14">
        <f ca="1">SUM(CF923*CG923)</f>
        <v>12.258531999999994</v>
      </c>
      <c r="CF923" s="17">
        <f>SUM((CC923+CD923)*0.00833333333333333)</f>
        <v>0.42270799999999981</v>
      </c>
      <c r="CG923" s="23">
        <f ca="1">MONTH(TODAY())+25</f>
        <v>29</v>
      </c>
      <c r="CH923" s="14">
        <f ca="1">SUM(CC923,CD923,CE923)</f>
        <v>62.983491999999991</v>
      </c>
      <c r="CI923" s="14">
        <f>SUM(DU923*0.0052)</f>
        <v>46.113599999999998</v>
      </c>
      <c r="CJ923" s="14">
        <f>SUM(CI923*0.1)</f>
        <v>4.6113600000000003</v>
      </c>
      <c r="CK923" s="14">
        <f ca="1">SUM(CL923*CM923)</f>
        <v>7.186035999999997</v>
      </c>
      <c r="CL923" s="17">
        <f>SUM((CI923+CJ923)*0.00833333333333333)</f>
        <v>0.42270799999999981</v>
      </c>
      <c r="CM923" s="23">
        <f ca="1">MONTH(TODAY())+13</f>
        <v>17</v>
      </c>
      <c r="CN923" s="14">
        <f ca="1">SUM(CI923,CJ923,CK923)</f>
        <v>57.91099599999999</v>
      </c>
      <c r="CO923" s="14">
        <f>SUM(DU923*0.0052)/2+81.72</f>
        <v>104.77679999999999</v>
      </c>
      <c r="CP923" s="14">
        <f>SUM(CO923*0.1)</f>
        <v>10.477679999999999</v>
      </c>
      <c r="CQ923" s="14">
        <f ca="1">SUM(CR923*CS923)</f>
        <v>8.6440859999999962</v>
      </c>
      <c r="CR923" s="17">
        <f>SUM((CO923+CP923)*0.00833333333333333)</f>
        <v>0.96045399999999959</v>
      </c>
      <c r="CS923" s="23">
        <f ca="1">MONTH(TODAY())+5</f>
        <v>9</v>
      </c>
      <c r="CT923" s="23">
        <f ca="1">SUM(CO923,CP923,CQ923)</f>
        <v>123.898566</v>
      </c>
      <c r="CU923" s="14">
        <f>SUM(DU923*0.0052)/2</f>
        <v>23.056799999999999</v>
      </c>
      <c r="CV923" s="14">
        <f>SUM(CU923*0.1)</f>
        <v>2.3056800000000002</v>
      </c>
      <c r="CW923" s="14">
        <f ca="1">SUM(CX923*CY923)</f>
        <v>1.0567699999999995</v>
      </c>
      <c r="CX923" s="17">
        <f>SUM((CU923+CV923)*0.00833333333333333)</f>
        <v>0.2113539999999999</v>
      </c>
      <c r="CY923" s="23">
        <f ca="1">MONTH(TODAY())+1</f>
        <v>5</v>
      </c>
      <c r="CZ923" s="23">
        <f ca="1">SUM(CU923,CV923,CW923)</f>
        <v>26.419249999999998</v>
      </c>
      <c r="DA923" s="14">
        <f>SUM( BQ923, BW923, CC923, CI923, CO923,CU923)</f>
        <v>220.0608</v>
      </c>
      <c r="DB923" s="14">
        <f>SUM(BR923,BX923,CD923,CJ923, CP923,CV923)</f>
        <v>22.006080000000001</v>
      </c>
      <c r="DC923" s="14">
        <f ca="1">SUM(BS923,BY923,CE923,CK923, CQ923,CW923)</f>
        <v>29.145423999999984</v>
      </c>
      <c r="DD923" s="25">
        <f ca="1">SUM(DA923:DC923)</f>
        <v>271.21230399999996</v>
      </c>
      <c r="DE923" s="47">
        <f ca="1">SUM(DD923/DU923)</f>
        <v>3.05832548488949E-2</v>
      </c>
      <c r="DF923" s="14">
        <v>20</v>
      </c>
      <c r="DG923" s="32">
        <f>COUNTIF(DL923, "*")+COUNTIF(AO923, "*")+COUNTIF(AJ923, "*")+COUNTIF(AA923, "*")+COUNTIF(EM923, "*")+COUNTIF(ES923, "*")+COUNTIF(EY923, "*")+COUNTIF(FC923, "*")+COUNTIF(FJ923, "*")+COUNTIF(AT923, "*")+COUNTIF(FS923, "*")+COUNTIF(GD923, "*")+COUNTIF(GO923, "*")+COUNTIF(GW923, "*")+COUNTIF(HE923, "*")+COUNTIF(HM923, "*")+COUNTIF(HU923, "*")</f>
        <v>2</v>
      </c>
      <c r="DH923" s="14">
        <f>DG923*0.6</f>
        <v>1.2</v>
      </c>
      <c r="DI923" s="4"/>
      <c r="DJ923" s="4"/>
      <c r="DK923" s="4"/>
      <c r="DL923" s="4"/>
      <c r="DN923" s="4"/>
      <c r="DO923" s="14">
        <f>SUM(DJ923:DN923)</f>
        <v>0</v>
      </c>
      <c r="DP923" s="14">
        <f ca="1">SUM(DD923,DF923,DO923, DI923, DH923,FP923)</f>
        <v>292.41230399999995</v>
      </c>
      <c r="DQ923" s="24" t="s">
        <v>3879</v>
      </c>
      <c r="DR923" s="7">
        <v>29.56</v>
      </c>
      <c r="DS923" s="4">
        <v>8868</v>
      </c>
      <c r="DT923" s="4">
        <v>0</v>
      </c>
      <c r="DU923" s="14">
        <f>SUM(DS923+DT923)</f>
        <v>8868</v>
      </c>
      <c r="DV923" s="14">
        <v>63800</v>
      </c>
      <c r="DW923" s="14">
        <v>0</v>
      </c>
      <c r="DX923" s="14">
        <f>SUM(DV923+DW923)</f>
        <v>63800</v>
      </c>
      <c r="IA923" s="9"/>
      <c r="IL923" s="14">
        <f ca="1">SUM(IB923-DP923-FP923-IJ923)</f>
        <v>-292.41230399999995</v>
      </c>
      <c r="IM923" s="9"/>
      <c r="IN923" s="9"/>
      <c r="IO923" s="9"/>
      <c r="IP923" s="9"/>
      <c r="IQ923" s="9"/>
    </row>
    <row r="924" spans="1:263" ht="15" customHeight="1">
      <c r="A924" s="2">
        <v>102019098</v>
      </c>
      <c r="B924" t="s">
        <v>1491</v>
      </c>
      <c r="F924" s="9"/>
      <c r="G924" s="9"/>
      <c r="H924" s="9"/>
      <c r="I924" s="9"/>
      <c r="K924" t="s">
        <v>1492</v>
      </c>
      <c r="L924" t="s">
        <v>1493</v>
      </c>
      <c r="O924" s="1"/>
      <c r="T924" s="1"/>
      <c r="AF924" s="3"/>
      <c r="AG924" s="272"/>
      <c r="BG924" s="5"/>
      <c r="BH924" s="16"/>
      <c r="BI924" s="16"/>
      <c r="BJ924" s="4"/>
      <c r="BK924" s="4"/>
      <c r="BL924" s="4"/>
      <c r="BM924" s="6"/>
      <c r="BN924" s="7"/>
      <c r="BO924" s="4"/>
      <c r="BP924" s="4"/>
      <c r="BQ924" s="4"/>
      <c r="BR924" s="4"/>
      <c r="BS924" s="6"/>
      <c r="BT924" s="7"/>
      <c r="BU924" s="4"/>
      <c r="BV924" s="4"/>
      <c r="BW924" s="4"/>
      <c r="BX924" s="4"/>
      <c r="BY924" s="6"/>
      <c r="BZ924" s="7"/>
      <c r="CA924" s="4"/>
      <c r="CB924" s="4"/>
      <c r="CC924" s="4"/>
      <c r="CD924" s="4"/>
      <c r="CE924" s="6"/>
      <c r="CF924" s="7"/>
      <c r="CG924" s="4"/>
      <c r="CH924" s="4"/>
      <c r="CI924" s="4"/>
      <c r="CJ924" s="4"/>
      <c r="CK924" s="6"/>
      <c r="CL924" s="7"/>
      <c r="CM924" s="4"/>
      <c r="CN924" s="4"/>
      <c r="CO924" s="4"/>
      <c r="CP924" s="4"/>
      <c r="CQ924" s="6"/>
      <c r="CR924" s="7"/>
      <c r="CS924" s="4"/>
      <c r="CT924" s="4"/>
      <c r="CU924" s="4"/>
      <c r="CV924" s="4"/>
      <c r="CW924" s="6"/>
      <c r="CX924" s="7"/>
      <c r="CY924" s="4"/>
      <c r="CZ924" s="4"/>
      <c r="DA924" s="4"/>
      <c r="DB924" s="4"/>
      <c r="DC924" s="4"/>
      <c r="DD924" s="3"/>
      <c r="DE924" s="4"/>
      <c r="DF924" s="234"/>
      <c r="DG924" s="4"/>
      <c r="DH924" s="4"/>
      <c r="DI924" s="4"/>
      <c r="DJ924" s="4"/>
      <c r="DK924" s="4"/>
      <c r="DL924" s="4"/>
      <c r="DM924" s="7"/>
      <c r="DN924" s="8"/>
      <c r="DO924" s="4"/>
      <c r="DP924" s="8"/>
      <c r="DQ924" s="8"/>
      <c r="DR924" s="8"/>
      <c r="DS924" s="2"/>
      <c r="IW924" s="243"/>
      <c r="IX924" s="243"/>
      <c r="IY924" s="243"/>
    </row>
    <row r="925" spans="1:263" ht="15" customHeight="1">
      <c r="A925" s="18">
        <v>102023100</v>
      </c>
      <c r="B925" s="18" t="s">
        <v>1491</v>
      </c>
      <c r="C925" s="10"/>
      <c r="D925" s="161"/>
      <c r="E925" s="147" t="s">
        <v>4965</v>
      </c>
      <c r="F925" s="160">
        <v>230003986</v>
      </c>
      <c r="G925" s="147"/>
      <c r="H925" s="10"/>
      <c r="I925" s="10"/>
      <c r="J925" s="28" t="s">
        <v>311</v>
      </c>
      <c r="K925" s="28" t="s">
        <v>2087</v>
      </c>
      <c r="L925" s="28" t="s">
        <v>2677</v>
      </c>
      <c r="M925" s="28" t="s">
        <v>426</v>
      </c>
      <c r="N925" s="28"/>
      <c r="O925" s="149"/>
      <c r="P925" s="28"/>
      <c r="Q925" s="28"/>
      <c r="R925" s="28"/>
      <c r="S925" s="28"/>
      <c r="T925" s="10"/>
      <c r="U925" s="10"/>
      <c r="V925" s="10"/>
      <c r="W925" s="10"/>
      <c r="X925" s="10"/>
      <c r="Y925" s="10"/>
      <c r="Z925" s="10"/>
      <c r="AA925" s="10"/>
      <c r="AB925" s="10"/>
      <c r="AC925" s="10"/>
      <c r="AD925" s="10" t="s">
        <v>5924</v>
      </c>
      <c r="AE925" s="10" t="s">
        <v>253</v>
      </c>
      <c r="AF925" s="10" t="s">
        <v>5533</v>
      </c>
      <c r="AG925" s="141" t="s">
        <v>5925</v>
      </c>
      <c r="AH925" s="10" t="s">
        <v>5926</v>
      </c>
      <c r="AI925" s="10"/>
      <c r="AJ925" s="18" t="s">
        <v>4395</v>
      </c>
      <c r="AK925" s="1" t="s">
        <v>258</v>
      </c>
      <c r="AL925" s="18" t="s">
        <v>329</v>
      </c>
      <c r="AM925" t="s">
        <v>260</v>
      </c>
      <c r="AN925"/>
      <c r="AO925" s="18" t="s">
        <v>4396</v>
      </c>
      <c r="AP925" s="1" t="s">
        <v>258</v>
      </c>
      <c r="AQ925" s="18" t="s">
        <v>279</v>
      </c>
      <c r="AR925" s="18" t="s">
        <v>260</v>
      </c>
      <c r="AX925" s="1" t="s">
        <v>258</v>
      </c>
      <c r="AY925" s="1" t="s">
        <v>258</v>
      </c>
      <c r="AZ925" s="1"/>
      <c r="BA925" s="1"/>
      <c r="BB925" s="1"/>
      <c r="BC925" s="70">
        <v>45162</v>
      </c>
      <c r="BD925" s="115">
        <v>45060</v>
      </c>
      <c r="BE925" s="144">
        <v>45055</v>
      </c>
      <c r="BF925" s="70"/>
      <c r="BG925" s="2"/>
      <c r="BH925" s="70"/>
      <c r="BI925" s="70"/>
      <c r="BJ925" s="70">
        <v>45268</v>
      </c>
      <c r="BK925" s="70" t="s">
        <v>319</v>
      </c>
      <c r="BL925" s="20">
        <f ca="1">SUM(EH925)+220</f>
        <v>2988.1462999999999</v>
      </c>
      <c r="BM925" s="22">
        <f ca="1">PMT(10%/12,12,BL925,0,0)</f>
        <v>-262.7055331375704</v>
      </c>
      <c r="BN925" s="22">
        <f ca="1">SUM(BM925*-1)</f>
        <v>262.7055331375704</v>
      </c>
      <c r="BO925" s="14">
        <f>SUM(EP925*0.0052)/12</f>
        <v>15.513333333333334</v>
      </c>
      <c r="BP925" s="22">
        <f ca="1">SUM(BN925+BO925)</f>
        <v>278.21886647090372</v>
      </c>
      <c r="BQ925" s="14"/>
      <c r="BR925" s="14">
        <f>SUM(BQ925*0.1)</f>
        <v>0</v>
      </c>
      <c r="BS925" s="14">
        <f ca="1">SUM(BT925*BU925)</f>
        <v>0</v>
      </c>
      <c r="BT925" s="17">
        <f>SUM((BQ925+BR925)*0.00833333333333333)</f>
        <v>0</v>
      </c>
      <c r="BU925" s="23">
        <f ca="1">MONTH(TODAY())+49</f>
        <v>53</v>
      </c>
      <c r="BV925" s="14">
        <f ca="1">SUM(BQ925,BR925,BS925)</f>
        <v>0</v>
      </c>
      <c r="BW925" s="14">
        <v>0</v>
      </c>
      <c r="BX925" s="14">
        <f>SUM(BW925*0.1)</f>
        <v>0</v>
      </c>
      <c r="BY925" s="14">
        <f ca="1">SUM(BZ925*CA925)</f>
        <v>0</v>
      </c>
      <c r="BZ925" s="17">
        <f>SUM((BW925+BX925)*0.00833333333333333)</f>
        <v>0</v>
      </c>
      <c r="CA925" s="23">
        <f ca="1">MONTH(TODAY())+37</f>
        <v>41</v>
      </c>
      <c r="CB925" s="14">
        <f ca="1">SUM(BW925,BX925,BY925)</f>
        <v>0</v>
      </c>
      <c r="CC925" s="14">
        <f>SUM(EM925*0.0052)</f>
        <v>174.72</v>
      </c>
      <c r="CD925" s="14">
        <f>SUM(CC925*0.1)</f>
        <v>17.472000000000001</v>
      </c>
      <c r="CE925" s="14">
        <f>SUM(CF925*CG925)</f>
        <v>57.657599999999981</v>
      </c>
      <c r="CF925" s="17">
        <f>SUM((CC925+CD925)*0.00833333333333333)</f>
        <v>1.6015999999999995</v>
      </c>
      <c r="CG925" s="23">
        <v>36</v>
      </c>
      <c r="CH925" s="14">
        <f>SUM(CC925,CD925,CE925)</f>
        <v>249.84959999999998</v>
      </c>
      <c r="CI925" s="14">
        <f>SUM(EM925*0.0052)/2</f>
        <v>87.36</v>
      </c>
      <c r="CJ925" s="14">
        <f>SUM(CI925*0.1)</f>
        <v>8.7360000000000007</v>
      </c>
      <c r="CK925" s="14">
        <f>SUM(CL925*CM925)</f>
        <v>24.023999999999994</v>
      </c>
      <c r="CL925" s="17">
        <f>SUM((CI925+CJ925)*0.00833333333333333)</f>
        <v>0.80079999999999973</v>
      </c>
      <c r="CM925" s="23">
        <v>30</v>
      </c>
      <c r="CN925" s="23">
        <f>SUM(CI925,CJ925,CK925)</f>
        <v>120.12</v>
      </c>
      <c r="CO925" s="14">
        <f>SUM(EM925*0.0052)/2</f>
        <v>87.36</v>
      </c>
      <c r="CP925" s="14">
        <f>SUM(CO925*0.1)</f>
        <v>8.7360000000000007</v>
      </c>
      <c r="CQ925" s="14">
        <f>SUM(CR925*CS925)</f>
        <v>19.219199999999994</v>
      </c>
      <c r="CR925" s="17">
        <f>SUM((CO925+CP925)*0.00833333333333333)</f>
        <v>0.80079999999999973</v>
      </c>
      <c r="CS925" s="23">
        <v>24</v>
      </c>
      <c r="CT925" s="14">
        <f>SUM(CO925,CP925,CQ925)</f>
        <v>115.3152</v>
      </c>
      <c r="CU925" s="14">
        <f>SUM(EP925*0.0045)/2</f>
        <v>80.55</v>
      </c>
      <c r="CV925" s="14">
        <f>SUM(CU925*0.1)</f>
        <v>8.0549999999999997</v>
      </c>
      <c r="CW925" s="14">
        <f>SUM(CX925*CY925)</f>
        <v>13.290749999999992</v>
      </c>
      <c r="CX925" s="17">
        <f>SUM((CU925+CV925)*0.00833333333333333)</f>
        <v>0.73837499999999956</v>
      </c>
      <c r="CY925" s="23">
        <v>18</v>
      </c>
      <c r="CZ925" s="14">
        <f>SUM(CU925,CV925,CW925)</f>
        <v>101.89574999999998</v>
      </c>
      <c r="DA925" s="14">
        <f>SUM(EP925*0.0045)/2</f>
        <v>80.55</v>
      </c>
      <c r="DB925" s="14">
        <f>SUM(DA925*0.1)</f>
        <v>8.0549999999999997</v>
      </c>
      <c r="DC925" s="14">
        <f>SUM(DD925*DE925)</f>
        <v>8.8604999999999947</v>
      </c>
      <c r="DD925" s="17">
        <f>SUM((DA925+DB925)*0.00833333333333333)</f>
        <v>0.73837499999999956</v>
      </c>
      <c r="DE925" s="23">
        <v>12</v>
      </c>
      <c r="DF925" s="14">
        <f>SUM(DA925,DB925,DC925)</f>
        <v>97.465499999999992</v>
      </c>
      <c r="DG925" s="14">
        <f>SUM(EP925*0.0045)/2</f>
        <v>80.55</v>
      </c>
      <c r="DH925" s="14">
        <f>SUM(DG925*0.1)</f>
        <v>8.0549999999999997</v>
      </c>
      <c r="DI925" s="14">
        <f>SUM(DJ925*DK925)</f>
        <v>4.4302499999999974</v>
      </c>
      <c r="DJ925" s="17">
        <f>SUM((DG925+DH925)*0.00833333333333333)</f>
        <v>0.73837499999999956</v>
      </c>
      <c r="DK925" s="23">
        <v>6</v>
      </c>
      <c r="DL925" s="14">
        <f>SUM(DG925,DH925,DI925)</f>
        <v>93.035249999999991</v>
      </c>
      <c r="DM925" s="14">
        <f>SUM(EP925*0.0045)/2</f>
        <v>80.55</v>
      </c>
      <c r="DN925" s="14">
        <f>SUM(DM925*0.1)</f>
        <v>8.0549999999999997</v>
      </c>
      <c r="DO925" s="14">
        <f>SUM(DP925*DQ925)</f>
        <v>0</v>
      </c>
      <c r="DP925" s="17">
        <f>SUM((DM925+DN925)*0.00833333333333333)</f>
        <v>0.73837499999999956</v>
      </c>
      <c r="DQ925" s="23">
        <v>0</v>
      </c>
      <c r="DR925" s="14">
        <f>SUM(DM925,DN925,DO925)</f>
        <v>88.60499999999999</v>
      </c>
      <c r="DS925" s="14">
        <f>SUM(BQ925, BW925, CC925, CI925,CO925,CU925,DA925,DG925,DM925)</f>
        <v>671.64</v>
      </c>
      <c r="DT925" s="14">
        <f>SUM(BR925,BX925,CD925, CJ925,CP925,CV925,DB925,DH925,DN925)</f>
        <v>67.164000000000001</v>
      </c>
      <c r="DU925" s="14">
        <f ca="1">SUM(BS925,BY925,CE925, CK925,CQ925,CW925,DC925,DI925,DO925)</f>
        <v>127.48229999999995</v>
      </c>
      <c r="DV925" s="25">
        <f ca="1">SUM(DS925:DU925)</f>
        <v>866.28629999999998</v>
      </c>
      <c r="DW925" s="47">
        <f ca="1">SUM(DV925/EM925)</f>
        <v>2.5782330357142856E-2</v>
      </c>
      <c r="DX925" s="14">
        <f>20+200+10+60+200+40+100+100+40+40+40+40</f>
        <v>890</v>
      </c>
      <c r="DY925" s="32">
        <f>COUNTIF(AO925, "*")+COUNTIF(AJ925, "*")+COUNTIF(AA925, "*")+COUNTIF(FA925, "*")+COUNTIF(FG925, "*")+COUNTIF(FM925, "*")+COUNTIF(FQ925, "*")+COUNTIF(FX925, "*")+COUNTIF(AT925, "*")+COUNTIF(GG925, "*")+COUNTIF(GR925, "*")+COUNTIF(HC925, "*")+COUNTIF(HK925, "*")+COUNTIF(HS925, "*")+COUNTIF(IA925, "*")</f>
        <v>2</v>
      </c>
      <c r="DZ925" s="14">
        <f>1.2+DY925*7.45</f>
        <v>16.100000000000001</v>
      </c>
      <c r="EA925" s="4">
        <v>36.76</v>
      </c>
      <c r="EB925" s="4">
        <v>250</v>
      </c>
      <c r="EC925" s="4"/>
      <c r="ED925" s="4">
        <v>199</v>
      </c>
      <c r="EE925" s="14">
        <f>IF(SUM(EK925*0.004)&lt;100, 100, SUM(EK925*0.004))</f>
        <v>100</v>
      </c>
      <c r="EF925" s="4">
        <v>410</v>
      </c>
      <c r="EG925" s="14">
        <f>SUM(EA925:EF925)</f>
        <v>995.76</v>
      </c>
      <c r="EH925" s="14">
        <f ca="1">SUM(DV925,DX925,EG925,DZ925,GD925)</f>
        <v>2768.1462999999999</v>
      </c>
      <c r="EI925" s="24" t="s">
        <v>5892</v>
      </c>
      <c r="EJ925" s="23">
        <v>0.92</v>
      </c>
      <c r="EK925" s="14">
        <v>11800</v>
      </c>
      <c r="EL925" s="14">
        <v>21800</v>
      </c>
      <c r="EM925" s="14">
        <f>SUM(EK925+EL925)</f>
        <v>33600</v>
      </c>
      <c r="EN925" s="14">
        <v>13300</v>
      </c>
      <c r="EO925" s="14">
        <v>22500</v>
      </c>
      <c r="EP925" s="14">
        <f>SUM(EN925+EO925)</f>
        <v>35800</v>
      </c>
      <c r="EQ925" s="10" t="s">
        <v>4809</v>
      </c>
      <c r="ER925" s="10" t="s">
        <v>4810</v>
      </c>
      <c r="ES925" s="10"/>
      <c r="ET925" s="10"/>
      <c r="EU925" s="10"/>
      <c r="EV925" s="10"/>
      <c r="EW925" s="10"/>
      <c r="EX925" s="10"/>
      <c r="EY925" s="10"/>
      <c r="EZ925" s="10"/>
      <c r="FA925" s="10"/>
      <c r="FB925" s="10"/>
      <c r="FC925" s="10"/>
      <c r="FD925" s="10"/>
      <c r="FE925" s="10"/>
      <c r="FF925" s="10"/>
      <c r="FG925" s="10"/>
      <c r="FH925" s="10"/>
      <c r="FI925" s="10"/>
      <c r="FJ925" s="10"/>
      <c r="FK925" s="10"/>
      <c r="FL925" s="10"/>
      <c r="FM925" s="10"/>
      <c r="FN925" s="10"/>
      <c r="FO925" s="10"/>
      <c r="FP925" s="10"/>
      <c r="FQ925" s="10"/>
      <c r="FR925" s="10"/>
      <c r="FS925" s="10"/>
      <c r="FT925" s="10"/>
      <c r="FU925" s="9"/>
      <c r="FV925" s="10"/>
      <c r="FW925" s="10"/>
      <c r="FX925" s="10"/>
      <c r="FY925" s="10"/>
      <c r="FZ925" s="10"/>
      <c r="GA925" s="10"/>
      <c r="GB925" s="9"/>
      <c r="GC925" s="10"/>
      <c r="GD925" s="10"/>
      <c r="GE925" s="10"/>
      <c r="GF925" s="10"/>
      <c r="GG925" s="10"/>
      <c r="GH925" s="10"/>
      <c r="GI925" s="10"/>
      <c r="GJ925" s="10"/>
      <c r="GK925" s="9"/>
      <c r="GL925" s="10"/>
      <c r="GM925" s="10"/>
      <c r="GN925" s="10"/>
      <c r="GO925" s="10"/>
      <c r="GP925" s="10"/>
      <c r="GQ925" s="10"/>
      <c r="GR925" s="10"/>
      <c r="GS925" s="10"/>
      <c r="GT925" s="10"/>
      <c r="GU925" s="10"/>
      <c r="GV925" s="9"/>
      <c r="GW925" s="10"/>
      <c r="GX925" s="10"/>
      <c r="GY925" s="10"/>
      <c r="GZ925" s="10"/>
      <c r="HA925" s="10"/>
      <c r="HB925" s="10"/>
      <c r="HC925" s="10"/>
      <c r="HD925" s="10"/>
      <c r="HE925" s="10"/>
      <c r="HF925" s="10"/>
      <c r="HG925" s="9"/>
      <c r="HH925" s="10"/>
      <c r="HI925" s="10"/>
      <c r="HJ925" s="10"/>
      <c r="HK925" s="10"/>
      <c r="HL925" s="10"/>
      <c r="HM925" s="10"/>
      <c r="HN925" s="10"/>
      <c r="HO925" s="9"/>
      <c r="HP925" s="10"/>
      <c r="HQ925" s="10"/>
      <c r="HR925" s="10"/>
      <c r="HS925" s="10"/>
      <c r="HT925" s="10"/>
      <c r="HU925" s="10"/>
      <c r="HV925" s="10"/>
      <c r="HW925" s="9"/>
      <c r="HX925" s="10"/>
      <c r="HY925" s="10"/>
      <c r="HZ925" s="10"/>
      <c r="IA925" s="10"/>
      <c r="IB925" s="10"/>
      <c r="IC925" s="10"/>
      <c r="ID925" s="10"/>
      <c r="IE925" s="9"/>
      <c r="IF925" s="4"/>
      <c r="IG925" s="4"/>
      <c r="IH925" s="10"/>
      <c r="II925" s="10"/>
      <c r="IJ925" s="10"/>
      <c r="IK925" s="10"/>
      <c r="IL925" s="4"/>
      <c r="IM925" s="4"/>
      <c r="IN925" s="14">
        <f ca="1">SUM(IF925-EH925-GD925-IL925)</f>
        <v>-2768.1462999999999</v>
      </c>
      <c r="IO925" s="14"/>
      <c r="IP925" s="14"/>
      <c r="IQ925" s="9">
        <v>45278</v>
      </c>
      <c r="IR925" s="9"/>
      <c r="IS925" s="9"/>
      <c r="IT925" s="9"/>
      <c r="IU925" s="9"/>
      <c r="IV925" t="s">
        <v>5913</v>
      </c>
    </row>
    <row r="926" spans="1:263" ht="15" customHeight="1">
      <c r="A926" s="19">
        <v>102023042</v>
      </c>
      <c r="B926" s="18" t="s">
        <v>4253</v>
      </c>
      <c r="D926" s="1"/>
      <c r="E926" s="3"/>
      <c r="F926" s="3"/>
      <c r="G926" s="3"/>
      <c r="J926" s="18" t="s">
        <v>311</v>
      </c>
      <c r="K926" s="18" t="s">
        <v>564</v>
      </c>
      <c r="L926" s="18" t="s">
        <v>2082</v>
      </c>
      <c r="M926" s="18" t="s">
        <v>354</v>
      </c>
      <c r="N926" s="18"/>
      <c r="O926" s="24"/>
      <c r="P926" s="18"/>
      <c r="Q926" s="18"/>
      <c r="R926" s="18"/>
      <c r="S926" s="18"/>
      <c r="AG926" s="43"/>
      <c r="AJ926" s="18"/>
      <c r="AK926" s="18"/>
      <c r="AL926" s="18"/>
      <c r="AM926" s="18"/>
      <c r="AN926" s="18"/>
      <c r="AO926" s="18" t="s">
        <v>4252</v>
      </c>
      <c r="AP926" s="18" t="s">
        <v>258</v>
      </c>
      <c r="AQ926" s="18" t="s">
        <v>329</v>
      </c>
      <c r="AR926" s="18" t="s">
        <v>260</v>
      </c>
      <c r="AX926" s="1"/>
      <c r="AY926" s="1"/>
      <c r="AZ926" s="1"/>
      <c r="BA926" s="1"/>
      <c r="BB926" s="1"/>
      <c r="BC926" s="2"/>
      <c r="BD926" s="115">
        <v>45060</v>
      </c>
      <c r="BE926" s="115">
        <v>45055</v>
      </c>
      <c r="BF926" s="2"/>
      <c r="BG926" s="2"/>
      <c r="BH926" s="2"/>
      <c r="BI926" s="2"/>
      <c r="BJ926" s="2"/>
      <c r="BK926" s="2"/>
      <c r="BL926" s="20">
        <f ca="1">SUM(EB926)+220</f>
        <v>1617.5020875</v>
      </c>
      <c r="BM926" s="22">
        <f ca="1">PMT(10%/12,12,BL926,0,0)</f>
        <v>-142.2041311189551</v>
      </c>
      <c r="BN926" s="22">
        <f ca="1">SUM(BM926*-1)</f>
        <v>142.2041311189551</v>
      </c>
      <c r="BO926" s="25">
        <f>SUM(EJ926*0.0052)/12</f>
        <v>31.416666666666668</v>
      </c>
      <c r="BP926" s="22">
        <f ca="1">SUM(BN926+BO926)</f>
        <v>173.62079778562176</v>
      </c>
      <c r="BQ926" s="14"/>
      <c r="BR926" s="14">
        <f>SUM(BQ926*0.1)</f>
        <v>0</v>
      </c>
      <c r="BS926" s="14">
        <f ca="1">SUM(BT926*BU926)</f>
        <v>0</v>
      </c>
      <c r="BT926" s="17">
        <f>SUM((BQ926+BR926)*0.00833333333333333)</f>
        <v>0</v>
      </c>
      <c r="BU926" s="23">
        <f ca="1">MONTH(TODAY())+49</f>
        <v>53</v>
      </c>
      <c r="BV926" s="14">
        <f ca="1">SUM(BQ926,BR926,BS926)</f>
        <v>0</v>
      </c>
      <c r="BW926" s="14"/>
      <c r="BX926" s="14">
        <f>SUM(BW926*0.1)</f>
        <v>0</v>
      </c>
      <c r="BY926" s="14">
        <f ca="1">SUM(BZ926*CA926)</f>
        <v>0</v>
      </c>
      <c r="BZ926" s="17">
        <f>SUM((BW926+BX926)*0.00833333333333333)</f>
        <v>0</v>
      </c>
      <c r="CA926" s="23">
        <f ca="1">MONTH(TODAY())+37</f>
        <v>41</v>
      </c>
      <c r="CB926" s="14">
        <f ca="1">SUM(BW926,BX926,BY926)</f>
        <v>0</v>
      </c>
      <c r="CC926" s="14">
        <v>0</v>
      </c>
      <c r="CD926" s="14">
        <f>SUM(CC926*0.1)</f>
        <v>0</v>
      </c>
      <c r="CE926" s="14">
        <f ca="1">SUM(CF926*CG926)</f>
        <v>0</v>
      </c>
      <c r="CF926" s="17">
        <f>SUM((CC926+CD926)*0.00833333333333333)</f>
        <v>0</v>
      </c>
      <c r="CG926" s="23">
        <f ca="1">MONTH(TODAY())+25</f>
        <v>29</v>
      </c>
      <c r="CH926" s="14">
        <f ca="1">SUM(CC926,CD926,CE926)</f>
        <v>0</v>
      </c>
      <c r="CI926" s="14">
        <v>341.64</v>
      </c>
      <c r="CJ926" s="14">
        <f>SUM(CI926*0.1)</f>
        <v>34.164000000000001</v>
      </c>
      <c r="CK926" s="14">
        <v>8.8699999999999992</v>
      </c>
      <c r="CL926" s="17">
        <f>SUM((CI926+CJ926)*0.00833333333333333)</f>
        <v>3.1316999999999986</v>
      </c>
      <c r="CM926" s="23">
        <f ca="1">MONTH(TODAY())+13</f>
        <v>17</v>
      </c>
      <c r="CN926" s="14">
        <f>SUM(CI926,CJ926,CK926)</f>
        <v>384.67399999999998</v>
      </c>
      <c r="CO926" s="14">
        <f>SUM(EG926*0.0052)/2</f>
        <v>170.82</v>
      </c>
      <c r="CP926" s="14">
        <f>SUM(CO926*0.1)</f>
        <v>17.082000000000001</v>
      </c>
      <c r="CQ926" s="14">
        <f ca="1">SUM(CR926*CS926)</f>
        <v>14.092649999999994</v>
      </c>
      <c r="CR926" s="17">
        <f>SUM((CO926+CP926)*0.00833333333333333)</f>
        <v>1.5658499999999993</v>
      </c>
      <c r="CS926" s="23">
        <f ca="1">MONTH(TODAY())+5</f>
        <v>9</v>
      </c>
      <c r="CT926" s="23">
        <f ca="1">SUM(CO926,CP926,CQ926)</f>
        <v>201.99464999999998</v>
      </c>
      <c r="CU926" s="14">
        <f>SUM(EG926*0.0052)/2</f>
        <v>170.82</v>
      </c>
      <c r="CV926" s="14">
        <f>SUM(CU926*0.1)</f>
        <v>17.082000000000001</v>
      </c>
      <c r="CW926" s="14">
        <f ca="1">SUM(CX926*CY926)</f>
        <v>7.8292499999999965</v>
      </c>
      <c r="CX926" s="17">
        <f>SUM((CU926+CV926)*0.00833333333333333)</f>
        <v>1.5658499999999993</v>
      </c>
      <c r="CY926" s="23">
        <f ca="1">MONTH(TODAY())+1</f>
        <v>5</v>
      </c>
      <c r="CZ926" s="23">
        <f ca="1">SUM(CU926,CV926,CW926)</f>
        <v>195.73124999999999</v>
      </c>
      <c r="DA926" s="14">
        <f>SUM(EJ926*0.0045)/2</f>
        <v>163.125</v>
      </c>
      <c r="DB926" s="14">
        <f>SUM(DA926*0.1)</f>
        <v>16.3125</v>
      </c>
      <c r="DC926" s="14">
        <f ca="1">SUM(DD926*DE926)</f>
        <v>-1.4953124999999994</v>
      </c>
      <c r="DD926" s="17">
        <f>SUM((DA926+DB926)*0.00833333333333333)</f>
        <v>1.4953124999999994</v>
      </c>
      <c r="DE926" s="23">
        <f ca="1">MONTH(TODAY())-5</f>
        <v>-1</v>
      </c>
      <c r="DF926" s="23">
        <f ca="1">SUM(DA926,DB926,DC926)</f>
        <v>177.94218749999999</v>
      </c>
      <c r="DG926" s="14">
        <v>0</v>
      </c>
      <c r="DH926" s="14">
        <v>0</v>
      </c>
      <c r="DI926" s="14">
        <v>0</v>
      </c>
      <c r="DJ926" s="17">
        <f>SUM((DG926+DH926)*0.00833333333333333)</f>
        <v>0</v>
      </c>
      <c r="DK926" s="23">
        <f ca="1">MONTH(TODAY())+1</f>
        <v>5</v>
      </c>
      <c r="DL926" s="23">
        <f>SUM(DG926,DH926,DI926)</f>
        <v>0</v>
      </c>
      <c r="DM926" s="14">
        <f>SUM( BQ926, BW926, CC926, CI926, CO926,CU926,DA926,DG926)</f>
        <v>846.40499999999997</v>
      </c>
      <c r="DN926" s="14">
        <f>SUM(BR926,BX926,CD926,CJ926, CP926,CV926,DB926,DH926)</f>
        <v>84.640500000000003</v>
      </c>
      <c r="DO926" s="14">
        <f ca="1">SUM(BS926,BY926,CE926,CK926, CQ926,CW926,DC926,DI926)</f>
        <v>29.29658749999999</v>
      </c>
      <c r="DP926" s="25">
        <f ca="1">SUM(DM926:DO926)</f>
        <v>960.34208749999993</v>
      </c>
      <c r="DQ926" s="47">
        <f ca="1">SUM(DP926/EG926)</f>
        <v>1.4617078957382039E-2</v>
      </c>
      <c r="DR926" s="14">
        <f>20+200</f>
        <v>220</v>
      </c>
      <c r="DS926" s="32">
        <f>COUNTIF(DX926, "*")+COUNTIF(AO926, "*")+COUNTIF(AJ926, "*")+COUNTIF(AA926, "*")+COUNTIF(EY926, "*")+COUNTIF(FE926, "*")+COUNTIF(FK926, "*")+COUNTIF(FO926, "*")+COUNTIF(FV926, "*")+COUNTIF(Paid!AS674, "*")+COUNTIF(GE926, "*")+COUNTIF(GP926, "*")+COUNTIF(HA926, "*")+COUNTIF(HI926, "*")+COUNTIF(HQ926, "*")+COUNTIF(HY926, "*")+COUNTIF(IG926, "*")</f>
        <v>4</v>
      </c>
      <c r="DT926" s="14">
        <f>0.6+DS926*7.45</f>
        <v>30.400000000000002</v>
      </c>
      <c r="DU926" s="4">
        <v>150</v>
      </c>
      <c r="DV926" s="4">
        <v>36.76</v>
      </c>
      <c r="DW926" s="4"/>
      <c r="DX926" s="4"/>
      <c r="DZ926" s="4"/>
      <c r="EA926" s="14">
        <f>SUM(DV926:DZ926)</f>
        <v>36.76</v>
      </c>
      <c r="EB926" s="14">
        <f ca="1">SUM(DP926,DR926,EA926, DU926, DT926,GB926)</f>
        <v>1397.5020875</v>
      </c>
      <c r="EC926" s="18" t="s">
        <v>3879</v>
      </c>
      <c r="ED926" s="130">
        <v>2</v>
      </c>
      <c r="EE926" s="14">
        <v>19600</v>
      </c>
      <c r="EF926" s="14">
        <v>46100</v>
      </c>
      <c r="EG926" s="14">
        <v>65700</v>
      </c>
      <c r="EH926" s="14">
        <v>23000</v>
      </c>
      <c r="EI926" s="14">
        <v>49500</v>
      </c>
      <c r="EJ926" s="14">
        <f>SUM(EH926+EI926)</f>
        <v>72500</v>
      </c>
      <c r="EK926" t="s">
        <v>4779</v>
      </c>
      <c r="EL926" t="s">
        <v>4780</v>
      </c>
      <c r="EM926" t="s">
        <v>4781</v>
      </c>
      <c r="EW926" t="s">
        <v>4782</v>
      </c>
      <c r="EY926" t="s">
        <v>4783</v>
      </c>
      <c r="FA926" t="s">
        <v>329</v>
      </c>
      <c r="FB926" t="s">
        <v>260</v>
      </c>
      <c r="FC926" t="s">
        <v>4784</v>
      </c>
      <c r="FE926" t="s">
        <v>4785</v>
      </c>
      <c r="FG926" t="s">
        <v>329</v>
      </c>
      <c r="FH926" t="s">
        <v>260</v>
      </c>
      <c r="FI926" t="s">
        <v>4786</v>
      </c>
      <c r="FK926" t="s">
        <v>4787</v>
      </c>
      <c r="FL926" t="s">
        <v>329</v>
      </c>
      <c r="FM926" t="s">
        <v>260</v>
      </c>
      <c r="IM926" s="9"/>
      <c r="IX926" s="14">
        <f ca="1">SUM(IN926-EB926-GB926-IV926)</f>
        <v>-1397.5020875</v>
      </c>
      <c r="IY926" s="9"/>
      <c r="IZ926" s="9"/>
      <c r="JA926" s="9"/>
      <c r="JB926" s="9"/>
      <c r="JC926" s="9"/>
    </row>
    <row r="927" spans="1:263" ht="15" customHeight="1">
      <c r="A927" s="19">
        <v>102022056</v>
      </c>
      <c r="B927" t="s">
        <v>2805</v>
      </c>
      <c r="D927" s="1"/>
      <c r="E927" s="3"/>
      <c r="F927" s="3"/>
      <c r="J927" t="s">
        <v>253</v>
      </c>
      <c r="K927" t="s">
        <v>399</v>
      </c>
      <c r="L927" t="s">
        <v>2052</v>
      </c>
      <c r="M927" t="s">
        <v>309</v>
      </c>
      <c r="AD927" t="s">
        <v>3455</v>
      </c>
      <c r="AE927" t="s">
        <v>253</v>
      </c>
      <c r="AF927" t="s">
        <v>3456</v>
      </c>
      <c r="AG927" s="43" t="s">
        <v>3457</v>
      </c>
      <c r="AH927" t="s">
        <v>3458</v>
      </c>
      <c r="AI927" t="s">
        <v>329</v>
      </c>
      <c r="AJ927" t="s">
        <v>3033</v>
      </c>
      <c r="AK927" t="s">
        <v>258</v>
      </c>
      <c r="AL927" s="3" t="s">
        <v>329</v>
      </c>
      <c r="AM927" t="s">
        <v>260</v>
      </c>
      <c r="AN927"/>
      <c r="AO927" s="3" t="s">
        <v>604</v>
      </c>
      <c r="AP927" s="3" t="s">
        <v>258</v>
      </c>
      <c r="AQ927" t="s">
        <v>259</v>
      </c>
      <c r="AR927" t="s">
        <v>260</v>
      </c>
      <c r="AS927" s="1"/>
      <c r="AT927" s="1"/>
      <c r="AU927" s="1"/>
      <c r="AV927" s="1"/>
      <c r="AW927" s="1"/>
      <c r="AX927" s="2"/>
      <c r="AY927" s="116"/>
      <c r="AZ927" s="115"/>
      <c r="BA927" s="2"/>
      <c r="BB927" s="2"/>
      <c r="BC927" s="2"/>
      <c r="BD927" s="2"/>
      <c r="BE927" s="2"/>
      <c r="BF927" s="2"/>
      <c r="BG927" s="20">
        <f ca="1">SUM(CY927)+39+39</f>
        <v>794.87040000000002</v>
      </c>
      <c r="BH927" s="22">
        <f ca="1">PMT(10%/12,12,BG927,0,0)</f>
        <v>-69.881736448872616</v>
      </c>
      <c r="BI927" s="22">
        <f ca="1">SUM(BH927*-1)</f>
        <v>69.881736448872616</v>
      </c>
      <c r="BJ927" s="14">
        <f>SUM(DI927*0.0052)/12</f>
        <v>21.926666666666666</v>
      </c>
      <c r="BK927" s="22">
        <f ca="1">SUM(BI927+BJ927)</f>
        <v>91.808403115539278</v>
      </c>
      <c r="BL927" s="14"/>
      <c r="BM927" s="14">
        <f>SUM(BL927*0.1)</f>
        <v>0</v>
      </c>
      <c r="BN927" s="14">
        <f ca="1">SUM(BO927*BP927)</f>
        <v>0</v>
      </c>
      <c r="BO927" s="17">
        <f>SUM((BL927+BM927)*0.00833333333333333)</f>
        <v>0</v>
      </c>
      <c r="BP927" s="23">
        <f ca="1">MONTH(TODAY())+49</f>
        <v>53</v>
      </c>
      <c r="BQ927" s="14">
        <f ca="1">SUM(BL927,BM927,BN927)</f>
        <v>0</v>
      </c>
      <c r="BR927" s="14"/>
      <c r="BS927" s="14">
        <f>SUM(BR927*0.1)</f>
        <v>0</v>
      </c>
      <c r="BT927" s="14">
        <f ca="1">SUM(BU927*BV927)</f>
        <v>0</v>
      </c>
      <c r="BU927" s="17">
        <f>SUM((BR927+BS927)*0.00833333333333333)</f>
        <v>0</v>
      </c>
      <c r="BV927" s="23">
        <f ca="1">MONTH(TODAY())+37</f>
        <v>41</v>
      </c>
      <c r="BW927" s="14">
        <f ca="1">SUM(BR927,BS927,BT927)</f>
        <v>0</v>
      </c>
      <c r="BX927" s="14"/>
      <c r="BY927" s="14">
        <f>SUM(BX927*0.1)</f>
        <v>0</v>
      </c>
      <c r="BZ927" s="14">
        <f ca="1">SUM(CA927*CB927)</f>
        <v>0</v>
      </c>
      <c r="CA927" s="17">
        <f>SUM((BX927+BY927)*0.00833333333333333)</f>
        <v>0</v>
      </c>
      <c r="CB927" s="23">
        <f ca="1">MONTH(TODAY())+25</f>
        <v>29</v>
      </c>
      <c r="CC927" s="14">
        <f ca="1">SUM(BX927,BY927,BZ927)</f>
        <v>0</v>
      </c>
      <c r="CD927" s="14">
        <f>SUM(DI927*0.0052)</f>
        <v>263.12</v>
      </c>
      <c r="CE927" s="14">
        <f>SUM(CD927*0.1)</f>
        <v>26.312000000000001</v>
      </c>
      <c r="CF927" s="14">
        <f>SUM(CG927*CH927)</f>
        <v>43.414799999999985</v>
      </c>
      <c r="CG927" s="17">
        <f>SUM((CD927+CE927)*0.00833333333333333)</f>
        <v>2.4119333333333324</v>
      </c>
      <c r="CH927" s="23">
        <v>18</v>
      </c>
      <c r="CI927" s="14">
        <f>SUM(CD927,CE927,CF927)</f>
        <v>332.84680000000003</v>
      </c>
      <c r="CJ927" s="14">
        <f>SUM(DI927*0.0052)</f>
        <v>263.12</v>
      </c>
      <c r="CK927" s="14">
        <f>SUM(CJ927*0.1)</f>
        <v>26.312000000000001</v>
      </c>
      <c r="CL927" s="14">
        <f>SUM(CM927*CN927)</f>
        <v>14.471599999999995</v>
      </c>
      <c r="CM927" s="17">
        <f>SUM((CJ927+CK927)*0.00833333333333333)</f>
        <v>2.4119333333333324</v>
      </c>
      <c r="CN927" s="23">
        <v>6</v>
      </c>
      <c r="CO927" s="14">
        <f>SUM(CJ927,CK927,CL927)</f>
        <v>303.90359999999998</v>
      </c>
      <c r="CP927" s="14">
        <f>SUM(BL927, BR927,BX927,CD927,CJ927)</f>
        <v>526.24</v>
      </c>
      <c r="CQ927" s="14">
        <f>SUM(BM927, BS927,BY927,CE927,CK927)</f>
        <v>52.624000000000002</v>
      </c>
      <c r="CR927" s="14">
        <f ca="1">SUM(BN927, BT927,BZ927,CF927,CL927)</f>
        <v>57.886399999999981</v>
      </c>
      <c r="CS927" s="14">
        <f ca="1">SUM(CP927:CR927)</f>
        <v>636.75040000000001</v>
      </c>
      <c r="CT927" s="47">
        <f ca="1">SUM(CS927/DI927)</f>
        <v>1.2584E-2</v>
      </c>
      <c r="CU927" s="14">
        <f>58.5+19.5</f>
        <v>78</v>
      </c>
      <c r="CV927" s="32">
        <f>COUNTIF(DB927, "*")+COUNTIF(AO927, "*")+COUNTIF(AJ927, "*")+COUNTIF(AA927, "*")+COUNTIF(DY927, "*")+COUNTIF(EE927, "*")+COUNTIF(EK927, "*")+COUNTIF(EO927, "*")+COUNTIF(EV927, "*")+COUNTIF(FC927, "*")+COUNTIF(FJ927, "*")+COUNTIF(FU927, "*")+COUNTIF(GF927, "*")+COUNTIF(GN927, "*")+COUNTIF(GV927, "*")+COUNTIF(HD927, "*")+COUNTIF(HL927, "*")</f>
        <v>2</v>
      </c>
      <c r="CW927" s="14">
        <f>CV927*0.53*2</f>
        <v>2.12</v>
      </c>
      <c r="CX927" s="4"/>
      <c r="CY927" s="14">
        <f ca="1">SUM(CS927,CU927,DE927, CX927, CW927,FG927)</f>
        <v>716.87040000000002</v>
      </c>
      <c r="CZ927" s="4"/>
      <c r="DE927" s="14">
        <f>SUM(CZ927:DD927)</f>
        <v>0</v>
      </c>
      <c r="DF927" s="24" t="s">
        <v>2773</v>
      </c>
      <c r="DG927" s="4">
        <v>21400</v>
      </c>
      <c r="DH927" s="4">
        <v>29200</v>
      </c>
      <c r="DI927" s="25">
        <f>SUM(DG927+DH927)</f>
        <v>50600</v>
      </c>
      <c r="DJ927" s="35">
        <v>2.5</v>
      </c>
      <c r="IC927" s="4"/>
      <c r="JA927" s="18"/>
      <c r="JB927" s="18"/>
      <c r="JC927" s="18"/>
    </row>
    <row r="928" spans="1:263" ht="15" customHeight="1">
      <c r="A928" s="19">
        <v>102019079</v>
      </c>
      <c r="B928" s="14" t="s">
        <v>1817</v>
      </c>
      <c r="C928" s="13"/>
      <c r="D928" s="13"/>
      <c r="E928" s="24" t="s">
        <v>730</v>
      </c>
      <c r="F928" s="19">
        <v>190002052</v>
      </c>
      <c r="G928" s="18"/>
      <c r="H928" s="18"/>
      <c r="I928" s="18"/>
      <c r="J928" s="18" t="s">
        <v>554</v>
      </c>
      <c r="K928" s="18" t="s">
        <v>731</v>
      </c>
      <c r="L928" s="18" t="s">
        <v>732</v>
      </c>
      <c r="M928" s="18" t="s">
        <v>426</v>
      </c>
      <c r="N928" s="18"/>
      <c r="O928" s="13" t="s">
        <v>258</v>
      </c>
      <c r="P928" s="18" t="s">
        <v>731</v>
      </c>
      <c r="Q928" s="18" t="s">
        <v>733</v>
      </c>
      <c r="R928" s="18" t="s">
        <v>537</v>
      </c>
      <c r="S928" s="18"/>
      <c r="T928" s="13"/>
      <c r="U928" s="18"/>
      <c r="V928" s="18"/>
      <c r="W928" s="18"/>
      <c r="X928" s="18"/>
      <c r="Y928" s="18"/>
      <c r="Z928" s="18"/>
      <c r="AA928" s="18"/>
      <c r="AB928" s="18"/>
      <c r="AC928" s="18"/>
      <c r="AD928" s="18"/>
      <c r="AE928" s="18"/>
      <c r="AF928" s="18"/>
      <c r="AG928" s="231"/>
      <c r="AH928" s="18"/>
      <c r="AI928" s="18"/>
      <c r="AJ928" s="14"/>
      <c r="AK928" s="14"/>
      <c r="AL928" s="18"/>
      <c r="AM928" s="24"/>
      <c r="AN928" s="24"/>
      <c r="AO928" s="14"/>
      <c r="AP928" s="20"/>
      <c r="AQ928" s="24"/>
      <c r="AR928" s="24"/>
      <c r="AS928" s="20"/>
      <c r="AT928" s="20"/>
      <c r="AU928" s="13"/>
      <c r="AV928" s="13"/>
      <c r="AW928" s="13"/>
      <c r="AX928" s="48"/>
      <c r="AY928" s="48"/>
      <c r="AZ928" s="48"/>
      <c r="BA928" s="48"/>
      <c r="BB928" s="19"/>
      <c r="BC928" s="48"/>
      <c r="BD928" s="48"/>
      <c r="BE928" s="48"/>
      <c r="BF928" s="273"/>
      <c r="BG928" s="20"/>
      <c r="BH928" s="22"/>
      <c r="BI928" s="22"/>
      <c r="BJ928" s="14"/>
      <c r="BK928" s="14"/>
      <c r="BL928" s="14"/>
      <c r="BM928" s="17"/>
      <c r="BN928" s="23"/>
      <c r="BO928" s="14"/>
      <c r="BP928" s="14"/>
      <c r="BQ928" s="14"/>
      <c r="BR928" s="14"/>
      <c r="BS928" s="17"/>
      <c r="BT928" s="23"/>
      <c r="BU928" s="14"/>
      <c r="BV928" s="14"/>
      <c r="BW928" s="14"/>
      <c r="BX928" s="14"/>
      <c r="BY928" s="17"/>
      <c r="BZ928" s="23"/>
      <c r="CA928" s="14"/>
      <c r="CB928" s="14"/>
      <c r="CC928" s="14"/>
      <c r="CD928" s="14"/>
      <c r="CE928" s="17"/>
      <c r="CF928" s="23"/>
      <c r="CG928" s="14"/>
      <c r="CH928" s="14"/>
      <c r="CI928" s="14"/>
      <c r="CJ928" s="14"/>
      <c r="CK928" s="17"/>
      <c r="CL928" s="23"/>
      <c r="CM928" s="14"/>
      <c r="CN928" s="14"/>
      <c r="CO928" s="14"/>
      <c r="CP928" s="14"/>
      <c r="CQ928" s="17"/>
      <c r="CR928" s="23"/>
      <c r="CS928" s="14"/>
      <c r="CT928" s="14"/>
      <c r="CU928" s="14"/>
      <c r="CV928" s="14"/>
      <c r="CW928" s="17"/>
      <c r="CX928" s="23"/>
      <c r="CY928" s="14"/>
      <c r="CZ928" s="14"/>
      <c r="DA928" s="14"/>
      <c r="DB928" s="14"/>
      <c r="DC928" s="14"/>
      <c r="DD928" s="14"/>
      <c r="DE928" s="47"/>
      <c r="DF928" s="24"/>
      <c r="DG928" s="14"/>
      <c r="DH928" s="32"/>
      <c r="DI928" s="14"/>
      <c r="DJ928" s="14"/>
      <c r="DK928" s="14"/>
      <c r="DL928" s="14"/>
      <c r="DM928" s="14"/>
      <c r="DN928" s="14"/>
      <c r="DO928" s="23"/>
      <c r="DP928" s="25"/>
      <c r="DQ928" s="14"/>
      <c r="DR928" s="25"/>
      <c r="DS928" s="25"/>
      <c r="DT928" s="25"/>
      <c r="DU928" s="36"/>
      <c r="DV928" s="18"/>
      <c r="DW928" s="18"/>
      <c r="DX928" s="18"/>
      <c r="DY928" s="18"/>
      <c r="DZ928" s="18"/>
      <c r="EA928" s="18"/>
      <c r="EB928" s="18"/>
      <c r="EC928" s="18"/>
      <c r="ED928" s="30"/>
      <c r="EE928" s="18"/>
      <c r="EF928" s="18"/>
      <c r="EG928" s="18"/>
      <c r="EH928" s="18"/>
      <c r="EI928" s="18"/>
      <c r="EJ928" s="30"/>
      <c r="EK928" s="30"/>
      <c r="EL928" s="14"/>
      <c r="EM928" s="14"/>
      <c r="EN928" s="14"/>
      <c r="EO928" s="14"/>
      <c r="EP928" s="14"/>
      <c r="EQ928" s="14"/>
      <c r="ER928" s="14"/>
      <c r="ES928" s="14"/>
      <c r="ET928" s="14"/>
      <c r="EU928" s="14"/>
      <c r="EV928" s="14"/>
      <c r="EW928" s="14"/>
      <c r="EX928" s="14"/>
      <c r="EY928" s="14"/>
      <c r="EZ928" s="14"/>
      <c r="FA928" s="18"/>
      <c r="FB928" s="18"/>
      <c r="FC928" s="18"/>
      <c r="FD928" s="27"/>
      <c r="FE928" s="18"/>
      <c r="FF928" s="18"/>
      <c r="FG928" s="18"/>
      <c r="FH928" s="18"/>
      <c r="FI928" s="18"/>
      <c r="FJ928" s="18"/>
      <c r="FK928" s="18"/>
      <c r="FL928" s="18"/>
      <c r="FM928" s="27"/>
      <c r="FN928" s="18"/>
      <c r="FO928" s="18"/>
      <c r="FP928" s="18"/>
      <c r="FQ928" s="18"/>
      <c r="FR928" s="18"/>
      <c r="FS928" s="14"/>
      <c r="FT928" s="18"/>
      <c r="FU928" s="18"/>
      <c r="FV928" s="18"/>
      <c r="FW928" s="18"/>
      <c r="FX928" s="28"/>
      <c r="FY928" s="18"/>
      <c r="FZ928" s="18"/>
      <c r="GA928" s="18"/>
      <c r="GB928" s="18"/>
      <c r="GC928" s="18"/>
      <c r="GD928" s="18"/>
      <c r="GE928" s="18"/>
      <c r="GF928" s="18"/>
      <c r="GG928" s="18"/>
      <c r="GH928" s="28"/>
      <c r="GI928" s="18"/>
      <c r="GJ928" s="18"/>
      <c r="GK928" s="18"/>
      <c r="GL928" s="18"/>
      <c r="GM928" s="18"/>
      <c r="GN928" s="18"/>
      <c r="GO928" s="18"/>
      <c r="GP928" s="18"/>
      <c r="GQ928" s="18"/>
      <c r="GR928" s="18"/>
      <c r="GS928" s="18"/>
      <c r="GT928" s="18"/>
      <c r="GU928" s="18"/>
      <c r="GV928" s="18"/>
      <c r="GW928" s="27"/>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27"/>
      <c r="IE928" s="14"/>
      <c r="IF928" s="14"/>
      <c r="IG928" s="27"/>
      <c r="IH928" s="18"/>
      <c r="II928" s="18"/>
      <c r="IJ928" s="18"/>
      <c r="IK928" s="18"/>
    </row>
    <row r="929" spans="1:263" ht="15" customHeight="1">
      <c r="A929" s="19">
        <v>102021018</v>
      </c>
      <c r="B929" s="18" t="s">
        <v>2022</v>
      </c>
      <c r="C929" s="18"/>
      <c r="D929" s="18"/>
      <c r="E929" s="18"/>
      <c r="F929" s="18"/>
      <c r="G929" s="18"/>
      <c r="H929" s="18"/>
      <c r="I929" s="18"/>
      <c r="J929" s="18" t="s">
        <v>311</v>
      </c>
      <c r="K929" s="18" t="s">
        <v>2021</v>
      </c>
      <c r="L929" s="18" t="s">
        <v>1163</v>
      </c>
      <c r="M929" s="18" t="s">
        <v>256</v>
      </c>
      <c r="N929" s="18"/>
      <c r="O929" s="18"/>
      <c r="P929" s="18"/>
      <c r="Q929" s="18"/>
      <c r="R929" s="18"/>
      <c r="S929" s="18"/>
      <c r="T929" s="18"/>
      <c r="U929" s="18"/>
      <c r="V929" s="18"/>
      <c r="W929" s="18"/>
      <c r="X929" s="18"/>
      <c r="Y929" s="18"/>
      <c r="Z929" s="18"/>
      <c r="AA929" s="18"/>
      <c r="AB929" s="18"/>
      <c r="AC929" s="18"/>
      <c r="AD929" s="18" t="s">
        <v>2515</v>
      </c>
      <c r="AE929" s="18" t="s">
        <v>311</v>
      </c>
      <c r="AF929" s="18" t="s">
        <v>2516</v>
      </c>
      <c r="AG929" s="231" t="s">
        <v>2205</v>
      </c>
      <c r="AH929" s="18" t="s">
        <v>2517</v>
      </c>
      <c r="AI929" s="18"/>
      <c r="AJ929" s="18"/>
      <c r="AK929" s="18"/>
      <c r="AL929" s="18"/>
      <c r="AM929" s="24"/>
      <c r="AN929" s="24"/>
      <c r="AO929" s="18" t="s">
        <v>2146</v>
      </c>
      <c r="AP929" s="13" t="s">
        <v>258</v>
      </c>
      <c r="AQ929" s="24" t="s">
        <v>329</v>
      </c>
      <c r="AR929" s="24" t="s">
        <v>260</v>
      </c>
      <c r="AS929" s="13"/>
      <c r="AT929" s="13"/>
      <c r="AU929" s="13"/>
      <c r="AV929" s="13"/>
      <c r="AW929" s="13"/>
      <c r="AX929" s="48"/>
      <c r="AY929" s="48"/>
      <c r="AZ929" s="48"/>
      <c r="BA929" s="48"/>
      <c r="BB929" s="2"/>
      <c r="BC929" s="48"/>
      <c r="BD929" s="48"/>
      <c r="BE929" s="48"/>
      <c r="BF929" s="19"/>
      <c r="BG929" s="20"/>
      <c r="BH929" s="22"/>
      <c r="BI929" s="22"/>
      <c r="BJ929" s="14"/>
      <c r="BK929" s="22"/>
      <c r="BL929" s="14"/>
      <c r="BM929" s="14"/>
      <c r="BN929" s="14"/>
      <c r="BO929" s="17"/>
      <c r="BP929" s="23"/>
      <c r="BQ929" s="14"/>
      <c r="BR929" s="14"/>
      <c r="BS929" s="14"/>
      <c r="BT929" s="14"/>
      <c r="BU929" s="17"/>
      <c r="BV929" s="23"/>
      <c r="BW929" s="14"/>
      <c r="BX929" s="14"/>
      <c r="BY929" s="14"/>
      <c r="BZ929" s="14"/>
      <c r="CA929" s="17"/>
      <c r="CB929" s="23"/>
      <c r="CC929" s="14"/>
      <c r="CD929" s="14"/>
      <c r="CE929" s="14"/>
      <c r="CF929" s="14"/>
      <c r="CG929" s="17"/>
      <c r="CH929" s="23"/>
      <c r="CI929" s="14"/>
      <c r="CJ929" s="14"/>
      <c r="CK929" s="14"/>
      <c r="CL929" s="14"/>
      <c r="CM929" s="17"/>
      <c r="CN929" s="23"/>
      <c r="CO929" s="14"/>
      <c r="CP929" s="14"/>
      <c r="CQ929" s="14"/>
      <c r="CR929" s="14"/>
      <c r="CS929" s="17"/>
      <c r="CT929" s="23"/>
      <c r="CU929" s="14"/>
      <c r="CV929" s="14"/>
      <c r="CW929" s="14"/>
      <c r="CX929" s="14"/>
      <c r="CY929" s="14"/>
      <c r="CZ929" s="47"/>
      <c r="DA929" s="14"/>
      <c r="DB929" s="32"/>
      <c r="DC929" s="14"/>
      <c r="DD929" s="14"/>
      <c r="DE929" s="14"/>
      <c r="DF929" s="14"/>
      <c r="DG929" s="14"/>
      <c r="DH929" s="14"/>
      <c r="DI929" s="14"/>
      <c r="DJ929" s="25"/>
      <c r="DK929" s="14">
        <f>SUM(DF929:DJ929)</f>
        <v>0</v>
      </c>
      <c r="DL929" s="24" t="s">
        <v>1997</v>
      </c>
      <c r="DM929" s="25">
        <v>25100</v>
      </c>
      <c r="DN929" s="25">
        <v>6800</v>
      </c>
      <c r="DO929" s="25">
        <f>SUM(DM929+DN929)</f>
        <v>31900</v>
      </c>
      <c r="DP929" s="36">
        <v>3.54</v>
      </c>
      <c r="DQ929" s="18" t="s">
        <v>2452</v>
      </c>
      <c r="DR929" s="18" t="s">
        <v>2451</v>
      </c>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t="s">
        <v>2453</v>
      </c>
      <c r="EU929" s="18" t="s">
        <v>2454</v>
      </c>
      <c r="EV929" s="18"/>
      <c r="EW929" s="18" t="s">
        <v>567</v>
      </c>
      <c r="EX929" s="18" t="s">
        <v>821</v>
      </c>
      <c r="EY929" s="27">
        <v>39252</v>
      </c>
      <c r="EZ929" s="18" t="s">
        <v>2455</v>
      </c>
      <c r="FA929" s="18"/>
      <c r="FB929" s="18"/>
      <c r="FC929" s="18"/>
      <c r="FD929" s="18"/>
      <c r="FE929" s="18"/>
      <c r="FF929" s="18"/>
      <c r="FG929" s="18"/>
      <c r="FH929" s="18"/>
      <c r="FI929" s="18"/>
      <c r="FJ929" s="18"/>
      <c r="FK929" s="18"/>
      <c r="FL929" s="18"/>
      <c r="FM929" s="18"/>
      <c r="FN929" s="18"/>
      <c r="FO929" s="18" t="s">
        <v>421</v>
      </c>
      <c r="FP929" s="18" t="s">
        <v>2498</v>
      </c>
      <c r="FQ929" s="18" t="s">
        <v>2499</v>
      </c>
      <c r="FR929" s="18" t="s">
        <v>701</v>
      </c>
      <c r="FS929" s="18" t="s">
        <v>274</v>
      </c>
      <c r="FT929" s="18" t="s">
        <v>275</v>
      </c>
      <c r="FU929" s="27">
        <v>37162</v>
      </c>
      <c r="FV929" s="18" t="s">
        <v>2458</v>
      </c>
      <c r="FW929" s="18"/>
      <c r="FX929" s="18"/>
      <c r="FY929" s="18"/>
      <c r="FZ929" s="18" t="s">
        <v>2457</v>
      </c>
      <c r="GA929" s="18" t="s">
        <v>2456</v>
      </c>
      <c r="GB929" s="18" t="s">
        <v>2459</v>
      </c>
      <c r="GC929" s="18"/>
      <c r="GD929" s="18" t="s">
        <v>290</v>
      </c>
      <c r="GE929" s="18" t="s">
        <v>268</v>
      </c>
      <c r="GF929" s="27">
        <v>41827</v>
      </c>
      <c r="GG929" s="18" t="s">
        <v>2460</v>
      </c>
      <c r="GH929" s="18"/>
      <c r="GI929" s="18"/>
      <c r="GJ929" s="18"/>
      <c r="GK929" s="18" t="s">
        <v>382</v>
      </c>
      <c r="GL929" s="18" t="s">
        <v>383</v>
      </c>
      <c r="GM929" s="18" t="s">
        <v>384</v>
      </c>
      <c r="GN929" s="18" t="s">
        <v>385</v>
      </c>
      <c r="GO929" s="18" t="s">
        <v>386</v>
      </c>
      <c r="GP929" s="18" t="s">
        <v>260</v>
      </c>
      <c r="GQ929" s="27">
        <v>42144</v>
      </c>
      <c r="GR929" s="18" t="s">
        <v>2461</v>
      </c>
      <c r="GS929" s="18" t="s">
        <v>382</v>
      </c>
      <c r="GT929" s="18" t="s">
        <v>383</v>
      </c>
      <c r="GU929" s="18" t="s">
        <v>384</v>
      </c>
      <c r="GV929" s="18" t="s">
        <v>385</v>
      </c>
      <c r="GW929" s="18" t="s">
        <v>386</v>
      </c>
      <c r="GX929" s="18" t="s">
        <v>260</v>
      </c>
      <c r="GY929" s="27">
        <v>42298</v>
      </c>
      <c r="GZ929" s="18" t="s">
        <v>2462</v>
      </c>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row>
    <row r="930" spans="1:263" ht="15" customHeight="1">
      <c r="A930" s="19">
        <v>102021017</v>
      </c>
      <c r="B930" s="18" t="s">
        <v>2020</v>
      </c>
      <c r="C930" s="28"/>
      <c r="D930" s="159"/>
      <c r="E930" s="28"/>
      <c r="F930" s="149"/>
      <c r="G930" s="28"/>
      <c r="H930" s="28"/>
      <c r="I930" s="28"/>
      <c r="J930" s="28" t="s">
        <v>311</v>
      </c>
      <c r="K930" s="28" t="s">
        <v>2021</v>
      </c>
      <c r="L930" s="28" t="s">
        <v>1163</v>
      </c>
      <c r="M930" s="28" t="s">
        <v>256</v>
      </c>
      <c r="N930" s="28"/>
      <c r="O930" s="28"/>
      <c r="P930" s="28"/>
      <c r="Q930" s="28"/>
      <c r="R930" s="28"/>
      <c r="S930" s="28"/>
      <c r="T930" s="28"/>
      <c r="U930" s="28"/>
      <c r="V930" s="28"/>
      <c r="W930" s="28"/>
      <c r="X930" s="28"/>
      <c r="Y930" s="28"/>
      <c r="Z930" s="28"/>
      <c r="AA930" s="28"/>
      <c r="AB930" s="28"/>
      <c r="AC930" s="28"/>
      <c r="AD930" s="28" t="s">
        <v>5612</v>
      </c>
      <c r="AE930" s="28" t="s">
        <v>253</v>
      </c>
      <c r="AF930" s="28" t="s">
        <v>1185</v>
      </c>
      <c r="AG930" s="250" t="s">
        <v>5613</v>
      </c>
      <c r="AH930" s="28" t="s">
        <v>5614</v>
      </c>
      <c r="AI930" s="28" t="s">
        <v>3168</v>
      </c>
      <c r="AJ930" s="18" t="s">
        <v>328</v>
      </c>
      <c r="AK930" s="18"/>
      <c r="AL930" s="18" t="s">
        <v>329</v>
      </c>
      <c r="AM930" s="24"/>
      <c r="AN930" s="24"/>
      <c r="AO930" s="18" t="s">
        <v>2146</v>
      </c>
      <c r="AP930" s="13" t="s">
        <v>258</v>
      </c>
      <c r="AQ930" s="24" t="s">
        <v>329</v>
      </c>
      <c r="AR930" s="24" t="s">
        <v>260</v>
      </c>
      <c r="AS930" s="13"/>
      <c r="AT930" s="13"/>
      <c r="AU930" s="13"/>
      <c r="AV930" s="13"/>
      <c r="AW930" s="19"/>
      <c r="AY930" s="19"/>
      <c r="AZ930" s="19"/>
      <c r="BA930" s="19"/>
      <c r="BB930" s="2"/>
      <c r="BC930" s="48"/>
      <c r="BD930" s="115">
        <v>45415</v>
      </c>
      <c r="BE930" s="27"/>
      <c r="BF930" s="48"/>
      <c r="BG930" s="20"/>
      <c r="BH930" s="21"/>
      <c r="BI930" s="21"/>
      <c r="BJ930" s="48"/>
      <c r="BK930" s="21"/>
      <c r="BL930" s="20">
        <f ca="1">SUM(EB930)+220</f>
        <v>689.52406666666661</v>
      </c>
      <c r="BM930" s="22">
        <f ca="1">PMT(10%/12,12,BL930,0,0)</f>
        <v>-60.620120087444285</v>
      </c>
      <c r="BN930" s="22">
        <f ca="1">SUM(BM930*-1)</f>
        <v>60.620120087444285</v>
      </c>
      <c r="BO930" s="14">
        <f>SUM(EJ930*0.0052)/12</f>
        <v>9.2733333333333334</v>
      </c>
      <c r="BP930" s="22">
        <f ca="1">SUM(BN930+BO930)</f>
        <v>69.893453420777618</v>
      </c>
      <c r="BQ930" s="14">
        <v>0</v>
      </c>
      <c r="BR930" s="14">
        <f>SUM(BQ930*0.1)</f>
        <v>0</v>
      </c>
      <c r="BS930" s="14">
        <f ca="1">SUM(BT930*BU930)</f>
        <v>0</v>
      </c>
      <c r="BT930" s="17">
        <f>SUM((BQ930+BR930)*0.00833333333333333)</f>
        <v>0</v>
      </c>
      <c r="BU930" s="23">
        <f ca="1">MONTH(TODAY())+37</f>
        <v>41</v>
      </c>
      <c r="BV930" s="14">
        <f ca="1">SUM(BQ930,BR930,BS930)</f>
        <v>0</v>
      </c>
      <c r="BW930" s="14">
        <v>0</v>
      </c>
      <c r="BX930" s="14">
        <f>SUM(BW930*0.1)</f>
        <v>0</v>
      </c>
      <c r="BY930" s="14">
        <f ca="1">SUM(BZ930*CA930)</f>
        <v>0</v>
      </c>
      <c r="BZ930" s="17">
        <f>SUM((BW930+BX930)*0.00833333333333333)</f>
        <v>0</v>
      </c>
      <c r="CA930" s="23">
        <f ca="1">MONTH(TODAY())+37</f>
        <v>41</v>
      </c>
      <c r="CB930" s="14">
        <f ca="1">SUM(BW930,BX930,BY930)</f>
        <v>0</v>
      </c>
      <c r="CC930" s="14">
        <f>SUM(EG930*0.0052)/2</f>
        <v>47.839999999999996</v>
      </c>
      <c r="CD930" s="14">
        <f>SUM(CC930*0.1)</f>
        <v>4.7839999999999998</v>
      </c>
      <c r="CE930" s="14">
        <f ca="1">SUM(CF930*CG930)</f>
        <v>14.471599999999993</v>
      </c>
      <c r="CF930" s="17">
        <f>SUM((CC930+CD930)*0.00833333333333333)</f>
        <v>0.43853333333333311</v>
      </c>
      <c r="CG930" s="23">
        <f ca="1">MONTH(TODAY())+29</f>
        <v>33</v>
      </c>
      <c r="CH930" s="23">
        <f ca="1">SUM(CC930,CD930,CE930)</f>
        <v>67.09559999999999</v>
      </c>
      <c r="CI930" s="14">
        <f>SUM(EG930*0.0052)/2</f>
        <v>47.839999999999996</v>
      </c>
      <c r="CJ930" s="14">
        <f>SUM(CI930*0.1)</f>
        <v>4.7839999999999998</v>
      </c>
      <c r="CK930" s="14">
        <f ca="1">SUM(CL930*CM930)</f>
        <v>12.71746666666666</v>
      </c>
      <c r="CL930" s="17">
        <f>SUM((CI930+CJ930)*0.00833333333333333)</f>
        <v>0.43853333333333311</v>
      </c>
      <c r="CM930" s="23">
        <f ca="1">MONTH(TODAY())+25</f>
        <v>29</v>
      </c>
      <c r="CN930" s="14">
        <f ca="1">SUM(CI930,CJ930,CK930)</f>
        <v>65.341466666666662</v>
      </c>
      <c r="CO930" s="14">
        <f>SUM(EJ930*0.0045)/2</f>
        <v>48.15</v>
      </c>
      <c r="CP930" s="14">
        <f>SUM(CO930*0.1)</f>
        <v>4.8150000000000004</v>
      </c>
      <c r="CQ930" s="14">
        <f ca="1">SUM(CR930*CS930)</f>
        <v>10.151624999999996</v>
      </c>
      <c r="CR930" s="17">
        <f>SUM((CO930+CP930)*0.00833333333333333)</f>
        <v>0.4413749999999998</v>
      </c>
      <c r="CS930" s="23">
        <f ca="1">MONTH(TODAY())+19</f>
        <v>23</v>
      </c>
      <c r="CT930" s="14">
        <f ca="1">SUM(CO930,CP930,CQ930)</f>
        <v>63.116624999999992</v>
      </c>
      <c r="CU930" s="14">
        <f>SUM(EJ930*0.0045)/2</f>
        <v>48.15</v>
      </c>
      <c r="CV930" s="14">
        <f>SUM(CU930*0.1)</f>
        <v>4.8150000000000004</v>
      </c>
      <c r="CW930" s="14">
        <f ca="1">SUM(CX930*CY930)</f>
        <v>7.5033749999999966</v>
      </c>
      <c r="CX930" s="17">
        <f>SUM((CU930+CV930)*0.00833333333333333)</f>
        <v>0.4413749999999998</v>
      </c>
      <c r="CY930" s="23">
        <f ca="1">MONTH(TODAY())+13</f>
        <v>17</v>
      </c>
      <c r="CZ930" s="14">
        <f ca="1">SUM(CU930,CV930,CW930)</f>
        <v>60.468374999999995</v>
      </c>
      <c r="DA930" s="14">
        <f>SUM(EJ930*0.0045)/2</f>
        <v>48.15</v>
      </c>
      <c r="DB930" s="14">
        <f>SUM(DA930*0.1)</f>
        <v>4.8150000000000004</v>
      </c>
      <c r="DC930" s="14">
        <f ca="1">SUM(DD930*DE930)</f>
        <v>4.8551249999999975</v>
      </c>
      <c r="DD930" s="17">
        <f>SUM((DA930+DB930)*0.00833333333333333)</f>
        <v>0.4413749999999998</v>
      </c>
      <c r="DE930" s="23">
        <f ca="1">MONTH(TODAY())+7</f>
        <v>11</v>
      </c>
      <c r="DF930" s="14">
        <f ca="1">SUM(DA930,DB930,DC930)</f>
        <v>57.82012499999999</v>
      </c>
      <c r="DG930" s="14">
        <f>SUM(EJ930*0.0045)/2</f>
        <v>48.15</v>
      </c>
      <c r="DH930" s="14">
        <f>SUM(DG930*0.1)</f>
        <v>4.8150000000000004</v>
      </c>
      <c r="DI930" s="14">
        <f ca="1">SUM(DJ930*DK930)</f>
        <v>2.2068749999999988</v>
      </c>
      <c r="DJ930" s="17">
        <f>SUM((DG930+DH930)*0.00833333333333333)</f>
        <v>0.4413749999999998</v>
      </c>
      <c r="DK930" s="23">
        <f ca="1">MONTH(TODAY())+1</f>
        <v>5</v>
      </c>
      <c r="DL930" s="14">
        <f ca="1">SUM(DG930,DH930,DI930)</f>
        <v>55.171874999999993</v>
      </c>
      <c r="DM930" s="14">
        <f>SUM(BQ930, BW930, CC930,CI930,CO930,CU930,DA930,DG930)</f>
        <v>288.27999999999997</v>
      </c>
      <c r="DN930" s="14">
        <f>SUM(BR930,BX930, CD930,CJ930,CP930,CV930,DB930,DH930)</f>
        <v>28.828000000000003</v>
      </c>
      <c r="DO930" s="14">
        <f ca="1">SUM(BS930,BY930, CE930,CK930,CQ930,CW930,DC930,DI930)</f>
        <v>51.906066666666646</v>
      </c>
      <c r="DP930" s="25">
        <f ca="1">SUM(DM930:DO930)</f>
        <v>369.01406666666662</v>
      </c>
      <c r="DQ930" s="47">
        <f ca="1">SUM(DP930/EG930)</f>
        <v>2.0055112318840579E-2</v>
      </c>
      <c r="DR930" s="14">
        <f>20+10+40</f>
        <v>70</v>
      </c>
      <c r="DS930" s="32">
        <f>COUNTIF(AO930, "*")+COUNTIF(AJ930, "*")+COUNTIF(AA930, "*")+COUNTIF(EU930, "*")+COUNTIF(FA930, "*")+COUNTIF(FG930, "*")+COUNTIF(FK930, "*")+COUNTIF(FR930, "*")+COUNTIF(AS930, "*")+COUNTIF(GA930, "*")+COUNTIF(GL930, "*")+COUNTIF(GW930, "*")+COUNTIF(HE930, "*")+COUNTIF(HM930, "*")+COUNTIF(HU930, "*")</f>
        <v>6</v>
      </c>
      <c r="DT930" s="14">
        <f>DS930*0.64</f>
        <v>3.84</v>
      </c>
      <c r="DU930" s="4">
        <v>26.67</v>
      </c>
      <c r="DV930" s="4"/>
      <c r="DW930" s="4"/>
      <c r="DX930" s="4"/>
      <c r="DY930" s="4"/>
      <c r="DZ930" s="4"/>
      <c r="EA930" s="14">
        <f>SUM(DU930:DZ930)</f>
        <v>26.67</v>
      </c>
      <c r="EB930" s="14">
        <f ca="1">SUM(DP930,DR930,EA930,DT930,FX930)</f>
        <v>469.52406666666661</v>
      </c>
      <c r="EC930" s="24" t="s">
        <v>4935</v>
      </c>
      <c r="ED930" s="36">
        <v>1.67</v>
      </c>
      <c r="EE930" s="4">
        <v>18400</v>
      </c>
      <c r="EF930" s="4">
        <v>0</v>
      </c>
      <c r="EG930" s="14">
        <f>SUM(EE930+EF930)</f>
        <v>18400</v>
      </c>
      <c r="EH930" s="4">
        <v>21400</v>
      </c>
      <c r="EI930" s="4">
        <v>0</v>
      </c>
      <c r="EJ930" s="14">
        <f>SUM(EH930+EI930)</f>
        <v>21400</v>
      </c>
      <c r="EK930" s="28" t="s">
        <v>2450</v>
      </c>
      <c r="EL930" s="28" t="s">
        <v>2451</v>
      </c>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c r="FL930" s="28"/>
      <c r="FM930" s="28"/>
      <c r="FN930" s="28" t="s">
        <v>2453</v>
      </c>
      <c r="FO930" s="27" t="s">
        <v>2454</v>
      </c>
      <c r="FP930" s="28"/>
      <c r="FQ930" s="28" t="s">
        <v>567</v>
      </c>
      <c r="FR930" s="28" t="s">
        <v>821</v>
      </c>
      <c r="FS930" s="28">
        <v>39252</v>
      </c>
      <c r="FT930" s="28" t="s">
        <v>2455</v>
      </c>
      <c r="FU930" s="28"/>
      <c r="FV930" s="27"/>
      <c r="FW930" s="28"/>
      <c r="FX930" s="28"/>
      <c r="FY930" s="28"/>
      <c r="FZ930" s="28"/>
      <c r="GA930" s="28"/>
      <c r="GB930" s="28"/>
      <c r="GC930" s="28"/>
      <c r="GD930" s="28"/>
      <c r="GE930" s="27"/>
      <c r="GF930" s="28"/>
      <c r="GG930" s="28"/>
      <c r="GH930" s="28"/>
      <c r="GI930" s="28" t="s">
        <v>421</v>
      </c>
      <c r="GJ930" s="28" t="s">
        <v>2498</v>
      </c>
      <c r="GK930" s="28" t="s">
        <v>2499</v>
      </c>
      <c r="GL930" s="28" t="s">
        <v>701</v>
      </c>
      <c r="GM930" s="28" t="s">
        <v>274</v>
      </c>
      <c r="GN930" s="28" t="s">
        <v>275</v>
      </c>
      <c r="GO930" s="28">
        <v>37162</v>
      </c>
      <c r="GP930" s="27" t="s">
        <v>2458</v>
      </c>
      <c r="GQ930" s="28"/>
      <c r="GR930" s="28"/>
      <c r="GS930" s="28"/>
      <c r="GT930" s="28" t="s">
        <v>2457</v>
      </c>
      <c r="GU930" s="28" t="s">
        <v>2456</v>
      </c>
      <c r="GV930" s="28" t="s">
        <v>2459</v>
      </c>
      <c r="GW930" s="28"/>
      <c r="GX930" s="28" t="s">
        <v>290</v>
      </c>
      <c r="GY930" s="28" t="s">
        <v>268</v>
      </c>
      <c r="GZ930" s="28">
        <v>41827</v>
      </c>
      <c r="HA930" s="27" t="s">
        <v>2460</v>
      </c>
      <c r="HB930" s="28"/>
      <c r="HC930" s="28"/>
      <c r="HD930" s="28"/>
      <c r="HE930" s="28" t="s">
        <v>382</v>
      </c>
      <c r="HF930" s="28" t="s">
        <v>383</v>
      </c>
      <c r="HG930" s="28" t="s">
        <v>384</v>
      </c>
      <c r="HH930" s="28" t="s">
        <v>385</v>
      </c>
      <c r="HI930" s="27" t="s">
        <v>386</v>
      </c>
      <c r="HJ930" s="28" t="s">
        <v>260</v>
      </c>
      <c r="HK930" s="28">
        <v>42144</v>
      </c>
      <c r="HL930" s="28" t="s">
        <v>2461</v>
      </c>
      <c r="HM930" s="28" t="s">
        <v>382</v>
      </c>
      <c r="HN930" s="28" t="s">
        <v>383</v>
      </c>
      <c r="HO930" s="28" t="s">
        <v>384</v>
      </c>
      <c r="HP930" s="28" t="s">
        <v>385</v>
      </c>
      <c r="HQ930" s="27" t="s">
        <v>386</v>
      </c>
      <c r="HR930" s="28" t="s">
        <v>260</v>
      </c>
      <c r="HS930" s="28">
        <v>42298</v>
      </c>
      <c r="HT930" s="28" t="s">
        <v>2462</v>
      </c>
      <c r="HU930" s="28"/>
      <c r="HV930" s="28"/>
      <c r="HW930" s="28"/>
      <c r="HX930" s="28"/>
      <c r="HY930" s="27"/>
      <c r="HZ930" s="14"/>
      <c r="IA930" s="14"/>
      <c r="IB930" s="28"/>
      <c r="IC930" s="28"/>
      <c r="ID930" s="28"/>
      <c r="IE930" s="28"/>
      <c r="IF930" s="14"/>
      <c r="IG930" s="14"/>
      <c r="IH930" s="14"/>
      <c r="II930" s="14"/>
      <c r="IJ930" s="14"/>
      <c r="IK930" s="27"/>
      <c r="IL930" s="27"/>
      <c r="IM930" s="27"/>
      <c r="IN930" s="27"/>
      <c r="IO930" s="27"/>
      <c r="IP930" s="27" t="s">
        <v>5913</v>
      </c>
    </row>
    <row r="931" spans="1:263" ht="15" customHeight="1">
      <c r="A931">
        <v>102024141</v>
      </c>
      <c r="B931" t="s">
        <v>5485</v>
      </c>
      <c r="D931" s="1"/>
      <c r="E931" s="3" t="s">
        <v>5891</v>
      </c>
      <c r="F931" s="2" t="s">
        <v>4659</v>
      </c>
      <c r="G931" s="3"/>
      <c r="J931" t="s">
        <v>554</v>
      </c>
      <c r="K931" t="s">
        <v>5718</v>
      </c>
      <c r="L931" t="s">
        <v>5486</v>
      </c>
      <c r="M931" t="s">
        <v>5487</v>
      </c>
      <c r="O931" s="3"/>
      <c r="P931" t="s">
        <v>956</v>
      </c>
      <c r="Q931" t="s">
        <v>5488</v>
      </c>
      <c r="R931" t="s">
        <v>357</v>
      </c>
      <c r="AG931" s="43"/>
      <c r="AJ931" s="18" t="s">
        <v>328</v>
      </c>
      <c r="AK931" s="1"/>
      <c r="AL931" t="s">
        <v>329</v>
      </c>
      <c r="AM931"/>
      <c r="AN931"/>
      <c r="AO931" t="s">
        <v>5489</v>
      </c>
      <c r="AP931" s="1" t="s">
        <v>258</v>
      </c>
      <c r="AQ931" s="18" t="s">
        <v>5490</v>
      </c>
      <c r="AR931"/>
      <c r="AS931" s="10"/>
      <c r="AT931" s="10"/>
      <c r="AU931" s="10"/>
      <c r="AV931" s="10"/>
      <c r="AW931" s="1"/>
      <c r="AY931" s="1"/>
      <c r="AZ931" s="1" t="s">
        <v>258</v>
      </c>
      <c r="BA931" s="1" t="s">
        <v>258</v>
      </c>
      <c r="BB931" s="1" t="s">
        <v>258</v>
      </c>
      <c r="BC931" s="70">
        <v>45475</v>
      </c>
      <c r="BD931" s="115">
        <v>45415</v>
      </c>
      <c r="BE931" s="144">
        <v>45433</v>
      </c>
      <c r="BF931" s="70">
        <v>45534</v>
      </c>
      <c r="BG931" s="20" t="s">
        <v>319</v>
      </c>
      <c r="BH931" s="21">
        <v>45520</v>
      </c>
      <c r="BI931" s="21">
        <v>45527</v>
      </c>
      <c r="BJ931" s="70">
        <v>45548</v>
      </c>
      <c r="BK931" s="70" t="s">
        <v>319</v>
      </c>
      <c r="BL931" s="20">
        <f ca="1">SUM(EH931)+220</f>
        <v>1446.8095916666666</v>
      </c>
      <c r="BM931" s="22">
        <f ca="1">PMT(10%/12,12,BL931,0,0)</f>
        <v>-127.1975489042629</v>
      </c>
      <c r="BN931" s="22">
        <f ca="1">SUM(BM931*-1)</f>
        <v>127.1975489042629</v>
      </c>
      <c r="BO931" s="14">
        <f>SUM(EP931*0.0052)/12</f>
        <v>19.153333333333332</v>
      </c>
      <c r="BP931" s="22">
        <f ca="1">SUM(BN931+BO931)</f>
        <v>146.35088223759624</v>
      </c>
      <c r="BQ931" s="14"/>
      <c r="BR931" s="14">
        <f>SUM(BQ931*0.1)</f>
        <v>0</v>
      </c>
      <c r="BS931" s="14">
        <f ca="1">SUM(BT931*BU931)</f>
        <v>0</v>
      </c>
      <c r="BT931" s="17">
        <f>SUM((BQ931+BR931)*0.00833333333333333)</f>
        <v>0</v>
      </c>
      <c r="BU931" s="23">
        <f ca="1">MONTH(TODAY())+49</f>
        <v>53</v>
      </c>
      <c r="BV931" s="14">
        <f ca="1">SUM(BQ931,BR931,BS931)</f>
        <v>0</v>
      </c>
      <c r="BW931" s="14">
        <v>0</v>
      </c>
      <c r="BX931" s="14">
        <f>SUM(BW931*0.1)</f>
        <v>0</v>
      </c>
      <c r="BY931" s="14">
        <f ca="1">SUM(BZ931*CA931)</f>
        <v>0</v>
      </c>
      <c r="BZ931" s="17">
        <f>SUM((BW931+BX931)*0.00833333333333333)</f>
        <v>0</v>
      </c>
      <c r="CA931" s="23">
        <f ca="1">MONTH(TODAY())+37</f>
        <v>41</v>
      </c>
      <c r="CB931" s="14">
        <f ca="1">SUM(BW931,BX931,BY931)</f>
        <v>0</v>
      </c>
      <c r="CC931" s="14">
        <v>0</v>
      </c>
      <c r="CD931" s="14">
        <f>SUM(CC931*0.1)</f>
        <v>0</v>
      </c>
      <c r="CE931" s="14">
        <f ca="1">SUM(CF931*CG931)</f>
        <v>0</v>
      </c>
      <c r="CF931" s="17">
        <f>SUM((CC931+CD931)*0.00833333333333333)</f>
        <v>0</v>
      </c>
      <c r="CG931" s="23">
        <f ca="1">MONTH(TODAY())+25</f>
        <v>29</v>
      </c>
      <c r="CH931" s="14">
        <f ca="1">SUM(CC931,CD931,CE931)</f>
        <v>0</v>
      </c>
      <c r="CI931" s="14">
        <f>SUM(EM931*0.0052)/2-45.63</f>
        <v>43.54999999999999</v>
      </c>
      <c r="CJ931" s="14">
        <f>SUM(CI931*0.1)</f>
        <v>4.3549999999999995</v>
      </c>
      <c r="CK931" s="14">
        <f ca="1">SUM(CL931*CM931)</f>
        <v>8.3833749999999938</v>
      </c>
      <c r="CL931" s="17">
        <f>SUM((CI931+CJ931)*0.00833333333333333)</f>
        <v>0.39920833333333305</v>
      </c>
      <c r="CM931" s="23">
        <f ca="1">MONTH(TODAY())+17</f>
        <v>21</v>
      </c>
      <c r="CN931" s="23">
        <f ca="1">SUM(CI931,CJ931,CK931)</f>
        <v>56.288374999999981</v>
      </c>
      <c r="CO931" s="14">
        <f>SUM(EM931*0.0052)/2</f>
        <v>89.179999999999993</v>
      </c>
      <c r="CP931" s="14">
        <f>SUM(CO931*0.1)</f>
        <v>8.9179999999999993</v>
      </c>
      <c r="CQ931" s="14">
        <f ca="1">SUM(CR931*CS931)</f>
        <v>13.89721666666666</v>
      </c>
      <c r="CR931" s="17">
        <f>SUM((CO931+CP931)*0.00833333333333333)</f>
        <v>0.8174833333333329</v>
      </c>
      <c r="CS931" s="23">
        <f ca="1">MONTH(TODAY())+13</f>
        <v>17</v>
      </c>
      <c r="CT931" s="23">
        <f ca="1">SUM(CO931,CP931,CQ931)</f>
        <v>111.99521666666665</v>
      </c>
      <c r="CU931" s="14">
        <f>SUM(EP931*0.0045)/2</f>
        <v>99.449999999999989</v>
      </c>
      <c r="CV931" s="14">
        <f>SUM(CU931*0.1)</f>
        <v>9.9450000000000003</v>
      </c>
      <c r="CW931" s="14">
        <f ca="1">SUM(CX931*CY931)</f>
        <v>10.027874999999995</v>
      </c>
      <c r="CX931" s="17">
        <f>SUM((CU931+CV931)*0.00833333333333333)</f>
        <v>0.91162499999999946</v>
      </c>
      <c r="CY931" s="23">
        <f ca="1">MONTH(TODAY())+7</f>
        <v>11</v>
      </c>
      <c r="CZ931" s="23">
        <f ca="1">SUM(CU931,CV931,CW931)</f>
        <v>119.42287499999998</v>
      </c>
      <c r="DA931" s="14">
        <f>SUM(EP931*0.0045)/2</f>
        <v>99.449999999999989</v>
      </c>
      <c r="DB931" s="14">
        <f>SUM(DA931*0.1)</f>
        <v>9.9450000000000003</v>
      </c>
      <c r="DC931" s="14">
        <f ca="1">SUM(DD931*DE931)</f>
        <v>4.5581249999999969</v>
      </c>
      <c r="DD931" s="17">
        <f>SUM((DA931+DB931)*0.00833333333333333)</f>
        <v>0.91162499999999946</v>
      </c>
      <c r="DE931" s="23">
        <f ca="1">MONTH(TODAY())+1</f>
        <v>5</v>
      </c>
      <c r="DF931" s="14">
        <f ca="1">SUM(DA931,DB931,DC931)</f>
        <v>113.95312499999997</v>
      </c>
      <c r="DG931" s="14">
        <f>SUM(EP931*0.0045)/2</f>
        <v>99.449999999999989</v>
      </c>
      <c r="DH931" s="14">
        <f>0</f>
        <v>0</v>
      </c>
      <c r="DI931" s="14">
        <f>0</f>
        <v>0</v>
      </c>
      <c r="DJ931" s="17">
        <f>SUM((DG931+DH931)*0.00833333333333333)</f>
        <v>0.82874999999999954</v>
      </c>
      <c r="DK931" s="23">
        <f ca="1">MONTH(TODAY())+7</f>
        <v>11</v>
      </c>
      <c r="DL931" s="23">
        <f>SUM(DG931,DH931,DI931)</f>
        <v>99.449999999999989</v>
      </c>
      <c r="DM931" s="14">
        <f>0</f>
        <v>0</v>
      </c>
      <c r="DN931" s="14">
        <f>0</f>
        <v>0</v>
      </c>
      <c r="DO931" s="14">
        <f ca="1">SUM(DP931*DQ931)</f>
        <v>0</v>
      </c>
      <c r="DP931" s="17">
        <f>SUM((DM931+DN931)*0.00833333333333333)</f>
        <v>0</v>
      </c>
      <c r="DQ931" s="23">
        <f ca="1">MONTH(TODAY())+1</f>
        <v>5</v>
      </c>
      <c r="DR931" s="14">
        <f ca="1">SUM(DM931,DN931,DO931)</f>
        <v>0</v>
      </c>
      <c r="DS931" s="14">
        <f>SUM(BQ931, BW931, CC931, CI931,CO931,CU931,DA931,DG931,DM931)</f>
        <v>431.08</v>
      </c>
      <c r="DT931" s="14">
        <f>SUM(BR931,BX931,CD931, CJ931,CP931,CV931,DB931,DH931,DN931)</f>
        <v>33.162999999999997</v>
      </c>
      <c r="DU931" s="14">
        <f ca="1">SUM(BS931,BY931,CE931, CK931,CQ931,CW931,DC931,DI931,DO931)</f>
        <v>36.866591666666643</v>
      </c>
      <c r="DV931" s="25">
        <f ca="1">SUM(DS931:DU931)</f>
        <v>501.10959166666663</v>
      </c>
      <c r="DW931" s="47">
        <f ca="1">SUM(DV931/EM931)</f>
        <v>1.4609609086491738E-2</v>
      </c>
      <c r="DX931" s="14">
        <f>20+10+200+200</f>
        <v>430</v>
      </c>
      <c r="DY931" s="32">
        <f>COUNTIF(AO931, "*")+COUNTIF(AJ931, "*")+COUNTIF(AA931, "*")+COUNTIF(FA931, "*")+COUNTIF(FG931, "*")+COUNTIF(FM931, "*")+COUNTIF(FQ931, "*")+COUNTIF(FX931, "*")+COUNTIF(AT931, "*")+COUNTIF(GG931, "*")+COUNTIF(GR931, "*")+COUNTIF(HC931, "*")+COUNTIF(HK931, "*")+COUNTIF(HS931, "*")+COUNTIF(IA931, "*")</f>
        <v>3</v>
      </c>
      <c r="DZ931" s="14">
        <f>1.28+DY931*8</f>
        <v>25.28</v>
      </c>
      <c r="EA931" s="4">
        <v>150</v>
      </c>
      <c r="EB931" s="4">
        <v>26.67</v>
      </c>
      <c r="EC931" s="4">
        <v>93.75</v>
      </c>
      <c r="ED931" s="4"/>
      <c r="EF931" s="4"/>
      <c r="EG931" s="14">
        <f>SUM(EB931:EF931)</f>
        <v>120.42</v>
      </c>
      <c r="EH931" s="14">
        <f ca="1">SUM(DV931,DX931,EG931, EA931, DZ931,GD931)</f>
        <v>1226.8095916666666</v>
      </c>
      <c r="EI931" s="24" t="s">
        <v>4935</v>
      </c>
      <c r="EJ931" s="23">
        <v>7.91</v>
      </c>
      <c r="EK931" s="14">
        <v>34300</v>
      </c>
      <c r="EL931" s="14">
        <v>0</v>
      </c>
      <c r="EM931" s="14">
        <f>SUM(EK931+EL931)</f>
        <v>34300</v>
      </c>
      <c r="EN931" s="14">
        <v>44200</v>
      </c>
      <c r="EO931" s="14">
        <v>0</v>
      </c>
      <c r="EP931" s="14">
        <f>SUM(EN931+EO931)</f>
        <v>44200</v>
      </c>
      <c r="EQ931" s="10" t="s">
        <v>5719</v>
      </c>
      <c r="ER931" s="10" t="s">
        <v>5720</v>
      </c>
      <c r="ES931" s="10"/>
      <c r="ET931" s="10"/>
      <c r="EU931" s="10"/>
      <c r="EV931" s="10"/>
      <c r="EW931" s="10"/>
      <c r="EX931" s="10"/>
      <c r="EY931" t="s">
        <v>5860</v>
      </c>
      <c r="FA931" t="s">
        <v>5861</v>
      </c>
      <c r="FC931" t="s">
        <v>5862</v>
      </c>
      <c r="GD931" s="4"/>
      <c r="IE931" s="9"/>
      <c r="IN931" s="4"/>
      <c r="IO931" s="4"/>
      <c r="IP931" s="4"/>
      <c r="IQ931" s="9"/>
      <c r="IR931" s="9"/>
      <c r="IS931" s="9"/>
      <c r="IT931" s="9"/>
      <c r="IU931" s="9"/>
    </row>
    <row r="932" spans="1:263" ht="15" customHeight="1">
      <c r="A932" s="2">
        <v>102024155</v>
      </c>
      <c r="B932" t="s">
        <v>5532</v>
      </c>
      <c r="D932" s="1"/>
      <c r="E932" s="3"/>
      <c r="G932" s="3" t="s">
        <v>5591</v>
      </c>
      <c r="J932" t="s">
        <v>311</v>
      </c>
      <c r="K932" t="s">
        <v>5533</v>
      </c>
      <c r="L932" t="s">
        <v>427</v>
      </c>
      <c r="O932" s="3"/>
      <c r="AG932" s="43"/>
      <c r="AJ932" s="18" t="s">
        <v>328</v>
      </c>
      <c r="AK932" s="1"/>
      <c r="AL932" t="s">
        <v>329</v>
      </c>
      <c r="AM932"/>
      <c r="AN932"/>
      <c r="AO932" t="s">
        <v>5534</v>
      </c>
      <c r="AP932" s="1" t="s">
        <v>258</v>
      </c>
      <c r="AQ932" s="18" t="s">
        <v>5535</v>
      </c>
      <c r="AR932"/>
      <c r="AS932" s="10"/>
      <c r="AT932" s="10"/>
      <c r="AU932" s="10"/>
      <c r="AV932" s="10"/>
      <c r="AW932" s="10"/>
      <c r="AX932" s="1"/>
      <c r="AY932" s="1"/>
      <c r="AZ932" s="1"/>
      <c r="BA932" s="1"/>
      <c r="BB932" s="1"/>
      <c r="BC932" s="2"/>
      <c r="BD932" s="116"/>
      <c r="BE932" s="144"/>
      <c r="BF932" s="2"/>
      <c r="BG932" s="2"/>
      <c r="BH932" s="2"/>
      <c r="BI932" s="2"/>
      <c r="BJ932" s="2"/>
      <c r="BK932" s="2"/>
      <c r="BL932" s="20">
        <f ca="1">SUM(EN932)+220</f>
        <v>957.23186666666652</v>
      </c>
      <c r="BM932" s="22">
        <f ca="1">PMT(10%/12,12,BL932,0,0)</f>
        <v>-84.155888842838237</v>
      </c>
      <c r="BN932" s="22">
        <f ca="1">SUM(BM932*-1)</f>
        <v>84.155888842838237</v>
      </c>
      <c r="BO932" s="14">
        <f>SUM(EV932*0.0052)/12</f>
        <v>25.263333333333332</v>
      </c>
      <c r="BP932" s="22">
        <f ca="1">SUM(BN932+BO932)</f>
        <v>109.41922217617157</v>
      </c>
      <c r="BQ932" s="14"/>
      <c r="BR932" s="14">
        <f>SUM(BQ932*0.1)</f>
        <v>0</v>
      </c>
      <c r="BS932" s="14">
        <f ca="1">SUM(BT932*BU932)</f>
        <v>0</v>
      </c>
      <c r="BT932" s="17">
        <f>SUM((BQ932+BR932)*0.00833333333333333)</f>
        <v>0</v>
      </c>
      <c r="BU932" s="23">
        <f ca="1">MONTH(TODAY())+61</f>
        <v>65</v>
      </c>
      <c r="BV932" s="14">
        <f ca="1">SUM(BQ932,BR932,BS932)</f>
        <v>0</v>
      </c>
      <c r="BW932" s="14"/>
      <c r="BX932" s="14">
        <f>SUM(BW932*0.1)</f>
        <v>0</v>
      </c>
      <c r="BY932" s="14">
        <f ca="1">SUM(BZ932*CA932)</f>
        <v>0</v>
      </c>
      <c r="BZ932" s="17">
        <f>SUM((BW932+BX932)*0.00833333333333333)</f>
        <v>0</v>
      </c>
      <c r="CA932" s="23">
        <f ca="1">MONTH(TODAY())+49</f>
        <v>53</v>
      </c>
      <c r="CB932" s="14">
        <f ca="1">SUM(BW932,BX932,BY932)</f>
        <v>0</v>
      </c>
      <c r="CC932" s="14">
        <v>0</v>
      </c>
      <c r="CD932" s="14">
        <f>SUM(CC932*0.1)</f>
        <v>0</v>
      </c>
      <c r="CE932" s="14">
        <f ca="1">SUM(CF932*CG932)</f>
        <v>0</v>
      </c>
      <c r="CF932" s="17">
        <f>SUM((CC932+CD932)*0.00833333333333333)</f>
        <v>0</v>
      </c>
      <c r="CG932" s="23">
        <f ca="1">MONTH(TODAY())+37</f>
        <v>41</v>
      </c>
      <c r="CH932" s="14">
        <f ca="1">SUM(CC932,CD932,CE932)</f>
        <v>0</v>
      </c>
      <c r="CI932" s="14">
        <v>0</v>
      </c>
      <c r="CJ932" s="14">
        <f>SUM(CI932*0.1)</f>
        <v>0</v>
      </c>
      <c r="CK932" s="14">
        <f ca="1">SUM(CL932*CM932)</f>
        <v>0</v>
      </c>
      <c r="CL932" s="17">
        <f>SUM((CI932+CJ932)*0.00833333333333333)</f>
        <v>0</v>
      </c>
      <c r="CM932" s="23">
        <f ca="1">MONTH(TODAY())+25</f>
        <v>29</v>
      </c>
      <c r="CN932" s="14">
        <f ca="1">SUM(CI932,CJ932,CK932)</f>
        <v>0</v>
      </c>
      <c r="CO932" s="14">
        <f>SUM(ES932*0.0052)/2</f>
        <v>108.67999999999999</v>
      </c>
      <c r="CP932" s="14">
        <f>SUM(CO932*0.1)</f>
        <v>10.868</v>
      </c>
      <c r="CQ932" s="14">
        <f ca="1">SUM(CR932*CS932)</f>
        <v>20.920899999999989</v>
      </c>
      <c r="CR932" s="17">
        <f>SUM((CO932+CP932)*0.00833333333333333)</f>
        <v>0.99623333333333275</v>
      </c>
      <c r="CS932" s="23">
        <f ca="1">MONTH(TODAY())+17</f>
        <v>21</v>
      </c>
      <c r="CT932" s="23">
        <f ca="1">SUM(CO932,CP932,CQ932)</f>
        <v>140.46889999999996</v>
      </c>
      <c r="CU932" s="14">
        <f>SUM(ES932*0.0052)/2</f>
        <v>108.67999999999999</v>
      </c>
      <c r="CV932" s="14">
        <f>SUM(CU932*0.1)</f>
        <v>10.868</v>
      </c>
      <c r="CW932" s="14">
        <f ca="1">SUM(CX932*CY932)</f>
        <v>16.935966666666658</v>
      </c>
      <c r="CX932" s="17">
        <f>SUM((CU932+CV932)*0.00833333333333333)</f>
        <v>0.99623333333333275</v>
      </c>
      <c r="CY932" s="23">
        <f ca="1">MONTH(TODAY())+13</f>
        <v>17</v>
      </c>
      <c r="CZ932" s="23">
        <f ca="1">SUM(CU932,CV932,CW932)</f>
        <v>136.48396666666665</v>
      </c>
      <c r="DA932" s="14">
        <f>SUM(EV932*0.0045)/2</f>
        <v>131.17499999999998</v>
      </c>
      <c r="DB932" s="14">
        <f>SUM(DA932*0.1)</f>
        <v>13.1175</v>
      </c>
      <c r="DC932" s="14">
        <f ca="1">SUM(DD932*DE932)</f>
        <v>13.226812499999994</v>
      </c>
      <c r="DD932" s="17">
        <f>SUM((DA932+DB932)*0.00833333333333333)</f>
        <v>1.2024374999999994</v>
      </c>
      <c r="DE932" s="23">
        <f ca="1">MONTH(TODAY())+7</f>
        <v>11</v>
      </c>
      <c r="DF932" s="23">
        <f ca="1">SUM(DA932,DB932,DC932)</f>
        <v>157.51931249999998</v>
      </c>
      <c r="DG932" s="14">
        <f>SUM(EV932*0.0045)/2</f>
        <v>131.17499999999998</v>
      </c>
      <c r="DH932" s="14">
        <f>SUM(DG932*0.1)</f>
        <v>13.1175</v>
      </c>
      <c r="DI932" s="14">
        <f ca="1">SUM(DJ932*DK932)</f>
        <v>6.0121874999999969</v>
      </c>
      <c r="DJ932" s="17">
        <f>SUM((DG932+DH932)*0.00833333333333333)</f>
        <v>1.2024374999999994</v>
      </c>
      <c r="DK932" s="23">
        <f ca="1">MONTH(TODAY())+1</f>
        <v>5</v>
      </c>
      <c r="DL932" s="14">
        <f ca="1">SUM(DG932,DH932,DI932)</f>
        <v>150.3046875</v>
      </c>
      <c r="DM932" s="14">
        <f>SUM(EV932*0.0045)/2</f>
        <v>131.17499999999998</v>
      </c>
      <c r="DN932" s="14">
        <f>0</f>
        <v>0</v>
      </c>
      <c r="DO932" s="14">
        <f>0</f>
        <v>0</v>
      </c>
      <c r="DP932" s="17">
        <f>SUM((DM932+DN932)*0.00833333333333333)</f>
        <v>1.0931249999999995</v>
      </c>
      <c r="DQ932" s="23">
        <f ca="1">MONTH(TODAY())+7</f>
        <v>11</v>
      </c>
      <c r="DR932" s="23">
        <f>SUM(DM932,DN932,DO932)</f>
        <v>131.17499999999998</v>
      </c>
      <c r="DS932" s="14">
        <f>0</f>
        <v>0</v>
      </c>
      <c r="DT932" s="14">
        <f>0</f>
        <v>0</v>
      </c>
      <c r="DU932" s="14">
        <f ca="1">SUM(DV932*DW932)</f>
        <v>0</v>
      </c>
      <c r="DV932" s="17">
        <f>SUM((DS932+DT932)*0.00833333333333333)</f>
        <v>0</v>
      </c>
      <c r="DW932" s="23">
        <f ca="1">MONTH(TODAY())+1</f>
        <v>5</v>
      </c>
      <c r="DX932" s="14">
        <f ca="1">SUM(DS932,DT932,DU932)</f>
        <v>0</v>
      </c>
      <c r="DY932" s="14">
        <f>SUM( BQ932, BW932, CC932, CI932, CO932,CU932,DA932,DG932,DM932,DS932)</f>
        <v>610.88499999999988</v>
      </c>
      <c r="DZ932" s="14">
        <f>SUM(BR932,BX932,CD932,CJ932, CP932,CV932,DB932,DH932,DN932,DT932)</f>
        <v>47.970999999999997</v>
      </c>
      <c r="EA932" s="14">
        <f ca="1">SUM(BS932,BY932,CE932,CK932, CQ932,CW932,DC932,DI932,DO932,DU932)</f>
        <v>57.095866666666637</v>
      </c>
      <c r="EB932" s="25">
        <f ca="1">SUM(DY932:EA932)</f>
        <v>715.95186666666655</v>
      </c>
      <c r="EC932" s="47">
        <f ca="1">SUM(EB932/ES932)</f>
        <v>1.7128035087719297E-2</v>
      </c>
      <c r="ED932" s="14">
        <f>20</f>
        <v>20</v>
      </c>
      <c r="EE932" s="32">
        <f>COUNTIF(AO932, "*")+COUNTIF(AJ932, "*")+COUNTIF(AA932, "*")+COUNTIF(FG932, "*")+COUNTIF(FM932, "*")+COUNTIF(FS932, "*")+COUNTIF(FW932, "*")+COUNTIF(GD932, "*")+COUNTIF(AT932, "*")+COUNTIF(GM932, "*")+COUNTIF(GX932, "*")+COUNTIF(HI932, "*")+COUNTIF(HQ932, "*")+COUNTIF(HY932, "*")+COUNTIF(IG932, "*")</f>
        <v>2</v>
      </c>
      <c r="EF932" s="14">
        <f>EE932*0.64</f>
        <v>1.28</v>
      </c>
      <c r="EG932" s="4"/>
      <c r="EH932" s="4"/>
      <c r="EI932" s="4"/>
      <c r="EJ932" s="4"/>
      <c r="EL932" s="4"/>
      <c r="EM932" s="14">
        <f>SUM(EH932:EL932)</f>
        <v>0</v>
      </c>
      <c r="EN932" s="14">
        <f ca="1">SUM(EB932,ED932,EM932, EG932, EF932,GJ932)</f>
        <v>737.23186666666652</v>
      </c>
      <c r="EO932" s="24" t="s">
        <v>4935</v>
      </c>
      <c r="EP932" s="23">
        <v>12.2</v>
      </c>
      <c r="EQ932" s="14">
        <v>41800</v>
      </c>
      <c r="ER932" s="14">
        <v>0</v>
      </c>
      <c r="ES932" s="14">
        <f>SUM(EQ932+ER932)</f>
        <v>41800</v>
      </c>
      <c r="ET932" s="14">
        <v>58300</v>
      </c>
      <c r="EU932" s="14">
        <v>0</v>
      </c>
      <c r="EV932" s="14">
        <f>SUM(ET932+EU932)</f>
        <v>58300</v>
      </c>
      <c r="EW932" s="10"/>
      <c r="EX932" s="10"/>
      <c r="EY932" s="10"/>
      <c r="EZ932" s="10"/>
      <c r="FA932" s="10"/>
      <c r="FB932" s="10"/>
      <c r="FC932" s="10"/>
      <c r="FD932" s="10"/>
      <c r="GJ932" s="4"/>
      <c r="IK932" s="9"/>
      <c r="IV932" s="4"/>
      <c r="IW932" s="4"/>
      <c r="IX932" s="4"/>
      <c r="IY932" s="9"/>
      <c r="IZ932" s="9"/>
      <c r="JA932" s="9"/>
      <c r="JB932" s="9"/>
      <c r="JC932" s="9"/>
    </row>
    <row r="933" spans="1:263" ht="15" customHeight="1">
      <c r="A933" s="19">
        <v>102017032</v>
      </c>
      <c r="B933" s="18" t="s">
        <v>1728</v>
      </c>
      <c r="C933" s="18"/>
      <c r="D933" s="18"/>
      <c r="E933" s="18" t="s">
        <v>1896</v>
      </c>
      <c r="F933" s="19"/>
      <c r="G933" s="18"/>
      <c r="H933" s="18"/>
      <c r="I933" s="18"/>
      <c r="J933" s="18" t="s">
        <v>311</v>
      </c>
      <c r="K933" s="18" t="s">
        <v>325</v>
      </c>
      <c r="L933" s="18" t="s">
        <v>1513</v>
      </c>
      <c r="M933" s="18" t="s">
        <v>1220</v>
      </c>
      <c r="N933" s="18"/>
      <c r="O933" s="13"/>
      <c r="P933" s="18"/>
      <c r="Q933" s="18"/>
      <c r="R933" s="18"/>
      <c r="S933" s="18"/>
      <c r="T933" s="13"/>
      <c r="U933" s="18"/>
      <c r="V933" s="18"/>
      <c r="W933" s="18"/>
      <c r="X933" s="18"/>
      <c r="Y933" s="18"/>
      <c r="Z933" s="18"/>
      <c r="AA933" s="18"/>
      <c r="AB933" s="18"/>
      <c r="AC933" s="18"/>
      <c r="AD933" s="18"/>
      <c r="AE933" s="18"/>
      <c r="AF933" s="18"/>
      <c r="AG933" s="24"/>
      <c r="AH933" s="18"/>
      <c r="AI933" s="18"/>
      <c r="AJ933" s="18"/>
      <c r="AK933" s="14"/>
      <c r="AL933" s="14"/>
      <c r="AM933" s="63"/>
      <c r="AN933" s="24"/>
      <c r="AO933" s="18"/>
      <c r="AP933" s="13"/>
      <c r="AQ933" s="24"/>
      <c r="AR933" s="24"/>
      <c r="AS933" s="20"/>
      <c r="AT933" s="13"/>
      <c r="AU933" s="13"/>
      <c r="AV933" s="13"/>
      <c r="AW933" s="13"/>
      <c r="AX933" s="48"/>
      <c r="AY933" s="48"/>
      <c r="AZ933" s="48"/>
      <c r="BA933" s="48"/>
      <c r="BB933" s="19"/>
      <c r="BC933" s="48"/>
      <c r="BD933" s="48"/>
      <c r="BE933" s="48"/>
      <c r="BF933" s="48"/>
      <c r="BG933" s="20"/>
      <c r="BH933" s="22"/>
      <c r="BI933" s="22"/>
      <c r="BJ933" s="14"/>
      <c r="BK933" s="14"/>
      <c r="BL933" s="14"/>
      <c r="BM933" s="17"/>
      <c r="BN933" s="23"/>
      <c r="BO933" s="14"/>
      <c r="BP933" s="14"/>
      <c r="BQ933" s="14"/>
      <c r="BR933" s="14"/>
      <c r="BS933" s="17"/>
      <c r="BT933" s="23"/>
      <c r="BU933" s="14"/>
      <c r="BV933" s="14"/>
      <c r="BW933" s="14"/>
      <c r="BX933" s="14"/>
      <c r="BY933" s="17"/>
      <c r="BZ933" s="23"/>
      <c r="CA933" s="14"/>
      <c r="CB933" s="14"/>
      <c r="CC933" s="14"/>
      <c r="CD933" s="14"/>
      <c r="CE933" s="17"/>
      <c r="CF933" s="23"/>
      <c r="CG933" s="14"/>
      <c r="CH933" s="14"/>
      <c r="CI933" s="14"/>
      <c r="CJ933" s="14"/>
      <c r="CK933" s="17"/>
      <c r="CL933" s="23"/>
      <c r="CM933" s="14"/>
      <c r="CN933" s="14"/>
      <c r="CO933" s="14"/>
      <c r="CP933" s="14"/>
      <c r="CQ933" s="17"/>
      <c r="CR933" s="23"/>
      <c r="CS933" s="14"/>
      <c r="CT933" s="14"/>
      <c r="CU933" s="14"/>
      <c r="CV933" s="14"/>
      <c r="CW933" s="17"/>
      <c r="CX933" s="23"/>
      <c r="CY933" s="14"/>
      <c r="CZ933" s="14"/>
      <c r="DA933" s="14"/>
      <c r="DB933" s="14"/>
      <c r="DC933" s="14"/>
      <c r="DD933" s="14"/>
      <c r="DE933" s="47"/>
      <c r="DF933" s="24"/>
      <c r="DG933" s="14"/>
      <c r="DH933" s="32"/>
      <c r="DI933" s="14"/>
      <c r="DJ933" s="14"/>
      <c r="DK933" s="14"/>
      <c r="DL933" s="14"/>
      <c r="DM933" s="14"/>
      <c r="DN933" s="14"/>
      <c r="DO933" s="14"/>
      <c r="DP933" s="25"/>
      <c r="DQ933" s="14"/>
      <c r="DR933" s="25"/>
      <c r="DS933" s="25"/>
      <c r="DT933" s="25"/>
      <c r="DU933" s="36"/>
      <c r="DV933" s="241"/>
      <c r="DW933" s="241"/>
      <c r="DX933" s="241"/>
      <c r="DY933" s="241"/>
      <c r="DZ933" s="241"/>
      <c r="EA933" s="18"/>
      <c r="EB933" s="18"/>
      <c r="EC933" s="18"/>
      <c r="ED933" s="18"/>
      <c r="EE933" s="18"/>
      <c r="EF933" s="18"/>
      <c r="EG933" s="18"/>
      <c r="EH933" s="14"/>
      <c r="EI933" s="18"/>
      <c r="EJ933" s="14"/>
      <c r="EK933" s="14"/>
      <c r="EL933" s="14"/>
      <c r="EM933" s="14"/>
      <c r="EN933" s="18"/>
      <c r="EO933" s="18"/>
      <c r="EP933" s="18"/>
      <c r="EQ933" s="18"/>
      <c r="ER933" s="18"/>
      <c r="ES933" s="18"/>
      <c r="ET933" s="18"/>
      <c r="EU933" s="18"/>
      <c r="EV933" s="18"/>
      <c r="EW933" s="18"/>
      <c r="EX933" s="18"/>
      <c r="EY933" s="18"/>
      <c r="EZ933" s="18"/>
      <c r="FA933" s="18"/>
      <c r="FB933" s="18"/>
      <c r="FC933" s="18"/>
      <c r="FD933" s="27"/>
      <c r="FE933" s="28"/>
      <c r="FF933" s="18"/>
      <c r="FG933" s="18"/>
      <c r="FH933" s="18"/>
      <c r="FI933" s="18"/>
      <c r="FJ933" s="18"/>
      <c r="FK933" s="18"/>
      <c r="FL933" s="28"/>
      <c r="FM933" s="27"/>
      <c r="FN933" s="18"/>
      <c r="FO933" s="18"/>
      <c r="FP933" s="18"/>
      <c r="FQ933" s="18"/>
      <c r="FR933" s="18"/>
      <c r="FS933" s="14"/>
      <c r="FT933" s="18"/>
      <c r="FU933" s="44"/>
      <c r="FV933" s="18"/>
      <c r="FW933" s="18"/>
      <c r="FX933" s="18"/>
      <c r="FY933" s="18"/>
      <c r="FZ933" s="27"/>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27"/>
      <c r="IE933" s="14"/>
      <c r="IF933" s="14"/>
      <c r="IG933" s="27"/>
      <c r="IH933" s="18"/>
      <c r="II933" s="18"/>
      <c r="IJ933" s="18"/>
      <c r="IK933" s="18"/>
    </row>
    <row r="934" spans="1:263" ht="15" customHeight="1">
      <c r="A934" s="19">
        <v>102020072</v>
      </c>
      <c r="B934" s="18" t="s">
        <v>1728</v>
      </c>
      <c r="C934" s="18"/>
      <c r="D934" s="13"/>
      <c r="E934" s="18"/>
      <c r="F934" s="18"/>
      <c r="G934" s="18"/>
      <c r="H934" s="18"/>
      <c r="I934" s="18"/>
      <c r="J934" s="18"/>
      <c r="K934" s="18" t="s">
        <v>333</v>
      </c>
      <c r="L934" s="18"/>
      <c r="M934" s="18"/>
      <c r="N934" s="18"/>
      <c r="O934" s="13"/>
      <c r="P934" s="18"/>
      <c r="Q934" s="18"/>
      <c r="R934" s="18"/>
      <c r="S934" s="18"/>
      <c r="T934" s="13"/>
      <c r="U934" s="18"/>
      <c r="V934" s="18"/>
      <c r="W934" s="18"/>
      <c r="X934" s="18"/>
      <c r="Y934" s="18"/>
      <c r="Z934" s="18"/>
      <c r="AA934" s="18"/>
      <c r="AB934" s="18"/>
      <c r="AC934" s="18"/>
      <c r="AD934" s="18"/>
      <c r="AE934" s="18"/>
      <c r="AF934" s="18"/>
      <c r="AG934" s="231"/>
      <c r="AH934" s="18"/>
      <c r="AI934" s="18"/>
      <c r="AJ934" s="18"/>
      <c r="AK934" s="18"/>
      <c r="AL934" s="18"/>
      <c r="AM934" s="24"/>
      <c r="AN934" s="24"/>
      <c r="AO934" s="18"/>
      <c r="AP934" s="13"/>
      <c r="AQ934" s="24"/>
      <c r="AR934" s="24"/>
      <c r="AS934" s="18"/>
      <c r="AT934" s="18"/>
      <c r="AU934" s="18"/>
      <c r="AV934" s="18"/>
      <c r="AW934" s="18"/>
      <c r="AX934" s="19"/>
      <c r="AY934" s="48"/>
      <c r="AZ934" s="48"/>
      <c r="BA934" s="19"/>
      <c r="BB934" s="19"/>
      <c r="BC934" s="19"/>
      <c r="BD934" s="19"/>
      <c r="BE934" s="19"/>
      <c r="BF934" s="19"/>
      <c r="BG934" s="20"/>
      <c r="BH934" s="22"/>
      <c r="BI934" s="22"/>
      <c r="BJ934" s="14"/>
      <c r="BK934" s="14"/>
      <c r="BL934" s="14"/>
      <c r="BM934" s="17"/>
      <c r="BN934" s="23"/>
      <c r="BO934" s="14"/>
      <c r="BP934" s="14"/>
      <c r="BQ934" s="14"/>
      <c r="BR934" s="14"/>
      <c r="BS934" s="17"/>
      <c r="BT934" s="23"/>
      <c r="BU934" s="14"/>
      <c r="BV934" s="14"/>
      <c r="BW934" s="14"/>
      <c r="BX934" s="14"/>
      <c r="BY934" s="17"/>
      <c r="BZ934" s="23"/>
      <c r="CA934" s="14"/>
      <c r="CB934" s="14"/>
      <c r="CC934" s="14"/>
      <c r="CD934" s="14"/>
      <c r="CE934" s="17"/>
      <c r="CF934" s="23"/>
      <c r="CG934" s="14"/>
      <c r="CH934" s="14"/>
      <c r="CI934" s="14"/>
      <c r="CJ934" s="14"/>
      <c r="CK934" s="17"/>
      <c r="CL934" s="23"/>
      <c r="CM934" s="14"/>
      <c r="CN934" s="14"/>
      <c r="CO934" s="14"/>
      <c r="CP934" s="14"/>
      <c r="CQ934" s="17"/>
      <c r="CR934" s="23"/>
      <c r="CS934" s="14"/>
      <c r="CT934" s="14"/>
      <c r="CU934" s="14"/>
      <c r="CV934" s="14"/>
      <c r="CW934" s="17"/>
      <c r="CX934" s="23"/>
      <c r="CY934" s="14"/>
      <c r="CZ934" s="14"/>
      <c r="DA934" s="14"/>
      <c r="DB934" s="14"/>
      <c r="DC934" s="14"/>
      <c r="DD934" s="14"/>
      <c r="DE934" s="47"/>
      <c r="DF934" s="24"/>
      <c r="DG934" s="14"/>
      <c r="DH934" s="32"/>
      <c r="DI934" s="14"/>
      <c r="DJ934" s="14"/>
      <c r="DK934" s="14"/>
      <c r="DL934" s="14"/>
      <c r="DM934" s="14"/>
      <c r="DN934" s="14"/>
      <c r="DO934" s="14"/>
      <c r="DP934" s="25"/>
      <c r="DQ934" s="14"/>
      <c r="DR934" s="25"/>
      <c r="DS934" s="25"/>
      <c r="DT934" s="25"/>
      <c r="DU934" s="36"/>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X934" s="18"/>
      <c r="IY934" s="18"/>
    </row>
    <row r="935" spans="1:263" ht="15" customHeight="1">
      <c r="A935" s="2">
        <v>102019085</v>
      </c>
      <c r="B935" s="4" t="s">
        <v>758</v>
      </c>
      <c r="C935" s="1"/>
      <c r="D935" s="1"/>
      <c r="E935" s="3" t="s">
        <v>1740</v>
      </c>
      <c r="F935" s="2">
        <v>200000844</v>
      </c>
      <c r="J935" t="s">
        <v>253</v>
      </c>
      <c r="K935" t="s">
        <v>753</v>
      </c>
      <c r="L935" t="s">
        <v>754</v>
      </c>
      <c r="M935" t="s">
        <v>396</v>
      </c>
      <c r="O935" s="1"/>
      <c r="T935" s="1"/>
      <c r="AG935" s="248"/>
      <c r="AJ935" s="4"/>
      <c r="AK935" s="4"/>
      <c r="AO935" s="4"/>
      <c r="AP935" s="5"/>
      <c r="AS935" s="5"/>
      <c r="AT935" s="5"/>
      <c r="AU935" s="1"/>
      <c r="AV935" s="1"/>
      <c r="AW935" s="1"/>
      <c r="AX935" s="15"/>
      <c r="AY935" s="15"/>
      <c r="AZ935" s="15"/>
      <c r="BA935" s="15"/>
      <c r="BB935" s="13"/>
      <c r="BC935" s="15"/>
      <c r="BD935" s="15"/>
      <c r="BE935" s="15"/>
      <c r="BF935" s="1"/>
      <c r="BG935" s="5"/>
      <c r="BH935" s="16"/>
      <c r="BI935" s="16"/>
      <c r="BJ935" s="4"/>
      <c r="BK935" s="4"/>
      <c r="BL935" s="4"/>
      <c r="BM935" s="6"/>
      <c r="BN935" s="7"/>
      <c r="BO935" s="4"/>
      <c r="BP935" s="4"/>
      <c r="BQ935" s="4"/>
      <c r="BR935" s="4"/>
      <c r="BS935" s="6"/>
      <c r="BT935" s="7"/>
      <c r="BU935" s="4"/>
      <c r="BV935" s="4"/>
      <c r="BW935" s="4"/>
      <c r="BX935" s="4"/>
      <c r="BY935" s="6"/>
      <c r="BZ935" s="7"/>
      <c r="CA935" s="4"/>
      <c r="CB935" s="4"/>
      <c r="CC935" s="4"/>
      <c r="CD935" s="4"/>
      <c r="CE935" s="6"/>
      <c r="CF935" s="7"/>
      <c r="CG935" s="4"/>
      <c r="CH935" s="4"/>
      <c r="CI935" s="4"/>
      <c r="CJ935" s="4"/>
      <c r="CK935" s="6"/>
      <c r="CL935" s="7"/>
      <c r="CM935" s="4"/>
      <c r="CN935" s="4"/>
      <c r="CO935" s="4"/>
      <c r="CP935" s="4"/>
      <c r="CQ935" s="6"/>
      <c r="CR935" s="7"/>
      <c r="CS935" s="4"/>
      <c r="CT935" s="4"/>
      <c r="CU935" s="4"/>
      <c r="CV935" s="4"/>
      <c r="CW935" s="6"/>
      <c r="CX935" s="7"/>
      <c r="CY935" s="4"/>
      <c r="CZ935" s="4"/>
      <c r="DA935" s="4"/>
      <c r="DB935" s="4"/>
      <c r="DC935" s="4"/>
      <c r="DD935" s="3"/>
      <c r="DE935" s="4"/>
      <c r="DF935" s="234"/>
      <c r="DG935" s="4"/>
      <c r="DH935" s="4"/>
      <c r="DI935" s="4"/>
      <c r="DJ935" s="4"/>
      <c r="DK935" s="4"/>
      <c r="DL935" s="4"/>
      <c r="DM935" s="7"/>
      <c r="DN935" s="8"/>
      <c r="DO935" s="4"/>
      <c r="DP935" s="8"/>
      <c r="DQ935" s="8"/>
      <c r="DR935" s="8"/>
      <c r="DS935" s="35"/>
      <c r="EB935" s="11"/>
      <c r="EH935" s="11"/>
      <c r="EI935" s="11"/>
      <c r="EJ935" s="4"/>
      <c r="EK935" s="4"/>
      <c r="EL935" s="4"/>
      <c r="EM935" s="4"/>
      <c r="EN935" s="4"/>
      <c r="EO935" s="4"/>
      <c r="EP935" s="4"/>
      <c r="EQ935" s="4"/>
      <c r="ER935" s="4"/>
      <c r="ES935" s="4"/>
      <c r="ET935" s="4"/>
      <c r="EU935" s="4"/>
      <c r="EV935" s="4"/>
      <c r="EW935" s="4"/>
      <c r="EX935" s="4"/>
      <c r="FB935" s="9"/>
      <c r="FK935" s="9"/>
      <c r="FQ935" s="4"/>
      <c r="FV935" s="10"/>
      <c r="GF935" s="10"/>
      <c r="GU935" s="9"/>
      <c r="IC935" s="4"/>
      <c r="ID935" s="4"/>
      <c r="IE935" s="9"/>
      <c r="IZ935" s="18"/>
      <c r="JA935" s="18"/>
      <c r="JB935" s="18"/>
      <c r="JC935" s="18"/>
    </row>
    <row r="936" spans="1:263" ht="15" customHeight="1">
      <c r="A936" s="19">
        <v>102019085</v>
      </c>
      <c r="B936" t="s">
        <v>758</v>
      </c>
      <c r="C936" s="10"/>
      <c r="D936" s="159"/>
      <c r="E936" s="147"/>
      <c r="F936" s="160"/>
      <c r="G936" s="147">
        <v>220003255</v>
      </c>
      <c r="H936" s="10"/>
      <c r="I936" s="10"/>
      <c r="J936" s="10" t="s">
        <v>253</v>
      </c>
      <c r="K936" s="10" t="s">
        <v>740</v>
      </c>
      <c r="L936" s="10" t="s">
        <v>865</v>
      </c>
      <c r="M936" s="10" t="s">
        <v>256</v>
      </c>
      <c r="N936" s="10"/>
      <c r="O936" s="147"/>
      <c r="P936" s="10"/>
      <c r="Q936" s="10"/>
      <c r="R936" s="10"/>
      <c r="S936" s="10"/>
      <c r="T936" s="10"/>
      <c r="U936" s="10"/>
      <c r="V936" s="10"/>
      <c r="W936" s="10"/>
      <c r="X936" s="10"/>
      <c r="Y936" s="10"/>
      <c r="Z936" s="10"/>
      <c r="AA936" s="10"/>
      <c r="AB936" s="10"/>
      <c r="AC936" s="10"/>
      <c r="AD936" s="10"/>
      <c r="AE936" s="10"/>
      <c r="AF936" s="10"/>
      <c r="AG936" s="141"/>
      <c r="AH936" s="10"/>
      <c r="AI936" s="10"/>
      <c r="AJ936" s="18"/>
      <c r="AK936" s="1"/>
      <c r="AL936" s="18"/>
      <c r="AM936"/>
      <c r="AN936"/>
      <c r="AO936" t="s">
        <v>1747</v>
      </c>
      <c r="AP936" s="1" t="s">
        <v>258</v>
      </c>
      <c r="AQ936" t="s">
        <v>329</v>
      </c>
      <c r="AR936" t="s">
        <v>260</v>
      </c>
      <c r="AX936" s="1"/>
      <c r="AY936" s="1"/>
      <c r="AZ936" s="1"/>
      <c r="BA936" s="1"/>
      <c r="BB936" s="1"/>
      <c r="BC936" s="70"/>
      <c r="BD936" s="115"/>
      <c r="BE936" s="144">
        <v>44655</v>
      </c>
      <c r="BF936" s="70"/>
      <c r="BG936" s="2"/>
      <c r="BH936" s="70"/>
      <c r="BI936" s="70"/>
      <c r="BJ936" s="70"/>
      <c r="BK936" s="70"/>
      <c r="BL936" s="20">
        <f ca="1">SUM(EB936)+220</f>
        <v>996.02687500000002</v>
      </c>
      <c r="BM936" s="22">
        <f ca="1">PMT(10%/12,12,BL936,0,0)</f>
        <v>-87.566586420558863</v>
      </c>
      <c r="BN936" s="22">
        <f ca="1">SUM(BM936*-1)</f>
        <v>87.566586420558863</v>
      </c>
      <c r="BO936" s="14">
        <f>SUM(EJ936*0.0052)/12</f>
        <v>8.2333333333333325</v>
      </c>
      <c r="BP936" s="22">
        <f ca="1">SUM(BN936+BO936)</f>
        <v>95.799919753892198</v>
      </c>
      <c r="BQ936" s="14">
        <v>0</v>
      </c>
      <c r="BR936" s="14">
        <f>SUM(BQ936*0.1)</f>
        <v>0</v>
      </c>
      <c r="BS936" s="14">
        <v>0</v>
      </c>
      <c r="BT936" s="17">
        <f>SUM((BQ936+BR936)*0.00833333333333333)</f>
        <v>0</v>
      </c>
      <c r="BU936" s="23">
        <f ca="1">MONTH(TODAY())+37</f>
        <v>41</v>
      </c>
      <c r="BV936" s="14">
        <f>SUM(BQ936,BR936,BS936)</f>
        <v>0</v>
      </c>
      <c r="BW936" s="14">
        <v>0</v>
      </c>
      <c r="BX936" s="14">
        <f>SUM(BW936*0.1)</f>
        <v>0</v>
      </c>
      <c r="BY936" s="14">
        <f ca="1">SUM(BZ936*CA936)</f>
        <v>0</v>
      </c>
      <c r="BZ936" s="17">
        <f>SUM((BW936+BX936)*0.00833333333333333)</f>
        <v>0</v>
      </c>
      <c r="CA936" s="23">
        <f ca="1">MONTH(TODAY())+37</f>
        <v>41</v>
      </c>
      <c r="CB936" s="14">
        <f ca="1">SUM(BW936,BX936,BY936)</f>
        <v>0</v>
      </c>
      <c r="CC936" s="14">
        <v>0</v>
      </c>
      <c r="CD936" s="14">
        <f>SUM(CC936*0.1)</f>
        <v>0</v>
      </c>
      <c r="CE936" s="14">
        <f ca="1">SUM(CF936*CG936)</f>
        <v>0</v>
      </c>
      <c r="CF936" s="17">
        <f>SUM((CC936+CD936)*0.00833333333333333)</f>
        <v>0</v>
      </c>
      <c r="CG936" s="23">
        <f ca="1">MONTH(TODAY())+29</f>
        <v>33</v>
      </c>
      <c r="CH936" s="23">
        <f ca="1">SUM(CC936,CD936,CE936)</f>
        <v>0</v>
      </c>
      <c r="CI936" s="14">
        <v>0</v>
      </c>
      <c r="CJ936" s="14">
        <f>SUM(CI936*0.1)</f>
        <v>0</v>
      </c>
      <c r="CK936" s="14">
        <f ca="1">SUM(CL936*CM936)</f>
        <v>0</v>
      </c>
      <c r="CL936" s="17">
        <f>SUM((CI936+CJ936)*0.00833333333333333)</f>
        <v>0</v>
      </c>
      <c r="CM936" s="23">
        <f ca="1">MONTH(TODAY())+25</f>
        <v>29</v>
      </c>
      <c r="CN936" s="14">
        <f ca="1">SUM(CI936,CJ936,CK936)</f>
        <v>0</v>
      </c>
      <c r="CO936" s="14">
        <v>0</v>
      </c>
      <c r="CP936" s="14">
        <v>0</v>
      </c>
      <c r="CQ936" s="14">
        <v>0</v>
      </c>
      <c r="CR936" s="17">
        <f>SUM((CO936+CP936)*0.00833333333333333)</f>
        <v>0</v>
      </c>
      <c r="CS936" s="23">
        <f ca="1">MONTH(TODAY())+19</f>
        <v>23</v>
      </c>
      <c r="CT936" s="14">
        <v>0</v>
      </c>
      <c r="CU936" s="14">
        <f>SUM(EJ936*0.0045)/2</f>
        <v>42.75</v>
      </c>
      <c r="CV936" s="14">
        <f>SUM(CU936*0.1)</f>
        <v>4.2750000000000004</v>
      </c>
      <c r="CW936" s="14">
        <f ca="1">SUM(CX936*CY936)</f>
        <v>6.6618749999999967</v>
      </c>
      <c r="CX936" s="17">
        <f>SUM((CU936+CV936)*0.00833333333333333)</f>
        <v>0.39187499999999981</v>
      </c>
      <c r="CY936" s="23">
        <f ca="1">MONTH(TODAY())+13</f>
        <v>17</v>
      </c>
      <c r="CZ936" s="14">
        <f ca="1">SUM(CU936,CV936,CW936)</f>
        <v>53.686874999999993</v>
      </c>
      <c r="DA936" s="14">
        <f>SUM(EJ936*0.0045)/2</f>
        <v>42.75</v>
      </c>
      <c r="DB936" s="14">
        <f>SUM(DA936*0.1)</f>
        <v>4.2750000000000004</v>
      </c>
      <c r="DC936" s="14">
        <f ca="1">SUM(DD936*DE936)</f>
        <v>4.3106249999999982</v>
      </c>
      <c r="DD936" s="17">
        <f>SUM((DA936+DB936)*0.00833333333333333)</f>
        <v>0.39187499999999981</v>
      </c>
      <c r="DE936" s="23">
        <f ca="1">MONTH(TODAY())+7</f>
        <v>11</v>
      </c>
      <c r="DF936" s="14">
        <f ca="1">SUM(DA936,DB936,DC936)</f>
        <v>51.335624999999993</v>
      </c>
      <c r="DG936" s="14">
        <f>SUM(EJ936*0.0045)/2</f>
        <v>42.75</v>
      </c>
      <c r="DH936" s="14">
        <f>SUM(DG936*0.1)</f>
        <v>4.2750000000000004</v>
      </c>
      <c r="DI936" s="14">
        <f ca="1">SUM(DJ936*DK936)</f>
        <v>1.959374999999999</v>
      </c>
      <c r="DJ936" s="17">
        <f>SUM((DG936+DH936)*0.00833333333333333)</f>
        <v>0.39187499999999981</v>
      </c>
      <c r="DK936" s="23">
        <f ca="1">MONTH(TODAY())+1</f>
        <v>5</v>
      </c>
      <c r="DL936" s="14">
        <f ca="1">SUM(DG936,DH936,DI936)</f>
        <v>48.984375</v>
      </c>
      <c r="DM936" s="14">
        <f>SUM(BQ936, BW936, CC936,CI936,CO936,CU936,DA936,DG936)</f>
        <v>128.25</v>
      </c>
      <c r="DN936" s="14">
        <f>SUM(BR936,BX936, CD936,CJ936,CP936,CV936,DB936,DH936)</f>
        <v>12.825000000000001</v>
      </c>
      <c r="DO936" s="14">
        <f ca="1">SUM(BS936,BY936, CE936,CK936,CQ936,CW936,DC936,DI936)</f>
        <v>12.931874999999994</v>
      </c>
      <c r="DP936" s="25">
        <f ca="1">SUM(DM936:DO936)</f>
        <v>154.00687499999998</v>
      </c>
      <c r="DQ936" s="47">
        <f ca="1">SUM(DP936/EG936)</f>
        <v>9.2219685628742495E-3</v>
      </c>
      <c r="DR936" s="14">
        <f>19.5+195+58.5+156-76.48+60</f>
        <v>412.52</v>
      </c>
      <c r="DS936" s="32">
        <f>COUNTIF(AO936, "*")+COUNTIF(AJ936, "*")+COUNTIF(AA936, "*")+COUNTIF(EU936, "*")+COUNTIF(FA936, "*")+COUNTIF(FG936, "*")+COUNTIF(FK936, "*")+COUNTIF(FR936, "*")+COUNTIF(AT936, "*")+COUNTIF(GA936, "*")+COUNTIF(GL936, "*")+COUNTIF(GW936, "*")+COUNTIF(HE936, "*")+COUNTIF(HM936, "*")+COUNTIF(HU936, "*")</f>
        <v>1</v>
      </c>
      <c r="DT936" s="14">
        <f>DS936*0.5+DS936*6.66+7.81</f>
        <v>14.969999999999999</v>
      </c>
      <c r="DU936" s="4">
        <v>44.53</v>
      </c>
      <c r="DV936" s="4">
        <v>150</v>
      </c>
      <c r="DW936" s="4"/>
      <c r="DX936" s="4"/>
      <c r="DY936" s="4"/>
      <c r="DZ936" s="4"/>
      <c r="EA936" s="14">
        <f>SUM(DU936:DZ936)</f>
        <v>194.53</v>
      </c>
      <c r="EB936" s="14">
        <f ca="1">SUM(DP936,DR936,EA936,DT936,FX936)</f>
        <v>776.02687500000002</v>
      </c>
      <c r="EC936" s="24"/>
      <c r="ED936" s="7">
        <v>1.2</v>
      </c>
      <c r="EE936" s="4">
        <v>16700</v>
      </c>
      <c r="EF936" s="4">
        <v>0</v>
      </c>
      <c r="EG936" s="14">
        <f>SUM(EE936+EF936)</f>
        <v>16700</v>
      </c>
      <c r="EH936" s="14">
        <v>19000</v>
      </c>
      <c r="EI936" s="14">
        <v>0</v>
      </c>
      <c r="EJ936" s="14">
        <f>SUM(EH936+EI936)</f>
        <v>19000</v>
      </c>
      <c r="EK936" s="10" t="s">
        <v>3744</v>
      </c>
      <c r="EL936" s="10" t="s">
        <v>3745</v>
      </c>
      <c r="EM936" s="10" t="s">
        <v>3746</v>
      </c>
      <c r="EN936" s="10" t="s">
        <v>3747</v>
      </c>
      <c r="EO936" s="10"/>
      <c r="EP936" s="10"/>
      <c r="EQ936" s="10"/>
      <c r="ER936" s="10"/>
      <c r="ES936" s="10"/>
      <c r="ET936" s="10"/>
      <c r="EU936" s="10"/>
      <c r="EV936" s="10"/>
      <c r="EW936" s="10"/>
      <c r="EX936" s="10"/>
      <c r="EY936" s="10"/>
      <c r="EZ936" s="10"/>
      <c r="FA936" s="10"/>
      <c r="FB936" s="10"/>
      <c r="FC936" s="10"/>
      <c r="FD936" s="10"/>
      <c r="FE936" s="10"/>
      <c r="FF936" s="10"/>
      <c r="FG936" s="10"/>
      <c r="FH936" s="10"/>
      <c r="FI936" s="10"/>
      <c r="FJ936" s="10"/>
      <c r="FK936" s="10"/>
      <c r="FL936" s="10"/>
      <c r="FM936" s="10"/>
      <c r="FN936" s="10"/>
      <c r="FO936" s="9"/>
      <c r="FP936" s="10"/>
      <c r="FQ936" s="10"/>
      <c r="FR936" s="10"/>
      <c r="FS936" s="10"/>
      <c r="FT936" s="10"/>
      <c r="FU936" s="10"/>
      <c r="FV936" s="9"/>
      <c r="FW936" s="10"/>
      <c r="FX936" s="10"/>
      <c r="FY936" s="10"/>
      <c r="FZ936" s="10"/>
      <c r="GA936" s="10"/>
      <c r="GB936" s="10"/>
      <c r="GC936" s="10"/>
      <c r="GD936" s="10"/>
      <c r="GE936" s="9"/>
      <c r="GF936" s="10"/>
      <c r="GG936" s="10"/>
      <c r="GH936" s="10"/>
      <c r="GI936" s="10"/>
      <c r="GJ936" s="10"/>
      <c r="GK936" s="10"/>
      <c r="GL936" s="10"/>
      <c r="GM936" s="10"/>
      <c r="GN936" s="10"/>
      <c r="GO936" s="10"/>
      <c r="GP936" s="9"/>
      <c r="GQ936" s="10"/>
      <c r="GR936" s="10"/>
      <c r="GS936" s="10"/>
      <c r="GT936" s="10"/>
      <c r="GU936" s="10"/>
      <c r="GV936" s="10"/>
      <c r="GW936" s="10"/>
      <c r="GX936" s="10"/>
      <c r="GY936" s="10"/>
      <c r="GZ936" s="10"/>
      <c r="HA936" s="9"/>
      <c r="HB936" s="10"/>
      <c r="HC936" s="10"/>
      <c r="HD936" s="10"/>
      <c r="HE936" s="10"/>
      <c r="HF936" s="10"/>
      <c r="HG936" s="10"/>
      <c r="HH936" s="10"/>
      <c r="HI936" s="9"/>
      <c r="HJ936" s="10"/>
      <c r="HK936" s="10"/>
      <c r="HL936" s="10"/>
      <c r="HM936" s="10"/>
      <c r="HN936" s="10"/>
      <c r="HO936" s="10"/>
      <c r="HP936" s="10"/>
      <c r="HQ936" s="9"/>
      <c r="HR936" s="10"/>
      <c r="HS936" s="10"/>
      <c r="HT936" s="10"/>
      <c r="HU936" s="10"/>
      <c r="HV936" s="10"/>
      <c r="HW936" s="10"/>
      <c r="HX936" s="10"/>
      <c r="HY936" s="9"/>
      <c r="HZ936" s="4"/>
      <c r="IA936" s="4"/>
      <c r="IB936" s="10"/>
      <c r="IC936" s="10"/>
      <c r="ID936" s="10"/>
      <c r="IE936" s="10"/>
      <c r="IF936" s="4"/>
      <c r="IG936" s="4"/>
      <c r="IH936" s="14">
        <f ca="1">SUM(HZ936-EB936-FX936-IF936)</f>
        <v>-776.02687500000002</v>
      </c>
      <c r="II936" s="14"/>
      <c r="IJ936" s="14"/>
      <c r="IK936" s="9"/>
      <c r="IL936" s="9"/>
      <c r="IM936" s="9"/>
      <c r="IN936" s="9"/>
      <c r="IO936" s="9"/>
      <c r="IP936" s="27" t="s">
        <v>5913</v>
      </c>
    </row>
    <row r="937" spans="1:263" ht="15" customHeight="1">
      <c r="A937" s="19">
        <v>102022200</v>
      </c>
      <c r="B937" t="s">
        <v>2916</v>
      </c>
      <c r="D937" s="1"/>
      <c r="J937" t="s">
        <v>311</v>
      </c>
      <c r="K937" t="s">
        <v>3265</v>
      </c>
      <c r="L937" t="s">
        <v>574</v>
      </c>
      <c r="M937" t="s">
        <v>256</v>
      </c>
      <c r="N937" t="s">
        <v>341</v>
      </c>
      <c r="AG937" s="248"/>
      <c r="AJ937" t="s">
        <v>328</v>
      </c>
      <c r="AL937" t="s">
        <v>316</v>
      </c>
      <c r="AO937" t="s">
        <v>3266</v>
      </c>
      <c r="AP937" s="1" t="s">
        <v>258</v>
      </c>
      <c r="AQ937" s="3" t="s">
        <v>316</v>
      </c>
      <c r="AR937" s="3" t="s">
        <v>260</v>
      </c>
      <c r="AS937" s="1"/>
      <c r="AT937" s="1"/>
      <c r="AU937" s="1"/>
      <c r="AV937" s="1"/>
      <c r="AW937" s="2"/>
      <c r="AY937" s="116"/>
      <c r="AZ937" s="115"/>
      <c r="BA937" s="2"/>
      <c r="BB937" s="2"/>
      <c r="BC937" s="2"/>
      <c r="BD937" s="115">
        <v>45408</v>
      </c>
      <c r="BE937" s="9">
        <v>45427</v>
      </c>
      <c r="BF937" s="2"/>
      <c r="BG937" s="20"/>
      <c r="BH937" s="22"/>
      <c r="BI937" s="22"/>
      <c r="BJ937" s="14"/>
      <c r="BK937" s="22"/>
      <c r="BL937" s="20">
        <f ca="1">SUM(EH937)+220</f>
        <v>1584.9617999999998</v>
      </c>
      <c r="BM937" s="22">
        <f ca="1">PMT(10%/12,12,BL937,0,0)</f>
        <v>-139.34332287267301</v>
      </c>
      <c r="BN937" s="22">
        <f ca="1">SUM(BM937*-1)</f>
        <v>139.34332287267301</v>
      </c>
      <c r="BO937" s="14">
        <f>SUM(EP937*0.0052)/12</f>
        <v>27.603333333333335</v>
      </c>
      <c r="BP937" s="22">
        <f ca="1">SUM(BN937+BO937)</f>
        <v>166.94665620600634</v>
      </c>
      <c r="BQ937" s="14"/>
      <c r="BR937" s="14">
        <f>SUM(BQ937*0.1)</f>
        <v>0</v>
      </c>
      <c r="BS937" s="14">
        <f ca="1">SUM(BT937*BU937)</f>
        <v>0</v>
      </c>
      <c r="BT937" s="17">
        <f>SUM((BQ937+BR937)*0.00833333333333333)</f>
        <v>0</v>
      </c>
      <c r="BU937" s="23">
        <f ca="1">MONTH(TODAY())+49</f>
        <v>53</v>
      </c>
      <c r="BV937" s="14">
        <f ca="1">SUM(BQ937,BR937,BS937)</f>
        <v>0</v>
      </c>
      <c r="BW937" s="14">
        <v>0</v>
      </c>
      <c r="BX937" s="14">
        <f>SUM(BW937*0.1)</f>
        <v>0</v>
      </c>
      <c r="BY937" s="14">
        <f ca="1">SUM(BZ937*CA937)</f>
        <v>0</v>
      </c>
      <c r="BZ937" s="17">
        <f>SUM((BW937+BX937)*0.00833333333333333)</f>
        <v>0</v>
      </c>
      <c r="CA937" s="23">
        <f ca="1">MONTH(TODAY())+37</f>
        <v>41</v>
      </c>
      <c r="CB937" s="14">
        <f ca="1">SUM(BW937,BX937,BY937)</f>
        <v>0</v>
      </c>
      <c r="CC937" s="14">
        <v>0</v>
      </c>
      <c r="CD937" s="14">
        <f>SUM(CC937*0.1)</f>
        <v>0</v>
      </c>
      <c r="CE937" s="14">
        <f ca="1">SUM(CF937*CG937)</f>
        <v>0</v>
      </c>
      <c r="CF937" s="17">
        <f>SUM((CC937+CD937)*0.00833333333333333)</f>
        <v>0</v>
      </c>
      <c r="CG937" s="23">
        <f ca="1">MONTH(TODAY())+25</f>
        <v>29</v>
      </c>
      <c r="CH937" s="14">
        <f ca="1">SUM(CC937,CD937,CE937)</f>
        <v>0</v>
      </c>
      <c r="CI937" s="14">
        <f>SUM(EM937*0.0052)/2</f>
        <v>159.12</v>
      </c>
      <c r="CJ937" s="14">
        <f>SUM(CI937*0.1)</f>
        <v>15.912000000000001</v>
      </c>
      <c r="CK937" s="14">
        <f ca="1">SUM(CL937*CM937)</f>
        <v>30.630599999999987</v>
      </c>
      <c r="CL937" s="17">
        <f>SUM((CI937+CJ937)*0.00833333333333333)</f>
        <v>1.4585999999999995</v>
      </c>
      <c r="CM937" s="23">
        <f ca="1">MONTH(TODAY())+17</f>
        <v>21</v>
      </c>
      <c r="CN937" s="23">
        <f ca="1">SUM(CI937,CJ937,CK937)</f>
        <v>205.6626</v>
      </c>
      <c r="CO937" s="14">
        <f>SUM(EM937*0.0052)/2</f>
        <v>159.12</v>
      </c>
      <c r="CP937" s="14">
        <f>SUM(CO937*0.1)</f>
        <v>15.912000000000001</v>
      </c>
      <c r="CQ937" s="14">
        <f ca="1">SUM(CR937*CS937)</f>
        <v>24.796199999999992</v>
      </c>
      <c r="CR937" s="17">
        <f>SUM((CO937+CP937)*0.00833333333333333)</f>
        <v>1.4585999999999995</v>
      </c>
      <c r="CS937" s="23">
        <f ca="1">MONTH(TODAY())+13</f>
        <v>17</v>
      </c>
      <c r="CT937" s="23">
        <f ca="1">SUM(CO937,CP937,CQ937)</f>
        <v>199.82820000000001</v>
      </c>
      <c r="CU937" s="14">
        <f>SUM(EP937*0.0045)/2</f>
        <v>143.32499999999999</v>
      </c>
      <c r="CV937" s="14">
        <f>SUM(CU937*0.1)</f>
        <v>14.3325</v>
      </c>
      <c r="CW937" s="14">
        <f ca="1">SUM(CX937*CY937)</f>
        <v>14.451937499999993</v>
      </c>
      <c r="CX937" s="17">
        <f>SUM((CU937+CV937)*0.00833333333333333)</f>
        <v>1.3138124999999994</v>
      </c>
      <c r="CY937" s="23">
        <f ca="1">MONTH(TODAY())+7</f>
        <v>11</v>
      </c>
      <c r="CZ937" s="23">
        <f ca="1">SUM(CU937,CV937,CW937)</f>
        <v>172.10943749999998</v>
      </c>
      <c r="DA937" s="14">
        <f>SUM(EP937*0.0045)/2</f>
        <v>143.32499999999999</v>
      </c>
      <c r="DB937" s="14">
        <f>SUM(DA937*0.1)</f>
        <v>14.3325</v>
      </c>
      <c r="DC937" s="14">
        <f ca="1">SUM(DD937*DE937)</f>
        <v>6.5690624999999967</v>
      </c>
      <c r="DD937" s="17">
        <f>SUM((DA937+DB937)*0.00833333333333333)</f>
        <v>1.3138124999999994</v>
      </c>
      <c r="DE937" s="23">
        <f ca="1">MONTH(TODAY())+1</f>
        <v>5</v>
      </c>
      <c r="DF937" s="14">
        <f ca="1">SUM(DA937,DB937,DC937)</f>
        <v>164.2265625</v>
      </c>
      <c r="DG937" s="14">
        <f>SUM(EP937*0.0045)/2</f>
        <v>143.32499999999999</v>
      </c>
      <c r="DH937" s="14">
        <f>0</f>
        <v>0</v>
      </c>
      <c r="DI937" s="14">
        <f>0</f>
        <v>0</v>
      </c>
      <c r="DJ937" s="17">
        <f>SUM((DG937+DH937)*0.00833333333333333)</f>
        <v>1.1943749999999993</v>
      </c>
      <c r="DK937" s="23">
        <f ca="1">MONTH(TODAY())+7</f>
        <v>11</v>
      </c>
      <c r="DL937" s="23">
        <f>SUM(DG937,DH937,DI937)</f>
        <v>143.32499999999999</v>
      </c>
      <c r="DM937" s="14">
        <f>0</f>
        <v>0</v>
      </c>
      <c r="DN937" s="14">
        <f>0</f>
        <v>0</v>
      </c>
      <c r="DO937" s="14">
        <f ca="1">SUM(DP937*DQ937)</f>
        <v>0</v>
      </c>
      <c r="DP937" s="17">
        <f>SUM((DM937+DN937)*0.00833333333333333)</f>
        <v>0</v>
      </c>
      <c r="DQ937" s="23">
        <f ca="1">MONTH(TODAY())+1</f>
        <v>5</v>
      </c>
      <c r="DR937" s="14">
        <f ca="1">SUM(DM937,DN937,DO937)</f>
        <v>0</v>
      </c>
      <c r="DS937" s="14">
        <f>SUM(BQ937, BW937, CC937, CI937,CO937,CU937,DA937,DG937,DM937)</f>
        <v>748.21499999999992</v>
      </c>
      <c r="DT937" s="14">
        <f>SUM(BR937,BX937,CD937, CJ937,CP937,CV937,DB937,DH937,DN937)</f>
        <v>60.489000000000004</v>
      </c>
      <c r="DU937" s="14">
        <f ca="1">SUM(BS937,BY937,CE937, CK937,CQ937,CW937,DC937,DI937,DO937)</f>
        <v>76.447799999999972</v>
      </c>
      <c r="DV937" s="25">
        <f ca="1">SUM(DS937:DU937)</f>
        <v>885.15179999999987</v>
      </c>
      <c r="DW937" s="47">
        <f ca="1">SUM(DV937/EN937)</f>
        <v>2.077821126760563E-2</v>
      </c>
      <c r="DX937" s="14">
        <f>20+10+200</f>
        <v>230</v>
      </c>
      <c r="DY937" s="32">
        <f>COUNTIF(AO937, "*")+COUNTIF(AJ937, "*")+COUNTIF(AA937, "*")+COUNTIF(FA937, "*")+COUNTIF(FG937, "*")+COUNTIF(FM937, "*")+COUNTIF(FQ937, "*")+COUNTIF(FX937, "*")+COUNTIF(AS937, "*")+COUNTIF(GG937, "*")+COUNTIF(GR937, "*")+COUNTIF(HC937, "*")+COUNTIF(HK937, "*")+COUNTIF(HS937, "*")+COUNTIF(IA937, "*")</f>
        <v>2</v>
      </c>
      <c r="DZ937" s="14">
        <f>1.28+DY937*8</f>
        <v>17.28</v>
      </c>
      <c r="EA937" s="4">
        <v>200</v>
      </c>
      <c r="EB937" s="4">
        <v>32.53</v>
      </c>
      <c r="EG937" s="14">
        <f>SUM(EB937:EF937)</f>
        <v>32.53</v>
      </c>
      <c r="EH937" s="14">
        <f ca="1">SUM(DV937,DX937,EG937, EA937, DZ937,GD937)</f>
        <v>1364.9617999999998</v>
      </c>
      <c r="EI937" s="24" t="s">
        <v>4935</v>
      </c>
      <c r="EJ937" s="7">
        <v>142</v>
      </c>
      <c r="EK937" s="4">
        <v>42600</v>
      </c>
      <c r="EL937" s="4">
        <v>18600</v>
      </c>
      <c r="EM937" s="14">
        <f>SUM(EK937+EL937)</f>
        <v>61200</v>
      </c>
      <c r="EN937" s="4">
        <v>42600</v>
      </c>
      <c r="EO937" s="4">
        <v>21100</v>
      </c>
      <c r="EP937" s="14">
        <f>SUM(EN937+EO937)</f>
        <v>63700</v>
      </c>
      <c r="EQ937" t="s">
        <v>5673</v>
      </c>
      <c r="ER937" t="s">
        <v>5675</v>
      </c>
      <c r="ES937" s="11" t="s">
        <v>5674</v>
      </c>
    </row>
    <row r="938" spans="1:263" ht="15" customHeight="1">
      <c r="A938" s="18">
        <v>102022201</v>
      </c>
      <c r="B938" t="s">
        <v>2917</v>
      </c>
      <c r="D938" s="1"/>
      <c r="E938" s="3" t="s">
        <v>5906</v>
      </c>
      <c r="F938" s="2">
        <v>240003252</v>
      </c>
      <c r="J938" t="s">
        <v>311</v>
      </c>
      <c r="K938" t="s">
        <v>3265</v>
      </c>
      <c r="L938" t="s">
        <v>574</v>
      </c>
      <c r="M938" t="s">
        <v>256</v>
      </c>
      <c r="N938" t="s">
        <v>341</v>
      </c>
      <c r="AG938" s="248"/>
      <c r="AJ938" s="3" t="s">
        <v>3267</v>
      </c>
      <c r="AK938" s="3" t="s">
        <v>258</v>
      </c>
      <c r="AL938" s="3" t="s">
        <v>316</v>
      </c>
      <c r="AM938" s="3" t="s">
        <v>260</v>
      </c>
      <c r="AO938" t="s">
        <v>3266</v>
      </c>
      <c r="AP938" s="1" t="s">
        <v>258</v>
      </c>
      <c r="AQ938" s="3" t="s">
        <v>316</v>
      </c>
      <c r="AR938" s="3" t="s">
        <v>260</v>
      </c>
      <c r="AS938" s="1"/>
      <c r="AT938" s="1"/>
      <c r="AU938" s="1"/>
      <c r="AV938" s="1"/>
      <c r="AW938" s="2"/>
      <c r="AY938" s="116" t="s">
        <v>258</v>
      </c>
      <c r="AZ938" s="115"/>
      <c r="BA938" s="2"/>
      <c r="BB938" s="2"/>
      <c r="BC938" s="70">
        <v>45482</v>
      </c>
      <c r="BD938" s="144">
        <v>45415</v>
      </c>
      <c r="BE938" s="9">
        <v>45447</v>
      </c>
      <c r="BF938" s="2"/>
      <c r="BG938" s="20"/>
      <c r="BH938" s="22"/>
      <c r="BI938" s="22"/>
      <c r="BJ938" s="70">
        <v>45545</v>
      </c>
      <c r="BK938" s="70" t="s">
        <v>5895</v>
      </c>
      <c r="BL938" s="20">
        <f ca="1">SUM(EH938)+220</f>
        <v>1133.3245999999999</v>
      </c>
      <c r="BM938" s="22">
        <f ca="1">PMT(10%/12,12,BL938,0,0)</f>
        <v>-99.637237728595721</v>
      </c>
      <c r="BN938" s="22">
        <f ca="1">SUM(BM938*-1)</f>
        <v>99.637237728595721</v>
      </c>
      <c r="BO938" s="14">
        <f>SUM(EP938*0.0052)/12</f>
        <v>4.9399999999999995</v>
      </c>
      <c r="BP938" s="22">
        <f ca="1">SUM(BN938+BO938)</f>
        <v>104.57723772859572</v>
      </c>
      <c r="BQ938" s="14"/>
      <c r="BR938" s="14">
        <f>SUM(BQ938*0.1)</f>
        <v>0</v>
      </c>
      <c r="BS938" s="14">
        <f ca="1">SUM(BT938*BU938)</f>
        <v>0</v>
      </c>
      <c r="BT938" s="17">
        <f>SUM((BQ938+BR938)*0.00833333333333333)</f>
        <v>0</v>
      </c>
      <c r="BU938" s="23">
        <f ca="1">MONTH(TODAY())+49</f>
        <v>53</v>
      </c>
      <c r="BV938" s="14">
        <f ca="1">SUM(BQ938,BR938,BS938)</f>
        <v>0</v>
      </c>
      <c r="BW938" s="14">
        <v>0</v>
      </c>
      <c r="BX938" s="14">
        <f>SUM(BW938*0.1)</f>
        <v>0</v>
      </c>
      <c r="BY938" s="14">
        <f ca="1">SUM(BZ938*CA938)</f>
        <v>0</v>
      </c>
      <c r="BZ938" s="17">
        <f>SUM((BW938+BX938)*0.00833333333333333)</f>
        <v>0</v>
      </c>
      <c r="CA938" s="23">
        <f ca="1">MONTH(TODAY())+37</f>
        <v>41</v>
      </c>
      <c r="CB938" s="14">
        <f ca="1">SUM(BW938,BX938,BY938)</f>
        <v>0</v>
      </c>
      <c r="CC938" s="14">
        <v>0</v>
      </c>
      <c r="CD938" s="14">
        <f>SUM(CC938*0.1)</f>
        <v>0</v>
      </c>
      <c r="CE938" s="14">
        <f ca="1">SUM(CF938*CG938)</f>
        <v>0</v>
      </c>
      <c r="CF938" s="17">
        <f>SUM((CC938+CD938)*0.00833333333333333)</f>
        <v>0</v>
      </c>
      <c r="CG938" s="23">
        <f ca="1">MONTH(TODAY())+25</f>
        <v>29</v>
      </c>
      <c r="CH938" s="14">
        <f ca="1">SUM(CC938,CD938,CE938)</f>
        <v>0</v>
      </c>
      <c r="CI938" s="14">
        <f>SUM(EM938*0.0052)/2</f>
        <v>29.639999999999997</v>
      </c>
      <c r="CJ938" s="14">
        <f>SUM(CI938*0.1)</f>
        <v>2.964</v>
      </c>
      <c r="CK938" s="14">
        <f ca="1">SUM(CL938*CM938)</f>
        <v>5.7056999999999976</v>
      </c>
      <c r="CL938" s="17">
        <f>SUM((CI938+CJ938)*0.00833333333333333)</f>
        <v>0.27169999999999989</v>
      </c>
      <c r="CM938" s="23">
        <f ca="1">MONTH(TODAY())+17</f>
        <v>21</v>
      </c>
      <c r="CN938" s="23">
        <f ca="1">SUM(CI938,CJ938,CK938)</f>
        <v>38.309699999999999</v>
      </c>
      <c r="CO938" s="14">
        <f>SUM(EM938*0.0052)/2</f>
        <v>29.639999999999997</v>
      </c>
      <c r="CP938" s="14">
        <f>SUM(CO938*0.1)</f>
        <v>2.964</v>
      </c>
      <c r="CQ938" s="14">
        <f ca="1">SUM(CR938*CS938)</f>
        <v>4.6188999999999982</v>
      </c>
      <c r="CR938" s="17">
        <f>SUM((CO938+CP938)*0.00833333333333333)</f>
        <v>0.27169999999999989</v>
      </c>
      <c r="CS938" s="23">
        <f ca="1">MONTH(TODAY())+13</f>
        <v>17</v>
      </c>
      <c r="CT938" s="23">
        <f ca="1">SUM(CO938,CP938,CQ938)</f>
        <v>37.222899999999996</v>
      </c>
      <c r="CU938" s="14">
        <f>SUM(EP938*0.0045)/2</f>
        <v>25.65</v>
      </c>
      <c r="CV938" s="14">
        <f>SUM(CU938*0.1)</f>
        <v>2.5649999999999999</v>
      </c>
      <c r="CW938" s="14">
        <f ca="1">SUM(CX938*CY938)</f>
        <v>2.586374999999999</v>
      </c>
      <c r="CX938" s="17">
        <f>SUM((CU938+CV938)*0.00833333333333333)</f>
        <v>0.23512499999999989</v>
      </c>
      <c r="CY938" s="23">
        <f ca="1">MONTH(TODAY())+7</f>
        <v>11</v>
      </c>
      <c r="CZ938" s="23">
        <f ca="1">SUM(CU938,CV938,CW938)</f>
        <v>30.801375</v>
      </c>
      <c r="DA938" s="14">
        <f>SUM(EP938*0.0045)/2</f>
        <v>25.65</v>
      </c>
      <c r="DB938" s="14">
        <f>SUM(DA938*0.1)</f>
        <v>2.5649999999999999</v>
      </c>
      <c r="DC938" s="14">
        <f ca="1">SUM(DD938*DE938)</f>
        <v>1.1756249999999995</v>
      </c>
      <c r="DD938" s="17">
        <f>SUM((DA938+DB938)*0.00833333333333333)</f>
        <v>0.23512499999999989</v>
      </c>
      <c r="DE938" s="23">
        <f ca="1">MONTH(TODAY())+1</f>
        <v>5</v>
      </c>
      <c r="DF938" s="14">
        <f ca="1">SUM(DA938,DB938,DC938)</f>
        <v>29.390625</v>
      </c>
      <c r="DG938" s="14">
        <f>SUM(EP938*0.0045)/2</f>
        <v>25.65</v>
      </c>
      <c r="DH938" s="14">
        <f>0</f>
        <v>0</v>
      </c>
      <c r="DI938" s="14">
        <f>0</f>
        <v>0</v>
      </c>
      <c r="DJ938" s="17">
        <f>SUM((DG938+DH938)*0.00833333333333333)</f>
        <v>0.21374999999999988</v>
      </c>
      <c r="DK938" s="23">
        <f ca="1">MONTH(TODAY())+7</f>
        <v>11</v>
      </c>
      <c r="DL938" s="23">
        <f>SUM(DG938,DH938,DI938)</f>
        <v>25.65</v>
      </c>
      <c r="DM938" s="14">
        <f>0</f>
        <v>0</v>
      </c>
      <c r="DN938" s="14">
        <f>0</f>
        <v>0</v>
      </c>
      <c r="DO938" s="14">
        <f ca="1">SUM(DP938*DQ938)</f>
        <v>0</v>
      </c>
      <c r="DP938" s="17">
        <f>SUM((DM938+DN938)*0.00833333333333333)</f>
        <v>0</v>
      </c>
      <c r="DQ938" s="23">
        <f ca="1">MONTH(TODAY())+1</f>
        <v>5</v>
      </c>
      <c r="DR938" s="14">
        <f ca="1">SUM(DM938,DN938,DO938)</f>
        <v>0</v>
      </c>
      <c r="DS938" s="14">
        <f>SUM(BQ938, BW938, CC938, CI938,CO938,CU938,DA938,DG938,DM938)</f>
        <v>136.22999999999999</v>
      </c>
      <c r="DT938" s="14">
        <f>SUM(BR938,BX938,CD938, CJ938,CP938,CV938,DB938,DH938,DN938)</f>
        <v>11.058</v>
      </c>
      <c r="DU938" s="14">
        <f ca="1">SUM(BS938,BY938,CE938, CK938,CQ938,CW938,DC938,DI938,DO938)</f>
        <v>14.086599999999995</v>
      </c>
      <c r="DV938" s="25">
        <f ca="1">SUM(DS938:DU938)</f>
        <v>161.37459999999999</v>
      </c>
      <c r="DW938" s="47">
        <f ca="1">SUM(DV938/EM938)</f>
        <v>1.4155666666666665E-2</v>
      </c>
      <c r="DX938" s="14">
        <f>20+10+200+200+80+40</f>
        <v>550</v>
      </c>
      <c r="DY938" s="32">
        <f>COUNTIF(AO938, "*")+COUNTIF(AJ938, "*")+COUNTIF(AA938, "*")+COUNTIF(FA938, "*")+COUNTIF(FG938, "*")+COUNTIF(FM938, "*")+COUNTIF(FQ938, "*")+COUNTIF(FX938, "*")+COUNTIF(AS938, "*")+COUNTIF(GG938, "*")+COUNTIF(GR938, "*")+COUNTIF(HC938, "*")+COUNTIF(HK938, "*")+COUNTIF(HS938, "*")+COUNTIF(IA938, "*")</f>
        <v>3</v>
      </c>
      <c r="DZ938" s="14">
        <f>1.28+DY938*8</f>
        <v>25.28</v>
      </c>
      <c r="EA938" s="25">
        <v>150</v>
      </c>
      <c r="EB938" s="4">
        <v>26.67</v>
      </c>
      <c r="EG938" s="14">
        <f>SUM(EB938:EF938)</f>
        <v>26.67</v>
      </c>
      <c r="EH938" s="14">
        <f ca="1">SUM(DV938,DX938,EG938, EA938, DZ938,GD938)</f>
        <v>913.32459999999992</v>
      </c>
      <c r="EI938" s="24" t="s">
        <v>4935</v>
      </c>
      <c r="EJ938" s="7">
        <v>12</v>
      </c>
      <c r="EK938" s="4">
        <v>3600</v>
      </c>
      <c r="EL938" s="4">
        <v>7800</v>
      </c>
      <c r="EM938" s="14">
        <f>SUM(EK938+EL938)</f>
        <v>11400</v>
      </c>
      <c r="EN938" s="4">
        <v>3600</v>
      </c>
      <c r="EO938" s="4">
        <v>7800</v>
      </c>
      <c r="EP938" s="14">
        <f>SUM(EN938+EO938)</f>
        <v>11400</v>
      </c>
      <c r="EQ938" t="s">
        <v>5847</v>
      </c>
      <c r="ER938" t="s">
        <v>5848</v>
      </c>
      <c r="ES938" t="s">
        <v>5675</v>
      </c>
      <c r="ET938" t="s">
        <v>5851</v>
      </c>
      <c r="EY938" t="s">
        <v>5849</v>
      </c>
      <c r="FA938" t="s">
        <v>2480</v>
      </c>
      <c r="FB938" t="s">
        <v>5850</v>
      </c>
      <c r="FC938" t="s">
        <v>284</v>
      </c>
      <c r="FD938" t="s">
        <v>285</v>
      </c>
    </row>
    <row r="939" spans="1:263" ht="15" customHeight="1">
      <c r="A939" s="19">
        <v>102017053</v>
      </c>
      <c r="B939" s="18" t="s">
        <v>928</v>
      </c>
      <c r="C939" s="18"/>
      <c r="D939" s="18"/>
      <c r="E939" s="18" t="s">
        <v>929</v>
      </c>
      <c r="F939" s="19">
        <v>180005855</v>
      </c>
      <c r="G939" s="19"/>
      <c r="H939" s="19"/>
      <c r="I939" s="18"/>
      <c r="J939" s="18" t="s">
        <v>311</v>
      </c>
      <c r="K939" s="18" t="s">
        <v>306</v>
      </c>
      <c r="L939" s="18" t="s">
        <v>930</v>
      </c>
      <c r="M939" s="18"/>
      <c r="N939" s="18"/>
      <c r="O939" s="13" t="s">
        <v>258</v>
      </c>
      <c r="P939" s="18" t="s">
        <v>306</v>
      </c>
      <c r="Q939" s="18" t="s">
        <v>931</v>
      </c>
      <c r="R939" s="18" t="s">
        <v>309</v>
      </c>
      <c r="S939" s="18"/>
      <c r="T939" s="13"/>
      <c r="U939" s="18"/>
      <c r="V939" s="18"/>
      <c r="AD939" s="1"/>
      <c r="AF939" s="3"/>
      <c r="AR939" s="34"/>
      <c r="AS939" s="16"/>
      <c r="AT939" s="16"/>
      <c r="AV939" s="4"/>
      <c r="AW939" s="4"/>
      <c r="AX939" s="6"/>
      <c r="AY939" s="7"/>
      <c r="AZ939" s="4"/>
      <c r="BB939" s="4"/>
      <c r="BC939" s="4"/>
      <c r="BD939" s="6"/>
      <c r="BE939" s="7"/>
      <c r="BF939" s="4"/>
      <c r="BG939" s="4"/>
      <c r="BH939" s="4"/>
      <c r="BI939" s="4"/>
      <c r="BJ939" s="6"/>
      <c r="BK939" s="7"/>
      <c r="BL939" s="4"/>
      <c r="BN939" s="4"/>
      <c r="BO939" s="4"/>
      <c r="BP939" s="6"/>
      <c r="BQ939" s="7"/>
      <c r="BR939" s="4"/>
      <c r="BS939" s="4"/>
      <c r="BT939" s="4"/>
      <c r="BU939" s="4"/>
      <c r="BV939" s="6"/>
      <c r="BW939" s="7"/>
      <c r="BX939" s="4"/>
      <c r="BY939" s="4"/>
      <c r="BZ939" s="4"/>
      <c r="CA939" s="4"/>
      <c r="CB939" s="6"/>
      <c r="CC939" s="7"/>
      <c r="CD939" s="4"/>
      <c r="CE939" s="4"/>
      <c r="CF939" s="4"/>
      <c r="CG939" s="4"/>
      <c r="CH939" s="6"/>
      <c r="CI939" s="7"/>
      <c r="CJ939" s="4"/>
      <c r="CK939" s="4"/>
      <c r="CL939" s="4"/>
      <c r="CM939" s="4"/>
      <c r="CN939" s="6"/>
      <c r="CO939" s="7"/>
      <c r="CP939" s="4"/>
      <c r="CR939" s="4"/>
      <c r="CS939" s="4"/>
      <c r="CT939" s="6"/>
      <c r="CU939" s="7"/>
      <c r="CV939" s="4"/>
      <c r="CW939" s="4"/>
      <c r="CX939" s="4"/>
      <c r="CY939" s="4"/>
      <c r="CZ939" s="4"/>
      <c r="DB939" s="4"/>
      <c r="DC939" s="4"/>
      <c r="DD939" s="4"/>
      <c r="DE939" s="4"/>
      <c r="DF939" s="4"/>
      <c r="DG939" s="4"/>
      <c r="DH939" s="4"/>
      <c r="DI939" s="4"/>
      <c r="DJ939" s="4"/>
      <c r="DK939" s="4"/>
      <c r="DL939" s="4"/>
      <c r="DM939" s="4"/>
      <c r="DN939" s="4"/>
      <c r="DO939" s="4"/>
      <c r="DP939" s="4"/>
      <c r="DQ939" s="4"/>
      <c r="DR939" s="4"/>
      <c r="DV939" s="4"/>
      <c r="DW939" s="18"/>
      <c r="DX939" s="4"/>
      <c r="DY939" s="4"/>
      <c r="EA939" s="4"/>
      <c r="EB939" s="4"/>
      <c r="EC939" s="18"/>
      <c r="EE939" s="4"/>
      <c r="EF939" s="4"/>
      <c r="EG939" s="4"/>
      <c r="FP939" s="10"/>
      <c r="FW939" s="10"/>
      <c r="GI939" s="9"/>
    </row>
    <row r="940" spans="1:263" ht="15" customHeight="1">
      <c r="A940" s="2">
        <v>102017053</v>
      </c>
      <c r="B940" t="s">
        <v>928</v>
      </c>
      <c r="E940" t="s">
        <v>929</v>
      </c>
      <c r="F940">
        <v>180005855</v>
      </c>
      <c r="J940" t="s">
        <v>311</v>
      </c>
      <c r="K940" t="s">
        <v>306</v>
      </c>
      <c r="L940" t="s">
        <v>930</v>
      </c>
      <c r="O940" t="s">
        <v>258</v>
      </c>
      <c r="P940" t="s">
        <v>306</v>
      </c>
      <c r="Q940" t="s">
        <v>931</v>
      </c>
      <c r="R940" t="s">
        <v>309</v>
      </c>
      <c r="W940" s="18"/>
      <c r="AD940" s="1"/>
      <c r="AI940" s="4"/>
      <c r="AJ940" s="4"/>
      <c r="AK940" s="4"/>
      <c r="AL940" s="4"/>
      <c r="AO940" s="4"/>
      <c r="AP940" s="13"/>
      <c r="AQ940" s="34"/>
      <c r="AR940" s="34"/>
      <c r="AS940" s="5"/>
      <c r="AT940" s="13"/>
      <c r="AU940" s="1"/>
      <c r="AV940" s="1"/>
      <c r="AW940" s="1"/>
      <c r="AX940" s="1"/>
      <c r="AY940" s="1"/>
      <c r="AZ940" s="1"/>
      <c r="BA940" s="1"/>
      <c r="BB940" s="1"/>
      <c r="BC940" s="1"/>
      <c r="BD940" s="1"/>
      <c r="BE940" s="1"/>
      <c r="BF940" s="1"/>
      <c r="BG940" s="5"/>
      <c r="BH940" s="16"/>
      <c r="BI940" s="16"/>
      <c r="BK940" s="4"/>
      <c r="BL940" s="4"/>
      <c r="BM940" s="6"/>
      <c r="BN940" s="7"/>
      <c r="BO940" s="4"/>
      <c r="BQ940" s="4"/>
      <c r="BR940" s="4"/>
      <c r="BS940" s="6"/>
      <c r="BT940" s="7"/>
      <c r="BU940" s="4"/>
      <c r="BV940" s="4"/>
      <c r="BW940" s="4"/>
      <c r="BX940" s="4"/>
      <c r="BY940" s="6"/>
      <c r="BZ940" s="7"/>
      <c r="CA940" s="4"/>
      <c r="CC940" s="4"/>
      <c r="CD940" s="4"/>
      <c r="CE940" s="6"/>
      <c r="CF940" s="7"/>
      <c r="CG940" s="4"/>
      <c r="CH940" s="4"/>
      <c r="CI940" s="4"/>
      <c r="CJ940" s="4"/>
      <c r="CK940" s="6"/>
      <c r="CL940" s="7"/>
      <c r="CM940" s="4"/>
      <c r="CN940" s="4"/>
      <c r="CO940" s="4"/>
      <c r="CP940" s="4"/>
      <c r="CQ940" s="6"/>
      <c r="CR940" s="7"/>
      <c r="CS940" s="4"/>
      <c r="CT940" s="4"/>
      <c r="CU940" s="4"/>
      <c r="CV940" s="4"/>
      <c r="CW940" s="6"/>
      <c r="CX940" s="7"/>
      <c r="CY940" s="4"/>
      <c r="CZ940" s="4"/>
      <c r="DA940" s="4"/>
      <c r="DB940" s="4"/>
      <c r="DC940" s="6"/>
      <c r="DD940" s="7"/>
      <c r="DE940" s="4"/>
      <c r="DF940" s="4"/>
      <c r="DG940" s="4"/>
      <c r="DH940" s="4"/>
      <c r="DI940" s="6"/>
      <c r="DJ940" s="7"/>
      <c r="DK940" s="4"/>
      <c r="DL940" s="4"/>
      <c r="DM940" s="4"/>
      <c r="DN940" s="4"/>
      <c r="DO940" s="4"/>
      <c r="DP940" s="3"/>
      <c r="DQ940" s="4"/>
      <c r="DR940" s="4"/>
      <c r="DS940" s="4"/>
      <c r="DT940" s="4"/>
      <c r="DU940" s="4"/>
      <c r="DV940" s="4"/>
      <c r="DW940" s="4"/>
      <c r="DX940" s="4"/>
      <c r="DY940" s="4"/>
      <c r="DZ940" s="4"/>
      <c r="EA940" s="4"/>
      <c r="EB940" s="4"/>
      <c r="EC940" s="4"/>
      <c r="ED940" s="4"/>
      <c r="EE940" s="4"/>
      <c r="EF940" s="4"/>
      <c r="EG940" s="4"/>
      <c r="EH940" s="4"/>
      <c r="EI940" s="4"/>
      <c r="FQ940" s="9"/>
      <c r="FR940" s="10"/>
      <c r="FY940" s="10"/>
      <c r="GK940" s="9"/>
    </row>
    <row r="941" spans="1:263" ht="15" customHeight="1">
      <c r="A941" s="19">
        <v>102020080</v>
      </c>
      <c r="B941" t="s">
        <v>928</v>
      </c>
      <c r="E941" t="s">
        <v>929</v>
      </c>
      <c r="F941">
        <v>180005855</v>
      </c>
      <c r="J941" t="s">
        <v>311</v>
      </c>
      <c r="K941" t="s">
        <v>306</v>
      </c>
      <c r="L941" t="s">
        <v>930</v>
      </c>
      <c r="O941" t="s">
        <v>258</v>
      </c>
      <c r="P941" t="s">
        <v>306</v>
      </c>
      <c r="Q941" t="s">
        <v>931</v>
      </c>
      <c r="R941" t="s">
        <v>309</v>
      </c>
      <c r="T941" t="s">
        <v>258</v>
      </c>
      <c r="AJ941" t="s">
        <v>328</v>
      </c>
      <c r="AL941" t="s">
        <v>316</v>
      </c>
      <c r="AM941" s="3" t="s">
        <v>260</v>
      </c>
      <c r="AX941" s="70"/>
      <c r="AY941" s="70"/>
      <c r="AZ941" s="70"/>
      <c r="BA941" s="70"/>
      <c r="BB941" s="2"/>
      <c r="BC941" s="70"/>
      <c r="BD941" s="70"/>
      <c r="BE941" s="2"/>
      <c r="BF941" s="2"/>
      <c r="BG941" s="20"/>
      <c r="BH941" s="22"/>
      <c r="BI941" s="22"/>
      <c r="BJ941" s="66"/>
      <c r="BK941" s="66"/>
      <c r="BL941" s="66"/>
      <c r="BO941" s="66"/>
      <c r="BP941" s="66"/>
      <c r="BQ941" s="66"/>
      <c r="BR941" s="66"/>
      <c r="BU941" s="66"/>
      <c r="BV941" s="66"/>
      <c r="BW941" s="66"/>
      <c r="BX941" s="66"/>
      <c r="CA941" s="66"/>
      <c r="CB941" s="66"/>
      <c r="CC941" s="66"/>
      <c r="CD941" s="66"/>
      <c r="CG941" s="66"/>
      <c r="CH941" s="66"/>
      <c r="CI941" s="66"/>
      <c r="CJ941" s="66"/>
      <c r="CM941" s="66"/>
      <c r="CN941" s="66"/>
      <c r="CO941" s="66"/>
      <c r="CP941" s="66"/>
      <c r="CS941" s="66"/>
      <c r="CT941" s="66"/>
      <c r="CU941" s="66"/>
      <c r="CV941" s="66"/>
      <c r="CY941" s="66"/>
      <c r="CZ941" s="66"/>
      <c r="DA941" s="66"/>
      <c r="DB941" s="66"/>
      <c r="DC941" s="66"/>
      <c r="DE941" s="66"/>
      <c r="DG941" s="66"/>
      <c r="DH941" s="66"/>
      <c r="DI941" s="66"/>
      <c r="DJ941" s="66"/>
      <c r="DK941" s="66"/>
      <c r="DL941" s="66"/>
      <c r="DM941" s="66"/>
      <c r="DN941" s="66"/>
      <c r="DO941" s="66"/>
      <c r="DP941" s="66"/>
      <c r="DQ941" s="66"/>
      <c r="DR941" s="66">
        <v>9000</v>
      </c>
      <c r="DS941" s="66">
        <v>0</v>
      </c>
      <c r="DT941" s="66">
        <v>9000</v>
      </c>
      <c r="DU941">
        <v>0.7</v>
      </c>
      <c r="DV941" t="s">
        <v>1417</v>
      </c>
      <c r="DW941" t="s">
        <v>1418</v>
      </c>
      <c r="DX941" t="s">
        <v>1419</v>
      </c>
      <c r="FM941" s="9"/>
      <c r="ID941" s="9">
        <v>43694</v>
      </c>
      <c r="IE941" s="4">
        <v>4282.76</v>
      </c>
      <c r="IF941" s="66">
        <v>0</v>
      </c>
      <c r="II941" t="s">
        <v>1410</v>
      </c>
      <c r="IJ941" t="s">
        <v>846</v>
      </c>
      <c r="IK941" t="s">
        <v>386</v>
      </c>
      <c r="IX941" s="18"/>
      <c r="IY941" s="18"/>
    </row>
    <row r="942" spans="1:263" ht="15" customHeight="1">
      <c r="A942" s="19">
        <v>102017027</v>
      </c>
      <c r="B942" s="18" t="s">
        <v>303</v>
      </c>
      <c r="C942" s="18"/>
      <c r="D942" s="18"/>
      <c r="E942" s="18" t="s">
        <v>304</v>
      </c>
      <c r="F942" s="19"/>
      <c r="G942" s="18">
        <v>180000897</v>
      </c>
      <c r="H942" s="18"/>
      <c r="I942" s="18"/>
      <c r="J942" s="18" t="s">
        <v>305</v>
      </c>
      <c r="K942" s="18" t="s">
        <v>306</v>
      </c>
      <c r="L942" s="18" t="s">
        <v>307</v>
      </c>
      <c r="M942" s="18"/>
      <c r="N942" s="18"/>
      <c r="O942" s="13" t="s">
        <v>258</v>
      </c>
      <c r="P942" s="18" t="s">
        <v>306</v>
      </c>
      <c r="Q942" s="18" t="s">
        <v>308</v>
      </c>
      <c r="R942" s="18" t="s">
        <v>309</v>
      </c>
      <c r="S942" s="18"/>
      <c r="T942" s="13"/>
      <c r="U942" s="18"/>
      <c r="V942" s="18"/>
      <c r="W942" s="18"/>
      <c r="X942" s="18"/>
      <c r="Y942" s="18"/>
      <c r="Z942" s="18"/>
      <c r="AA942" s="18"/>
      <c r="AB942" s="18"/>
      <c r="AC942" s="18"/>
      <c r="AD942" s="18"/>
      <c r="AE942" s="18"/>
      <c r="AF942" s="18"/>
      <c r="AG942" s="24"/>
      <c r="AH942" s="18"/>
      <c r="AI942" s="18"/>
      <c r="AJ942" s="14"/>
      <c r="AK942" s="14"/>
      <c r="AL942" s="14"/>
      <c r="AM942" s="63"/>
      <c r="AN942" s="24"/>
      <c r="AO942" s="18"/>
      <c r="AP942" s="13"/>
      <c r="AQ942" s="24"/>
      <c r="AR942" s="63"/>
      <c r="AS942" s="20"/>
      <c r="AT942" s="13"/>
      <c r="AU942" s="13"/>
      <c r="AV942" s="13"/>
      <c r="AW942" s="13"/>
      <c r="AX942" s="48"/>
      <c r="AY942" s="48"/>
      <c r="AZ942" s="48"/>
      <c r="BA942" s="48"/>
      <c r="BB942" s="19"/>
      <c r="BC942" s="48"/>
      <c r="BD942" s="48"/>
      <c r="BE942" s="48"/>
      <c r="BF942" s="48"/>
      <c r="BG942" s="20"/>
      <c r="BH942" s="22"/>
      <c r="BI942" s="22"/>
      <c r="BJ942" s="14"/>
      <c r="BK942" s="14"/>
      <c r="BL942" s="14"/>
      <c r="BM942" s="17"/>
      <c r="BN942" s="23"/>
      <c r="BO942" s="14"/>
      <c r="BP942" s="14"/>
      <c r="BQ942" s="14"/>
      <c r="BR942" s="14"/>
      <c r="BS942" s="17"/>
      <c r="BT942" s="23"/>
      <c r="BU942" s="14"/>
      <c r="BV942" s="14"/>
      <c r="BW942" s="14"/>
      <c r="BX942" s="14"/>
      <c r="BY942" s="17"/>
      <c r="BZ942" s="23"/>
      <c r="CA942" s="14"/>
      <c r="CB942" s="14"/>
      <c r="CC942" s="14"/>
      <c r="CD942" s="14"/>
      <c r="CE942" s="17"/>
      <c r="CF942" s="23"/>
      <c r="CG942" s="14"/>
      <c r="CH942" s="14"/>
      <c r="CI942" s="14"/>
      <c r="CJ942" s="14"/>
      <c r="CK942" s="17"/>
      <c r="CL942" s="23"/>
      <c r="CM942" s="14"/>
      <c r="CN942" s="14"/>
      <c r="CO942" s="14"/>
      <c r="CP942" s="14"/>
      <c r="CQ942" s="17"/>
      <c r="CR942" s="23"/>
      <c r="CS942" s="14"/>
      <c r="CT942" s="14"/>
      <c r="CU942" s="14"/>
      <c r="CV942" s="14"/>
      <c r="CW942" s="17"/>
      <c r="CX942" s="23"/>
      <c r="CY942" s="14"/>
      <c r="CZ942" s="14"/>
      <c r="DA942" s="14"/>
      <c r="DB942" s="14"/>
      <c r="DC942" s="14"/>
      <c r="DD942" s="14"/>
      <c r="DE942" s="47"/>
      <c r="DF942" s="24"/>
      <c r="DG942" s="14"/>
      <c r="DH942" s="32"/>
      <c r="DI942" s="14"/>
      <c r="DJ942" s="14"/>
      <c r="DK942" s="14"/>
      <c r="DL942" s="14"/>
      <c r="DM942" s="14"/>
      <c r="DN942" s="14"/>
      <c r="DO942" s="14"/>
      <c r="DP942" s="25"/>
      <c r="DQ942" s="14"/>
      <c r="DR942" s="25"/>
      <c r="DS942" s="25"/>
      <c r="DT942" s="25"/>
      <c r="DU942" s="36"/>
      <c r="DV942" s="26"/>
      <c r="DW942" s="26"/>
      <c r="DX942" s="26"/>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27"/>
      <c r="FE942" s="28"/>
      <c r="FF942" s="18"/>
      <c r="FG942" s="18"/>
      <c r="FH942" s="18"/>
      <c r="FI942" s="18"/>
      <c r="FJ942" s="18"/>
      <c r="FK942" s="18"/>
      <c r="FL942" s="28"/>
      <c r="FM942" s="27"/>
      <c r="FN942" s="18"/>
      <c r="FO942" s="18"/>
      <c r="FP942" s="18"/>
      <c r="FQ942" s="18"/>
      <c r="FR942" s="18"/>
      <c r="FS942" s="14"/>
      <c r="FT942" s="18"/>
      <c r="FU942" s="18"/>
      <c r="FV942" s="18"/>
      <c r="FW942" s="18"/>
      <c r="FX942" s="18"/>
      <c r="FY942" s="18"/>
      <c r="FZ942" s="27"/>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27"/>
      <c r="IE942" s="14"/>
      <c r="IF942" s="14"/>
      <c r="IG942" s="27"/>
      <c r="IH942" s="18"/>
      <c r="II942" s="18"/>
      <c r="IJ942" s="18"/>
      <c r="IK942" s="18"/>
      <c r="IL942" s="18"/>
      <c r="IM942" s="18"/>
      <c r="IN942" s="18"/>
      <c r="IO942" s="18"/>
      <c r="IP942" s="18"/>
      <c r="IQ942" s="18"/>
      <c r="IR942" s="18"/>
      <c r="IS942" s="18"/>
      <c r="IT942" s="18"/>
      <c r="IU942" s="18"/>
    </row>
    <row r="943" spans="1:263" ht="15" customHeight="1">
      <c r="A943" s="19">
        <v>102017027</v>
      </c>
      <c r="B943" s="18" t="s">
        <v>303</v>
      </c>
      <c r="C943" s="18"/>
      <c r="D943" s="18"/>
      <c r="E943" s="18" t="s">
        <v>304</v>
      </c>
      <c r="F943" s="19">
        <v>170006440</v>
      </c>
      <c r="G943" s="19"/>
      <c r="H943" s="19"/>
      <c r="I943" s="19"/>
      <c r="J943" s="18" t="s">
        <v>305</v>
      </c>
      <c r="K943" s="18" t="s">
        <v>306</v>
      </c>
      <c r="L943" s="18" t="s">
        <v>307</v>
      </c>
      <c r="M943" s="18"/>
      <c r="N943" s="18"/>
      <c r="O943" s="13" t="s">
        <v>258</v>
      </c>
      <c r="P943" s="18" t="s">
        <v>306</v>
      </c>
      <c r="Q943" s="18" t="s">
        <v>308</v>
      </c>
      <c r="R943" s="18" t="s">
        <v>309</v>
      </c>
      <c r="S943" s="18"/>
      <c r="T943" s="13" t="s">
        <v>258</v>
      </c>
      <c r="U943" s="18"/>
      <c r="V943" s="18"/>
      <c r="W943" s="18"/>
      <c r="X943" s="18"/>
      <c r="Y943" s="18"/>
      <c r="Z943" s="18"/>
      <c r="AA943" s="18"/>
      <c r="AB943" s="18"/>
      <c r="AC943" s="18"/>
      <c r="AD943" s="18" t="s">
        <v>310</v>
      </c>
      <c r="AE943" s="18" t="s">
        <v>311</v>
      </c>
      <c r="AF943" s="18" t="s">
        <v>306</v>
      </c>
      <c r="AG943" s="13" t="s">
        <v>312</v>
      </c>
      <c r="AH943" s="18" t="s">
        <v>313</v>
      </c>
      <c r="AI943" s="18" t="s">
        <v>314</v>
      </c>
      <c r="AJ943" s="14" t="s">
        <v>315</v>
      </c>
      <c r="AK943" s="14" t="s">
        <v>258</v>
      </c>
      <c r="AL943" s="14" t="s">
        <v>316</v>
      </c>
      <c r="AM943" s="14" t="s">
        <v>260</v>
      </c>
      <c r="AN943" s="18"/>
      <c r="AO943" s="18" t="s">
        <v>317</v>
      </c>
      <c r="AP943" s="13"/>
      <c r="AQ943" s="18" t="s">
        <v>316</v>
      </c>
      <c r="AR943" s="14" t="s">
        <v>260</v>
      </c>
      <c r="AS943" s="20"/>
      <c r="AT943" s="13"/>
      <c r="AU943" s="13" t="s">
        <v>258</v>
      </c>
      <c r="AV943" s="13" t="s">
        <v>258</v>
      </c>
      <c r="AW943" s="13" t="s">
        <v>258</v>
      </c>
      <c r="AX943" s="21">
        <v>43087</v>
      </c>
      <c r="AY943" s="21">
        <v>43052</v>
      </c>
      <c r="AZ943" s="21">
        <v>43047</v>
      </c>
      <c r="BA943" s="21">
        <v>43175</v>
      </c>
      <c r="BB943" s="13" t="s">
        <v>318</v>
      </c>
      <c r="BC943" s="21">
        <v>43140</v>
      </c>
      <c r="BD943" s="21">
        <v>43147</v>
      </c>
      <c r="BE943" s="21">
        <v>43539</v>
      </c>
      <c r="BF943" s="21" t="s">
        <v>319</v>
      </c>
      <c r="BG943" s="20">
        <v>6799.9416500000007</v>
      </c>
      <c r="BH943" s="22">
        <v>-597.82290327204544</v>
      </c>
      <c r="BI943" s="22">
        <v>597.82290327204544</v>
      </c>
      <c r="BJ943" s="14">
        <v>0</v>
      </c>
      <c r="BK943" s="14">
        <v>0</v>
      </c>
      <c r="BL943" s="14">
        <v>0</v>
      </c>
      <c r="BM943" s="17">
        <v>0</v>
      </c>
      <c r="BN943" s="23">
        <v>84</v>
      </c>
      <c r="BO943" s="14">
        <v>0</v>
      </c>
      <c r="BP943" s="14">
        <v>0</v>
      </c>
      <c r="BQ943" s="14">
        <v>0</v>
      </c>
      <c r="BR943" s="14">
        <v>0</v>
      </c>
      <c r="BS943" s="17">
        <v>0</v>
      </c>
      <c r="BT943" s="23">
        <v>72</v>
      </c>
      <c r="BU943" s="14">
        <v>0</v>
      </c>
      <c r="BV943" s="14">
        <v>0</v>
      </c>
      <c r="BW943" s="14">
        <v>0</v>
      </c>
      <c r="BX943" s="14">
        <v>0</v>
      </c>
      <c r="BY943" s="17">
        <v>0</v>
      </c>
      <c r="BZ943" s="23">
        <v>61</v>
      </c>
      <c r="CA943" s="14">
        <v>0</v>
      </c>
      <c r="CB943" s="14">
        <v>88.66</v>
      </c>
      <c r="CC943" s="14">
        <v>8.8659999999999997</v>
      </c>
      <c r="CD943" s="14">
        <v>39.82311666666665</v>
      </c>
      <c r="CE943" s="17">
        <v>0.81271666666666631</v>
      </c>
      <c r="CF943" s="23">
        <v>49</v>
      </c>
      <c r="CG943" s="14">
        <v>137.34911666666665</v>
      </c>
      <c r="CH943" s="14">
        <v>305.76</v>
      </c>
      <c r="CI943" s="14">
        <v>30.576000000000001</v>
      </c>
      <c r="CJ943" s="14">
        <v>103.70359999999997</v>
      </c>
      <c r="CK943" s="17">
        <v>2.8027999999999991</v>
      </c>
      <c r="CL943" s="23">
        <v>37</v>
      </c>
      <c r="CM943" s="14">
        <v>440.03959999999995</v>
      </c>
      <c r="CN943" s="14">
        <v>305.76</v>
      </c>
      <c r="CO943" s="14">
        <v>30.576000000000001</v>
      </c>
      <c r="CP943" s="14">
        <v>70.069999999999979</v>
      </c>
      <c r="CQ943" s="17">
        <v>2.8027999999999991</v>
      </c>
      <c r="CR943" s="23">
        <v>25</v>
      </c>
      <c r="CS943" s="14">
        <v>406.40600000000001</v>
      </c>
      <c r="CT943" s="14">
        <v>328.64</v>
      </c>
      <c r="CU943" s="14">
        <v>32.863999999999997</v>
      </c>
      <c r="CV943" s="14">
        <v>39.162933333333307</v>
      </c>
      <c r="CW943" s="17">
        <v>3.0125333333333315</v>
      </c>
      <c r="CX943" s="23">
        <v>13</v>
      </c>
      <c r="CY943" s="14">
        <v>400.66693333333325</v>
      </c>
      <c r="CZ943" s="14">
        <v>328.64</v>
      </c>
      <c r="DA943" s="14">
        <v>1357.46</v>
      </c>
      <c r="DB943" s="14">
        <v>102.88200000000001</v>
      </c>
      <c r="DC943" s="14">
        <v>252.75964999999994</v>
      </c>
      <c r="DD943" s="14">
        <v>1713.1016500000001</v>
      </c>
      <c r="DE943" s="24" t="s">
        <v>472</v>
      </c>
      <c r="DF943" s="14">
        <v>2228.5</v>
      </c>
      <c r="DG943" s="32">
        <v>2</v>
      </c>
      <c r="DH943" s="14">
        <v>164.02</v>
      </c>
      <c r="DI943" s="14">
        <v>100</v>
      </c>
      <c r="DJ943" s="14">
        <v>6593.4416500000007</v>
      </c>
      <c r="DK943" s="14">
        <v>231.25</v>
      </c>
      <c r="DL943" s="14">
        <v>1016.52</v>
      </c>
      <c r="DM943" s="14">
        <v>89.45</v>
      </c>
      <c r="DN943" s="14">
        <v>505.6</v>
      </c>
      <c r="DO943" s="25">
        <v>545</v>
      </c>
      <c r="DP943" s="14">
        <v>2387.8200000000002</v>
      </c>
      <c r="DQ943" s="25">
        <v>25200</v>
      </c>
      <c r="DR943" s="25">
        <v>38000</v>
      </c>
      <c r="DS943" s="25">
        <v>63200</v>
      </c>
      <c r="DT943" s="36">
        <v>4.3</v>
      </c>
      <c r="DU943" s="18" t="s">
        <v>321</v>
      </c>
      <c r="DV943" s="18" t="s">
        <v>322</v>
      </c>
      <c r="DW943" s="18" t="s">
        <v>323</v>
      </c>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27"/>
      <c r="FD943" s="28"/>
      <c r="FE943" s="18"/>
      <c r="FF943" s="18"/>
      <c r="FG943" s="18"/>
      <c r="FH943" s="18"/>
      <c r="FI943" s="18"/>
      <c r="FJ943" s="18"/>
      <c r="FK943" s="28"/>
      <c r="FL943" s="18"/>
      <c r="FM943" s="18"/>
      <c r="FN943" s="18"/>
      <c r="FO943" s="18"/>
      <c r="FP943" s="18"/>
      <c r="FQ943" s="14"/>
      <c r="FR943" s="18"/>
      <c r="FS943" s="18"/>
      <c r="FT943" s="18"/>
      <c r="FU943" s="18"/>
      <c r="FV943" s="18"/>
      <c r="FW943" s="18"/>
      <c r="FX943" s="27"/>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27">
        <v>44128</v>
      </c>
      <c r="IC943" s="14">
        <v>63200</v>
      </c>
      <c r="ID943" s="27">
        <v>44128</v>
      </c>
      <c r="IE943" s="14">
        <v>13500</v>
      </c>
      <c r="IF943" s="14">
        <v>1300</v>
      </c>
      <c r="IG943" s="27"/>
      <c r="IH943" s="18" t="s">
        <v>772</v>
      </c>
      <c r="II943" s="18" t="s">
        <v>1153</v>
      </c>
      <c r="IJ943" s="18" t="s">
        <v>386</v>
      </c>
      <c r="IK943" s="18"/>
      <c r="IL943" s="14"/>
      <c r="IM943" s="14"/>
      <c r="IN943" s="14">
        <v>321.17</v>
      </c>
      <c r="IO943" s="14">
        <v>6906.5583499999993</v>
      </c>
      <c r="IP943" s="27">
        <v>43549</v>
      </c>
      <c r="IQ943" s="27">
        <v>43565</v>
      </c>
      <c r="IR943" s="27">
        <v>44131</v>
      </c>
      <c r="IS943" s="27">
        <v>44137</v>
      </c>
      <c r="IT943" s="27">
        <v>44238</v>
      </c>
      <c r="IU943" s="18"/>
      <c r="IV943" s="18"/>
      <c r="IW943" s="18"/>
      <c r="IX943" s="18"/>
      <c r="IY943" s="18"/>
    </row>
    <row r="944" spans="1:263" ht="15" customHeight="1">
      <c r="A944" s="19">
        <v>102019034</v>
      </c>
      <c r="B944" s="14" t="s">
        <v>605</v>
      </c>
      <c r="C944" s="20"/>
      <c r="D944" s="20"/>
      <c r="E944" s="24" t="s">
        <v>2412</v>
      </c>
      <c r="F944" s="19">
        <v>210002039</v>
      </c>
      <c r="G944" s="18"/>
      <c r="H944" s="18"/>
      <c r="I944" s="18"/>
      <c r="J944" s="18" t="s">
        <v>311</v>
      </c>
      <c r="K944" s="18" t="s">
        <v>415</v>
      </c>
      <c r="L944" s="18" t="s">
        <v>606</v>
      </c>
      <c r="M944" s="18" t="s">
        <v>403</v>
      </c>
      <c r="N944" s="18"/>
      <c r="O944" s="13"/>
      <c r="P944" s="18" t="s">
        <v>607</v>
      </c>
      <c r="Q944" s="18" t="s">
        <v>1015</v>
      </c>
      <c r="R944" s="18" t="s">
        <v>392</v>
      </c>
      <c r="S944" s="18"/>
      <c r="T944" s="13"/>
      <c r="U944" s="18"/>
      <c r="V944" s="18"/>
      <c r="W944" s="18"/>
      <c r="X944" s="18"/>
      <c r="Y944" s="18"/>
      <c r="Z944" s="18"/>
      <c r="AA944" s="18"/>
      <c r="AB944" s="18"/>
      <c r="AC944" s="18"/>
      <c r="AD944" s="18" t="s">
        <v>2248</v>
      </c>
      <c r="AE944" s="18" t="s">
        <v>253</v>
      </c>
      <c r="AF944" s="18" t="s">
        <v>607</v>
      </c>
      <c r="AG944" s="231" t="s">
        <v>2492</v>
      </c>
      <c r="AH944" s="18" t="s">
        <v>2493</v>
      </c>
      <c r="AI944" s="18" t="s">
        <v>267</v>
      </c>
      <c r="AJ944" s="14" t="s">
        <v>328</v>
      </c>
      <c r="AK944" s="14"/>
      <c r="AL944" s="18" t="s">
        <v>329</v>
      </c>
      <c r="AM944" s="24"/>
      <c r="AN944" s="24" t="s">
        <v>603</v>
      </c>
      <c r="AO944" s="14" t="s">
        <v>604</v>
      </c>
      <c r="AP944" s="20" t="s">
        <v>258</v>
      </c>
      <c r="AQ944" s="24" t="s">
        <v>259</v>
      </c>
      <c r="AR944" s="24" t="s">
        <v>260</v>
      </c>
      <c r="AS944" s="20"/>
      <c r="AT944" s="20"/>
      <c r="AU944" s="13"/>
      <c r="AV944" s="13"/>
      <c r="AW944" s="13"/>
      <c r="AX944" s="48"/>
      <c r="AY944" s="48"/>
      <c r="AZ944" s="48"/>
      <c r="BA944" s="48"/>
      <c r="BB944" s="19"/>
      <c r="BC944" s="48"/>
      <c r="BD944" s="48"/>
      <c r="BE944" s="48"/>
      <c r="BF944" s="19"/>
      <c r="BG944" s="20"/>
      <c r="BH944" s="22"/>
      <c r="BI944" s="22"/>
      <c r="BJ944" s="14"/>
      <c r="BK944" s="22"/>
      <c r="BL944" s="14"/>
      <c r="BM944" s="14"/>
      <c r="BN944" s="14"/>
      <c r="BO944" s="17"/>
      <c r="BP944" s="23"/>
      <c r="BQ944" s="14"/>
      <c r="BR944" s="14"/>
      <c r="BS944" s="14"/>
      <c r="BT944" s="14"/>
      <c r="BU944" s="17"/>
      <c r="BV944" s="23"/>
      <c r="BW944" s="14"/>
      <c r="BX944" s="14"/>
      <c r="BY944" s="14"/>
      <c r="BZ944" s="14"/>
      <c r="CA944" s="17"/>
      <c r="CB944" s="23"/>
      <c r="CC944" s="14"/>
      <c r="CD944" s="14"/>
      <c r="CE944" s="14"/>
      <c r="CF944" s="14"/>
      <c r="CG944" s="17"/>
      <c r="CH944" s="23"/>
      <c r="CI944" s="14"/>
      <c r="CJ944" s="14"/>
      <c r="CK944" s="14"/>
      <c r="CL944" s="14"/>
      <c r="CM944" s="17"/>
      <c r="CN944" s="23"/>
      <c r="CO944" s="14"/>
      <c r="CP944" s="14"/>
      <c r="CQ944" s="14"/>
      <c r="CR944" s="14"/>
      <c r="CS944" s="17"/>
      <c r="CT944" s="23"/>
      <c r="CU944" s="14"/>
      <c r="CV944" s="14"/>
      <c r="CW944" s="14"/>
      <c r="CX944" s="14"/>
      <c r="CY944" s="14"/>
      <c r="CZ944" s="14"/>
      <c r="DA944" s="14"/>
      <c r="DB944" s="14"/>
      <c r="DC944" s="14"/>
      <c r="DD944" s="14"/>
      <c r="DE944" s="14"/>
      <c r="DF944" s="47"/>
      <c r="DG944" s="14"/>
      <c r="DH944" s="32"/>
      <c r="DI944" s="14"/>
      <c r="DJ944" s="14">
        <f>150+150+150</f>
        <v>450</v>
      </c>
      <c r="DK944" s="14">
        <f>SUM(DE944,DG944,DQ944, DJ944, DI944,FS944)</f>
        <v>2285.58</v>
      </c>
      <c r="DL944" s="14">
        <f>32.58+775</f>
        <v>807.58</v>
      </c>
      <c r="DM944" s="14">
        <f>93.75+97.5</f>
        <v>191.25</v>
      </c>
      <c r="DN944" s="14">
        <v>76.75</v>
      </c>
      <c r="DO944" s="14">
        <v>150</v>
      </c>
      <c r="DP944" s="25">
        <v>610</v>
      </c>
      <c r="DQ944" s="14">
        <f>SUM(DL944:DP944)</f>
        <v>1835.58</v>
      </c>
      <c r="DR944" s="24" t="s">
        <v>2217</v>
      </c>
      <c r="DS944" s="25">
        <v>12500</v>
      </c>
      <c r="DT944" s="25">
        <v>900</v>
      </c>
      <c r="DU944" s="25">
        <f>SUM(DS944+DT944)</f>
        <v>13400</v>
      </c>
      <c r="DV944" s="36">
        <v>1.1200000000000001</v>
      </c>
      <c r="DW944" s="18" t="s">
        <v>1994</v>
      </c>
      <c r="DX944" s="18" t="s">
        <v>1995</v>
      </c>
      <c r="DY944" s="18"/>
      <c r="DZ944" s="18"/>
      <c r="EA944" s="18"/>
      <c r="EB944" s="18"/>
      <c r="EC944" s="18"/>
      <c r="ED944" s="18"/>
      <c r="EE944" s="18"/>
      <c r="EF944" s="18"/>
      <c r="EG944" s="18"/>
      <c r="EH944" s="18"/>
      <c r="EI944" s="18" t="s">
        <v>2246</v>
      </c>
      <c r="EJ944" s="18"/>
      <c r="EK944" s="18" t="s">
        <v>2247</v>
      </c>
      <c r="EL944" s="18"/>
      <c r="EM944" s="18" t="s">
        <v>756</v>
      </c>
      <c r="EN944" s="18" t="s">
        <v>757</v>
      </c>
      <c r="EO944" s="18" t="s">
        <v>2248</v>
      </c>
      <c r="EP944" s="18"/>
      <c r="EQ944" s="18" t="s">
        <v>2249</v>
      </c>
      <c r="ER944" s="18"/>
      <c r="ES944" s="18" t="s">
        <v>267</v>
      </c>
      <c r="ET944" s="18" t="s">
        <v>268</v>
      </c>
      <c r="EU944" s="18"/>
      <c r="EV944" s="18"/>
      <c r="EW944" s="18"/>
      <c r="EX944" s="18"/>
      <c r="EY944" s="18"/>
      <c r="EZ944" s="18"/>
      <c r="FA944" s="18"/>
      <c r="FB944" s="18"/>
      <c r="FC944" s="18"/>
      <c r="FD944" s="18"/>
      <c r="FE944" s="27"/>
      <c r="FF944" s="18"/>
      <c r="FG944" s="18"/>
      <c r="FH944" s="18"/>
      <c r="FI944" s="18"/>
      <c r="FJ944" s="18"/>
      <c r="FK944" s="18"/>
      <c r="FL944" s="18"/>
      <c r="FM944" s="18"/>
      <c r="FN944" s="18"/>
      <c r="FO944" s="18"/>
      <c r="FP944" s="18"/>
      <c r="FQ944" s="18"/>
      <c r="FR944" s="18"/>
      <c r="FS944" s="14"/>
      <c r="FT944" s="18"/>
      <c r="FU944" s="18"/>
      <c r="FV944" s="18"/>
      <c r="FW944" s="18"/>
      <c r="FX944" s="28"/>
      <c r="FY944" s="18"/>
      <c r="FZ944" s="18"/>
      <c r="GA944" s="18"/>
      <c r="GB944" s="18"/>
      <c r="GC944" s="18"/>
      <c r="GD944" s="18"/>
      <c r="GE944" s="18"/>
      <c r="GF944" s="18"/>
      <c r="GG944" s="18"/>
      <c r="GH944" s="28"/>
      <c r="GI944" s="18"/>
      <c r="GJ944" s="18"/>
      <c r="GK944" s="18"/>
      <c r="GL944" s="18"/>
      <c r="GM944" s="18"/>
      <c r="GN944" s="18"/>
      <c r="GO944" s="18"/>
      <c r="GP944" s="18"/>
      <c r="GQ944" s="18"/>
      <c r="GR944" s="18"/>
      <c r="GS944" s="18"/>
      <c r="GT944" s="18"/>
      <c r="GU944" s="18"/>
      <c r="GV944" s="18"/>
      <c r="GW944" s="27"/>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4"/>
      <c r="IF944" s="14"/>
      <c r="IG944" s="27"/>
      <c r="IH944" s="18"/>
      <c r="II944" s="18"/>
      <c r="IJ944" s="18"/>
      <c r="IK944" s="18"/>
      <c r="IL944" s="9"/>
      <c r="IS944" s="4"/>
      <c r="IT944" s="4"/>
    </row>
    <row r="945" spans="1:265" ht="15" customHeight="1">
      <c r="A945" s="19">
        <v>102019034</v>
      </c>
      <c r="B945" s="14" t="s">
        <v>605</v>
      </c>
      <c r="C945" s="20"/>
      <c r="D945" s="20"/>
      <c r="E945" s="24" t="s">
        <v>2412</v>
      </c>
      <c r="F945" s="19">
        <v>210002039</v>
      </c>
      <c r="G945" s="18"/>
      <c r="H945" s="18"/>
      <c r="I945" s="18"/>
      <c r="J945" s="18" t="s">
        <v>311</v>
      </c>
      <c r="K945" s="18" t="s">
        <v>415</v>
      </c>
      <c r="L945" s="18" t="s">
        <v>606</v>
      </c>
      <c r="M945" s="18" t="s">
        <v>403</v>
      </c>
      <c r="N945" s="18"/>
      <c r="O945" s="13"/>
      <c r="P945" s="18" t="s">
        <v>607</v>
      </c>
      <c r="Q945" s="18" t="s">
        <v>1015</v>
      </c>
      <c r="R945" s="18" t="s">
        <v>392</v>
      </c>
      <c r="S945" s="18"/>
      <c r="T945" s="13"/>
      <c r="U945" s="18"/>
      <c r="V945" s="18"/>
      <c r="W945" s="18"/>
      <c r="X945" s="18"/>
      <c r="Y945" s="18"/>
      <c r="Z945" s="18"/>
      <c r="AA945" s="18"/>
      <c r="AB945" s="18"/>
      <c r="AC945" s="18"/>
      <c r="AD945" s="18" t="s">
        <v>2248</v>
      </c>
      <c r="AE945" s="18" t="s">
        <v>253</v>
      </c>
      <c r="AF945" s="18" t="s">
        <v>607</v>
      </c>
      <c r="AG945" s="37" t="s">
        <v>2492</v>
      </c>
      <c r="AH945" s="18" t="s">
        <v>2493</v>
      </c>
      <c r="AI945" s="18" t="s">
        <v>267</v>
      </c>
      <c r="AJ945" s="14" t="s">
        <v>328</v>
      </c>
      <c r="AK945" s="14"/>
      <c r="AL945" s="18" t="s">
        <v>329</v>
      </c>
      <c r="AM945" s="18"/>
      <c r="AN945" s="18" t="s">
        <v>603</v>
      </c>
      <c r="AO945" s="63" t="s">
        <v>604</v>
      </c>
      <c r="AP945" s="63" t="s">
        <v>258</v>
      </c>
      <c r="AQ945" s="24" t="s">
        <v>259</v>
      </c>
      <c r="AR945" s="24" t="s">
        <v>260</v>
      </c>
      <c r="AS945" s="20"/>
      <c r="AT945" s="20" t="s">
        <v>258</v>
      </c>
      <c r="AU945" s="13"/>
      <c r="AV945" s="13" t="s">
        <v>258</v>
      </c>
      <c r="AW945" s="13" t="s">
        <v>258</v>
      </c>
      <c r="AX945" s="48">
        <v>44270</v>
      </c>
      <c r="AY945" s="48">
        <v>43842</v>
      </c>
      <c r="AZ945" s="48">
        <v>43870</v>
      </c>
      <c r="BA945" s="48">
        <v>44302</v>
      </c>
      <c r="BB945" s="19" t="s">
        <v>318</v>
      </c>
      <c r="BC945" s="48">
        <v>44295</v>
      </c>
      <c r="BD945" s="48"/>
      <c r="BE945" s="48">
        <v>44316</v>
      </c>
      <c r="BF945" s="19" t="s">
        <v>319</v>
      </c>
      <c r="BG945" s="20">
        <v>4372.3808666666664</v>
      </c>
      <c r="BH945" s="22">
        <v>-384.4017432005183</v>
      </c>
      <c r="BI945" s="22">
        <v>384.4017432005183</v>
      </c>
      <c r="BJ945" s="14">
        <v>5.8066666666666658</v>
      </c>
      <c r="BK945" s="22">
        <v>390.20840986718497</v>
      </c>
      <c r="BL945" s="14"/>
      <c r="BM945" s="14">
        <v>0</v>
      </c>
      <c r="BN945" s="14">
        <v>0</v>
      </c>
      <c r="BO945" s="17">
        <v>0</v>
      </c>
      <c r="BP945" s="23">
        <v>70</v>
      </c>
      <c r="BQ945" s="14">
        <v>0</v>
      </c>
      <c r="BR945" s="14">
        <v>43.16</v>
      </c>
      <c r="BS945" s="14">
        <f>SUM(BR945*0.1)</f>
        <v>4.3159999999999998</v>
      </c>
      <c r="BT945" s="14">
        <f>SUM(BU945*BV945)</f>
        <v>24.133633333333325</v>
      </c>
      <c r="BU945" s="17">
        <f>SUM((BR945+BS945)*0.00833333333333333)</f>
        <v>0.39563333333333317</v>
      </c>
      <c r="BV945" s="23">
        <v>61</v>
      </c>
      <c r="BW945" s="14">
        <f>SUM(BR945,BS945,BT945)</f>
        <v>71.609633333333321</v>
      </c>
      <c r="BX945" s="14">
        <v>43.16</v>
      </c>
      <c r="BY945" s="14">
        <f>SUM(BX945*0.1)</f>
        <v>4.3159999999999998</v>
      </c>
      <c r="BZ945" s="14">
        <f>SUM(CA945*CB945)</f>
        <v>19.386033333333327</v>
      </c>
      <c r="CA945" s="17">
        <f>SUM((BX945+BY945)*0.00833333333333333)</f>
        <v>0.39563333333333317</v>
      </c>
      <c r="CB945" s="23">
        <v>49</v>
      </c>
      <c r="CC945" s="14">
        <f>SUM(BX945,BY945,BZ945)</f>
        <v>66.862033333333329</v>
      </c>
      <c r="CD945" s="14">
        <v>43.16</v>
      </c>
      <c r="CE945" s="14">
        <f>SUM(CD945*0.1)</f>
        <v>4.3159999999999998</v>
      </c>
      <c r="CF945" s="14">
        <f>SUM(CG945*CH945)</f>
        <v>14.638433333333328</v>
      </c>
      <c r="CG945" s="17">
        <f>SUM((CD945+CE945)*0.00833333333333333)</f>
        <v>0.39563333333333317</v>
      </c>
      <c r="CH945" s="23">
        <v>37</v>
      </c>
      <c r="CI945" s="14">
        <f>SUM(CD945,CE945,CF945)</f>
        <v>62.114433333333324</v>
      </c>
      <c r="CJ945" s="14">
        <v>69.679999999999993</v>
      </c>
      <c r="CK945" s="14">
        <v>6.968</v>
      </c>
      <c r="CL945" s="14">
        <f>SUM(CM945*CN945)</f>
        <v>15.968333333333327</v>
      </c>
      <c r="CM945" s="17">
        <f>SUM((CJ945+CK945)*0.00833333333333333)</f>
        <v>0.63873333333333304</v>
      </c>
      <c r="CN945" s="23">
        <v>25</v>
      </c>
      <c r="CO945" s="14">
        <f>SUM(CJ945,CK945,CL945)</f>
        <v>92.61633333333333</v>
      </c>
      <c r="CP945" s="14">
        <v>69.679999999999993</v>
      </c>
      <c r="CQ945" s="14">
        <v>6.968</v>
      </c>
      <c r="CR945" s="14">
        <f>SUM(CS945*CT945)</f>
        <v>8.3035333333333288</v>
      </c>
      <c r="CS945" s="17">
        <f>SUM((CP945+CQ945)*0.00833333333333333)</f>
        <v>0.63873333333333304</v>
      </c>
      <c r="CT945" s="23">
        <v>13</v>
      </c>
      <c r="CU945" s="14">
        <f>SUM(CP945,CQ945,CR945)</f>
        <v>84.95153333333333</v>
      </c>
      <c r="CV945" s="14">
        <f>SUM(DP945*0.0052)</f>
        <v>69.679999999999993</v>
      </c>
      <c r="CW945" s="14">
        <f>SUM(BL945, BR945, BX945, CD945,CJ945,CP945, CV945)</f>
        <v>338.52</v>
      </c>
      <c r="CX945" s="14">
        <f>SUM(BM945, BS945, BY945, CE945,CK945,CQ945)</f>
        <v>26.884</v>
      </c>
      <c r="CY945" s="14">
        <f>SUM(BN945, BT945, BZ945, CF945,CL945,CR945)</f>
        <v>82.42996666666663</v>
      </c>
      <c r="CZ945" s="14">
        <f>SUM(CW945:CY945)</f>
        <v>447.83396666666664</v>
      </c>
      <c r="DA945" s="47">
        <v>2.7668721393034824E-2</v>
      </c>
      <c r="DB945" s="14">
        <v>2184.5</v>
      </c>
      <c r="DC945" s="32">
        <v>4</v>
      </c>
      <c r="DD945" s="14">
        <f>48.54+25.03</f>
        <v>73.569999999999993</v>
      </c>
      <c r="DE945" s="14">
        <v>450</v>
      </c>
      <c r="DF945" s="18"/>
      <c r="DG945" s="14">
        <f>807.58+182.42</f>
        <v>990</v>
      </c>
      <c r="DH945" s="14">
        <v>191.25</v>
      </c>
      <c r="DI945" s="14">
        <v>76.75</v>
      </c>
      <c r="DJ945" s="14">
        <v>100</v>
      </c>
      <c r="DK945" s="25">
        <v>610</v>
      </c>
      <c r="DL945" s="14">
        <f>SUM(DG945:DK945)</f>
        <v>1968</v>
      </c>
      <c r="DM945" s="24" t="s">
        <v>2217</v>
      </c>
      <c r="DN945" s="25">
        <v>12500</v>
      </c>
      <c r="DO945" s="25">
        <v>900</v>
      </c>
      <c r="DP945" s="25">
        <v>13400</v>
      </c>
      <c r="DQ945" s="36">
        <v>1.1200000000000001</v>
      </c>
      <c r="DR945" s="18" t="s">
        <v>1994</v>
      </c>
      <c r="DS945" s="18" t="s">
        <v>1995</v>
      </c>
      <c r="DT945" s="18"/>
      <c r="DU945" s="18"/>
      <c r="DV945" s="18"/>
      <c r="DW945" s="18"/>
      <c r="DX945" s="18"/>
      <c r="DY945" s="18"/>
      <c r="DZ945" s="18"/>
      <c r="EA945" s="18"/>
      <c r="EB945" s="14">
        <f>SUM(CZ945,DB945,DL945, DE945, DD945,FK945)</f>
        <v>5123.9039666666667</v>
      </c>
      <c r="EC945" s="18"/>
      <c r="ED945" s="18" t="s">
        <v>2246</v>
      </c>
      <c r="EE945" s="18"/>
      <c r="EF945" s="18" t="s">
        <v>2247</v>
      </c>
      <c r="EG945" s="18"/>
      <c r="EH945" s="18" t="s">
        <v>756</v>
      </c>
      <c r="EI945" s="18" t="s">
        <v>757</v>
      </c>
      <c r="EJ945" s="18" t="s">
        <v>2248</v>
      </c>
      <c r="EK945" s="18"/>
      <c r="EL945" s="18" t="s">
        <v>2249</v>
      </c>
      <c r="EM945" s="18"/>
      <c r="EN945" s="18" t="s">
        <v>267</v>
      </c>
      <c r="EO945" s="18" t="s">
        <v>268</v>
      </c>
      <c r="EP945" s="18"/>
      <c r="EQ945" s="18"/>
      <c r="ER945" s="18"/>
      <c r="ES945" s="18"/>
      <c r="ET945" s="18"/>
      <c r="EU945" s="18"/>
      <c r="EV945" s="27"/>
      <c r="EW945" s="18"/>
      <c r="EX945" s="18"/>
      <c r="EY945" s="18"/>
      <c r="EZ945" s="18"/>
      <c r="FA945" s="18"/>
      <c r="FB945" s="18"/>
      <c r="FC945" s="18"/>
      <c r="FD945" s="18"/>
      <c r="FE945" s="27"/>
      <c r="FF945" s="18"/>
      <c r="FG945" s="18"/>
      <c r="FH945" s="18"/>
      <c r="FI945" s="18"/>
      <c r="FJ945" s="18"/>
      <c r="FK945" s="14"/>
      <c r="FL945" s="18"/>
      <c r="FM945" s="18"/>
      <c r="FN945" s="18"/>
      <c r="FO945" s="18"/>
      <c r="FP945" s="28"/>
      <c r="FQ945" s="18"/>
      <c r="FR945" s="18"/>
      <c r="FS945" s="18"/>
      <c r="FT945" s="18"/>
      <c r="FU945" s="18"/>
      <c r="FV945" s="18"/>
      <c r="FW945" s="18"/>
      <c r="FX945" s="18"/>
      <c r="FY945" s="18"/>
      <c r="FZ945" s="28"/>
      <c r="GA945" s="18"/>
      <c r="GB945" s="18"/>
      <c r="GC945" s="18"/>
      <c r="GD945" s="18"/>
      <c r="GE945" s="18"/>
      <c r="GF945" s="18"/>
      <c r="GG945" s="18"/>
      <c r="GH945" s="18"/>
      <c r="GI945" s="18"/>
      <c r="GJ945" s="18"/>
      <c r="GK945" s="18"/>
      <c r="GL945" s="18"/>
      <c r="GM945" s="18"/>
      <c r="GN945" s="18"/>
      <c r="GO945" s="27"/>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27">
        <v>44499</v>
      </c>
      <c r="IB945" s="14">
        <v>6750</v>
      </c>
      <c r="IC945" s="14">
        <v>1000</v>
      </c>
      <c r="ID945" s="27"/>
      <c r="IE945" s="18"/>
      <c r="IF945" s="18" t="s">
        <v>2746</v>
      </c>
      <c r="IG945" s="18" t="s">
        <v>2747</v>
      </c>
      <c r="IH945" s="18" t="s">
        <v>329</v>
      </c>
      <c r="II945" s="18"/>
      <c r="IJ945" s="18"/>
      <c r="IK945" s="14">
        <v>105.17</v>
      </c>
      <c r="IL945" s="14">
        <f>SUM(IB945-EB945-IJ945)</f>
        <v>1626.0960333333333</v>
      </c>
      <c r="IM945" s="14"/>
      <c r="IN945" s="14"/>
      <c r="IO945" s="27">
        <v>44333</v>
      </c>
      <c r="IP945" s="27">
        <v>44349</v>
      </c>
      <c r="IQ945" s="27">
        <v>44501</v>
      </c>
      <c r="IR945" s="27">
        <v>44505</v>
      </c>
      <c r="IS945" s="18"/>
      <c r="IT945" s="18"/>
      <c r="IU945" s="18"/>
      <c r="IV945" s="18"/>
      <c r="IW945" s="18"/>
      <c r="IX945" s="18"/>
      <c r="IY945" s="18"/>
      <c r="IZ945" s="18"/>
      <c r="JA945" s="18"/>
      <c r="JB945" s="18"/>
      <c r="JC945" s="18"/>
    </row>
    <row r="946" spans="1:265" ht="15" customHeight="1">
      <c r="A946" s="19">
        <v>102017032</v>
      </c>
      <c r="B946" s="18" t="s">
        <v>324</v>
      </c>
      <c r="C946" s="18"/>
      <c r="D946" s="18"/>
      <c r="E946" s="13"/>
      <c r="F946" s="13"/>
      <c r="G946" s="13"/>
      <c r="H946" s="18"/>
      <c r="I946" s="19"/>
      <c r="J946" s="18"/>
      <c r="K946" s="18" t="s">
        <v>333</v>
      </c>
      <c r="L946" s="18"/>
      <c r="M946" s="18"/>
      <c r="N946" s="18"/>
      <c r="O946" s="13"/>
      <c r="P946" s="18"/>
      <c r="Q946" s="18"/>
      <c r="R946" s="18"/>
      <c r="S946" s="18"/>
      <c r="T946" s="13"/>
      <c r="U946" s="18"/>
      <c r="V946" s="18"/>
      <c r="W946" s="18"/>
      <c r="X946" s="18"/>
      <c r="Y946" s="18"/>
      <c r="Z946" s="18"/>
      <c r="AA946" s="18"/>
      <c r="AB946" s="18"/>
      <c r="AC946" s="24"/>
      <c r="AD946" s="18"/>
      <c r="AE946" s="18"/>
      <c r="AF946" s="18"/>
      <c r="AG946" s="13"/>
      <c r="AH946" s="18"/>
      <c r="AI946" s="18"/>
      <c r="AJ946" s="14"/>
      <c r="AK946" s="14"/>
      <c r="AL946" s="20"/>
      <c r="AM946" s="63"/>
      <c r="AN946" s="24"/>
      <c r="AO946" s="14"/>
      <c r="AP946" s="13"/>
      <c r="AQ946" s="63"/>
      <c r="AR946" s="63"/>
      <c r="AS946" s="20"/>
      <c r="AT946" s="13"/>
      <c r="AU946" s="13"/>
      <c r="AV946" s="13"/>
      <c r="AW946" s="13"/>
      <c r="AX946" s="48"/>
      <c r="AY946" s="48"/>
      <c r="AZ946" s="48"/>
      <c r="BA946" s="48"/>
      <c r="BB946" s="19"/>
      <c r="BC946" s="48"/>
      <c r="BD946" s="48"/>
      <c r="BE946" s="48"/>
      <c r="BF946" s="48"/>
      <c r="BG946" s="20"/>
      <c r="BH946" s="22"/>
      <c r="BI946" s="22"/>
      <c r="BJ946" s="14"/>
      <c r="BK946" s="14"/>
      <c r="BL946" s="14"/>
      <c r="BM946" s="17"/>
      <c r="BN946" s="23"/>
      <c r="BO946" s="14"/>
      <c r="BP946" s="14"/>
      <c r="BQ946" s="14"/>
      <c r="BR946" s="14"/>
      <c r="BS946" s="17"/>
      <c r="BT946" s="23"/>
      <c r="BU946" s="14"/>
      <c r="BV946" s="14"/>
      <c r="BW946" s="14"/>
      <c r="BX946" s="14"/>
      <c r="BY946" s="17"/>
      <c r="BZ946" s="23"/>
      <c r="CA946" s="14"/>
      <c r="CB946" s="14"/>
      <c r="CC946" s="14"/>
      <c r="CD946" s="14"/>
      <c r="CE946" s="17"/>
      <c r="CF946" s="23"/>
      <c r="CG946" s="14"/>
      <c r="CH946" s="14"/>
      <c r="CI946" s="14"/>
      <c r="CJ946" s="14"/>
      <c r="CK946" s="17"/>
      <c r="CL946" s="23"/>
      <c r="CM946" s="14"/>
      <c r="CN946" s="14"/>
      <c r="CO946" s="14"/>
      <c r="CP946" s="14"/>
      <c r="CQ946" s="17"/>
      <c r="CR946" s="23"/>
      <c r="CS946" s="14"/>
      <c r="CT946" s="14"/>
      <c r="CU946" s="14"/>
      <c r="CV946" s="14"/>
      <c r="CW946" s="17"/>
      <c r="CX946" s="23"/>
      <c r="CY946" s="14"/>
      <c r="CZ946" s="14"/>
      <c r="DA946" s="14"/>
      <c r="DB946" s="14"/>
      <c r="DC946" s="14"/>
      <c r="DD946" s="14"/>
      <c r="DE946" s="47"/>
      <c r="DF946" s="24"/>
      <c r="DG946" s="14"/>
      <c r="DH946" s="32"/>
      <c r="DI946" s="14"/>
      <c r="DJ946" s="14"/>
      <c r="DK946" s="14"/>
      <c r="DL946" s="14"/>
      <c r="DM946" s="14"/>
      <c r="DN946" s="14"/>
      <c r="DO946" s="14"/>
      <c r="DP946" s="25"/>
      <c r="DQ946" s="14"/>
      <c r="DR946" s="25"/>
      <c r="DS946" s="25"/>
      <c r="DT946" s="25"/>
      <c r="DU946" s="36"/>
      <c r="DV946" s="241"/>
      <c r="DW946" s="241"/>
      <c r="DX946" s="241"/>
      <c r="DY946" s="241"/>
      <c r="DZ946" s="241"/>
      <c r="EA946" s="18"/>
      <c r="EB946" s="18"/>
      <c r="EC946" s="18"/>
      <c r="ED946" s="18"/>
      <c r="EE946" s="18"/>
      <c r="EF946" s="18"/>
      <c r="EG946" s="18"/>
      <c r="EH946" s="14"/>
      <c r="EI946" s="18"/>
      <c r="EJ946" s="14"/>
      <c r="EK946" s="14"/>
      <c r="EL946" s="14"/>
      <c r="EM946" s="14"/>
      <c r="EN946" s="18"/>
      <c r="EO946" s="18"/>
      <c r="EP946" s="18"/>
      <c r="EQ946" s="18"/>
      <c r="ER946" s="18"/>
      <c r="ES946" s="18"/>
      <c r="ET946" s="18"/>
      <c r="EU946" s="18"/>
      <c r="EV946" s="18"/>
      <c r="EW946" s="18"/>
      <c r="EX946" s="18"/>
      <c r="EY946" s="18"/>
      <c r="EZ946" s="18"/>
      <c r="FA946" s="18"/>
      <c r="FB946" s="18"/>
      <c r="FC946" s="18"/>
      <c r="FD946" s="27"/>
      <c r="FE946" s="28"/>
      <c r="FF946" s="18"/>
      <c r="FG946" s="18"/>
      <c r="FH946" s="18"/>
      <c r="FI946" s="18"/>
      <c r="FJ946" s="18"/>
      <c r="FK946" s="18"/>
      <c r="FL946" s="28"/>
      <c r="FM946" s="27"/>
      <c r="FN946" s="18"/>
      <c r="FO946" s="18"/>
      <c r="FP946" s="18"/>
      <c r="FQ946" s="18"/>
      <c r="FR946" s="18"/>
      <c r="FS946" s="14"/>
      <c r="FT946" s="18"/>
      <c r="FU946" s="44"/>
      <c r="FV946" s="18"/>
      <c r="FW946" s="18"/>
      <c r="FX946" s="18"/>
      <c r="FY946" s="18"/>
      <c r="FZ946" s="27"/>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27"/>
      <c r="IE946" s="14"/>
      <c r="IF946" s="14"/>
      <c r="IG946" s="27"/>
      <c r="IH946" s="18"/>
      <c r="II946" s="18"/>
      <c r="IJ946" s="18"/>
      <c r="IK946" s="18"/>
      <c r="IL946" s="9"/>
      <c r="IS946" s="4"/>
      <c r="IT946" s="4"/>
    </row>
    <row r="947" spans="1:265" ht="15" customHeight="1">
      <c r="A947" s="2">
        <v>102019084</v>
      </c>
      <c r="B947" s="4" t="s">
        <v>752</v>
      </c>
      <c r="C947" s="1"/>
      <c r="D947" s="1"/>
      <c r="E947" s="3" t="s">
        <v>1739</v>
      </c>
      <c r="F947" s="2">
        <v>200000843</v>
      </c>
      <c r="J947" t="s">
        <v>253</v>
      </c>
      <c r="K947" t="s">
        <v>753</v>
      </c>
      <c r="L947" t="s">
        <v>754</v>
      </c>
      <c r="M947" t="s">
        <v>396</v>
      </c>
      <c r="O947" s="1"/>
      <c r="T947" s="1"/>
      <c r="AG947" s="248"/>
      <c r="AJ947" s="4"/>
      <c r="AK947" s="4"/>
      <c r="AO947" s="4"/>
      <c r="AP947" s="5"/>
      <c r="AS947" s="5"/>
      <c r="AT947" s="5"/>
      <c r="AU947" s="1"/>
      <c r="AV947" s="1"/>
      <c r="AW947" s="1"/>
      <c r="AX947" s="15"/>
      <c r="AY947" s="15"/>
      <c r="AZ947" s="15"/>
      <c r="BA947" s="15"/>
      <c r="BB947" s="13"/>
      <c r="BC947" s="15"/>
      <c r="BD947" s="15"/>
      <c r="BE947" s="15"/>
      <c r="BF947" s="1"/>
      <c r="BG947" s="5"/>
      <c r="BH947" s="16"/>
      <c r="BI947" s="16"/>
      <c r="BJ947" s="4"/>
      <c r="BK947" s="4"/>
      <c r="BL947" s="4"/>
      <c r="BM947" s="6"/>
      <c r="BN947" s="7"/>
      <c r="BO947" s="4"/>
      <c r="BP947" s="4"/>
      <c r="BQ947" s="4"/>
      <c r="BR947" s="4"/>
      <c r="BS947" s="6"/>
      <c r="BT947" s="7"/>
      <c r="BU947" s="4"/>
      <c r="BV947" s="4"/>
      <c r="BW947" s="4"/>
      <c r="BX947" s="4"/>
      <c r="BY947" s="6"/>
      <c r="BZ947" s="7"/>
      <c r="CA947" s="4"/>
      <c r="CB947" s="4"/>
      <c r="CC947" s="4"/>
      <c r="CD947" s="4"/>
      <c r="CE947" s="6"/>
      <c r="CF947" s="7"/>
      <c r="CG947" s="4"/>
      <c r="CH947" s="4"/>
      <c r="CI947" s="4"/>
      <c r="CJ947" s="4"/>
      <c r="CK947" s="6"/>
      <c r="CL947" s="7"/>
      <c r="CM947" s="4"/>
      <c r="CN947" s="4"/>
      <c r="CO947" s="4"/>
      <c r="CP947" s="4"/>
      <c r="CQ947" s="6"/>
      <c r="CR947" s="7"/>
      <c r="CS947" s="4"/>
      <c r="CT947" s="4"/>
      <c r="CU947" s="4"/>
      <c r="CV947" s="4"/>
      <c r="CW947" s="6"/>
      <c r="CX947" s="7"/>
      <c r="CY947" s="4"/>
      <c r="CZ947" s="4"/>
      <c r="DA947" s="4"/>
      <c r="DB947" s="4"/>
      <c r="DC947" s="4"/>
      <c r="DD947" s="3"/>
      <c r="DE947" s="4"/>
      <c r="DF947" s="234"/>
      <c r="DG947" s="4"/>
      <c r="DH947" s="4"/>
      <c r="DI947" s="4"/>
      <c r="DJ947" s="4"/>
      <c r="DK947" s="4"/>
      <c r="DL947" s="4"/>
      <c r="DM947" s="7"/>
      <c r="DN947" s="8"/>
      <c r="DO947" s="4"/>
      <c r="DP947" s="8"/>
      <c r="DQ947" s="8"/>
      <c r="DR947" s="8"/>
      <c r="DS947" s="35"/>
      <c r="EB947" s="11"/>
      <c r="EH947" s="11"/>
      <c r="EI947" s="11"/>
      <c r="EJ947" s="4"/>
      <c r="EK947" s="4"/>
      <c r="EL947" s="4"/>
      <c r="EM947" s="4"/>
      <c r="EN947" s="4"/>
      <c r="EO947" s="4"/>
      <c r="EP947" s="4"/>
      <c r="EQ947" s="4"/>
      <c r="ER947" s="4"/>
      <c r="ES947" s="4"/>
      <c r="ET947" s="4"/>
      <c r="EU947" s="4"/>
      <c r="EV947" s="4"/>
      <c r="EW947" s="4"/>
      <c r="EX947" s="4"/>
      <c r="FB947" s="9"/>
      <c r="FK947" s="9"/>
      <c r="FQ947" s="4"/>
      <c r="FV947" s="10"/>
      <c r="GF947" s="10"/>
      <c r="GU947" s="9"/>
      <c r="IC947" s="4"/>
      <c r="ID947" s="4"/>
      <c r="IE947" s="9"/>
      <c r="IZ947" s="18"/>
      <c r="JA947" s="18"/>
      <c r="JB947" s="18"/>
      <c r="JC947" s="18"/>
    </row>
    <row r="948" spans="1:265" ht="15" customHeight="1">
      <c r="A948" s="19">
        <v>102019084</v>
      </c>
      <c r="B948" t="s">
        <v>752</v>
      </c>
      <c r="C948" s="10"/>
      <c r="D948" s="159"/>
      <c r="E948" s="147"/>
      <c r="F948" s="160"/>
      <c r="G948" s="147">
        <v>220003256</v>
      </c>
      <c r="H948" s="10"/>
      <c r="I948" s="10"/>
      <c r="J948" s="10" t="s">
        <v>311</v>
      </c>
      <c r="K948" s="10" t="s">
        <v>740</v>
      </c>
      <c r="L948" s="10" t="s">
        <v>865</v>
      </c>
      <c r="M948" s="10" t="s">
        <v>256</v>
      </c>
      <c r="N948" s="10"/>
      <c r="O948" s="147"/>
      <c r="P948" s="10"/>
      <c r="Q948" s="10"/>
      <c r="R948" s="10"/>
      <c r="S948" s="10"/>
      <c r="T948" s="10"/>
      <c r="U948" s="10"/>
      <c r="V948" s="10"/>
      <c r="W948" s="10"/>
      <c r="X948" s="10"/>
      <c r="Y948" s="10"/>
      <c r="Z948" s="10"/>
      <c r="AA948" s="10"/>
      <c r="AB948" s="10"/>
      <c r="AC948" s="10"/>
      <c r="AD948" s="10"/>
      <c r="AE948" s="10"/>
      <c r="AF948" s="10"/>
      <c r="AG948" s="141"/>
      <c r="AH948" s="10"/>
      <c r="AI948" s="10"/>
      <c r="AJ948" s="18" t="s">
        <v>755</v>
      </c>
      <c r="AK948" s="1" t="s">
        <v>258</v>
      </c>
      <c r="AL948" s="18" t="s">
        <v>329</v>
      </c>
      <c r="AM948" t="s">
        <v>260</v>
      </c>
      <c r="AN948"/>
      <c r="AO948" t="s">
        <v>1747</v>
      </c>
      <c r="AP948" s="1" t="s">
        <v>258</v>
      </c>
      <c r="AQ948" t="s">
        <v>329</v>
      </c>
      <c r="AR948" t="s">
        <v>260</v>
      </c>
      <c r="AX948" s="1"/>
      <c r="AY948" s="1"/>
      <c r="AZ948" s="1"/>
      <c r="BA948" s="1"/>
      <c r="BB948" s="1"/>
      <c r="BC948" s="70"/>
      <c r="BD948" s="115">
        <v>44661</v>
      </c>
      <c r="BE948" s="144">
        <v>44649</v>
      </c>
      <c r="BF948" s="70"/>
      <c r="BG948" s="2"/>
      <c r="BH948" s="70"/>
      <c r="BI948" s="70"/>
      <c r="BJ948" s="70"/>
      <c r="BK948" s="70"/>
      <c r="BL948" s="20">
        <f ca="1">SUM(EB948)+220</f>
        <v>1157.3059375</v>
      </c>
      <c r="BM948" s="22">
        <f ca="1">PMT(10%/12,12,BL948,0,0)</f>
        <v>-101.74557829187053</v>
      </c>
      <c r="BN948" s="22">
        <f ca="1">SUM(BM948*-1)</f>
        <v>101.74557829187053</v>
      </c>
      <c r="BO948" s="14">
        <f>SUM(EJ948*0.0052)/12</f>
        <v>12.783333333333333</v>
      </c>
      <c r="BP948" s="22">
        <f ca="1">SUM(BN948+BO948)</f>
        <v>114.52891162520386</v>
      </c>
      <c r="BQ948" s="14">
        <v>0</v>
      </c>
      <c r="BR948" s="14">
        <f>SUM(BQ948*0.1)</f>
        <v>0</v>
      </c>
      <c r="BS948" s="14">
        <f ca="1">SUM(BT948*BU948)</f>
        <v>0</v>
      </c>
      <c r="BT948" s="17">
        <f>SUM((BQ948+BR948)*0.00833333333333333)</f>
        <v>0</v>
      </c>
      <c r="BU948" s="23">
        <f ca="1">MONTH(TODAY())+37</f>
        <v>41</v>
      </c>
      <c r="BV948" s="14">
        <f ca="1">SUM(BQ948,BR948,BS948)</f>
        <v>0</v>
      </c>
      <c r="BW948" s="14">
        <v>0</v>
      </c>
      <c r="BX948" s="14">
        <f>SUM(BW948*0.1)</f>
        <v>0</v>
      </c>
      <c r="BY948" s="14">
        <f ca="1">SUM(BZ948*CA948)</f>
        <v>0</v>
      </c>
      <c r="BZ948" s="17">
        <f>SUM((BW948+BX948)*0.00833333333333333)</f>
        <v>0</v>
      </c>
      <c r="CA948" s="23">
        <f ca="1">MONTH(TODAY())+37</f>
        <v>41</v>
      </c>
      <c r="CB948" s="14">
        <f ca="1">SUM(BW948,BX948,BY948)</f>
        <v>0</v>
      </c>
      <c r="CC948" s="14">
        <v>0</v>
      </c>
      <c r="CD948" s="14">
        <f>SUM(CC948*0.1)</f>
        <v>0</v>
      </c>
      <c r="CE948" s="14">
        <f ca="1">SUM(CF948*CG948)</f>
        <v>0</v>
      </c>
      <c r="CF948" s="17">
        <f>SUM((CC948+CD948)*0.00833333333333333)</f>
        <v>0</v>
      </c>
      <c r="CG948" s="23">
        <f ca="1">MONTH(TODAY())+29</f>
        <v>33</v>
      </c>
      <c r="CH948" s="23">
        <f ca="1">SUM(CC948,CD948,CE948)</f>
        <v>0</v>
      </c>
      <c r="CI948" s="14">
        <v>0</v>
      </c>
      <c r="CJ948" s="14">
        <f>SUM(CI948*0.1)</f>
        <v>0</v>
      </c>
      <c r="CK948" s="14">
        <f ca="1">SUM(CL948*CM948)</f>
        <v>0</v>
      </c>
      <c r="CL948" s="17">
        <f>SUM((CI948+CJ948)*0.00833333333333333)</f>
        <v>0</v>
      </c>
      <c r="CM948" s="23">
        <f ca="1">MONTH(TODAY())+25</f>
        <v>29</v>
      </c>
      <c r="CN948" s="14">
        <f ca="1">SUM(CI948,CJ948,CK948)</f>
        <v>0</v>
      </c>
      <c r="CO948" s="14">
        <v>0</v>
      </c>
      <c r="CP948" s="14">
        <f>SUM(CO948*0.1)</f>
        <v>0</v>
      </c>
      <c r="CQ948" s="14">
        <f ca="1">SUM(CR948*CS948)</f>
        <v>0</v>
      </c>
      <c r="CR948" s="17">
        <f>SUM((CO948+CP948)*0.00833333333333333)</f>
        <v>0</v>
      </c>
      <c r="CS948" s="23">
        <f ca="1">MONTH(TODAY())+19</f>
        <v>23</v>
      </c>
      <c r="CT948" s="14">
        <f ca="1">SUM(CO948,CP948,CQ948)</f>
        <v>0</v>
      </c>
      <c r="CU948" s="14">
        <f>SUM(EJ948*0.0045)/2</f>
        <v>66.375</v>
      </c>
      <c r="CV948" s="14">
        <f>SUM(CU948*0.1)</f>
        <v>6.6375000000000002</v>
      </c>
      <c r="CW948" s="14">
        <f ca="1">SUM(CX948*CY948)</f>
        <v>10.343437499999995</v>
      </c>
      <c r="CX948" s="17">
        <f>SUM((CU948+CV948)*0.00833333333333333)</f>
        <v>0.60843749999999974</v>
      </c>
      <c r="CY948" s="23">
        <f ca="1">MONTH(TODAY())+13</f>
        <v>17</v>
      </c>
      <c r="CZ948" s="14">
        <f ca="1">SUM(CU948,CV948,CW948)</f>
        <v>83.355937499999996</v>
      </c>
      <c r="DA948" s="14">
        <f>SUM(EJ948*0.0045)/2</f>
        <v>66.375</v>
      </c>
      <c r="DB948" s="14">
        <f>SUM(DA948*0.1)</f>
        <v>6.6375000000000002</v>
      </c>
      <c r="DC948" s="14">
        <f ca="1">SUM(DD948*DE948)</f>
        <v>6.6928124999999969</v>
      </c>
      <c r="DD948" s="17">
        <f>SUM((DA948+DB948)*0.00833333333333333)</f>
        <v>0.60843749999999974</v>
      </c>
      <c r="DE948" s="23">
        <f ca="1">MONTH(TODAY())+7</f>
        <v>11</v>
      </c>
      <c r="DF948" s="14">
        <f ca="1">SUM(DA948,DB948,DC948)</f>
        <v>79.705312500000005</v>
      </c>
      <c r="DG948" s="14">
        <f>SUM(EJ948*0.0045)/2</f>
        <v>66.375</v>
      </c>
      <c r="DH948" s="14">
        <f>SUM(DG948*0.1)</f>
        <v>6.6375000000000002</v>
      </c>
      <c r="DI948" s="14">
        <f ca="1">SUM(DJ948*DK948)</f>
        <v>3.0421874999999989</v>
      </c>
      <c r="DJ948" s="17">
        <f>SUM((DG948+DH948)*0.00833333333333333)</f>
        <v>0.60843749999999974</v>
      </c>
      <c r="DK948" s="23">
        <f ca="1">MONTH(TODAY())+1</f>
        <v>5</v>
      </c>
      <c r="DL948" s="14">
        <f ca="1">SUM(DG948,DH948,DI948)</f>
        <v>76.0546875</v>
      </c>
      <c r="DM948" s="14">
        <f>SUM(BQ948, BW948, CC948,CI948,CO948,CU948,DA948,DG948)</f>
        <v>199.125</v>
      </c>
      <c r="DN948" s="14">
        <f>SUM(BR948,BX948, CD948,CJ948,CP948,CV948,DB948,DH948)</f>
        <v>19.912500000000001</v>
      </c>
      <c r="DO948" s="14">
        <f ca="1">SUM(BS948,BY948, CE948,CK948,CQ948,CW948,DC948,DI948)</f>
        <v>20.078437499999993</v>
      </c>
      <c r="DP948" s="25">
        <f ca="1">SUM(DM948:DO948)</f>
        <v>239.11593749999997</v>
      </c>
      <c r="DQ948" s="47">
        <f ca="1">SUM(DP948/EG948)</f>
        <v>9.232275579150578E-3</v>
      </c>
      <c r="DR948" s="14">
        <f>19.5+19.5+195+58.5+156-26.84+60</f>
        <v>481.66</v>
      </c>
      <c r="DS948" s="32">
        <f>COUNTIF(AO948, "*")+COUNTIF(AJ948, "*")+COUNTIF(AA948, "*")+COUNTIF(EU948, "*")+COUNTIF(FA948, "*")+COUNTIF(FG948, "*")+COUNTIF(FK948, "*")+COUNTIF(FR948, "*")+COUNTIF(AT948, "*")+COUNTIF(GA948, "*")+COUNTIF(GL948, "*")+COUNTIF(GW948, "*")+COUNTIF(HE948, "*")+COUNTIF(HM948, "*")+COUNTIF(HU948, "*")</f>
        <v>4</v>
      </c>
      <c r="DT948" s="14">
        <f>DS948*0.5+DS948*6.66+7.81</f>
        <v>36.450000000000003</v>
      </c>
      <c r="DU948" s="14">
        <v>30.08</v>
      </c>
      <c r="DV948" s="4">
        <v>150</v>
      </c>
      <c r="DW948" s="4"/>
      <c r="DX948" s="4"/>
      <c r="DY948" s="4"/>
      <c r="DZ948" s="4"/>
      <c r="EA948" s="14">
        <f>SUM(DU948:DZ948)</f>
        <v>180.07999999999998</v>
      </c>
      <c r="EB948" s="14">
        <f ca="1">SUM(DP948,DR948,EA948,DT948,FX948)</f>
        <v>937.30593750000003</v>
      </c>
      <c r="EC948" s="24"/>
      <c r="ED948" s="7">
        <v>2</v>
      </c>
      <c r="EE948" s="4">
        <v>19600</v>
      </c>
      <c r="EF948" s="4">
        <v>6300</v>
      </c>
      <c r="EG948" s="14">
        <f>SUM(EE948+EF948)</f>
        <v>25900</v>
      </c>
      <c r="EH948" s="14">
        <v>23000</v>
      </c>
      <c r="EI948" s="14">
        <v>6500</v>
      </c>
      <c r="EJ948" s="14">
        <f>SUM(EH948+EI948)</f>
        <v>29500</v>
      </c>
      <c r="EK948" s="10" t="s">
        <v>3686</v>
      </c>
      <c r="EL948" s="10" t="s">
        <v>3687</v>
      </c>
      <c r="EM948" s="10"/>
      <c r="EN948" s="10"/>
      <c r="EO948" s="10"/>
      <c r="EP948" s="10"/>
      <c r="EQ948" s="10"/>
      <c r="ER948" s="10"/>
      <c r="ES948" s="10"/>
      <c r="ET948" s="10"/>
      <c r="EU948" s="10"/>
      <c r="EV948" s="10"/>
      <c r="EW948" s="10"/>
      <c r="EX948" s="10"/>
      <c r="EY948" s="10"/>
      <c r="EZ948" s="10"/>
      <c r="FA948" s="10"/>
      <c r="FB948" s="10"/>
      <c r="FC948" s="10"/>
      <c r="FD948" s="10"/>
      <c r="FE948" s="10"/>
      <c r="FF948" s="10"/>
      <c r="FG948" s="10"/>
      <c r="FH948" s="10"/>
      <c r="FI948" s="10"/>
      <c r="FJ948" s="10" t="s">
        <v>3688</v>
      </c>
      <c r="FK948" s="10" t="s">
        <v>3689</v>
      </c>
      <c r="FL948" s="10"/>
      <c r="FM948" s="10" t="s">
        <v>3690</v>
      </c>
      <c r="FN948" s="10"/>
      <c r="FO948" s="9">
        <v>37916</v>
      </c>
      <c r="FP948" s="10" t="s">
        <v>3691</v>
      </c>
      <c r="FQ948" s="10"/>
      <c r="FR948" s="10" t="s">
        <v>3688</v>
      </c>
      <c r="FS948" s="10" t="s">
        <v>3693</v>
      </c>
      <c r="FT948" s="10" t="s">
        <v>3694</v>
      </c>
      <c r="FU948" s="10" t="s">
        <v>3692</v>
      </c>
      <c r="FV948" s="9">
        <v>37916</v>
      </c>
      <c r="FW948" s="10" t="s">
        <v>3691</v>
      </c>
      <c r="FX948" s="10"/>
      <c r="FY948" s="10"/>
      <c r="FZ948" s="10"/>
      <c r="GA948" s="10"/>
      <c r="GB948" s="10"/>
      <c r="GC948" s="10"/>
      <c r="GD948" s="10"/>
      <c r="GE948" s="9"/>
      <c r="GF948" s="10"/>
      <c r="GG948" s="10"/>
      <c r="GH948" s="10"/>
      <c r="GI948" s="10"/>
      <c r="GJ948" s="10"/>
      <c r="GK948" s="10"/>
      <c r="GL948" s="10"/>
      <c r="GM948" s="10"/>
      <c r="GN948" s="10"/>
      <c r="GO948" s="10"/>
      <c r="GP948" s="9"/>
      <c r="GQ948" s="10"/>
      <c r="GR948" s="10"/>
      <c r="GS948" s="10"/>
      <c r="GT948" s="10"/>
      <c r="GU948" s="10"/>
      <c r="GV948" s="10"/>
      <c r="GW948" s="10"/>
      <c r="GX948" s="10"/>
      <c r="GY948" s="10"/>
      <c r="GZ948" s="10"/>
      <c r="HA948" s="9"/>
      <c r="HB948" s="10"/>
      <c r="HC948" s="10"/>
      <c r="HD948" s="10"/>
      <c r="HE948" s="10"/>
      <c r="HF948" s="10"/>
      <c r="HG948" s="10"/>
      <c r="HH948" s="10"/>
      <c r="HI948" s="9"/>
      <c r="HJ948" s="10"/>
      <c r="HK948" s="10"/>
      <c r="HL948" s="10"/>
      <c r="HM948" s="10"/>
      <c r="HN948" s="10"/>
      <c r="HO948" s="10"/>
      <c r="HP948" s="10"/>
      <c r="HQ948" s="9"/>
      <c r="HR948" s="10"/>
      <c r="HS948" s="10"/>
      <c r="HT948" s="10"/>
      <c r="HU948" s="10"/>
      <c r="HV948" s="10"/>
      <c r="HW948" s="10"/>
      <c r="HX948" s="10"/>
      <c r="HY948" s="9"/>
      <c r="HZ948" s="4"/>
      <c r="IA948" s="4"/>
      <c r="IB948" s="10"/>
      <c r="IC948" s="10"/>
      <c r="ID948" s="10"/>
      <c r="IE948" s="10"/>
      <c r="IF948" s="4"/>
      <c r="IG948" s="4"/>
      <c r="IH948" s="14">
        <f ca="1">SUM(HZ948-EB948-FX948-IF948)</f>
        <v>-937.30593750000003</v>
      </c>
      <c r="II948" s="14"/>
      <c r="IJ948" s="14"/>
      <c r="IK948" s="9"/>
      <c r="IL948" s="9"/>
      <c r="IM948" s="9"/>
      <c r="IN948" s="9"/>
      <c r="IO948" s="9"/>
      <c r="IP948" t="s">
        <v>5913</v>
      </c>
    </row>
    <row r="949" spans="1:265" ht="15" customHeight="1">
      <c r="A949" s="19">
        <v>102019033</v>
      </c>
      <c r="B949" s="14" t="s">
        <v>601</v>
      </c>
      <c r="C949" s="20"/>
      <c r="D949" s="20"/>
      <c r="E949" s="24" t="s">
        <v>2413</v>
      </c>
      <c r="F949" s="19">
        <v>210001170</v>
      </c>
      <c r="G949" s="18"/>
      <c r="H949" s="18"/>
      <c r="I949" s="18"/>
      <c r="J949" s="18"/>
      <c r="K949" s="18" t="s">
        <v>602</v>
      </c>
      <c r="L949" s="18"/>
      <c r="M949" s="18"/>
      <c r="N949" s="18"/>
      <c r="O949" s="13"/>
      <c r="P949" s="18"/>
      <c r="Q949" s="18"/>
      <c r="R949" s="18"/>
      <c r="S949" s="18"/>
      <c r="T949" s="13"/>
      <c r="U949" s="18"/>
      <c r="V949" s="18"/>
      <c r="W949" s="18"/>
      <c r="X949" s="18"/>
      <c r="Y949" s="18"/>
      <c r="Z949" s="18"/>
      <c r="AA949" s="18"/>
      <c r="AB949" s="18"/>
      <c r="AC949" s="18"/>
      <c r="AD949" s="18"/>
      <c r="AE949" s="18"/>
      <c r="AF949" s="18"/>
      <c r="AG949" s="231"/>
      <c r="AH949" s="18"/>
      <c r="AI949" s="18"/>
      <c r="AJ949" s="14" t="s">
        <v>328</v>
      </c>
      <c r="AK949" s="14"/>
      <c r="AL949" s="18" t="s">
        <v>329</v>
      </c>
      <c r="AM949" s="24"/>
      <c r="AN949" s="24" t="s">
        <v>603</v>
      </c>
      <c r="AO949" s="14" t="s">
        <v>604</v>
      </c>
      <c r="AP949" s="20" t="s">
        <v>258</v>
      </c>
      <c r="AQ949" s="24" t="s">
        <v>259</v>
      </c>
      <c r="AR949" s="24" t="s">
        <v>260</v>
      </c>
      <c r="AS949" s="20"/>
      <c r="AT949" s="20"/>
      <c r="AU949" s="13"/>
      <c r="AV949" s="13"/>
      <c r="AW949" s="13"/>
      <c r="AX949" s="48"/>
      <c r="AY949" s="48"/>
      <c r="AZ949" s="48"/>
      <c r="BA949" s="48"/>
      <c r="BB949" s="19"/>
      <c r="BC949" s="48"/>
      <c r="BD949" s="48"/>
      <c r="BE949" s="48"/>
      <c r="BF949" s="19"/>
      <c r="BG949" s="20"/>
      <c r="BH949" s="22"/>
      <c r="BI949" s="22"/>
      <c r="BJ949" s="14"/>
      <c r="BK949" s="22"/>
      <c r="BL949" s="14"/>
      <c r="BM949" s="14"/>
      <c r="BN949" s="14"/>
      <c r="BO949" s="17"/>
      <c r="BP949" s="23"/>
      <c r="BQ949" s="14"/>
      <c r="BR949" s="14"/>
      <c r="BS949" s="14"/>
      <c r="BT949" s="14"/>
      <c r="BU949" s="17"/>
      <c r="BV949" s="23"/>
      <c r="BW949" s="14"/>
      <c r="BX949" s="14"/>
      <c r="BY949" s="14"/>
      <c r="BZ949" s="14"/>
      <c r="CA949" s="17"/>
      <c r="CB949" s="23"/>
      <c r="CC949" s="14"/>
      <c r="CD949" s="14"/>
      <c r="CE949" s="14"/>
      <c r="CF949" s="14"/>
      <c r="CG949" s="17"/>
      <c r="CH949" s="23"/>
      <c r="CI949" s="14"/>
      <c r="CJ949" s="14"/>
      <c r="CK949" s="14"/>
      <c r="CL949" s="14"/>
      <c r="CM949" s="17"/>
      <c r="CN949" s="23"/>
      <c r="CO949" s="14"/>
      <c r="CP949" s="14"/>
      <c r="CQ949" s="14"/>
      <c r="CR949" s="14"/>
      <c r="CS949" s="17"/>
      <c r="CT949" s="23"/>
      <c r="CU949" s="14"/>
      <c r="CV949" s="14"/>
      <c r="CW949" s="14"/>
      <c r="CX949" s="14"/>
      <c r="CY949" s="14"/>
      <c r="CZ949" s="14"/>
      <c r="DA949" s="14"/>
      <c r="DB949" s="14"/>
      <c r="DC949" s="14"/>
      <c r="DD949" s="14"/>
      <c r="DE949" s="14"/>
      <c r="DF949" s="47"/>
      <c r="DG949" s="14"/>
      <c r="DH949" s="32"/>
      <c r="DI949" s="14"/>
      <c r="DJ949" s="14">
        <f>150+200</f>
        <v>350</v>
      </c>
      <c r="DK949" s="14">
        <f>SUM(DE949,DG949,DQ949, DJ949, DI949,FS949)</f>
        <v>2559.58</v>
      </c>
      <c r="DL949" s="14">
        <f>32.58+700</f>
        <v>732.58</v>
      </c>
      <c r="DM949" s="14">
        <f>93.75+385</f>
        <v>478.75</v>
      </c>
      <c r="DN949" s="14">
        <v>238.25</v>
      </c>
      <c r="DO949" s="23"/>
      <c r="DP949" s="25">
        <v>760</v>
      </c>
      <c r="DQ949" s="14">
        <f>SUM(DL949:DP949)</f>
        <v>2209.58</v>
      </c>
      <c r="DR949" s="24" t="s">
        <v>2217</v>
      </c>
      <c r="DS949" s="25">
        <v>32400</v>
      </c>
      <c r="DT949" s="25">
        <v>0</v>
      </c>
      <c r="DU949" s="25">
        <f>SUM(DS949+DT949)</f>
        <v>32400</v>
      </c>
      <c r="DV949" s="36">
        <v>15</v>
      </c>
      <c r="DW949" s="18" t="s">
        <v>1985</v>
      </c>
      <c r="DX949" s="18" t="s">
        <v>1986</v>
      </c>
      <c r="DY949" s="18" t="s">
        <v>2250</v>
      </c>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27"/>
      <c r="FF949" s="18"/>
      <c r="FG949" s="18"/>
      <c r="FH949" s="18"/>
      <c r="FI949" s="18"/>
      <c r="FJ949" s="18"/>
      <c r="FK949" s="18"/>
      <c r="FL949" s="18"/>
      <c r="FM949" s="18"/>
      <c r="FN949" s="18"/>
      <c r="FO949" s="18"/>
      <c r="FP949" s="18"/>
      <c r="FQ949" s="18"/>
      <c r="FR949" s="18"/>
      <c r="FS949" s="14"/>
      <c r="FT949" s="18"/>
      <c r="FU949" s="18"/>
      <c r="FV949" s="18"/>
      <c r="FW949" s="18"/>
      <c r="FX949" s="28"/>
      <c r="FY949" s="18"/>
      <c r="FZ949" s="18"/>
      <c r="GA949" s="18"/>
      <c r="GB949" s="18"/>
      <c r="GC949" s="18"/>
      <c r="GD949" s="18"/>
      <c r="GE949" s="18"/>
      <c r="GF949" s="18"/>
      <c r="GG949" s="18"/>
      <c r="GH949" s="28"/>
      <c r="GI949" s="18"/>
      <c r="GJ949" s="18"/>
      <c r="GK949" s="18"/>
      <c r="GL949" s="18"/>
      <c r="GM949" s="18"/>
      <c r="GN949" s="18"/>
      <c r="GO949" s="18"/>
      <c r="GP949" s="18"/>
      <c r="GQ949" s="18"/>
      <c r="GR949" s="18"/>
      <c r="GS949" s="18"/>
      <c r="GT949" s="18"/>
      <c r="GU949" s="18"/>
      <c r="GV949" s="18"/>
      <c r="GW949" s="27"/>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4"/>
      <c r="IF949" s="14"/>
      <c r="IG949" s="27"/>
      <c r="IH949" s="18"/>
      <c r="II949" s="18"/>
      <c r="IJ949" s="18"/>
      <c r="IK949" s="18"/>
      <c r="IL949" s="9"/>
      <c r="IS949" s="4"/>
      <c r="IT949" s="4"/>
    </row>
    <row r="950" spans="1:265" ht="15" customHeight="1">
      <c r="A950" s="19">
        <v>102019033</v>
      </c>
      <c r="B950" s="14" t="s">
        <v>601</v>
      </c>
      <c r="C950" s="20"/>
      <c r="D950" s="20"/>
      <c r="E950" s="24" t="s">
        <v>2413</v>
      </c>
      <c r="F950" s="19">
        <v>210001170</v>
      </c>
      <c r="G950" s="18"/>
      <c r="H950" s="18"/>
      <c r="I950" s="18"/>
      <c r="J950" s="18"/>
      <c r="K950" s="18" t="s">
        <v>602</v>
      </c>
      <c r="L950" s="18"/>
      <c r="M950" s="18"/>
      <c r="N950" s="18"/>
      <c r="O950" s="13"/>
      <c r="P950" s="18"/>
      <c r="Q950" s="18"/>
      <c r="R950" s="18"/>
      <c r="S950" s="18"/>
      <c r="T950" s="13"/>
      <c r="U950" s="18"/>
      <c r="V950" s="18"/>
      <c r="W950" s="18"/>
      <c r="X950" s="18"/>
      <c r="Y950" s="18"/>
      <c r="Z950" s="18"/>
      <c r="AA950" s="18"/>
      <c r="AB950" s="18"/>
      <c r="AC950" s="18"/>
      <c r="AD950" s="18"/>
      <c r="AE950" s="18"/>
      <c r="AF950" s="18"/>
      <c r="AG950" s="37"/>
      <c r="AH950" s="18"/>
      <c r="AI950" s="18"/>
      <c r="AJ950" s="14" t="s">
        <v>328</v>
      </c>
      <c r="AK950" s="14"/>
      <c r="AL950" s="18" t="s">
        <v>329</v>
      </c>
      <c r="AM950" s="18"/>
      <c r="AN950" s="18" t="s">
        <v>603</v>
      </c>
      <c r="AO950" s="63" t="s">
        <v>604</v>
      </c>
      <c r="AP950" s="63" t="s">
        <v>258</v>
      </c>
      <c r="AQ950" s="24" t="s">
        <v>259</v>
      </c>
      <c r="AR950" s="24" t="s">
        <v>260</v>
      </c>
      <c r="AS950" s="20"/>
      <c r="AT950" s="20" t="s">
        <v>258</v>
      </c>
      <c r="AU950" s="13"/>
      <c r="AV950" s="13" t="s">
        <v>258</v>
      </c>
      <c r="AW950" s="13" t="s">
        <v>258</v>
      </c>
      <c r="AX950" s="48">
        <v>44238</v>
      </c>
      <c r="AY950" s="48">
        <v>43842</v>
      </c>
      <c r="AZ950" s="48">
        <v>44151</v>
      </c>
      <c r="BA950" s="48">
        <v>44302</v>
      </c>
      <c r="BB950" s="19" t="s">
        <v>318</v>
      </c>
      <c r="BC950" s="48">
        <v>44288</v>
      </c>
      <c r="BD950" s="48">
        <v>44295</v>
      </c>
      <c r="BE950" s="48">
        <v>44316</v>
      </c>
      <c r="BF950" s="19" t="s">
        <v>319</v>
      </c>
      <c r="BG950" s="20">
        <v>4794.7460000000001</v>
      </c>
      <c r="BH950" s="22">
        <v>-421.53434863253955</v>
      </c>
      <c r="BI950" s="22">
        <v>421.53434863253955</v>
      </c>
      <c r="BJ950" s="14">
        <v>14.04</v>
      </c>
      <c r="BK950" s="22">
        <v>435.57434863253957</v>
      </c>
      <c r="BL950" s="14"/>
      <c r="BM950" s="14">
        <v>0</v>
      </c>
      <c r="BN950" s="14">
        <v>0</v>
      </c>
      <c r="BO950" s="17">
        <v>0</v>
      </c>
      <c r="BP950" s="23">
        <v>70</v>
      </c>
      <c r="BQ950" s="14">
        <v>0</v>
      </c>
      <c r="BR950" s="14">
        <v>69.680000000000007</v>
      </c>
      <c r="BS950" s="14">
        <f>SUM(BR950*0.1)</f>
        <v>6.9680000000000009</v>
      </c>
      <c r="BT950" s="14">
        <f>SUM(BU950*BV950)</f>
        <v>38.962733333333325</v>
      </c>
      <c r="BU950" s="17">
        <f>SUM((BR950+BS950)*0.00833333333333333)</f>
        <v>0.63873333333333315</v>
      </c>
      <c r="BV950" s="23">
        <v>61</v>
      </c>
      <c r="BW950" s="14">
        <f>SUM(BR950,BS950,BT950)</f>
        <v>115.61073333333334</v>
      </c>
      <c r="BX950" s="14">
        <v>69.680000000000007</v>
      </c>
      <c r="BY950" s="14">
        <f>SUM(BX950*0.1)</f>
        <v>6.9680000000000009</v>
      </c>
      <c r="BZ950" s="14">
        <f>SUM(CA950*CB950)</f>
        <v>31.297933333333326</v>
      </c>
      <c r="CA950" s="17">
        <f>SUM((BX950+BY950)*0.00833333333333333)</f>
        <v>0.63873333333333315</v>
      </c>
      <c r="CB950" s="23">
        <v>49</v>
      </c>
      <c r="CC950" s="14">
        <f>SUM(BX950,BY950,BZ950)</f>
        <v>107.94593333333333</v>
      </c>
      <c r="CD950" s="14">
        <v>69.680000000000007</v>
      </c>
      <c r="CE950" s="14">
        <f>SUM(CD950*0.1)</f>
        <v>6.9680000000000009</v>
      </c>
      <c r="CF950" s="14">
        <f>SUM(CG950*CH950)</f>
        <v>23.633133333333326</v>
      </c>
      <c r="CG950" s="17">
        <f>SUM((CD950+CE950)*0.00833333333333333)</f>
        <v>0.63873333333333315</v>
      </c>
      <c r="CH950" s="23">
        <v>37</v>
      </c>
      <c r="CI950" s="14">
        <f>SUM(CD950,CE950,CF950)</f>
        <v>100.28113333333334</v>
      </c>
      <c r="CJ950" s="14">
        <v>168.48</v>
      </c>
      <c r="CK950" s="14">
        <v>16.847999999999999</v>
      </c>
      <c r="CL950" s="14">
        <f>SUM(CM950*CN950)</f>
        <v>38.609999999999978</v>
      </c>
      <c r="CM950" s="17">
        <f>SUM((CJ950+CK950)*0.00833333333333333)</f>
        <v>1.5443999999999991</v>
      </c>
      <c r="CN950" s="23">
        <v>25</v>
      </c>
      <c r="CO950" s="14">
        <f>SUM(CJ950,CK950,CL950)</f>
        <v>223.93799999999996</v>
      </c>
      <c r="CP950" s="14">
        <v>168.48</v>
      </c>
      <c r="CQ950" s="14">
        <v>16.847999999999999</v>
      </c>
      <c r="CR950" s="14">
        <f>SUM(CS950*CT950)</f>
        <v>20.077199999999987</v>
      </c>
      <c r="CS950" s="17">
        <f>SUM((CP950+CQ950)*0.00833333333333333)</f>
        <v>1.5443999999999991</v>
      </c>
      <c r="CT950" s="23">
        <v>13</v>
      </c>
      <c r="CU950" s="14">
        <f>SUM(CP950,CQ950,CR950)</f>
        <v>205.40519999999995</v>
      </c>
      <c r="CV950" s="14">
        <f>SUM(DP950*0.0052)</f>
        <v>168.48</v>
      </c>
      <c r="CW950" s="14">
        <f>SUM(BL950, BR950, BX950, CD950,CJ950,CP950, CV950)</f>
        <v>714.48</v>
      </c>
      <c r="CX950" s="14">
        <f>SUM(BM950, BS950, BY950, CE950,CK950,CQ950)</f>
        <v>54.6</v>
      </c>
      <c r="CY950" s="14">
        <f>SUM(BN950, BT950, BZ950, CF950,CL950,CR950)</f>
        <v>152.58099999999993</v>
      </c>
      <c r="CZ950" s="14">
        <f>SUM(CW950:CY950)</f>
        <v>921.66099999999994</v>
      </c>
      <c r="DA950" s="47">
        <v>2.2782901234567901E-2</v>
      </c>
      <c r="DB950" s="14">
        <f xml:space="preserve"> 1664.5+565.5</f>
        <v>2230</v>
      </c>
      <c r="DC950" s="32">
        <v>2</v>
      </c>
      <c r="DD950" s="14">
        <f>47+25.03</f>
        <v>72.03</v>
      </c>
      <c r="DE950" s="14">
        <v>350</v>
      </c>
      <c r="DF950" s="18"/>
      <c r="DG950" s="14">
        <f>732.58+182.42</f>
        <v>915</v>
      </c>
      <c r="DH950" s="14">
        <v>478.75</v>
      </c>
      <c r="DI950" s="14">
        <v>238.25</v>
      </c>
      <c r="DJ950" s="14">
        <f>SUM(DP950*0.004)</f>
        <v>129.6</v>
      </c>
      <c r="DK950" s="25">
        <v>760</v>
      </c>
      <c r="DL950" s="14">
        <f>SUM(DG950:DK950)</f>
        <v>2521.6</v>
      </c>
      <c r="DM950" s="24" t="s">
        <v>2217</v>
      </c>
      <c r="DN950" s="25">
        <v>32400</v>
      </c>
      <c r="DO950" s="25">
        <v>0</v>
      </c>
      <c r="DP950" s="25">
        <v>32400</v>
      </c>
      <c r="DQ950" s="36">
        <v>15</v>
      </c>
      <c r="DR950" s="18" t="s">
        <v>1985</v>
      </c>
      <c r="DS950" s="18" t="s">
        <v>1986</v>
      </c>
      <c r="DT950" s="18" t="s">
        <v>2250</v>
      </c>
      <c r="DU950" s="18"/>
      <c r="DV950" s="18"/>
      <c r="DW950" s="18"/>
      <c r="DX950" s="18"/>
      <c r="DY950" s="18"/>
      <c r="DZ950" s="18"/>
      <c r="EA950" s="18"/>
      <c r="EB950" s="14">
        <f>SUM(CZ950,DB950,DL950, DE950, DD950,FK950)</f>
        <v>6095.2910000000002</v>
      </c>
      <c r="EC950" s="18"/>
      <c r="ED950" s="18"/>
      <c r="EE950" s="18"/>
      <c r="EF950" s="18"/>
      <c r="EG950" s="18"/>
      <c r="EH950" s="18"/>
      <c r="EI950" s="18"/>
      <c r="EJ950" s="18"/>
      <c r="EK950" s="18"/>
      <c r="EL950" s="18"/>
      <c r="EM950" s="18"/>
      <c r="EN950" s="18"/>
      <c r="EO950" s="18"/>
      <c r="EP950" s="18"/>
      <c r="EQ950" s="18"/>
      <c r="ER950" s="18"/>
      <c r="ES950" s="18"/>
      <c r="ET950" s="18"/>
      <c r="EU950" s="18"/>
      <c r="EV950" s="27"/>
      <c r="EW950" s="18"/>
      <c r="EX950" s="18"/>
      <c r="EY950" s="18"/>
      <c r="EZ950" s="18"/>
      <c r="FA950" s="18"/>
      <c r="FB950" s="18"/>
      <c r="FC950" s="18"/>
      <c r="FD950" s="18"/>
      <c r="FE950" s="27"/>
      <c r="FF950" s="18"/>
      <c r="FG950" s="18"/>
      <c r="FH950" s="18"/>
      <c r="FI950" s="18"/>
      <c r="FJ950" s="18"/>
      <c r="FK950" s="14"/>
      <c r="FL950" s="18"/>
      <c r="FM950" s="18"/>
      <c r="FN950" s="18"/>
      <c r="FO950" s="18"/>
      <c r="FP950" s="28"/>
      <c r="FQ950" s="18"/>
      <c r="FR950" s="18"/>
      <c r="FS950" s="18"/>
      <c r="FT950" s="18"/>
      <c r="FU950" s="18"/>
      <c r="FV950" s="18"/>
      <c r="FW950" s="18"/>
      <c r="FX950" s="18"/>
      <c r="FY950" s="18"/>
      <c r="FZ950" s="28"/>
      <c r="GA950" s="18"/>
      <c r="GB950" s="18"/>
      <c r="GC950" s="18"/>
      <c r="GD950" s="18"/>
      <c r="GE950" s="18"/>
      <c r="GF950" s="18"/>
      <c r="GG950" s="18"/>
      <c r="GH950" s="18"/>
      <c r="GI950" s="18"/>
      <c r="GJ950" s="18"/>
      <c r="GK950" s="18"/>
      <c r="GL950" s="18"/>
      <c r="GM950" s="18"/>
      <c r="GN950" s="18"/>
      <c r="GO950" s="27"/>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27">
        <v>44499</v>
      </c>
      <c r="IB950" s="14">
        <v>37000</v>
      </c>
      <c r="IC950" s="14">
        <v>3700</v>
      </c>
      <c r="ID950" s="27"/>
      <c r="IE950" s="18"/>
      <c r="IF950" s="18" t="s">
        <v>2755</v>
      </c>
      <c r="IG950" s="18" t="s">
        <v>2744</v>
      </c>
      <c r="IH950" s="18" t="s">
        <v>2745</v>
      </c>
      <c r="II950" s="18"/>
      <c r="IJ950" s="18"/>
      <c r="IK950" s="14">
        <v>207.33</v>
      </c>
      <c r="IL950" s="14">
        <f>SUM(IB950-EB950-IJ950)</f>
        <v>30904.708999999999</v>
      </c>
      <c r="IM950" s="14"/>
      <c r="IN950" s="14"/>
      <c r="IO950" s="27">
        <v>44333</v>
      </c>
      <c r="IP950" s="27">
        <v>44349</v>
      </c>
      <c r="IQ950" s="27">
        <v>44501</v>
      </c>
      <c r="IR950" s="27">
        <v>44505</v>
      </c>
      <c r="IS950" s="18"/>
      <c r="IT950" s="18"/>
      <c r="IU950" s="18"/>
      <c r="IV950" s="18"/>
      <c r="IW950" s="18"/>
      <c r="IX950" s="18"/>
      <c r="IY950" s="18"/>
      <c r="IZ950" s="18"/>
      <c r="JA950" s="18"/>
      <c r="JB950" s="18"/>
      <c r="JC950" s="18"/>
    </row>
    <row r="951" spans="1:265" ht="15" customHeight="1">
      <c r="A951" s="152">
        <v>102023008</v>
      </c>
      <c r="B951" s="42" t="s">
        <v>4031</v>
      </c>
      <c r="C951" s="155"/>
      <c r="D951" s="155"/>
      <c r="E951" s="155"/>
      <c r="F951" s="166"/>
      <c r="G951" s="165">
        <v>230000804</v>
      </c>
      <c r="H951" s="155"/>
      <c r="I951" s="155"/>
      <c r="J951" s="155" t="s">
        <v>554</v>
      </c>
      <c r="K951" s="155" t="s">
        <v>3117</v>
      </c>
      <c r="L951" s="155" t="s">
        <v>996</v>
      </c>
      <c r="M951" s="155" t="s">
        <v>392</v>
      </c>
      <c r="N951" s="155"/>
      <c r="O951" s="165"/>
      <c r="P951" s="155" t="s">
        <v>3117</v>
      </c>
      <c r="Q951" s="155" t="s">
        <v>4032</v>
      </c>
      <c r="R951" s="155" t="s">
        <v>309</v>
      </c>
      <c r="S951" s="155"/>
      <c r="T951" s="155"/>
      <c r="U951" s="155"/>
      <c r="V951" s="155"/>
      <c r="W951" s="155"/>
      <c r="X951" s="155"/>
      <c r="Y951" s="155"/>
      <c r="Z951" s="155"/>
      <c r="AA951" s="155"/>
      <c r="AB951" s="155"/>
      <c r="AC951" s="155"/>
      <c r="AD951" s="155" t="s">
        <v>4293</v>
      </c>
      <c r="AE951" s="155" t="s">
        <v>253</v>
      </c>
      <c r="AF951" s="155" t="s">
        <v>3117</v>
      </c>
      <c r="AG951" s="214" t="s">
        <v>4294</v>
      </c>
      <c r="AH951" s="155" t="s">
        <v>4295</v>
      </c>
      <c r="AI951" s="155" t="s">
        <v>600</v>
      </c>
      <c r="AJ951" s="42"/>
      <c r="AK951" s="151"/>
      <c r="AL951" s="42"/>
      <c r="AM951" s="42"/>
      <c r="AN951" s="42"/>
      <c r="AO951" s="42" t="s">
        <v>4085</v>
      </c>
      <c r="AP951" s="151" t="s">
        <v>258</v>
      </c>
      <c r="AQ951" s="42" t="s">
        <v>600</v>
      </c>
      <c r="AR951" s="42" t="s">
        <v>260</v>
      </c>
      <c r="AS951" s="42"/>
      <c r="AT951" s="42"/>
      <c r="AU951" s="42"/>
      <c r="AV951" s="42"/>
      <c r="AW951" s="42"/>
      <c r="AX951" s="151"/>
      <c r="AY951" s="151"/>
      <c r="AZ951" s="151"/>
      <c r="BA951" s="151"/>
      <c r="BB951" s="151"/>
      <c r="BC951" s="153"/>
      <c r="BD951" s="215"/>
      <c r="BE951" s="216"/>
      <c r="BF951" s="153"/>
      <c r="BG951" s="152"/>
      <c r="BH951" s="153"/>
      <c r="BI951" s="153"/>
      <c r="BJ951" s="153"/>
      <c r="BK951" s="153"/>
      <c r="BL951" s="73">
        <f ca="1">SUM(EB951)+220</f>
        <v>1534.9299999999998</v>
      </c>
      <c r="BM951" s="74">
        <f ca="1">PMT(10%/12,12,BL951,0,0)</f>
        <v>-134.94473278595862</v>
      </c>
      <c r="BN951" s="74">
        <f ca="1">SUM(BM951*-1)</f>
        <v>134.94473278595862</v>
      </c>
      <c r="BO951" s="75">
        <f>SUM(EJ951*0.0052)/12</f>
        <v>77.349999999999994</v>
      </c>
      <c r="BP951" s="74">
        <f ca="1">SUM(BN951+BO951)</f>
        <v>212.29473278595862</v>
      </c>
      <c r="BQ951" s="75">
        <v>0</v>
      </c>
      <c r="BR951" s="75">
        <f>SUM(BQ951*0.1)</f>
        <v>0</v>
      </c>
      <c r="BS951" s="75">
        <f ca="1">SUM(BT951*BU951)</f>
        <v>0</v>
      </c>
      <c r="BT951" s="76">
        <f>SUM((BQ951+BR951)*0.00833333333333333)</f>
        <v>0</v>
      </c>
      <c r="BU951" s="77">
        <f ca="1">MONTH(TODAY())+37</f>
        <v>41</v>
      </c>
      <c r="BV951" s="75">
        <f ca="1">SUM(BQ951,BR951,BS951)</f>
        <v>0</v>
      </c>
      <c r="BW951" s="75">
        <v>0</v>
      </c>
      <c r="BX951" s="75">
        <f>SUM(BW951*0.1)</f>
        <v>0</v>
      </c>
      <c r="BY951" s="75">
        <f ca="1">SUM(BZ951*CA951)</f>
        <v>0</v>
      </c>
      <c r="BZ951" s="76">
        <f>SUM((BW951+BX951)*0.00833333333333333)</f>
        <v>0</v>
      </c>
      <c r="CA951" s="167">
        <f ca="1">MONTH(TODAY())+37</f>
        <v>41</v>
      </c>
      <c r="CB951" s="75">
        <f ca="1">SUM(BW951,BX951,BY951)</f>
        <v>0</v>
      </c>
      <c r="CC951" s="75">
        <v>0</v>
      </c>
      <c r="CD951" s="75">
        <f>SUM(CC951*0.1)</f>
        <v>0</v>
      </c>
      <c r="CE951" s="75">
        <f ca="1">SUM(CF951*CG951)</f>
        <v>0</v>
      </c>
      <c r="CF951" s="76">
        <f>SUM((CC951+CD951)*0.00833333333333333)</f>
        <v>0</v>
      </c>
      <c r="CG951" s="167">
        <f ca="1">MONTH(TODAY())+29</f>
        <v>33</v>
      </c>
      <c r="CH951" s="77">
        <f ca="1">SUM(CC951,CD951,CE951)</f>
        <v>0</v>
      </c>
      <c r="CI951" s="75">
        <v>0</v>
      </c>
      <c r="CJ951" s="75">
        <f>SUM(CI951*0.1)</f>
        <v>0</v>
      </c>
      <c r="CK951" s="75">
        <f ca="1">SUM(CL951*CM951)</f>
        <v>0</v>
      </c>
      <c r="CL951" s="76">
        <f>SUM((CI951+CJ951)*0.00833333333333333)</f>
        <v>0</v>
      </c>
      <c r="CM951" s="58">
        <f ca="1">MONTH(TODAY())+25</f>
        <v>29</v>
      </c>
      <c r="CN951" s="75">
        <f ca="1">SUM(CI951,CJ951,CK951)</f>
        <v>0</v>
      </c>
      <c r="CO951" s="75">
        <v>0</v>
      </c>
      <c r="CP951" s="75">
        <f>SUM(CO951*0.1)</f>
        <v>0</v>
      </c>
      <c r="CQ951" s="75">
        <f ca="1">SUM(CR951*CS951)</f>
        <v>0</v>
      </c>
      <c r="CR951" s="76">
        <f>SUM((CO951+CP951)*0.00833333333333333)</f>
        <v>0</v>
      </c>
      <c r="CS951" s="58">
        <f ca="1">MONTH(TODAY())+19</f>
        <v>23</v>
      </c>
      <c r="CT951" s="75">
        <f ca="1">SUM(CO951,CP951,CQ951)</f>
        <v>0</v>
      </c>
      <c r="CU951" s="75">
        <v>0</v>
      </c>
      <c r="CV951" s="75">
        <f>SUM(CU951*0.1)</f>
        <v>0</v>
      </c>
      <c r="CW951" s="75">
        <f ca="1">SUM(CX951*CY951)</f>
        <v>0</v>
      </c>
      <c r="CX951" s="76">
        <f>SUM((CU951+CV951)*0.00833333333333333)</f>
        <v>0</v>
      </c>
      <c r="CY951" s="58">
        <f ca="1">MONTH(TODAY())+13</f>
        <v>17</v>
      </c>
      <c r="CZ951" s="75">
        <f ca="1">SUM(CU951,CV951,CW951)</f>
        <v>0</v>
      </c>
      <c r="DA951" s="75">
        <f>SUM(EJ951*0.0045)/2</f>
        <v>401.62499999999994</v>
      </c>
      <c r="DB951" s="75">
        <f>SUM(DA951*0.1)</f>
        <v>40.162499999999994</v>
      </c>
      <c r="DC951" s="75">
        <f ca="1">SUM(DD951*DE951)</f>
        <v>40.497187499999974</v>
      </c>
      <c r="DD951" s="76">
        <f>SUM((DA951+DB951)*0.00833333333333333)</f>
        <v>3.6815624999999979</v>
      </c>
      <c r="DE951" s="58">
        <f ca="1">MONTH(TODAY())+7</f>
        <v>11</v>
      </c>
      <c r="DF951" s="75">
        <f ca="1">SUM(DA951,DB951,DC951)</f>
        <v>482.2846874999999</v>
      </c>
      <c r="DG951" s="75">
        <f>SUM(EJ951*0.0045)/2</f>
        <v>401.62499999999994</v>
      </c>
      <c r="DH951" s="75">
        <f>SUM(DG951*0.1)</f>
        <v>40.162499999999994</v>
      </c>
      <c r="DI951" s="75">
        <f ca="1">SUM(DJ951*DK951)</f>
        <v>18.407812499999988</v>
      </c>
      <c r="DJ951" s="76">
        <f>SUM((DG951+DH951)*0.00833333333333333)</f>
        <v>3.6815624999999979</v>
      </c>
      <c r="DK951" s="58">
        <f ca="1">MONTH(TODAY())+1</f>
        <v>5</v>
      </c>
      <c r="DL951" s="75">
        <f ca="1">SUM(DG951,DH951,DI951)</f>
        <v>460.19531249999989</v>
      </c>
      <c r="DM951" s="192">
        <f>SUM(BQ951, BW951, CC951,CI951,CO951,CU951,DA951,DG951)</f>
        <v>803.24999999999989</v>
      </c>
      <c r="DN951" s="192">
        <f>SUM(BR951,BX951, CD951,CJ951,CP951,CV951,DB951,DH951)</f>
        <v>80.324999999999989</v>
      </c>
      <c r="DO951" s="192">
        <f ca="1">SUM(BS951,BY951, CE951,CK951,CQ951,CW951,DC951,DI951)</f>
        <v>58.904999999999959</v>
      </c>
      <c r="DP951" s="80">
        <f ca="1">SUM(DM951:DO951)</f>
        <v>942.47999999999979</v>
      </c>
      <c r="DQ951" s="78">
        <f ca="1">SUM(DP951/EG951)</f>
        <v>6.437704918032785E-3</v>
      </c>
      <c r="DR951" s="75">
        <f>235+60+60</f>
        <v>355</v>
      </c>
      <c r="DS951" s="79">
        <f>COUNTIF(AO951, "*")+COUNTIF(AJ951, "*")+COUNTIF(AA951, "*")+COUNTIF(EU951, "*")+COUNTIF(FA951, "*")+COUNTIF(FG951, "*")+COUNTIF(FK951, "*")+COUNTIF(FR951, "*")+COUNTIF(AT951, "*")+COUNTIF(GA951, "*")+COUNTIF(GL951, "*")+COUNTIF(GW951, "*")+COUNTIF(HE951, "*")+COUNTIF(HM951, "*")+COUNTIF(HU951, "*")</f>
        <v>1</v>
      </c>
      <c r="DT951" s="75">
        <f>DS951*0.6+8+8.85</f>
        <v>17.45</v>
      </c>
      <c r="DU951" s="154"/>
      <c r="DV951" s="154"/>
      <c r="DW951" s="154"/>
      <c r="DX951" s="154"/>
      <c r="DY951" s="154"/>
      <c r="DZ951" s="154"/>
      <c r="EA951" s="75">
        <f>SUM(DU951:DZ951)</f>
        <v>0</v>
      </c>
      <c r="EB951" s="75">
        <f ca="1">SUM(DP951,DR951,EA951,DT951,FX951)</f>
        <v>1314.9299999999998</v>
      </c>
      <c r="EC951" s="81">
        <v>2024</v>
      </c>
      <c r="ED951" s="157">
        <v>6.39</v>
      </c>
      <c r="EE951" s="154">
        <v>43500</v>
      </c>
      <c r="EF951" s="154">
        <v>102900</v>
      </c>
      <c r="EG951" s="75">
        <f>SUM(EE951+EF951)</f>
        <v>146400</v>
      </c>
      <c r="EH951" s="75">
        <v>43500</v>
      </c>
      <c r="EI951" s="75">
        <v>135000</v>
      </c>
      <c r="EJ951" s="75">
        <f>SUM(EH951+EI951)</f>
        <v>178500</v>
      </c>
      <c r="EK951" s="155"/>
      <c r="EL951" s="155"/>
      <c r="EM951" s="155"/>
      <c r="EN951" s="155"/>
      <c r="EO951" s="155"/>
      <c r="EP951" s="155"/>
      <c r="EQ951" s="155"/>
      <c r="ER951" s="155"/>
      <c r="ES951" s="155"/>
      <c r="ET951" s="155"/>
      <c r="EU951" s="155"/>
      <c r="EV951" s="155"/>
      <c r="EW951" s="155"/>
      <c r="EX951" s="155"/>
      <c r="EY951" s="155"/>
      <c r="EZ951" s="155"/>
      <c r="FA951" s="155"/>
      <c r="FB951" s="155"/>
      <c r="FC951" s="155"/>
      <c r="FD951" s="155"/>
      <c r="FE951" s="155"/>
      <c r="FF951" s="155"/>
      <c r="FG951" s="155"/>
      <c r="FH951" s="155"/>
      <c r="FI951" s="155"/>
      <c r="FJ951" s="155"/>
      <c r="FK951" s="155"/>
      <c r="FL951" s="155"/>
      <c r="FM951" s="155"/>
      <c r="FN951" s="155"/>
      <c r="FO951" s="156"/>
      <c r="FP951" s="155"/>
      <c r="FQ951" s="155"/>
      <c r="FR951" s="155"/>
      <c r="FS951" s="155"/>
      <c r="FT951" s="155"/>
      <c r="FU951" s="155"/>
      <c r="FV951" s="156"/>
      <c r="FW951" s="155"/>
      <c r="FX951" s="155"/>
      <c r="FY951" s="155"/>
      <c r="FZ951" s="155"/>
      <c r="GA951" s="155"/>
      <c r="GB951" s="155"/>
      <c r="GC951" s="155"/>
      <c r="GD951" s="155"/>
      <c r="GE951" s="156"/>
      <c r="GF951" s="155"/>
      <c r="GG951" s="155"/>
      <c r="GH951" s="155"/>
      <c r="GI951" s="155"/>
      <c r="GJ951" s="155"/>
      <c r="GK951" s="155"/>
      <c r="GL951" s="155"/>
      <c r="GM951" s="155"/>
      <c r="GN951" s="155"/>
      <c r="GO951" s="155"/>
      <c r="GP951" s="156"/>
      <c r="GQ951" s="155"/>
      <c r="GR951" s="155"/>
      <c r="GS951" s="155"/>
      <c r="GT951" s="155"/>
      <c r="GU951" s="155"/>
      <c r="GV951" s="155"/>
      <c r="GW951" s="155"/>
      <c r="GX951" s="155"/>
      <c r="GY951" s="155"/>
      <c r="GZ951" s="155"/>
      <c r="HA951" s="156"/>
      <c r="HB951" s="155"/>
      <c r="HC951" s="155"/>
      <c r="HD951" s="155"/>
      <c r="HE951" s="155"/>
      <c r="HF951" s="155"/>
      <c r="HG951" s="155"/>
      <c r="HH951" s="155"/>
      <c r="HI951" s="156"/>
      <c r="HJ951" s="155"/>
      <c r="HK951" s="155"/>
      <c r="HL951" s="155"/>
      <c r="HM951" s="155"/>
      <c r="HN951" s="155"/>
      <c r="HO951" s="155"/>
      <c r="HP951" s="155"/>
      <c r="HQ951" s="156"/>
      <c r="HR951" s="155"/>
      <c r="HS951" s="155"/>
      <c r="HT951" s="155"/>
      <c r="HU951" s="155"/>
      <c r="HV951" s="155"/>
      <c r="HW951" s="155"/>
      <c r="HX951" s="155"/>
      <c r="HY951" s="156"/>
      <c r="HZ951" s="154"/>
      <c r="IA951" s="154"/>
      <c r="IB951" s="155"/>
      <c r="IC951" s="155"/>
      <c r="ID951" s="155"/>
      <c r="IE951" s="155"/>
      <c r="IF951" s="154"/>
      <c r="IG951" s="154"/>
      <c r="IH951" s="75">
        <f ca="1">SUM(HZ951-EB951-FX951-IF951)</f>
        <v>-1314.9299999999998</v>
      </c>
      <c r="II951" s="75"/>
      <c r="IJ951" s="75"/>
      <c r="IK951" s="156"/>
      <c r="IL951" s="156"/>
      <c r="IM951" s="156"/>
      <c r="IN951" s="156"/>
      <c r="IO951" s="156"/>
      <c r="IP951" s="106" t="s">
        <v>5913</v>
      </c>
    </row>
    <row r="952" spans="1:265" ht="15" customHeight="1">
      <c r="A952" s="19">
        <v>102021020</v>
      </c>
      <c r="B952" s="18" t="s">
        <v>2035</v>
      </c>
      <c r="C952" s="18"/>
      <c r="D952" s="18"/>
      <c r="E952" s="18" t="s">
        <v>2468</v>
      </c>
      <c r="F952" s="18">
        <v>210002685</v>
      </c>
      <c r="G952" s="18"/>
      <c r="H952" s="18"/>
      <c r="I952" s="18"/>
      <c r="J952" s="18" t="s">
        <v>554</v>
      </c>
      <c r="K952" s="18" t="s">
        <v>2036</v>
      </c>
      <c r="L952" s="18" t="s">
        <v>2037</v>
      </c>
      <c r="M952" s="18" t="s">
        <v>469</v>
      </c>
      <c r="N952" s="18"/>
      <c r="O952" s="18"/>
      <c r="P952" s="18" t="s">
        <v>2036</v>
      </c>
      <c r="Q952" s="18" t="s">
        <v>817</v>
      </c>
      <c r="R952" s="18" t="s">
        <v>763</v>
      </c>
      <c r="S952" s="18"/>
      <c r="T952" s="18"/>
      <c r="U952" s="18"/>
      <c r="V952" s="18"/>
      <c r="W952" s="18"/>
      <c r="X952" s="18"/>
      <c r="Y952" s="18"/>
      <c r="Z952" s="18"/>
      <c r="AA952" s="18"/>
      <c r="AB952" s="18"/>
      <c r="AC952" s="18"/>
      <c r="AD952" s="18" t="s">
        <v>2711</v>
      </c>
      <c r="AE952" s="18" t="s">
        <v>311</v>
      </c>
      <c r="AF952" s="18" t="s">
        <v>1074</v>
      </c>
      <c r="AG952" s="231"/>
      <c r="AH952" s="31" t="s">
        <v>2712</v>
      </c>
      <c r="AI952" s="18"/>
      <c r="AJ952" s="18"/>
      <c r="AK952" s="18"/>
      <c r="AL952" s="18"/>
      <c r="AM952" s="24"/>
      <c r="AN952" s="24"/>
      <c r="AO952" s="18" t="s">
        <v>2148</v>
      </c>
      <c r="AP952" s="13" t="s">
        <v>258</v>
      </c>
      <c r="AQ952" s="24" t="s">
        <v>600</v>
      </c>
      <c r="AR952" s="24" t="s">
        <v>260</v>
      </c>
      <c r="AS952" s="13"/>
      <c r="AT952" s="13"/>
      <c r="AU952" s="13"/>
      <c r="AV952" s="13"/>
      <c r="AW952" s="13"/>
      <c r="AX952" s="48"/>
      <c r="AY952" s="48"/>
      <c r="AZ952" s="48"/>
      <c r="BA952" s="48"/>
      <c r="BB952" s="19"/>
      <c r="BC952" s="48"/>
      <c r="BD952" s="48"/>
      <c r="BE952" s="48"/>
      <c r="BF952" s="19"/>
      <c r="BG952" s="20"/>
      <c r="BH952" s="22"/>
      <c r="BI952" s="22"/>
      <c r="BJ952" s="14"/>
      <c r="BK952" s="22"/>
      <c r="BL952" s="14"/>
      <c r="BM952" s="14"/>
      <c r="BN952" s="14"/>
      <c r="BO952" s="17"/>
      <c r="BP952" s="23"/>
      <c r="BQ952" s="14"/>
      <c r="BR952" s="14"/>
      <c r="BS952" s="14"/>
      <c r="BT952" s="14"/>
      <c r="BU952" s="17"/>
      <c r="BV952" s="23"/>
      <c r="BW952" s="14"/>
      <c r="BX952" s="14"/>
      <c r="BY952" s="14"/>
      <c r="BZ952" s="14"/>
      <c r="CA952" s="17"/>
      <c r="CB952" s="23"/>
      <c r="CC952" s="14"/>
      <c r="CD952" s="14"/>
      <c r="CE952" s="14"/>
      <c r="CF952" s="14"/>
      <c r="CG952" s="17"/>
      <c r="CH952" s="23"/>
      <c r="CI952" s="14"/>
      <c r="CJ952" s="14"/>
      <c r="CK952" s="14"/>
      <c r="CL952" s="14"/>
      <c r="CM952" s="17"/>
      <c r="CN952" s="23"/>
      <c r="CO952" s="14"/>
      <c r="CP952" s="14"/>
      <c r="CQ952" s="14"/>
      <c r="CR952" s="14"/>
      <c r="CS952" s="17"/>
      <c r="CT952" s="23"/>
      <c r="CU952" s="14"/>
      <c r="CV952" s="14"/>
      <c r="CW952" s="14"/>
      <c r="CX952" s="14"/>
      <c r="CY952" s="14"/>
      <c r="CZ952" s="14"/>
      <c r="DA952" s="14"/>
      <c r="DB952" s="14"/>
      <c r="DC952" s="14"/>
      <c r="DD952" s="14"/>
      <c r="DE952" s="14"/>
      <c r="DF952" s="47"/>
      <c r="DG952" s="14"/>
      <c r="DH952" s="32"/>
      <c r="DI952" s="14"/>
      <c r="DJ952" s="14">
        <v>200</v>
      </c>
      <c r="DK952" s="14">
        <f>SUM(DE952,DG952,DQ952, DJ952, DI952,FS952)</f>
        <v>1226.1599999999999</v>
      </c>
      <c r="DL952" s="14">
        <f>47.41+699</f>
        <v>746.41</v>
      </c>
      <c r="DM952" s="14">
        <f>93.75+127.5</f>
        <v>221.25</v>
      </c>
      <c r="DN952" s="14">
        <v>58.5</v>
      </c>
      <c r="DO952" s="23"/>
      <c r="DP952" s="25"/>
      <c r="DQ952" s="14">
        <f>SUM(DL952:DP952)</f>
        <v>1026.1599999999999</v>
      </c>
      <c r="DR952" s="24" t="s">
        <v>1997</v>
      </c>
      <c r="DS952" s="25">
        <v>29900</v>
      </c>
      <c r="DT952" s="25">
        <v>6000</v>
      </c>
      <c r="DU952" s="25">
        <f>SUM(DS952+DT952)</f>
        <v>35900</v>
      </c>
      <c r="DV952" s="36">
        <v>3.84</v>
      </c>
      <c r="DW952" s="18" t="s">
        <v>2343</v>
      </c>
      <c r="DX952" s="18" t="s">
        <v>2344</v>
      </c>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243"/>
      <c r="IQ952" s="243"/>
      <c r="IR952" s="243"/>
      <c r="IS952" s="243"/>
      <c r="IT952" s="243"/>
      <c r="IU952" s="243"/>
      <c r="IV952" s="243"/>
      <c r="IW952" s="243"/>
      <c r="IX952" s="243"/>
      <c r="IY952" s="243"/>
    </row>
    <row r="953" spans="1:265" ht="15" customHeight="1">
      <c r="A953" s="2">
        <v>102017108</v>
      </c>
      <c r="B953" t="s">
        <v>1085</v>
      </c>
      <c r="E953" t="s">
        <v>1086</v>
      </c>
      <c r="F953">
        <v>180002379</v>
      </c>
      <c r="J953" t="s">
        <v>434</v>
      </c>
      <c r="K953" t="s">
        <v>1083</v>
      </c>
      <c r="L953" t="s">
        <v>577</v>
      </c>
      <c r="M953" t="s">
        <v>537</v>
      </c>
      <c r="N953" t="s">
        <v>470</v>
      </c>
      <c r="O953" s="1"/>
      <c r="P953" t="s">
        <v>1068</v>
      </c>
      <c r="Q953" t="s">
        <v>1087</v>
      </c>
      <c r="R953" t="s">
        <v>326</v>
      </c>
      <c r="T953" s="1"/>
      <c r="AD953" s="1"/>
      <c r="AE953" s="1"/>
      <c r="AJ953" s="4"/>
      <c r="AK953" s="4"/>
      <c r="AL953" s="4"/>
      <c r="AM953" s="34"/>
      <c r="AO953" s="4"/>
      <c r="AP953" s="5"/>
      <c r="AQ953" s="34"/>
      <c r="AR953" s="34"/>
      <c r="AS953" s="1"/>
      <c r="AT953" s="1"/>
      <c r="AU953" s="29"/>
      <c r="AV953" s="1"/>
      <c r="AW953" s="1"/>
      <c r="AX953" s="1"/>
      <c r="AY953" s="1"/>
      <c r="AZ953" s="1"/>
      <c r="BA953" s="1"/>
      <c r="BB953" s="1"/>
      <c r="BC953" s="1"/>
      <c r="BD953" s="1"/>
      <c r="BE953" s="5"/>
      <c r="BF953" s="16"/>
      <c r="BG953" s="16"/>
      <c r="BI953" s="4"/>
      <c r="BJ953" s="4"/>
      <c r="BK953" s="6"/>
      <c r="BL953" s="7"/>
      <c r="BM953" s="4"/>
      <c r="BO953" s="4"/>
      <c r="BP953" s="4"/>
      <c r="BQ953" s="6"/>
      <c r="BR953" s="7"/>
      <c r="BS953" s="4"/>
      <c r="BU953" s="4"/>
      <c r="BV953" s="4"/>
      <c r="BW953" s="6"/>
      <c r="BX953" s="7"/>
      <c r="BY953" s="4"/>
      <c r="BZ953" s="6"/>
      <c r="CA953" s="4"/>
      <c r="CB953" s="4"/>
      <c r="CC953" s="6"/>
      <c r="CD953" s="7"/>
      <c r="CE953" s="4"/>
      <c r="CF953" s="6"/>
      <c r="CG953" s="4"/>
      <c r="CH953" s="4"/>
      <c r="CI953" s="6"/>
      <c r="CJ953" s="7"/>
      <c r="CK953" s="4"/>
      <c r="CL953" s="4"/>
      <c r="CM953" s="4"/>
      <c r="CN953" s="4"/>
      <c r="CO953" s="6"/>
      <c r="CP953" s="7"/>
      <c r="CQ953" s="4"/>
      <c r="CR953" s="4"/>
      <c r="CS953" s="4"/>
      <c r="CT953" s="4"/>
      <c r="CU953" s="6"/>
      <c r="CV953" s="7"/>
      <c r="CW953" s="4"/>
      <c r="CX953" s="4"/>
      <c r="CY953" s="4"/>
      <c r="CZ953" s="4"/>
      <c r="DA953" s="6"/>
      <c r="DB953" s="7"/>
      <c r="DC953" s="4"/>
      <c r="DD953" s="4"/>
      <c r="DE953" s="4"/>
      <c r="DF953" s="4"/>
      <c r="DG953" s="6"/>
      <c r="DH953" s="7"/>
      <c r="DI953" s="4"/>
      <c r="DJ953" s="4"/>
      <c r="DK953" s="4"/>
      <c r="DL953" s="4"/>
      <c r="DM953" s="4"/>
      <c r="DO953" s="4"/>
      <c r="DP953" s="4"/>
      <c r="DQ953" s="4"/>
      <c r="DR953" s="7"/>
      <c r="DS953" s="4"/>
      <c r="DT953" s="4"/>
      <c r="DU953" s="4"/>
      <c r="DV953" s="4"/>
      <c r="DW953" s="4"/>
      <c r="DX953" s="4"/>
      <c r="DY953" s="7"/>
      <c r="DZ953" s="7"/>
      <c r="EA953" s="4"/>
      <c r="EB953" s="4"/>
      <c r="EC953" s="4"/>
      <c r="ED953" s="4"/>
      <c r="EE953" s="11"/>
      <c r="EN953" s="11"/>
      <c r="ET953" s="11"/>
      <c r="EU953" s="4"/>
      <c r="EV953" s="4"/>
      <c r="EW953" s="4"/>
      <c r="EX953" s="4"/>
      <c r="EY953" s="4"/>
      <c r="EZ953" s="4"/>
      <c r="FA953" s="4"/>
      <c r="FB953" s="4"/>
      <c r="FC953" s="4"/>
      <c r="FD953" s="4"/>
      <c r="FE953" s="4"/>
      <c r="FF953" s="4"/>
      <c r="FG953" s="4"/>
      <c r="FH953" s="4"/>
      <c r="FN953" s="9"/>
      <c r="GD953" s="10"/>
      <c r="GN953" s="10"/>
      <c r="HC953" s="9"/>
    </row>
    <row r="954" spans="1:265" ht="15" customHeight="1">
      <c r="A954" s="19">
        <v>102022025</v>
      </c>
      <c r="B954" t="s">
        <v>2789</v>
      </c>
      <c r="C954" s="10"/>
      <c r="D954" s="161"/>
      <c r="E954" s="147"/>
      <c r="F954" s="160"/>
      <c r="G954" s="147">
        <v>220001329</v>
      </c>
      <c r="H954" s="10"/>
      <c r="I954" s="10"/>
      <c r="J954" s="10" t="s">
        <v>311</v>
      </c>
      <c r="K954" s="10" t="s">
        <v>2060</v>
      </c>
      <c r="L954" s="10" t="s">
        <v>1392</v>
      </c>
      <c r="M954" s="10" t="s">
        <v>396</v>
      </c>
      <c r="N954" s="10"/>
      <c r="O954" s="147"/>
      <c r="P954" s="10"/>
      <c r="Q954" s="10"/>
      <c r="R954" s="10"/>
      <c r="S954" s="10"/>
      <c r="T954" s="10"/>
      <c r="U954" s="10"/>
      <c r="V954" s="10"/>
      <c r="W954" s="10"/>
      <c r="X954" s="10"/>
      <c r="Y954" s="10"/>
      <c r="Z954" s="10"/>
      <c r="AA954" s="10"/>
      <c r="AB954" s="10"/>
      <c r="AC954" s="10"/>
      <c r="AD954" s="10" t="s">
        <v>3346</v>
      </c>
      <c r="AE954" s="10" t="s">
        <v>253</v>
      </c>
      <c r="AF954" s="10" t="s">
        <v>2060</v>
      </c>
      <c r="AG954" s="141" t="s">
        <v>3347</v>
      </c>
      <c r="AH954" s="10" t="s">
        <v>3348</v>
      </c>
      <c r="AI954" s="10" t="s">
        <v>600</v>
      </c>
      <c r="AJ954" t="s">
        <v>2172</v>
      </c>
      <c r="AK954" s="1" t="s">
        <v>258</v>
      </c>
      <c r="AL954" t="s">
        <v>600</v>
      </c>
      <c r="AM954" t="s">
        <v>260</v>
      </c>
      <c r="AN954"/>
      <c r="AO954" t="s">
        <v>2965</v>
      </c>
      <c r="AP954" s="1" t="s">
        <v>258</v>
      </c>
      <c r="AQ954" t="s">
        <v>600</v>
      </c>
      <c r="AR954" t="s">
        <v>260</v>
      </c>
      <c r="AX954" s="1"/>
      <c r="AY954" s="1"/>
      <c r="AZ954" s="1"/>
      <c r="BA954" s="1"/>
      <c r="BB954" s="1"/>
      <c r="BC954" s="70"/>
      <c r="BD954" s="114">
        <v>44605</v>
      </c>
      <c r="BE954" s="144"/>
      <c r="BF954" s="70"/>
      <c r="BG954" s="2"/>
      <c r="BH954" s="70"/>
      <c r="BI954" s="70"/>
      <c r="BJ954" s="70"/>
      <c r="BK954" s="70"/>
      <c r="BL954" s="20">
        <f ca="1">SUM(EH954)+220</f>
        <v>1626.2940624999999</v>
      </c>
      <c r="BM954" s="22">
        <f ca="1">PMT(10%/12,12,BL954,0,0)</f>
        <v>-142.97708540158416</v>
      </c>
      <c r="BN954" s="22">
        <f ca="1">SUM(BM954*-1)</f>
        <v>142.97708540158416</v>
      </c>
      <c r="BO954" s="14">
        <f>SUM(EP954*0.0052)/12</f>
        <v>49.356666666666662</v>
      </c>
      <c r="BP954" s="22">
        <f ca="1">SUM(BN954+BO954)</f>
        <v>192.33375206825082</v>
      </c>
      <c r="BQ954" s="14">
        <v>0</v>
      </c>
      <c r="BR954" s="14">
        <f>SUM(BQ954*0.1)</f>
        <v>0</v>
      </c>
      <c r="BS954" s="14">
        <v>0</v>
      </c>
      <c r="BT954" s="17">
        <f>SUM((BQ954+BR954)*0.00833333333333333)</f>
        <v>0</v>
      </c>
      <c r="BU954" s="23">
        <f ca="1">MONTH(TODAY())+49</f>
        <v>53</v>
      </c>
      <c r="BV954" s="14">
        <f>SUM(BQ954,BR954,BS954)</f>
        <v>0</v>
      </c>
      <c r="BW954" s="14">
        <v>0</v>
      </c>
      <c r="BX954" s="14">
        <v>0</v>
      </c>
      <c r="BY954" s="14">
        <f ca="1">SUM(BZ954*CA954)</f>
        <v>0</v>
      </c>
      <c r="BZ954" s="17">
        <f>SUM((BW954+BX954)*0.00833333333333333)</f>
        <v>0</v>
      </c>
      <c r="CA954" s="23">
        <f ca="1">MONTH(TODAY())+37</f>
        <v>41</v>
      </c>
      <c r="CB954" s="14">
        <f ca="1">SUM(BW954,BX954,BY954)</f>
        <v>0</v>
      </c>
      <c r="CC954" s="14">
        <v>0</v>
      </c>
      <c r="CD954" s="14">
        <f>SUM(CC954*0.1)</f>
        <v>0</v>
      </c>
      <c r="CE954" s="14">
        <f ca="1">SUM(CF954*CG954)</f>
        <v>0</v>
      </c>
      <c r="CF954" s="17">
        <f>SUM((CC954+CD954)*0.00833333333333333)</f>
        <v>0</v>
      </c>
      <c r="CG954" s="23">
        <f ca="1">MONTH(TODAY())+25</f>
        <v>29</v>
      </c>
      <c r="CH954" s="14">
        <v>0</v>
      </c>
      <c r="CI954" s="14">
        <v>0</v>
      </c>
      <c r="CJ954" s="14">
        <f>SUM(CI954*0.1)</f>
        <v>0</v>
      </c>
      <c r="CK954" s="14">
        <f ca="1">SUM(CL954*CM954)</f>
        <v>0</v>
      </c>
      <c r="CL954" s="17">
        <f>SUM((CI954+CJ954)*0.00833333333333333)</f>
        <v>0</v>
      </c>
      <c r="CM954" s="23">
        <f ca="1">MONTH(TODAY())+17</f>
        <v>21</v>
      </c>
      <c r="CN954" s="23">
        <f ca="1">SUM(CI954,CJ954,CK954)</f>
        <v>0</v>
      </c>
      <c r="CO954" s="14">
        <v>0</v>
      </c>
      <c r="CP954" s="14">
        <f>SUM(CO954*0.1)</f>
        <v>0</v>
      </c>
      <c r="CQ954" s="14">
        <v>0</v>
      </c>
      <c r="CR954" s="17">
        <f>SUM((CO954+CP954)*0.00833333333333333)</f>
        <v>0</v>
      </c>
      <c r="CS954" s="23">
        <f ca="1">MONTH(TODAY())+13</f>
        <v>17</v>
      </c>
      <c r="CT954" s="14">
        <f>SUM(CO954,CP954,CQ954)</f>
        <v>0</v>
      </c>
      <c r="CU954" s="14">
        <f>SUM(EP954*0.0045)/2</f>
        <v>256.27499999999998</v>
      </c>
      <c r="CV954" s="14">
        <f>SUM(CU954*0.1)</f>
        <v>25.627499999999998</v>
      </c>
      <c r="CW954" s="14">
        <v>0</v>
      </c>
      <c r="CX954" s="17">
        <f>SUM((CU954+CV954)*0.00833333333333333)</f>
        <v>2.3491874999999989</v>
      </c>
      <c r="CY954" s="23">
        <f ca="1">MONTH(TODAY())+7</f>
        <v>11</v>
      </c>
      <c r="CZ954" s="14">
        <f>SUM(CU954,CV954,CW954)</f>
        <v>281.90249999999997</v>
      </c>
      <c r="DA954" s="14">
        <f>SUM(EP954*0.0045)/2</f>
        <v>256.27499999999998</v>
      </c>
      <c r="DB954" s="14">
        <f>SUM(DA954*0.1)</f>
        <v>25.627499999999998</v>
      </c>
      <c r="DC954" s="14">
        <f ca="1">SUM(DD954*DE954)</f>
        <v>11.745937499999995</v>
      </c>
      <c r="DD954" s="17">
        <f>SUM((DA954+DB954)*0.00833333333333333)</f>
        <v>2.3491874999999989</v>
      </c>
      <c r="DE954" s="23">
        <f ca="1">MONTH(TODAY())+1</f>
        <v>5</v>
      </c>
      <c r="DF954" s="14">
        <f ca="1">SUM(DA954,DB954,DC954)</f>
        <v>293.64843749999994</v>
      </c>
      <c r="DG954" s="14">
        <f>SUM(EP954*0.0045)/2</f>
        <v>256.27499999999998</v>
      </c>
      <c r="DH954" s="14">
        <f>SUM(DG954*0.1)</f>
        <v>25.627499999999998</v>
      </c>
      <c r="DI954" s="14">
        <f ca="1">SUM(DJ954*DK954)</f>
        <v>-7.0475624999999962</v>
      </c>
      <c r="DJ954" s="17">
        <f>SUM((DG954+DH954)*0.00833333333333333)</f>
        <v>2.3491874999999989</v>
      </c>
      <c r="DK954" s="23">
        <f ca="1">MONTH(TODAY())-7</f>
        <v>-3</v>
      </c>
      <c r="DL954" s="14">
        <f ca="1">SUM(DG954,DH954,DI954)</f>
        <v>274.85493750000001</v>
      </c>
      <c r="DM954" s="14">
        <f>SUM(EP954*0.0045)/2</f>
        <v>256.27499999999998</v>
      </c>
      <c r="DN954" s="14">
        <f>SUM(DM954*0.1)</f>
        <v>25.627499999999998</v>
      </c>
      <c r="DO954" s="14">
        <f ca="1">SUM(DP954*DQ954)</f>
        <v>-16.444312499999992</v>
      </c>
      <c r="DP954" s="17">
        <f>SUM((DM954+DN954)*0.00833333333333333)</f>
        <v>2.3491874999999989</v>
      </c>
      <c r="DQ954" s="23">
        <f ca="1">MONTH(TODAY())-11</f>
        <v>-7</v>
      </c>
      <c r="DR954" s="14">
        <f ca="1">SUM(DM954,DN954,DO954)</f>
        <v>265.45818750000001</v>
      </c>
      <c r="DS954" s="14">
        <f>SUM(BQ954, BW954, CC954, CI954,CO954,CU954,DA954,DG954,DM954)</f>
        <v>1025.0999999999999</v>
      </c>
      <c r="DT954" s="14">
        <f>SUM(BR954,BX954,CD954, CJ954,CP954,CV954,DB954,DH954,DN954)</f>
        <v>102.50999999999999</v>
      </c>
      <c r="DU954" s="14">
        <f ca="1">SUM(BS954,BY954,CE954, CK954,CQ954,CW954,DC954,DI954,DO954)</f>
        <v>-11.745937499999993</v>
      </c>
      <c r="DV954" s="25">
        <f ca="1">SUM(DS954:DU954)</f>
        <v>1115.8640624999998</v>
      </c>
      <c r="DW954" s="47">
        <f ca="1">SUM(DV954/EM954)</f>
        <v>1.1328569162436547E-2</v>
      </c>
      <c r="DX954" s="14">
        <f>19.5+19.5+156+40</f>
        <v>235</v>
      </c>
      <c r="DY954" s="32">
        <f>COUNTIF(AO954, "*")+COUNTIF(AJ954, "*")+COUNTIF(AA954, "*")+COUNTIF(FA954, "*")+COUNTIF(FG954, "*")+COUNTIF(FM954, "*")+COUNTIF(FQ954, "*")+COUNTIF(FX954, "*")+COUNTIF(AT954, "*")+COUNTIF(GG954, "*")+COUNTIF(GR954, "*")+COUNTIF(HC954, "*")+COUNTIF(HK954, "*")+COUNTIF(HS954, "*")+COUNTIF(IA954, "*")</f>
        <v>2</v>
      </c>
      <c r="DZ954" s="14">
        <f>DY954*0.5</f>
        <v>1</v>
      </c>
      <c r="EA954" s="4">
        <v>54.43</v>
      </c>
      <c r="EB954" s="4"/>
      <c r="EC954" s="4"/>
      <c r="ED954" s="4"/>
      <c r="EE954" s="4"/>
      <c r="EF954" s="4"/>
      <c r="EG954" s="14">
        <f>SUM(EA954:EF954)</f>
        <v>54.43</v>
      </c>
      <c r="EH954" s="14">
        <f ca="1">SUM(DV954,DX954,EG954,DZ954,GD954)</f>
        <v>1406.2940624999999</v>
      </c>
      <c r="EI954" s="24" t="s">
        <v>2770</v>
      </c>
      <c r="EJ954" s="7">
        <v>3</v>
      </c>
      <c r="EK954" s="4">
        <v>27000</v>
      </c>
      <c r="EL954" s="4">
        <v>71500</v>
      </c>
      <c r="EM954" s="14">
        <f>SUM(EK954+EL954)</f>
        <v>98500</v>
      </c>
      <c r="EN954" s="14">
        <v>31000</v>
      </c>
      <c r="EO954" s="14">
        <v>82900</v>
      </c>
      <c r="EP954" s="14">
        <f>SUM(EN954+EO954)</f>
        <v>113900</v>
      </c>
      <c r="EQ954" s="10"/>
      <c r="ER954" s="10"/>
      <c r="ES954" s="10"/>
      <c r="ET954" s="10"/>
      <c r="EU954" s="10"/>
      <c r="EV954" s="10"/>
      <c r="EW954" s="10"/>
      <c r="EX954" s="10"/>
      <c r="EY954" s="10"/>
      <c r="EZ954" s="10"/>
      <c r="FA954" s="10"/>
      <c r="FB954" s="10"/>
      <c r="FC954" s="10"/>
      <c r="FD954" s="10"/>
      <c r="FE954" s="10"/>
      <c r="FF954" s="10"/>
      <c r="FG954" s="10"/>
      <c r="FH954" s="10"/>
      <c r="FI954" s="10"/>
      <c r="FJ954" s="10"/>
      <c r="FK954" s="10"/>
      <c r="FL954" s="10"/>
      <c r="FM954" s="10"/>
      <c r="FN954" s="10"/>
      <c r="FO954" s="10"/>
      <c r="FP954" s="10"/>
      <c r="FQ954" s="10"/>
      <c r="FR954" s="10"/>
      <c r="FS954" s="10"/>
      <c r="FT954" s="10"/>
      <c r="FU954" s="9"/>
      <c r="FV954" s="10"/>
      <c r="FW954" s="10"/>
      <c r="FX954" s="10"/>
      <c r="FY954" s="10"/>
      <c r="FZ954" s="10"/>
      <c r="GA954" s="10"/>
      <c r="GB954" s="9"/>
      <c r="GC954" s="10"/>
      <c r="GD954" s="10"/>
      <c r="GE954" s="10"/>
      <c r="GF954" s="10"/>
      <c r="GG954" s="10"/>
      <c r="GH954" s="10"/>
      <c r="GI954" s="10"/>
      <c r="GJ954" s="10"/>
      <c r="GK954" s="9"/>
      <c r="GL954" s="10"/>
      <c r="GM954" s="10"/>
      <c r="GN954" s="10"/>
      <c r="GO954" s="10"/>
      <c r="GP954" s="10"/>
      <c r="GQ954" s="10"/>
      <c r="GR954" s="10"/>
      <c r="GS954" s="10"/>
      <c r="GT954" s="10"/>
      <c r="GU954" s="10"/>
      <c r="GV954" s="9"/>
      <c r="GW954" s="10"/>
      <c r="GX954" s="10"/>
      <c r="GY954" s="10"/>
      <c r="GZ954" s="10"/>
      <c r="HA954" s="10"/>
      <c r="HB954" s="10"/>
      <c r="HC954" s="10"/>
      <c r="HD954" s="10"/>
      <c r="HE954" s="10"/>
      <c r="HF954" s="10"/>
      <c r="HG954" s="9"/>
      <c r="HH954" s="10"/>
      <c r="HI954" s="10"/>
      <c r="HJ954" s="10"/>
      <c r="HK954" s="10"/>
      <c r="HL954" s="10"/>
      <c r="HM954" s="10"/>
      <c r="HN954" s="10"/>
      <c r="HO954" s="9"/>
      <c r="HP954" s="10"/>
      <c r="HQ954" s="10"/>
      <c r="HR954" s="10"/>
      <c r="HS954" s="10"/>
      <c r="HT954" s="10"/>
      <c r="HU954" s="10"/>
      <c r="HV954" s="10"/>
      <c r="HW954" s="9"/>
      <c r="HX954" s="10"/>
      <c r="HY954" s="10"/>
      <c r="HZ954" s="10"/>
      <c r="IA954" s="10"/>
      <c r="IB954" s="10"/>
      <c r="IC954" s="10"/>
      <c r="ID954" s="10"/>
      <c r="IE954" s="9"/>
      <c r="IF954" s="4"/>
      <c r="IG954" s="4"/>
      <c r="IH954" s="10"/>
      <c r="II954" s="10"/>
      <c r="IJ954" s="10"/>
      <c r="IK954" s="10"/>
      <c r="IL954" s="4"/>
      <c r="IM954" s="4"/>
      <c r="IN954" s="14">
        <f ca="1">SUM(IF954-EH954-GD954-IL954)</f>
        <v>-1406.2940624999999</v>
      </c>
      <c r="IO954" s="14"/>
      <c r="IP954" s="14"/>
      <c r="IQ954" s="9"/>
      <c r="IR954" s="9"/>
      <c r="IS954" s="9"/>
      <c r="IT954" s="9"/>
      <c r="IU954" s="9"/>
      <c r="IV954" s="27" t="s">
        <v>5913</v>
      </c>
    </row>
    <row r="955" spans="1:265" ht="15" customHeight="1">
      <c r="A955" s="2">
        <v>102018029</v>
      </c>
      <c r="B955" s="4" t="s">
        <v>1134</v>
      </c>
      <c r="J955" t="s">
        <v>305</v>
      </c>
      <c r="K955" t="s">
        <v>1125</v>
      </c>
      <c r="L955" t="s">
        <v>1126</v>
      </c>
      <c r="M955" t="s">
        <v>537</v>
      </c>
      <c r="O955" s="1"/>
      <c r="P955" t="s">
        <v>1125</v>
      </c>
      <c r="Q955" t="s">
        <v>1106</v>
      </c>
      <c r="R955" t="s">
        <v>403</v>
      </c>
      <c r="T955" s="1"/>
      <c r="AH955" s="4"/>
      <c r="AI955" s="4"/>
      <c r="AJ955" s="4"/>
      <c r="AK955" s="4"/>
      <c r="AO955" s="4"/>
      <c r="AP955" s="5"/>
      <c r="AQ955" s="34"/>
      <c r="AS955" s="1"/>
      <c r="AT955" s="1"/>
      <c r="AU955" s="29"/>
      <c r="AV955" s="1"/>
      <c r="AW955" s="1"/>
      <c r="AX955" s="1"/>
      <c r="AY955" s="1"/>
      <c r="AZ955" s="1"/>
      <c r="BA955" s="1"/>
      <c r="BB955" s="1"/>
      <c r="BC955" s="1"/>
      <c r="BD955" s="1"/>
      <c r="BE955" s="5"/>
      <c r="BF955" s="16"/>
      <c r="BG955" s="16"/>
      <c r="BI955" s="4"/>
      <c r="BJ955" s="4"/>
      <c r="BK955" s="6"/>
      <c r="BL955" s="7"/>
      <c r="BM955" s="4"/>
      <c r="BO955" s="4"/>
      <c r="BP955" s="4"/>
      <c r="BQ955" s="6"/>
      <c r="BR955" s="7"/>
      <c r="BS955" s="4"/>
      <c r="BU955" s="4"/>
      <c r="BV955" s="4"/>
      <c r="BW955" s="6"/>
      <c r="BX955" s="7"/>
      <c r="BY955" s="4"/>
      <c r="BZ955" s="6"/>
      <c r="CA955" s="4"/>
      <c r="CB955" s="4"/>
      <c r="CC955" s="6"/>
      <c r="CD955" s="7"/>
      <c r="CE955" s="4"/>
      <c r="CF955" s="6"/>
      <c r="CG955" s="4"/>
      <c r="CH955" s="4"/>
      <c r="CI955" s="6"/>
      <c r="CJ955" s="7"/>
      <c r="CK955" s="4"/>
      <c r="CL955" s="4"/>
      <c r="CM955" s="4"/>
      <c r="CN955" s="4"/>
      <c r="CO955" s="6"/>
      <c r="CP955" s="7"/>
      <c r="CQ955" s="4"/>
      <c r="CR955" s="4"/>
      <c r="CS955" s="4"/>
      <c r="CT955" s="4"/>
      <c r="CU955" s="6"/>
      <c r="CV955" s="7"/>
      <c r="CW955" s="4"/>
      <c r="CX955" s="4"/>
      <c r="CY955" s="4"/>
      <c r="CZ955" s="4"/>
      <c r="DA955" s="6"/>
      <c r="DB955" s="7"/>
      <c r="DC955" s="4"/>
      <c r="DD955" s="4"/>
      <c r="DE955" s="4"/>
      <c r="DF955" s="4"/>
      <c r="DG955" s="6"/>
      <c r="DH955" s="7"/>
      <c r="DI955" s="4"/>
      <c r="DJ955" s="4"/>
      <c r="DK955" s="4"/>
      <c r="DL955" s="4"/>
      <c r="DM955" s="4"/>
      <c r="DO955" s="4"/>
      <c r="DP955" s="4"/>
      <c r="DQ955" s="4"/>
      <c r="DR955" s="7"/>
      <c r="DS955" s="4"/>
      <c r="DT955" s="4"/>
      <c r="DU955" s="4"/>
      <c r="DV955" s="4"/>
      <c r="DW955" s="4"/>
      <c r="DX955" s="4"/>
      <c r="DY955" s="7"/>
      <c r="DZ955" s="7"/>
      <c r="EA955" s="4"/>
      <c r="EB955" s="4"/>
      <c r="EC955" s="4"/>
      <c r="ED955" s="4"/>
      <c r="EE955" s="11"/>
      <c r="EN955" s="11"/>
      <c r="ET955" s="11"/>
      <c r="EU955" s="4"/>
      <c r="EV955" s="4"/>
      <c r="EW955" s="4"/>
      <c r="EX955" s="4"/>
      <c r="EY955" s="4"/>
      <c r="EZ955" s="4"/>
      <c r="FA955" s="4"/>
      <c r="FB955" s="4"/>
      <c r="FC955" s="4"/>
      <c r="FD955" s="4"/>
      <c r="FE955" s="4"/>
      <c r="FF955" s="4"/>
      <c r="FG955" s="4"/>
      <c r="FH955" s="4"/>
      <c r="FN955" s="9"/>
      <c r="GD955" s="10"/>
      <c r="GN955" s="10"/>
      <c r="HC955" s="9"/>
      <c r="IP955" s="4"/>
    </row>
    <row r="956" spans="1:265" ht="15" customHeight="1">
      <c r="A956" s="19">
        <v>102023147</v>
      </c>
      <c r="B956" s="18" t="s">
        <v>1134</v>
      </c>
      <c r="D956" s="1"/>
      <c r="E956" s="3"/>
      <c r="F956" s="3"/>
      <c r="G956" s="3"/>
      <c r="J956" s="18" t="s">
        <v>554</v>
      </c>
      <c r="K956" s="18" t="s">
        <v>1125</v>
      </c>
      <c r="L956" s="18" t="s">
        <v>1126</v>
      </c>
      <c r="M956" s="18" t="s">
        <v>537</v>
      </c>
      <c r="N956" s="18"/>
      <c r="O956" s="24"/>
      <c r="P956" s="18" t="s">
        <v>1125</v>
      </c>
      <c r="Q956" s="18" t="s">
        <v>1106</v>
      </c>
      <c r="R956" s="18" t="s">
        <v>403</v>
      </c>
      <c r="S956" s="18"/>
      <c r="AG956" s="43"/>
      <c r="AJ956" s="18" t="s">
        <v>4852</v>
      </c>
      <c r="AK956" t="s">
        <v>258</v>
      </c>
      <c r="AL956" t="s">
        <v>600</v>
      </c>
      <c r="AM956" t="s">
        <v>260</v>
      </c>
      <c r="AN956"/>
      <c r="AO956" s="18" t="s">
        <v>4124</v>
      </c>
      <c r="AP956" s="3" t="s">
        <v>258</v>
      </c>
      <c r="AQ956" s="18" t="s">
        <v>300</v>
      </c>
      <c r="AR956" s="18" t="s">
        <v>301</v>
      </c>
      <c r="AX956" s="1"/>
      <c r="AY956" s="1"/>
      <c r="AZ956" s="1"/>
      <c r="BA956" s="1"/>
      <c r="BB956" s="1"/>
      <c r="BC956" s="2"/>
      <c r="BD956" s="116"/>
      <c r="BE956" s="115">
        <v>45057</v>
      </c>
      <c r="BF956" s="2"/>
      <c r="BG956" s="2"/>
      <c r="BH956" s="2"/>
      <c r="BI956" s="2"/>
      <c r="BJ956" s="2"/>
      <c r="BK956" s="2"/>
      <c r="BL956" s="20">
        <f ca="1">SUM(EB956)+220</f>
        <v>1150.8876749999999</v>
      </c>
      <c r="BM956" s="22">
        <f ca="1">PMT(10%/12,12,BL956,0,0)</f>
        <v>-101.18131104970792</v>
      </c>
      <c r="BN956" s="22">
        <f ca="1">SUM(BM956*-1)</f>
        <v>101.18131104970792</v>
      </c>
      <c r="BO956" s="14">
        <f>SUM(EJ956*0.0052)/12</f>
        <v>19.5</v>
      </c>
      <c r="BP956" s="22">
        <f ca="1">SUM(BN956+BO956)</f>
        <v>120.68131104970792</v>
      </c>
      <c r="BQ956" s="14"/>
      <c r="BR956" s="14">
        <f>SUM(BQ956*0.1)</f>
        <v>0</v>
      </c>
      <c r="BS956" s="14">
        <f ca="1">SUM(BT956*BU956)</f>
        <v>0</v>
      </c>
      <c r="BT956" s="17">
        <f>SUM((BQ956+BR956)*0.00833333333333333)</f>
        <v>0</v>
      </c>
      <c r="BU956" s="23">
        <f ca="1">MONTH(TODAY())+49</f>
        <v>53</v>
      </c>
      <c r="BV956" s="14">
        <f ca="1">SUM(BQ956,BR956,BS956)</f>
        <v>0</v>
      </c>
      <c r="BW956" s="14"/>
      <c r="BX956" s="14">
        <f>SUM(BW956*0.1)</f>
        <v>0</v>
      </c>
      <c r="BY956" s="14">
        <f ca="1">SUM(BZ956*CA956)</f>
        <v>0</v>
      </c>
      <c r="BZ956" s="17">
        <f>SUM((BW956+BX956)*0.00833333333333333)</f>
        <v>0</v>
      </c>
      <c r="CA956" s="23">
        <f ca="1">MONTH(TODAY())+37</f>
        <v>41</v>
      </c>
      <c r="CB956" s="14">
        <f ca="1">SUM(BW956,BX956,BY956)</f>
        <v>0</v>
      </c>
      <c r="CC956" s="14">
        <v>0</v>
      </c>
      <c r="CD956" s="14">
        <f>SUM(CC956*0.1)</f>
        <v>0</v>
      </c>
      <c r="CE956" s="14">
        <f ca="1">SUM(CF956*CG956)</f>
        <v>0</v>
      </c>
      <c r="CF956" s="17">
        <f>SUM((CC956+CD956)*0.00833333333333333)</f>
        <v>0</v>
      </c>
      <c r="CG956" s="23">
        <f ca="1">MONTH(TODAY())+25</f>
        <v>29</v>
      </c>
      <c r="CH956" s="14">
        <f ca="1">SUM(CC956,CD956,CE956)</f>
        <v>0</v>
      </c>
      <c r="CI956" s="14">
        <f>SUM(EG956*0.0052)</f>
        <v>188.23999999999998</v>
      </c>
      <c r="CJ956" s="14">
        <f>SUM(CI956*0.1)</f>
        <v>18.823999999999998</v>
      </c>
      <c r="CK956" s="14">
        <f ca="1">SUM(CL956*CM956)</f>
        <v>29.334066666666647</v>
      </c>
      <c r="CL956" s="17">
        <f>SUM((CI956+CJ956)*0.00833333333333333)</f>
        <v>1.7255333333333323</v>
      </c>
      <c r="CM956" s="23">
        <f ca="1">MONTH(TODAY())+13</f>
        <v>17</v>
      </c>
      <c r="CN956" s="14">
        <f ca="1">SUM(CI956,CJ956,CK956)</f>
        <v>236.39806666666661</v>
      </c>
      <c r="CO956" s="14">
        <f>SUM(EG956*0.0052)/2</f>
        <v>94.11999999999999</v>
      </c>
      <c r="CP956" s="14">
        <f>SUM(CO956*0.1)</f>
        <v>9.411999999999999</v>
      </c>
      <c r="CQ956" s="14">
        <f ca="1">SUM(CR956*CS956)</f>
        <v>7.7648999999999955</v>
      </c>
      <c r="CR956" s="17">
        <f>SUM((CO956+CP956)*0.00833333333333333)</f>
        <v>0.86276666666666613</v>
      </c>
      <c r="CS956" s="23">
        <f ca="1">MONTH(TODAY())+5</f>
        <v>9</v>
      </c>
      <c r="CT956" s="23">
        <f ca="1">SUM(CO956,CP956,CQ956)</f>
        <v>111.29689999999998</v>
      </c>
      <c r="CU956" s="14">
        <f>SUM(EG956*0.0052)/2</f>
        <v>94.11999999999999</v>
      </c>
      <c r="CV956" s="14">
        <f>SUM(CU956*0.1)</f>
        <v>9.411999999999999</v>
      </c>
      <c r="CW956" s="14">
        <f ca="1">SUM(CX956*CY956)</f>
        <v>4.3138333333333305</v>
      </c>
      <c r="CX956" s="17">
        <f>SUM((CU956+CV956)*0.00833333333333333)</f>
        <v>0.86276666666666613</v>
      </c>
      <c r="CY956" s="23">
        <f ca="1">MONTH(TODAY())+1</f>
        <v>5</v>
      </c>
      <c r="CZ956" s="23">
        <f ca="1">SUM(CU956,CV956,CW956)</f>
        <v>107.84583333333332</v>
      </c>
      <c r="DA956" s="14">
        <f>SUM(EJ956*0.0045)/2</f>
        <v>101.24999999999999</v>
      </c>
      <c r="DB956" s="14">
        <f>SUM(DA956*0.1)</f>
        <v>10.125</v>
      </c>
      <c r="DC956" s="14">
        <f ca="1">SUM(DD956*DE956)</f>
        <v>-0.92812499999999953</v>
      </c>
      <c r="DD956" s="17">
        <f>SUM((DA956+DB956)*0.00833333333333333)</f>
        <v>0.92812499999999953</v>
      </c>
      <c r="DE956" s="23">
        <f ca="1">MONTH(TODAY())-5</f>
        <v>-1</v>
      </c>
      <c r="DF956" s="23">
        <f ca="1">SUM(DA956,DB956,DC956)</f>
        <v>110.44687499999999</v>
      </c>
      <c r="DG956" s="14">
        <v>0</v>
      </c>
      <c r="DH956" s="14">
        <v>0</v>
      </c>
      <c r="DI956" s="14">
        <v>0</v>
      </c>
      <c r="DJ956" s="17">
        <f>SUM((DG956+DH956)*0.00833333333333333)</f>
        <v>0</v>
      </c>
      <c r="DK956" s="23">
        <f ca="1">MONTH(TODAY())+1</f>
        <v>5</v>
      </c>
      <c r="DL956" s="23">
        <f>SUM(DG956,DH956,DI956)</f>
        <v>0</v>
      </c>
      <c r="DM956" s="14">
        <f>SUM( BQ956, BW956, CC956, CI956, CO956,CU956,DA956,DG956)</f>
        <v>477.72999999999996</v>
      </c>
      <c r="DN956" s="14">
        <f>SUM(BR956,BX956,CD956,CJ956, CP956,CV956,DB956,DH956)</f>
        <v>47.772999999999996</v>
      </c>
      <c r="DO956" s="14">
        <f ca="1">SUM(BS956,BY956,CE956,CK956, CQ956,CW956,DC956,DI956)</f>
        <v>40.484674999999967</v>
      </c>
      <c r="DP956" s="25">
        <f ca="1">SUM(DM956:DO956)</f>
        <v>565.98767499999985</v>
      </c>
      <c r="DQ956" s="47">
        <f ca="1">SUM(DP956/EG956)</f>
        <v>1.5635018646408837E-2</v>
      </c>
      <c r="DR956" s="14">
        <v>200</v>
      </c>
      <c r="DS956" s="32">
        <f>COUNTIF(DX956, "*")+COUNTIF(AO956, "*")+COUNTIF(AJ956, "*")+COUNTIF(AA956, "*")+COUNTIF(EY956, "*")+COUNTIF(FE956, "*")+COUNTIF(FK956, "*")+COUNTIF(FO956, "*")+COUNTIF(FV956, "*")+COUNTIF(AT956, "*")+COUNTIF(GE956, "*")+COUNTIF(GP956, "*")+COUNTIF(HA956, "*")+COUNTIF(HI956, "*")+COUNTIF(HQ956, "*")+COUNTIF(HY956, "*")+COUNTIF(IG956, "*")</f>
        <v>2</v>
      </c>
      <c r="DT956" s="14">
        <f>DS956*7.45</f>
        <v>14.9</v>
      </c>
      <c r="DU956" s="4">
        <v>150</v>
      </c>
      <c r="DV956" s="4"/>
      <c r="DW956" s="4"/>
      <c r="DX956" s="4"/>
      <c r="DZ956" s="4"/>
      <c r="EA956" s="14">
        <f>SUM(DV956:DZ956)</f>
        <v>0</v>
      </c>
      <c r="EB956" s="14">
        <f ca="1">SUM(DP956,DR956,EA956, DU956, DT956,GB956)</f>
        <v>930.88767499999983</v>
      </c>
      <c r="EC956" s="24" t="s">
        <v>3879</v>
      </c>
      <c r="ED956" s="130">
        <v>10</v>
      </c>
      <c r="EE956" s="14">
        <v>36200</v>
      </c>
      <c r="EF956" s="14">
        <v>0</v>
      </c>
      <c r="EG956" s="14">
        <f>SUM(EE956+EF956)</f>
        <v>36200</v>
      </c>
      <c r="EH956" s="14">
        <v>45000</v>
      </c>
      <c r="EI956" s="14">
        <v>0</v>
      </c>
      <c r="EJ956" s="14">
        <f>SUM(EH956+EI956)</f>
        <v>45000</v>
      </c>
      <c r="EK956" t="s">
        <v>4846</v>
      </c>
      <c r="EL956" t="s">
        <v>4847</v>
      </c>
      <c r="EM956" t="s">
        <v>4848</v>
      </c>
      <c r="EN956" t="s">
        <v>4849</v>
      </c>
      <c r="IM956" s="9"/>
      <c r="IX956" s="14">
        <f ca="1">SUM(IN956-EB956-GB956-IV956)</f>
        <v>-930.88767499999983</v>
      </c>
      <c r="IY956" s="9"/>
      <c r="IZ956" s="9"/>
      <c r="JA956" s="9"/>
      <c r="JB956" s="9"/>
      <c r="JC956" s="9"/>
      <c r="JD956" s="240"/>
      <c r="JE956" s="240"/>
    </row>
    <row r="957" spans="1:265" ht="15" customHeight="1">
      <c r="A957" s="19">
        <v>102023059</v>
      </c>
      <c r="B957" s="18" t="s">
        <v>4208</v>
      </c>
      <c r="D957" s="1"/>
      <c r="E957" t="s">
        <v>4934</v>
      </c>
      <c r="F957">
        <v>230003199</v>
      </c>
      <c r="G957" s="3"/>
      <c r="J957" s="18" t="s">
        <v>554</v>
      </c>
      <c r="K957" s="18" t="s">
        <v>899</v>
      </c>
      <c r="L957" s="18" t="s">
        <v>574</v>
      </c>
      <c r="M957" s="18"/>
      <c r="N957" s="18"/>
      <c r="O957" s="24"/>
      <c r="P957" s="18" t="s">
        <v>899</v>
      </c>
      <c r="Q957" s="18" t="s">
        <v>2133</v>
      </c>
      <c r="R957" s="18" t="s">
        <v>426</v>
      </c>
      <c r="S957" s="18"/>
      <c r="AG957" s="43"/>
      <c r="AJ957" s="18" t="s">
        <v>328</v>
      </c>
      <c r="AK957" s="18"/>
      <c r="AL957" s="18" t="s">
        <v>600</v>
      </c>
      <c r="AM957" s="18"/>
      <c r="AN957" s="18"/>
      <c r="AO957" s="18" t="s">
        <v>4207</v>
      </c>
      <c r="AP957" s="18" t="s">
        <v>258</v>
      </c>
      <c r="AQ957" s="18" t="s">
        <v>4206</v>
      </c>
      <c r="AR957" s="18"/>
      <c r="AX957" s="1"/>
      <c r="AY957" s="1"/>
      <c r="AZ957" s="1" t="s">
        <v>258</v>
      </c>
      <c r="BA957" s="1" t="s">
        <v>258</v>
      </c>
      <c r="BB957" s="1" t="s">
        <v>258</v>
      </c>
      <c r="BC957" s="70">
        <v>45097</v>
      </c>
      <c r="BD957" s="115">
        <v>45060</v>
      </c>
      <c r="BE957" s="115">
        <v>45055</v>
      </c>
      <c r="BF957" s="70">
        <v>45156</v>
      </c>
      <c r="BG957" t="s">
        <v>4902</v>
      </c>
      <c r="BH957" s="9">
        <v>45149</v>
      </c>
      <c r="BI957" s="9">
        <v>45149</v>
      </c>
      <c r="BJ957" s="70">
        <v>45177</v>
      </c>
      <c r="BK957" s="2" t="s">
        <v>319</v>
      </c>
      <c r="BL957" s="20">
        <f ca="1">SUM(EB957)+220</f>
        <v>4567.8595999999998</v>
      </c>
      <c r="BM957" s="22">
        <f ca="1">PMT(10%/12,12,BL957,0,0)</f>
        <v>-401.58742947611671</v>
      </c>
      <c r="BN957" s="22">
        <f ca="1">SUM(BM957*-1)</f>
        <v>401.58742947611671</v>
      </c>
      <c r="BO957" s="14">
        <f>SUM(EJ957*0.0052)/12</f>
        <v>16.899999999999999</v>
      </c>
      <c r="BP957" s="22">
        <f ca="1">SUM(BN957+BO957)</f>
        <v>418.48742947611669</v>
      </c>
      <c r="BQ957" s="14"/>
      <c r="BR957" s="14">
        <f>SUM(BQ957*0.1)</f>
        <v>0</v>
      </c>
      <c r="BS957" s="14">
        <f ca="1">SUM(BT957*BU957)</f>
        <v>0</v>
      </c>
      <c r="BT957" s="17">
        <f>SUM((BQ957+BR957)*0.00833333333333333)</f>
        <v>0</v>
      </c>
      <c r="BU957" s="23">
        <f ca="1">MONTH(TODAY())+61</f>
        <v>65</v>
      </c>
      <c r="BV957" s="14">
        <f ca="1">SUM(BQ957,BR957,BS957)</f>
        <v>0</v>
      </c>
      <c r="BW957" s="14"/>
      <c r="BX957" s="14">
        <f>SUM(BW957*0.1)</f>
        <v>0</v>
      </c>
      <c r="BY957" s="14">
        <f ca="1">SUM(BZ957*CA957)</f>
        <v>0</v>
      </c>
      <c r="BZ957" s="17">
        <f>SUM((BW957+BX957)*0.00833333333333333)</f>
        <v>0</v>
      </c>
      <c r="CA957" s="23">
        <f ca="1">MONTH(TODAY())+49</f>
        <v>53</v>
      </c>
      <c r="CB957" s="14">
        <f ca="1">SUM(BW957,BX957,BY957)</f>
        <v>0</v>
      </c>
      <c r="CC957" s="14">
        <v>0</v>
      </c>
      <c r="CD957" s="14">
        <f>SUM(CC957*0.1)</f>
        <v>0</v>
      </c>
      <c r="CE957" s="14">
        <f ca="1">SUM(CF957*CG957)</f>
        <v>0</v>
      </c>
      <c r="CF957" s="17">
        <f>SUM((CC957+CD957)*0.00833333333333333)</f>
        <v>0</v>
      </c>
      <c r="CG957" s="23">
        <f ca="1">MONTH(TODAY())+37</f>
        <v>41</v>
      </c>
      <c r="CH957" s="14">
        <f ca="1">SUM(CC957,CD957,CE957)</f>
        <v>0</v>
      </c>
      <c r="CI957" s="14">
        <f>SUM(EG957*0.0052)</f>
        <v>172.64</v>
      </c>
      <c r="CJ957" s="14">
        <f>SUM(CI957*0.1)</f>
        <v>17.263999999999999</v>
      </c>
      <c r="CK957" s="14">
        <f ca="1">SUM(CL957*CM957)</f>
        <v>45.893466666666647</v>
      </c>
      <c r="CL957" s="17">
        <f>SUM((CI957+CJ957)*0.00833333333333333)</f>
        <v>1.5825333333333327</v>
      </c>
      <c r="CM957" s="23">
        <f ca="1">MONTH(TODAY())+25</f>
        <v>29</v>
      </c>
      <c r="CN957" s="14">
        <f ca="1">SUM(CI957,CJ957,CK957)</f>
        <v>235.79746666666665</v>
      </c>
      <c r="CO957" s="14">
        <f>SUM(EG957*0.0052)/2</f>
        <v>86.32</v>
      </c>
      <c r="CP957" s="14">
        <f>SUM(CO957*0.1)</f>
        <v>8.6319999999999997</v>
      </c>
      <c r="CQ957" s="14">
        <f ca="1">SUM(CR957*CS957)</f>
        <v>16.616599999999995</v>
      </c>
      <c r="CR957" s="17">
        <f>SUM((CO957+CP957)*0.00833333333333333)</f>
        <v>0.79126666666666634</v>
      </c>
      <c r="CS957" s="23">
        <f ca="1">MONTH(TODAY())+17</f>
        <v>21</v>
      </c>
      <c r="CT957" s="23">
        <f ca="1">SUM(CO957,CP957,CQ957)</f>
        <v>111.56859999999999</v>
      </c>
      <c r="CU957" s="14">
        <f>SUM(EG957*0.0052)/2</f>
        <v>86.32</v>
      </c>
      <c r="CV957" s="14">
        <f>SUM(CU957*0.1)</f>
        <v>8.6319999999999997</v>
      </c>
      <c r="CW957" s="14">
        <f ca="1">SUM(CX957*CY957)</f>
        <v>13.451533333333328</v>
      </c>
      <c r="CX957" s="17">
        <f>SUM((CU957+CV957)*0.00833333333333333)</f>
        <v>0.79126666666666634</v>
      </c>
      <c r="CY957" s="23">
        <f ca="1">MONTH(TODAY())+13</f>
        <v>17</v>
      </c>
      <c r="CZ957" s="23">
        <f ca="1">SUM(CU957,CV957,CW957)</f>
        <v>108.40353333333333</v>
      </c>
      <c r="DA957" s="14">
        <f>SUM(EJ957*0.0045)/2</f>
        <v>87.75</v>
      </c>
      <c r="DB957" s="14">
        <f>SUM(DA957*0.1)</f>
        <v>8.7750000000000004</v>
      </c>
      <c r="DC957" s="14">
        <f ca="1">SUM(DD957*DE957)</f>
        <v>8.8481249999999978</v>
      </c>
      <c r="DD957" s="17">
        <f>SUM((DA957+DB957)*0.00833333333333333)</f>
        <v>0.80437499999999973</v>
      </c>
      <c r="DE957" s="23">
        <f ca="1">MONTH(TODAY())+7</f>
        <v>11</v>
      </c>
      <c r="DF957" s="23">
        <f ca="1">SUM(DA957,DB957,DC957)</f>
        <v>105.373125</v>
      </c>
      <c r="DG957" s="14">
        <f>SUM(EJ957*0.0045)/2</f>
        <v>87.75</v>
      </c>
      <c r="DH957" s="14">
        <f>SUM(DG957*0.1)</f>
        <v>8.7750000000000004</v>
      </c>
      <c r="DI957" s="14">
        <f ca="1">SUM(DJ957*DK957)</f>
        <v>4.0218749999999988</v>
      </c>
      <c r="DJ957" s="17">
        <f>SUM((DG957+DH957)*0.00833333333333333)</f>
        <v>0.80437499999999973</v>
      </c>
      <c r="DK957" s="23">
        <f ca="1">MONTH(TODAY())+1</f>
        <v>5</v>
      </c>
      <c r="DL957" s="14">
        <f ca="1">SUM(DG957,DH957,DI957)</f>
        <v>100.546875</v>
      </c>
      <c r="DM957" s="14">
        <f>SUM( BQ957, BW957, CC957, CI957, CO957,CU957,DA957,DG957)</f>
        <v>520.78</v>
      </c>
      <c r="DN957" s="14">
        <f>SUM(BR957,BX957,CD957,CJ957, CP957,CV957,DB957,DH957)</f>
        <v>52.077999999999996</v>
      </c>
      <c r="DO957" s="14">
        <f ca="1">SUM(BS957,BY957,CE957,CK957, CQ957,CW957,DC957,DI957)</f>
        <v>88.831599999999966</v>
      </c>
      <c r="DP957" s="25">
        <f ca="1">SUM(DM957:DO957)</f>
        <v>661.68959999999993</v>
      </c>
      <c r="DQ957" s="47">
        <f ca="1">SUM(DP957/EG957)</f>
        <v>1.9930409638554216E-2</v>
      </c>
      <c r="DR957" s="14">
        <f>970+100+80+160+100+200</f>
        <v>1610</v>
      </c>
      <c r="DS957" s="32">
        <f>COUNTIF(DX957, "*")+COUNTIF(AO957, "*")+COUNTIF(AJ957, "*")+COUNTIF(AA957, "*")+COUNTIF(EU957, "*")+COUNTIF(FA957, "*")+COUNTIF(FG957, "*")+COUNTIF(FK957, "*")+COUNTIF(FR957, "*")+COUNTIF(AT957, "*")+COUNTIF(GA957, "*")+COUNTIF(GL957, "*")+COUNTIF(GW957, "*")+COUNTIF(HE957, "*")+COUNTIF(HM957, "*")+COUNTIF(HU957, "*")</f>
        <v>2</v>
      </c>
      <c r="DT957" s="14">
        <f>1.2+14.9+28+28+55.17</f>
        <v>127.27</v>
      </c>
      <c r="DU957" s="4">
        <v>250</v>
      </c>
      <c r="DV957" s="4">
        <f>36.76+414.6+246.49</f>
        <v>697.85</v>
      </c>
      <c r="DW957" s="4">
        <f>93.75+265</f>
        <v>358.75</v>
      </c>
      <c r="DX957" s="4">
        <v>99.5</v>
      </c>
      <c r="DY957" s="14">
        <f>SUM(EE957*0.004)</f>
        <v>132.80000000000001</v>
      </c>
      <c r="DZ957" s="4">
        <v>410</v>
      </c>
      <c r="EA957" s="14">
        <f>SUM(DV957:DZ957)</f>
        <v>1698.8999999999999</v>
      </c>
      <c r="EB957" s="14">
        <f ca="1">SUM(DP957,DR957,EA957, DU957, DT957,FX957)</f>
        <v>4347.8595999999998</v>
      </c>
      <c r="EC957" s="18" t="s">
        <v>4944</v>
      </c>
      <c r="ED957" s="130">
        <v>4.78</v>
      </c>
      <c r="EE957" s="14">
        <v>33200</v>
      </c>
      <c r="EF957" s="14">
        <v>0</v>
      </c>
      <c r="EG957" s="14">
        <v>33200</v>
      </c>
      <c r="EH957" s="14">
        <v>39000</v>
      </c>
      <c r="EI957" s="14">
        <v>0</v>
      </c>
      <c r="EJ957" s="14">
        <f>SUM(EH957+EI957)</f>
        <v>39000</v>
      </c>
      <c r="EK957" t="s">
        <v>4906</v>
      </c>
      <c r="EL957" t="s">
        <v>4803</v>
      </c>
      <c r="FX957" s="4"/>
      <c r="IA957" s="9">
        <v>45227</v>
      </c>
      <c r="IL957" s="14">
        <f ca="1">SUM(IB957-EB957-FX957-IJ957)</f>
        <v>-4347.8595999999998</v>
      </c>
      <c r="IM957" s="14"/>
      <c r="IN957" s="14"/>
      <c r="IO957" s="9">
        <v>45187</v>
      </c>
      <c r="IP957" s="9">
        <v>45204</v>
      </c>
      <c r="IQ957" s="9"/>
      <c r="IR957" s="9"/>
      <c r="IS957" s="9"/>
    </row>
    <row r="958" spans="1:265" ht="15" customHeight="1">
      <c r="A958" s="2">
        <v>102023027</v>
      </c>
      <c r="B958" t="s">
        <v>4043</v>
      </c>
      <c r="J958" t="s">
        <v>253</v>
      </c>
      <c r="K958" t="s">
        <v>675</v>
      </c>
      <c r="L958" t="s">
        <v>849</v>
      </c>
      <c r="O958" s="3"/>
      <c r="AG958"/>
      <c r="AJ958" t="s">
        <v>4104</v>
      </c>
      <c r="AK958" t="s">
        <v>258</v>
      </c>
      <c r="AL958" t="s">
        <v>600</v>
      </c>
      <c r="AM958" t="s">
        <v>260</v>
      </c>
      <c r="AN958"/>
      <c r="AO958" t="s">
        <v>4105</v>
      </c>
      <c r="AP958" s="3" t="s">
        <v>258</v>
      </c>
      <c r="AQ958" t="s">
        <v>4106</v>
      </c>
      <c r="AR958"/>
      <c r="AX958" s="1"/>
      <c r="AY958" s="1"/>
      <c r="AZ958" s="1"/>
      <c r="BA958" s="1"/>
      <c r="BB958" s="1"/>
      <c r="BC958" s="2"/>
      <c r="BD958" s="116"/>
      <c r="BE958" s="115"/>
      <c r="BF958" s="2"/>
      <c r="BG958" s="2"/>
      <c r="BH958" s="2"/>
      <c r="BI958" s="2"/>
      <c r="BJ958" s="2"/>
      <c r="BK958" s="2"/>
      <c r="BL958" s="20">
        <f ca="1">SUM(DP958)+220</f>
        <v>2457.8811333333329</v>
      </c>
      <c r="BM958" s="22">
        <f ca="1">PMT(10%/12,12,BL958,0,0)</f>
        <v>-216.08680054290147</v>
      </c>
      <c r="BN958" s="22">
        <f ca="1">SUM(BM958*-1)</f>
        <v>216.08680054290147</v>
      </c>
      <c r="BO958" s="14">
        <f>SUM(DX958*0.0052)/12</f>
        <v>56.636666666666663</v>
      </c>
      <c r="BP958" s="22">
        <f ca="1">SUM(BN958+BO958)</f>
        <v>272.72346720956813</v>
      </c>
      <c r="BQ958" s="14"/>
      <c r="BR958" s="14">
        <f>SUM(BQ958*0.1)</f>
        <v>0</v>
      </c>
      <c r="BS958" s="14">
        <f ca="1">SUM(BT958*BU958)</f>
        <v>0</v>
      </c>
      <c r="BT958" s="17">
        <f>SUM((BQ958+BR958)*0.00833333333333333)</f>
        <v>0</v>
      </c>
      <c r="BU958" s="23">
        <f ca="1">MONTH(TODAY())+49</f>
        <v>53</v>
      </c>
      <c r="BV958" s="14">
        <f ca="1">SUM(BQ958,BR958,BS958)</f>
        <v>0</v>
      </c>
      <c r="BW958" s="14"/>
      <c r="BX958" s="14">
        <f>SUM(BW958*0.1)</f>
        <v>0</v>
      </c>
      <c r="BY958" s="14">
        <f ca="1">SUM(BZ958*CA958)</f>
        <v>0</v>
      </c>
      <c r="BZ958" s="17">
        <f>SUM((BW958+BX958)*0.00833333333333333)</f>
        <v>0</v>
      </c>
      <c r="CA958" s="23">
        <f ca="1">MONTH(TODAY())+37</f>
        <v>41</v>
      </c>
      <c r="CB958" s="14">
        <f ca="1">SUM(BW958,BX958,BY958)</f>
        <v>0</v>
      </c>
      <c r="CC958" s="14">
        <f>SUM(DU958*0.0052)</f>
        <v>585.52</v>
      </c>
      <c r="CD958" s="14">
        <f>SUM(CC958*0.1)</f>
        <v>58.552</v>
      </c>
      <c r="CE958" s="14">
        <f ca="1">SUM(CF958*CG958)</f>
        <v>155.65073333333325</v>
      </c>
      <c r="CF958" s="17">
        <f>SUM((CC958+CD958)*0.00833333333333333)</f>
        <v>5.367266666666664</v>
      </c>
      <c r="CG958" s="23">
        <f ca="1">MONTH(TODAY())+25</f>
        <v>29</v>
      </c>
      <c r="CH958" s="14">
        <f ca="1">SUM(CC958,CD958,CE958)</f>
        <v>799.72273333333328</v>
      </c>
      <c r="CI958" s="14">
        <f>SUM(DU958*0.0052)</f>
        <v>585.52</v>
      </c>
      <c r="CJ958" s="14">
        <f>SUM(CI958*0.1)</f>
        <v>58.552</v>
      </c>
      <c r="CK958" s="14">
        <f ca="1">SUM(CL958*CM958)</f>
        <v>91.243533333333289</v>
      </c>
      <c r="CL958" s="17">
        <f>SUM((CI958+CJ958)*0.00833333333333333)</f>
        <v>5.367266666666664</v>
      </c>
      <c r="CM958" s="23">
        <f ca="1">MONTH(TODAY())+13</f>
        <v>17</v>
      </c>
      <c r="CN958" s="14">
        <f ca="1">SUM(CI958,CJ958,CK958)</f>
        <v>735.31553333333329</v>
      </c>
      <c r="CO958" s="14">
        <f>SUM(DU958*0.0052)/2</f>
        <v>292.76</v>
      </c>
      <c r="CP958" s="14">
        <f>SUM(CO958*0.1)</f>
        <v>29.276</v>
      </c>
      <c r="CQ958" s="14">
        <f ca="1">SUM(CR958*CS958)</f>
        <v>24.152699999999989</v>
      </c>
      <c r="CR958" s="17">
        <f>SUM((CO958+CP958)*0.00833333333333333)</f>
        <v>2.683633333333332</v>
      </c>
      <c r="CS958" s="23">
        <f ca="1">MONTH(TODAY())+5</f>
        <v>9</v>
      </c>
      <c r="CT958" s="23">
        <f ca="1">SUM(CO958,CP958,CQ958)</f>
        <v>346.18869999999998</v>
      </c>
      <c r="CU958" s="14">
        <f>SUM(DU958*0.0052)/2</f>
        <v>292.76</v>
      </c>
      <c r="CV958" s="14">
        <f>SUM(CU958*0.1)</f>
        <v>29.276</v>
      </c>
      <c r="CW958" s="14">
        <f ca="1">SUM(CX958*CY958)</f>
        <v>13.418166666666661</v>
      </c>
      <c r="CX958" s="17">
        <f>SUM((CU958+CV958)*0.00833333333333333)</f>
        <v>2.683633333333332</v>
      </c>
      <c r="CY958" s="23">
        <f ca="1">MONTH(TODAY())+1</f>
        <v>5</v>
      </c>
      <c r="CZ958" s="23">
        <f ca="1">SUM(CU958,CV958,CW958)</f>
        <v>335.45416666666665</v>
      </c>
      <c r="DA958" s="14">
        <f>SUM( BQ958, BW958, CC958, CI958, CO958,CU958)</f>
        <v>1756.56</v>
      </c>
      <c r="DB958" s="14">
        <f>SUM(BR958,BX958,CD958,CJ958, CP958,CV958)</f>
        <v>175.65600000000001</v>
      </c>
      <c r="DC958" s="14">
        <f ca="1">SUM(BS958,BY958,CE958,CK958, CQ958,CW958)</f>
        <v>284.4651333333332</v>
      </c>
      <c r="DD958" s="25">
        <f ca="1">SUM(DA958:DC958)</f>
        <v>2216.681133333333</v>
      </c>
      <c r="DE958" s="47">
        <f ca="1">SUM(DD958/DU958)</f>
        <v>1.968633333333333E-2</v>
      </c>
      <c r="DF958" s="14">
        <v>20</v>
      </c>
      <c r="DG958" s="32">
        <f>COUNTIF(DL958, "*")+COUNTIF(AO958, "*")+COUNTIF(AJ958, "*")+COUNTIF(AA958, "*")+COUNTIF(EM958, "*")+COUNTIF(ES958, "*")+COUNTIF(EY958, "*")+COUNTIF(FC958, "*")+COUNTIF(FJ958, "*")+COUNTIF(AT958, "*")+COUNTIF(FS958, "*")+COUNTIF(GD958, "*")+COUNTIF(GO958, "*")+COUNTIF(GW958, "*")+COUNTIF(HE958, "*")+COUNTIF(HM958, "*")+COUNTIF(HU958, "*")</f>
        <v>2</v>
      </c>
      <c r="DH958" s="14">
        <f>DG958*0.6</f>
        <v>1.2</v>
      </c>
      <c r="DI958" s="4"/>
      <c r="DJ958" s="4"/>
      <c r="DK958" s="4"/>
      <c r="DL958" s="4"/>
      <c r="DN958" s="4"/>
      <c r="DO958" s="14">
        <f>SUM(DJ958:DN958)</f>
        <v>0</v>
      </c>
      <c r="DP958" s="14">
        <f ca="1">SUM(DD958,DF958,DO958, DI958, DH958,FP958)</f>
        <v>2237.8811333333329</v>
      </c>
      <c r="DQ958" s="24" t="s">
        <v>3974</v>
      </c>
      <c r="DR958" s="7">
        <v>5.2</v>
      </c>
      <c r="DS958" s="4">
        <v>34700</v>
      </c>
      <c r="DT958" s="4">
        <v>77900</v>
      </c>
      <c r="DU958" s="14">
        <f>SUM(DS958+DT958)</f>
        <v>112600</v>
      </c>
      <c r="DV958" s="14">
        <v>40900</v>
      </c>
      <c r="DW958" s="14">
        <v>89800</v>
      </c>
      <c r="DX958" s="14">
        <f>SUM(DV958+DW958)</f>
        <v>130700</v>
      </c>
      <c r="IA958" s="9"/>
      <c r="IL958" s="14">
        <f ca="1">SUM(IB958-DP958-FP958-IJ958)</f>
        <v>-2237.8811333333329</v>
      </c>
      <c r="IM958" s="9"/>
      <c r="IN958" s="9"/>
      <c r="IO958" s="9"/>
      <c r="IP958" s="9"/>
      <c r="IQ958" s="9"/>
    </row>
    <row r="959" spans="1:265" ht="15" customHeight="1">
      <c r="A959" s="19">
        <v>102020013</v>
      </c>
      <c r="B959" s="18" t="s">
        <v>1572</v>
      </c>
      <c r="C959" s="18"/>
      <c r="D959" s="13"/>
      <c r="E959" s="18" t="s">
        <v>1892</v>
      </c>
      <c r="F959" s="18">
        <v>200003750</v>
      </c>
      <c r="G959" s="18"/>
      <c r="H959" s="18"/>
      <c r="I959" s="18"/>
      <c r="J959" s="18" t="s">
        <v>434</v>
      </c>
      <c r="K959" s="18" t="s">
        <v>982</v>
      </c>
      <c r="L959" s="18" t="s">
        <v>1573</v>
      </c>
      <c r="M959" s="18"/>
      <c r="N959" s="18"/>
      <c r="O959" s="18"/>
      <c r="P959" s="18" t="s">
        <v>1574</v>
      </c>
      <c r="Q959" s="18" t="s">
        <v>1575</v>
      </c>
      <c r="R959" s="18" t="s">
        <v>428</v>
      </c>
      <c r="S959" s="18" t="s">
        <v>341</v>
      </c>
      <c r="T959" s="18"/>
      <c r="U959" s="18"/>
      <c r="V959" s="18"/>
      <c r="W959" s="18"/>
      <c r="X959" s="18"/>
      <c r="Y959" s="18"/>
      <c r="Z959" s="18"/>
      <c r="AA959" s="18"/>
      <c r="AB959" s="18"/>
      <c r="AC959" s="18"/>
      <c r="AD959" s="18"/>
      <c r="AE959" s="18"/>
      <c r="AF959" s="18"/>
      <c r="AG959" s="231"/>
      <c r="AH959" s="18"/>
      <c r="AI959" s="18"/>
      <c r="AJ959" s="18" t="s">
        <v>328</v>
      </c>
      <c r="AK959" s="18"/>
      <c r="AL959" s="18" t="s">
        <v>600</v>
      </c>
      <c r="AM959" s="24"/>
      <c r="AN959" s="24"/>
      <c r="AO959" s="14" t="s">
        <v>1576</v>
      </c>
      <c r="AP959" s="13" t="s">
        <v>258</v>
      </c>
      <c r="AQ959" s="24" t="s">
        <v>600</v>
      </c>
      <c r="AR959" s="24" t="s">
        <v>260</v>
      </c>
      <c r="AS959" s="13"/>
      <c r="AT959" s="13"/>
      <c r="AU959" s="13"/>
      <c r="AV959" s="13"/>
      <c r="AW959" s="13"/>
      <c r="AX959" s="48"/>
      <c r="AY959" s="48"/>
      <c r="AZ959" s="48"/>
      <c r="BA959" s="48"/>
      <c r="BB959" s="19"/>
      <c r="BC959" s="48"/>
      <c r="BD959" s="48"/>
      <c r="BE959" s="48"/>
      <c r="BF959" s="19"/>
      <c r="BG959" s="20"/>
      <c r="BH959" s="22"/>
      <c r="BI959" s="22"/>
      <c r="BJ959" s="14"/>
      <c r="BK959" s="22"/>
      <c r="BL959" s="14"/>
      <c r="BM959" s="14"/>
      <c r="BN959" s="14"/>
      <c r="BO959" s="17"/>
      <c r="BP959" s="23"/>
      <c r="BQ959" s="14"/>
      <c r="BR959" s="14"/>
      <c r="BS959" s="14"/>
      <c r="BT959" s="14"/>
      <c r="BU959" s="17"/>
      <c r="BV959" s="23"/>
      <c r="BW959" s="14"/>
      <c r="BX959" s="14"/>
      <c r="BY959" s="14"/>
      <c r="BZ959" s="14"/>
      <c r="CA959" s="17"/>
      <c r="CB959" s="23"/>
      <c r="CC959" s="14"/>
      <c r="CD959" s="14"/>
      <c r="CE959" s="14"/>
      <c r="CF959" s="14"/>
      <c r="CG959" s="17"/>
      <c r="CH959" s="23"/>
      <c r="CI959" s="14"/>
      <c r="CJ959" s="14"/>
      <c r="CK959" s="14"/>
      <c r="CL959" s="14"/>
      <c r="CM959" s="17"/>
      <c r="CN959" s="23"/>
      <c r="CO959" s="14"/>
      <c r="CP959" s="14"/>
      <c r="CQ959" s="14"/>
      <c r="CR959" s="14"/>
      <c r="CS959" s="17"/>
      <c r="CT959" s="23"/>
      <c r="CU959" s="14"/>
      <c r="CV959" s="14"/>
      <c r="CW959" s="14"/>
      <c r="CX959" s="14"/>
      <c r="CY959" s="14"/>
      <c r="CZ959" s="14"/>
      <c r="DA959" s="47"/>
      <c r="DB959" s="14"/>
      <c r="DC959" s="32"/>
      <c r="DD959" s="14"/>
      <c r="DE959" s="14"/>
      <c r="DF959" s="14"/>
      <c r="DG959" s="14"/>
      <c r="DH959" s="14"/>
      <c r="DI959" s="14"/>
      <c r="DJ959" s="23"/>
      <c r="DK959" s="25">
        <v>905</v>
      </c>
      <c r="DL959" s="14">
        <f>SUM(DG959:DK959)</f>
        <v>905</v>
      </c>
      <c r="DM959" s="24"/>
      <c r="DN959" s="25">
        <v>23800</v>
      </c>
      <c r="DO959" s="25">
        <v>0</v>
      </c>
      <c r="DP959" s="25">
        <f>SUM(DN959+DO959)</f>
        <v>23800</v>
      </c>
      <c r="DQ959" s="36">
        <v>2.0760000000000001</v>
      </c>
      <c r="DR959" s="26" t="s">
        <v>1836</v>
      </c>
      <c r="DS959" s="18" t="s">
        <v>1837</v>
      </c>
      <c r="DT959" s="26" t="s">
        <v>1839</v>
      </c>
      <c r="DU959" s="18" t="s">
        <v>1838</v>
      </c>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t="s">
        <v>421</v>
      </c>
      <c r="FP959" s="18" t="s">
        <v>1840</v>
      </c>
      <c r="FQ959" s="18" t="s">
        <v>422</v>
      </c>
      <c r="FR959" s="18"/>
      <c r="FS959" s="18" t="s">
        <v>274</v>
      </c>
      <c r="FT959" s="18" t="s">
        <v>275</v>
      </c>
      <c r="FU959" s="27">
        <v>38950</v>
      </c>
      <c r="FV959" s="18" t="s">
        <v>1841</v>
      </c>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4"/>
      <c r="IK959" s="27"/>
      <c r="IZ959" s="18"/>
    </row>
    <row r="960" spans="1:265" ht="15" customHeight="1">
      <c r="A960" s="19">
        <v>102019036</v>
      </c>
      <c r="B960" s="14" t="s">
        <v>616</v>
      </c>
      <c r="C960" s="20"/>
      <c r="D960" s="13"/>
      <c r="E960" s="24"/>
      <c r="F960" s="24"/>
      <c r="G960" s="18"/>
      <c r="H960" s="18"/>
      <c r="I960" s="18"/>
      <c r="J960" s="18" t="s">
        <v>434</v>
      </c>
      <c r="K960" s="18" t="s">
        <v>617</v>
      </c>
      <c r="L960" s="18" t="s">
        <v>618</v>
      </c>
      <c r="M960" s="18" t="s">
        <v>357</v>
      </c>
      <c r="N960" s="18"/>
      <c r="O960" s="13"/>
      <c r="P960" s="18" t="s">
        <v>617</v>
      </c>
      <c r="Q960" s="18" t="s">
        <v>619</v>
      </c>
      <c r="R960" s="18" t="s">
        <v>326</v>
      </c>
      <c r="S960" s="18"/>
      <c r="T960" s="13"/>
      <c r="U960" s="18"/>
      <c r="V960" s="18"/>
      <c r="W960" s="18"/>
      <c r="X960" s="18"/>
      <c r="Y960" s="18"/>
      <c r="Z960" s="18"/>
      <c r="AA960" s="18"/>
      <c r="AB960" s="18"/>
      <c r="AC960" s="18"/>
      <c r="AD960" s="18" t="s">
        <v>1738</v>
      </c>
      <c r="AE960" s="18" t="s">
        <v>253</v>
      </c>
      <c r="AF960" s="18" t="s">
        <v>617</v>
      </c>
      <c r="AG960" s="26" t="s">
        <v>1521</v>
      </c>
      <c r="AH960" s="14" t="s">
        <v>1904</v>
      </c>
      <c r="AI960" s="18" t="s">
        <v>279</v>
      </c>
      <c r="AJ960" s="14" t="s">
        <v>620</v>
      </c>
      <c r="AK960" s="14" t="s">
        <v>258</v>
      </c>
      <c r="AL960" s="18" t="s">
        <v>600</v>
      </c>
      <c r="AM960" s="18" t="s">
        <v>260</v>
      </c>
      <c r="AN960" s="18"/>
      <c r="AO960" s="63" t="s">
        <v>621</v>
      </c>
      <c r="AP960" s="63" t="s">
        <v>258</v>
      </c>
      <c r="AQ960" s="18" t="s">
        <v>267</v>
      </c>
      <c r="AR960" s="18" t="s">
        <v>268</v>
      </c>
      <c r="AS960" s="20"/>
      <c r="AT960" s="13"/>
      <c r="AU960" s="13"/>
      <c r="AV960" s="13"/>
      <c r="AW960" s="48"/>
      <c r="AY960" s="114"/>
      <c r="AZ960" s="114"/>
      <c r="BA960" s="48"/>
      <c r="BB960" s="19"/>
      <c r="BC960" s="48"/>
      <c r="BD960" s="115">
        <v>45415</v>
      </c>
      <c r="BE960" s="144">
        <v>45434</v>
      </c>
      <c r="BF960" s="19"/>
      <c r="BG960" s="20"/>
      <c r="BH960" s="22"/>
      <c r="BI960" s="22"/>
      <c r="BJ960" s="14"/>
      <c r="BK960" s="22"/>
      <c r="BL960" s="20">
        <f ca="1">SUM(EN960)+220</f>
        <v>661.69733333333329</v>
      </c>
      <c r="BM960" s="22">
        <f ca="1">PMT(10%/12,12,BL960,0,0)</f>
        <v>-58.173708137731403</v>
      </c>
      <c r="BN960" s="22">
        <f ca="1">SUM(BM960*-1)</f>
        <v>58.173708137731403</v>
      </c>
      <c r="BO960" s="14">
        <f>SUM(EV960*0.0052)/12</f>
        <v>12.133333333333333</v>
      </c>
      <c r="BP960" s="22">
        <f ca="1">SUM(BN960+BO960)</f>
        <v>70.307041471064736</v>
      </c>
      <c r="BQ960" s="14"/>
      <c r="BR960" s="14">
        <f>SUM(BQ960*0.1)</f>
        <v>0</v>
      </c>
      <c r="BS960" s="14">
        <f ca="1">SUM(BT960*BU960)</f>
        <v>0</v>
      </c>
      <c r="BT960" s="17">
        <f>SUM((BQ960+BR960)*0.00833333333333333)</f>
        <v>0</v>
      </c>
      <c r="BU960" s="23">
        <f ca="1">MONTH(TODAY())+61</f>
        <v>65</v>
      </c>
      <c r="BV960" s="14">
        <f ca="1">SUM(BQ960,BR960,BS960)</f>
        <v>0</v>
      </c>
      <c r="BW960" s="14"/>
      <c r="BX960" s="14">
        <f>SUM(BW960*0.1)</f>
        <v>0</v>
      </c>
      <c r="BY960" s="14">
        <f ca="1">SUM(BZ960*CA960)</f>
        <v>0</v>
      </c>
      <c r="BZ960" s="17">
        <f>SUM((BW960+BX960)*0.00833333333333333)</f>
        <v>0</v>
      </c>
      <c r="CA960" s="23">
        <f ca="1">MONTH(TODAY())+49</f>
        <v>53</v>
      </c>
      <c r="CB960" s="14">
        <f ca="1">SUM(BW960,BX960,BY960)</f>
        <v>0</v>
      </c>
      <c r="CC960" s="14">
        <v>0</v>
      </c>
      <c r="CD960" s="14">
        <f>SUM(CC960*0.1)</f>
        <v>0</v>
      </c>
      <c r="CE960" s="14">
        <f ca="1">SUM(CF960*CG960)</f>
        <v>0</v>
      </c>
      <c r="CF960" s="17">
        <f>SUM((CC960+CD960)*0.00833333333333333)</f>
        <v>0</v>
      </c>
      <c r="CG960" s="23">
        <f ca="1">MONTH(TODAY())+37</f>
        <v>41</v>
      </c>
      <c r="CH960" s="14">
        <f ca="1">SUM(CC960,CD960,CE960)</f>
        <v>0</v>
      </c>
      <c r="CI960" s="14">
        <v>0</v>
      </c>
      <c r="CJ960" s="14">
        <f>SUM(CI960*0.1)</f>
        <v>0</v>
      </c>
      <c r="CK960" s="14">
        <f ca="1">SUM(CL960*CM960)</f>
        <v>0</v>
      </c>
      <c r="CL960" s="17">
        <f>SUM((CI960+CJ960)*0.00833333333333333)</f>
        <v>0</v>
      </c>
      <c r="CM960" s="23">
        <f ca="1">MONTH(TODAY())+25</f>
        <v>29</v>
      </c>
      <c r="CN960" s="14">
        <f ca="1">SUM(CI960,CJ960,CK960)</f>
        <v>0</v>
      </c>
      <c r="CO960" s="14">
        <f>SUM(ES960*0.0052)/2</f>
        <v>67.599999999999994</v>
      </c>
      <c r="CP960" s="14">
        <f>SUM(CO960*0.1)</f>
        <v>6.76</v>
      </c>
      <c r="CQ960" s="14">
        <f ca="1">SUM(CR960*CS960)</f>
        <v>13.012999999999995</v>
      </c>
      <c r="CR960" s="17">
        <f>SUM((CO960+CP960)*0.00833333333333333)</f>
        <v>0.61966666666666637</v>
      </c>
      <c r="CS960" s="23">
        <f ca="1">MONTH(TODAY())+17</f>
        <v>21</v>
      </c>
      <c r="CT960" s="23">
        <f ca="1">SUM(CO960,CP960,CQ960)</f>
        <v>87.37299999999999</v>
      </c>
      <c r="CU960" s="14">
        <f>SUM(ES960*0.0052)/2</f>
        <v>67.599999999999994</v>
      </c>
      <c r="CV960" s="14">
        <f>SUM(CU960*0.1)</f>
        <v>6.76</v>
      </c>
      <c r="CW960" s="14">
        <f ca="1">SUM(CX960*CY960)</f>
        <v>10.534333333333329</v>
      </c>
      <c r="CX960" s="17">
        <f>SUM((CU960+CV960)*0.00833333333333333)</f>
        <v>0.61966666666666637</v>
      </c>
      <c r="CY960" s="23">
        <f ca="1">MONTH(TODAY())+13</f>
        <v>17</v>
      </c>
      <c r="CZ960" s="23">
        <f ca="1">SUM(CU960,CV960,CW960)</f>
        <v>84.894333333333321</v>
      </c>
      <c r="DA960" s="14">
        <f>SUM(EV960*0.0045)/2</f>
        <v>62.999999999999993</v>
      </c>
      <c r="DB960" s="14">
        <f>SUM(DA960*0.1)</f>
        <v>6.3</v>
      </c>
      <c r="DC960" s="14">
        <f ca="1">SUM(DD960*DE960)</f>
        <v>6.3524999999999965</v>
      </c>
      <c r="DD960" s="17">
        <f>SUM((DA960+DB960)*0.00833333333333333)</f>
        <v>0.57749999999999968</v>
      </c>
      <c r="DE960" s="23">
        <f ca="1">MONTH(TODAY())+7</f>
        <v>11</v>
      </c>
      <c r="DF960" s="23">
        <f ca="1">SUM(DA960,DB960,DC960)</f>
        <v>75.652499999999989</v>
      </c>
      <c r="DG960" s="14">
        <f>SUM(EV960*0.0045)/2</f>
        <v>62.999999999999993</v>
      </c>
      <c r="DH960" s="14">
        <f>SUM(DG960*0.1)</f>
        <v>6.3</v>
      </c>
      <c r="DI960" s="14">
        <f ca="1">SUM(DJ960*DK960)</f>
        <v>2.8874999999999984</v>
      </c>
      <c r="DJ960" s="17">
        <f>SUM((DG960+DH960)*0.00833333333333333)</f>
        <v>0.57749999999999968</v>
      </c>
      <c r="DK960" s="23">
        <f ca="1">MONTH(TODAY())+1</f>
        <v>5</v>
      </c>
      <c r="DL960" s="14">
        <f ca="1">SUM(DG960,DH960,DI960)</f>
        <v>72.1875</v>
      </c>
      <c r="DM960" s="14">
        <f>SUM(EV960*0.0045)/2</f>
        <v>62.999999999999993</v>
      </c>
      <c r="DN960" s="14">
        <f>0</f>
        <v>0</v>
      </c>
      <c r="DO960" s="14">
        <f>0</f>
        <v>0</v>
      </c>
      <c r="DP960" s="17">
        <f>SUM((DM960+DN960)*0.00833333333333333)</f>
        <v>0.52499999999999969</v>
      </c>
      <c r="DQ960" s="23">
        <f ca="1">MONTH(TODAY())+7</f>
        <v>11</v>
      </c>
      <c r="DR960" s="23">
        <f>SUM(DM960,DN960,DO960)</f>
        <v>62.999999999999993</v>
      </c>
      <c r="DS960" s="14">
        <f>0</f>
        <v>0</v>
      </c>
      <c r="DT960" s="14">
        <f>0</f>
        <v>0</v>
      </c>
      <c r="DU960" s="14">
        <f ca="1">SUM(DV960*DW960)</f>
        <v>0</v>
      </c>
      <c r="DV960" s="17">
        <f>SUM((DS960+DT960)*0.00833333333333333)</f>
        <v>0</v>
      </c>
      <c r="DW960" s="23">
        <f ca="1">MONTH(TODAY())+1</f>
        <v>5</v>
      </c>
      <c r="DX960" s="14">
        <f ca="1">SUM(DS960,DT960,DU960)</f>
        <v>0</v>
      </c>
      <c r="DY960" s="14">
        <f>SUM( BQ960, BW960, CC960, CI960, CO960,CU960,DA960,DG960,DM960,DS960)</f>
        <v>324.2</v>
      </c>
      <c r="DZ960" s="14">
        <f>SUM(BR960,BX960,CD960,CJ960, CP960,CV960,DB960,DH960,DN960,DT960)</f>
        <v>26.12</v>
      </c>
      <c r="EA960" s="14">
        <f ca="1">SUM(BS960,BY960,CE960,CK960, CQ960,CW960,DC960,DI960,DO960,DU960)</f>
        <v>32.787333333333315</v>
      </c>
      <c r="EB960" s="25">
        <f ca="1">SUM(DY960:EA960)</f>
        <v>383.10733333333332</v>
      </c>
      <c r="EC960" s="47">
        <f ca="1">SUM(EB960/ES960)</f>
        <v>1.4734897435897435E-2</v>
      </c>
      <c r="ED960" s="14">
        <f>20+10</f>
        <v>30</v>
      </c>
      <c r="EE960" s="32">
        <f>COUNTIF(AO960, "*")+COUNTIF(AJ960, "*")+COUNTIF(AA960, "*")+COUNTIF(FG960, "*")+COUNTIF(FM960, "*")+COUNTIF(FS960, "*")+COUNTIF(FW960, "*")+COUNTIF(GD960, "*")+COUNTIF(AS960, "*")+COUNTIF(GM960, "*")+COUNTIF(GY960, "*")+COUNTIF(HJ960, "*")+COUNTIF(HR960, "*")+COUNTIF(HZ960, "*")+COUNTIF(IH960, "*")</f>
        <v>3</v>
      </c>
      <c r="EF960" s="14">
        <f>EE960*0.64</f>
        <v>1.92</v>
      </c>
      <c r="EG960" s="4"/>
      <c r="EH960" s="4">
        <v>26.67</v>
      </c>
      <c r="EM960" s="14">
        <f>SUM(EH960:EL960)</f>
        <v>26.67</v>
      </c>
      <c r="EN960" s="14">
        <f ca="1">SUM(EB960,ED960,EM960, EG960, EF960,GJ960)</f>
        <v>441.69733333333335</v>
      </c>
      <c r="EO960" s="24" t="s">
        <v>4935</v>
      </c>
      <c r="EP960" s="7">
        <v>1</v>
      </c>
      <c r="EQ960" s="4">
        <v>20000</v>
      </c>
      <c r="ER960" s="4">
        <v>6000</v>
      </c>
      <c r="ES960" s="14">
        <f>SUM(EQ960+ER960)</f>
        <v>26000</v>
      </c>
      <c r="ET960" s="4">
        <v>22000</v>
      </c>
      <c r="EU960" s="4">
        <v>6000</v>
      </c>
      <c r="EV960" s="14">
        <f>SUM(ET960+EU960)</f>
        <v>28000</v>
      </c>
      <c r="EW960" s="18" t="s">
        <v>622</v>
      </c>
      <c r="EX960" s="18" t="s">
        <v>623</v>
      </c>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27"/>
      <c r="GF960" s="18"/>
      <c r="GG960" s="18"/>
      <c r="GH960" s="18"/>
      <c r="GI960" s="18"/>
      <c r="GJ960" s="18"/>
      <c r="GK960" s="18"/>
      <c r="GL960" s="18"/>
      <c r="GM960" s="18"/>
      <c r="GN960" s="18"/>
      <c r="GO960" s="18"/>
      <c r="GP960" s="18"/>
      <c r="GQ960" s="18"/>
      <c r="GR960" s="18"/>
      <c r="GS960" s="18"/>
      <c r="GT960" s="14"/>
      <c r="GU960" s="18" t="s">
        <v>624</v>
      </c>
      <c r="GV960" s="18" t="s">
        <v>625</v>
      </c>
      <c r="GW960" s="18" t="s">
        <v>626</v>
      </c>
      <c r="GX960" s="18"/>
      <c r="GY960" s="18" t="s">
        <v>627</v>
      </c>
      <c r="GZ960" s="18" t="s">
        <v>260</v>
      </c>
      <c r="HA960" s="27">
        <v>39204</v>
      </c>
      <c r="HB960" s="18" t="s">
        <v>1903</v>
      </c>
      <c r="HC960" s="18"/>
      <c r="HD960" s="18"/>
      <c r="HE960" s="18"/>
      <c r="HF960" s="18"/>
      <c r="HG960" s="18"/>
      <c r="HH960" s="18"/>
      <c r="HI960" s="28"/>
      <c r="HJ960" s="18"/>
      <c r="HK960" s="18"/>
      <c r="HL960" s="18"/>
      <c r="HM960" s="18"/>
      <c r="HN960" s="18"/>
      <c r="HO960" s="18"/>
      <c r="HP960" s="18"/>
      <c r="HQ960" s="18"/>
      <c r="HR960" s="18"/>
      <c r="HS960" s="18"/>
      <c r="HT960" s="18"/>
      <c r="HU960" s="18"/>
      <c r="HV960" s="18"/>
      <c r="HW960" s="18"/>
      <c r="HX960" s="27"/>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row>
    <row r="961" spans="1:263" ht="15" customHeight="1">
      <c r="A961" s="2">
        <v>102017060</v>
      </c>
      <c r="B961" t="s">
        <v>952</v>
      </c>
      <c r="F961" s="2"/>
      <c r="G961">
        <v>180000747</v>
      </c>
      <c r="J961" t="s">
        <v>305</v>
      </c>
      <c r="K961" t="s">
        <v>941</v>
      </c>
      <c r="L961" t="s">
        <v>953</v>
      </c>
      <c r="M961" t="s">
        <v>256</v>
      </c>
      <c r="O961" s="1"/>
      <c r="P961" t="s">
        <v>941</v>
      </c>
      <c r="Q961" t="s">
        <v>954</v>
      </c>
      <c r="R961" t="s">
        <v>469</v>
      </c>
      <c r="T961" s="1"/>
      <c r="AD961" s="1"/>
      <c r="AF961" s="3"/>
      <c r="AH961" s="3"/>
      <c r="AJ961" s="4"/>
      <c r="AK961" s="4"/>
      <c r="AL961" s="14"/>
      <c r="AM961" s="34"/>
      <c r="AO961" s="4"/>
      <c r="AP961" s="13"/>
      <c r="AQ961" s="34"/>
      <c r="AR961" s="34"/>
      <c r="AS961" s="5"/>
      <c r="AT961" s="13"/>
      <c r="AU961" s="1"/>
      <c r="AV961" s="1"/>
      <c r="AW961" s="1"/>
      <c r="AX961" s="1"/>
      <c r="AY961" s="1"/>
      <c r="AZ961" s="1"/>
      <c r="BA961" s="1"/>
      <c r="BB961" s="1"/>
      <c r="BC961" s="1"/>
      <c r="BD961" s="1"/>
      <c r="BE961" s="5"/>
      <c r="BF961" s="16"/>
      <c r="BG961" s="16"/>
      <c r="BI961" s="4"/>
      <c r="BJ961" s="4"/>
      <c r="BK961" s="6"/>
      <c r="BL961" s="7"/>
      <c r="BM961" s="4"/>
      <c r="BO961" s="4"/>
      <c r="BP961" s="4"/>
      <c r="BQ961" s="6"/>
      <c r="BR961" s="7"/>
      <c r="BS961" s="4"/>
      <c r="BT961" s="4"/>
      <c r="BU961" s="4"/>
      <c r="BV961" s="4"/>
      <c r="BW961" s="6"/>
      <c r="BX961" s="7"/>
      <c r="BY961" s="4"/>
      <c r="CA961" s="4"/>
      <c r="CB961" s="4"/>
      <c r="CC961" s="6"/>
      <c r="CD961" s="7"/>
      <c r="CE961" s="4"/>
      <c r="CF961" s="4"/>
      <c r="CG961" s="4"/>
      <c r="CH961" s="4"/>
      <c r="CI961" s="6"/>
      <c r="CJ961" s="7"/>
      <c r="CK961" s="4"/>
      <c r="CL961" s="4"/>
      <c r="CM961" s="4"/>
      <c r="CN961" s="4"/>
      <c r="CO961" s="6"/>
      <c r="CP961" s="7"/>
      <c r="CQ961" s="4"/>
      <c r="CR961" s="4"/>
      <c r="CS961" s="4"/>
      <c r="CT961" s="4"/>
      <c r="CU961" s="6"/>
      <c r="CV961" s="7"/>
      <c r="CW961" s="4"/>
      <c r="CX961" s="4"/>
      <c r="CY961" s="4"/>
      <c r="CZ961" s="4"/>
      <c r="DA961" s="6"/>
      <c r="DB961" s="7"/>
      <c r="DC961" s="4"/>
      <c r="DD961" s="4"/>
      <c r="DE961" s="4"/>
      <c r="DF961" s="4"/>
      <c r="DG961" s="6"/>
      <c r="DH961" s="7"/>
      <c r="DI961" s="4"/>
      <c r="DJ961" s="4"/>
      <c r="DK961" s="4"/>
      <c r="DL961" s="4"/>
      <c r="DM961" s="4"/>
      <c r="DN961" s="3"/>
      <c r="DO961" s="4"/>
      <c r="DP961" s="4"/>
      <c r="DQ961" s="4"/>
      <c r="DR961" s="4"/>
      <c r="DS961" s="4"/>
      <c r="DT961" s="4"/>
      <c r="DU961" s="4"/>
      <c r="DV961" s="4"/>
      <c r="DW961" s="4"/>
      <c r="DX961" s="4"/>
      <c r="DY961" s="4"/>
      <c r="DZ961" s="4"/>
      <c r="EA961" s="4"/>
      <c r="EB961" s="4"/>
      <c r="EC961" s="4"/>
      <c r="ED961" s="4"/>
      <c r="EE961" s="4"/>
      <c r="EF961" s="4"/>
      <c r="EG961" s="4"/>
      <c r="FN961" s="9"/>
      <c r="FO961" s="10"/>
      <c r="FU961" s="9"/>
      <c r="FV961" s="10"/>
      <c r="FW961" s="18"/>
      <c r="FX961" s="18"/>
      <c r="FY961" s="18"/>
      <c r="FZ961" s="18"/>
      <c r="GA961" s="18"/>
      <c r="GE961" s="18"/>
      <c r="GH961" s="9"/>
    </row>
    <row r="962" spans="1:263" ht="15" customHeight="1">
      <c r="A962" s="19">
        <v>102023069</v>
      </c>
      <c r="B962" s="18" t="s">
        <v>4176</v>
      </c>
      <c r="D962" s="1"/>
      <c r="E962" s="3"/>
      <c r="F962" s="3"/>
      <c r="J962" s="18" t="s">
        <v>554</v>
      </c>
      <c r="K962" s="18" t="s">
        <v>4175</v>
      </c>
      <c r="L962" s="18" t="s">
        <v>681</v>
      </c>
      <c r="M962" s="18" t="s">
        <v>537</v>
      </c>
      <c r="N962" s="18"/>
      <c r="O962" s="24"/>
      <c r="P962" s="18" t="s">
        <v>4175</v>
      </c>
      <c r="Q962" s="18" t="s">
        <v>4174</v>
      </c>
      <c r="R962" s="18" t="s">
        <v>403</v>
      </c>
      <c r="S962" s="18"/>
      <c r="AG962" s="43"/>
      <c r="AJ962" s="18" t="s">
        <v>328</v>
      </c>
      <c r="AK962" s="18"/>
      <c r="AL962" s="18" t="s">
        <v>279</v>
      </c>
      <c r="AM962" s="18"/>
      <c r="AN962" s="18"/>
      <c r="AO962" s="18" t="s">
        <v>4173</v>
      </c>
      <c r="AP962" s="18" t="s">
        <v>258</v>
      </c>
      <c r="AQ962" s="18" t="s">
        <v>4172</v>
      </c>
      <c r="AR962" s="18"/>
      <c r="AX962" s="1"/>
      <c r="AY962" s="1"/>
      <c r="AZ962" s="1"/>
      <c r="BA962" s="1"/>
      <c r="BB962" s="1"/>
      <c r="BC962" s="2"/>
      <c r="BD962" s="116"/>
      <c r="BE962" s="115"/>
      <c r="BF962" s="2"/>
      <c r="BG962" s="2"/>
      <c r="BH962" s="2"/>
      <c r="BI962" s="2"/>
      <c r="BJ962" s="2"/>
      <c r="BK962" s="2"/>
      <c r="BL962" s="20">
        <f ca="1">SUM(EB962)+220</f>
        <v>580.04840000000002</v>
      </c>
      <c r="BM962" s="22">
        <f ca="1">PMT(10%/12,12,BL962,0,0)</f>
        <v>-50.995469722347501</v>
      </c>
      <c r="BN962" s="22">
        <f ca="1">SUM(BM962*-1)</f>
        <v>50.995469722347501</v>
      </c>
      <c r="BO962" s="14">
        <f>SUM(EJ962*0.0052)/12</f>
        <v>10.486666666666666</v>
      </c>
      <c r="BP962" s="22">
        <f ca="1">SUM(BN962+BO962)</f>
        <v>61.482136389014165</v>
      </c>
      <c r="BQ962" s="14"/>
      <c r="BR962" s="14">
        <f>SUM(BQ962*0.1)</f>
        <v>0</v>
      </c>
      <c r="BS962" s="14">
        <f ca="1">SUM(BT962*BU962)</f>
        <v>0</v>
      </c>
      <c r="BT962" s="17">
        <f>SUM((BQ962+BR962)*0.00833333333333333)</f>
        <v>0</v>
      </c>
      <c r="BU962" s="23">
        <f ca="1">MONTH(TODAY())+49</f>
        <v>53</v>
      </c>
      <c r="BV962" s="14">
        <f ca="1">SUM(BQ962,BR962,BS962)</f>
        <v>0</v>
      </c>
      <c r="BW962" s="14"/>
      <c r="BX962" s="14">
        <f>SUM(BW962*0.1)</f>
        <v>0</v>
      </c>
      <c r="BY962" s="14">
        <f ca="1">SUM(BZ962*CA962)</f>
        <v>0</v>
      </c>
      <c r="BZ962" s="17">
        <f>SUM((BW962+BX962)*0.00833333333333333)</f>
        <v>0</v>
      </c>
      <c r="CA962" s="23">
        <f ca="1">MONTH(TODAY())+37</f>
        <v>41</v>
      </c>
      <c r="CB962" s="14">
        <f ca="1">SUM(BW962,BX962,BY962)</f>
        <v>0</v>
      </c>
      <c r="CC962" s="14">
        <v>0</v>
      </c>
      <c r="CD962" s="14">
        <f>SUM(CC962*0.1)</f>
        <v>0</v>
      </c>
      <c r="CE962" s="14">
        <f ca="1">SUM(CF962*CG962)</f>
        <v>0</v>
      </c>
      <c r="CF962" s="17">
        <f>SUM((CC962+CD962)*0.00833333333333333)</f>
        <v>0</v>
      </c>
      <c r="CG962" s="23">
        <f ca="1">MONTH(TODAY())+25</f>
        <v>29</v>
      </c>
      <c r="CH962" s="14">
        <f ca="1">SUM(CC962,CD962,CE962)</f>
        <v>0</v>
      </c>
      <c r="CI962" s="14">
        <f>SUM(EG962*0.0052)</f>
        <v>117.52</v>
      </c>
      <c r="CJ962" s="14">
        <f>SUM(CI962*0.1)</f>
        <v>11.752000000000001</v>
      </c>
      <c r="CK962" s="14">
        <f ca="1">SUM(CL962*CM962)</f>
        <v>18.313533333333325</v>
      </c>
      <c r="CL962" s="17">
        <f>SUM((CI962+CJ962)*0.00833333333333333)</f>
        <v>1.0772666666666662</v>
      </c>
      <c r="CM962" s="23">
        <f ca="1">MONTH(TODAY())+13</f>
        <v>17</v>
      </c>
      <c r="CN962" s="14">
        <f ca="1">SUM(CI962,CJ962,CK962)</f>
        <v>147.58553333333333</v>
      </c>
      <c r="CO962" s="14">
        <f>SUM(EG962*0.0052)/2</f>
        <v>58.76</v>
      </c>
      <c r="CP962" s="14">
        <f>SUM(CO962*0.1)</f>
        <v>5.8760000000000003</v>
      </c>
      <c r="CQ962" s="14">
        <f ca="1">SUM(CR962*CS962)</f>
        <v>4.8476999999999979</v>
      </c>
      <c r="CR962" s="17">
        <f>SUM((CO962+CP962)*0.00833333333333333)</f>
        <v>0.53863333333333308</v>
      </c>
      <c r="CS962" s="23">
        <f ca="1">MONTH(TODAY())+5</f>
        <v>9</v>
      </c>
      <c r="CT962" s="23">
        <f ca="1">SUM(CO962,CP962,CQ962)</f>
        <v>69.483699999999999</v>
      </c>
      <c r="CU962" s="14">
        <f>SUM(EG962*0.0052)/2</f>
        <v>58.76</v>
      </c>
      <c r="CV962" s="14">
        <f>SUM(CU962*0.1)</f>
        <v>5.8760000000000003</v>
      </c>
      <c r="CW962" s="14">
        <f ca="1">SUM(CX962*CY962)</f>
        <v>2.6931666666666656</v>
      </c>
      <c r="CX962" s="17">
        <f>SUM((CU962+CV962)*0.00833333333333333)</f>
        <v>0.53863333333333308</v>
      </c>
      <c r="CY962" s="23">
        <f ca="1">MONTH(TODAY())+1</f>
        <v>5</v>
      </c>
      <c r="CZ962" s="23">
        <f ca="1">SUM(CU962,CV962,CW962)</f>
        <v>67.329166666666666</v>
      </c>
      <c r="DA962" s="14">
        <f>SUM(EJ962*0.0045)/2</f>
        <v>54.449999999999996</v>
      </c>
      <c r="DB962" s="14">
        <v>0</v>
      </c>
      <c r="DC962" s="14">
        <v>0</v>
      </c>
      <c r="DD962" s="17">
        <f>SUM((DA962+DB962)*0.00833333333333333)</f>
        <v>0.45374999999999976</v>
      </c>
      <c r="DE962" s="23">
        <f ca="1">MONTH(TODAY())-5</f>
        <v>-1</v>
      </c>
      <c r="DF962" s="23">
        <f>SUM(DA962,DB962,DC962)</f>
        <v>54.449999999999996</v>
      </c>
      <c r="DG962" s="14">
        <v>0</v>
      </c>
      <c r="DH962" s="14">
        <v>0</v>
      </c>
      <c r="DI962" s="14">
        <v>0</v>
      </c>
      <c r="DJ962" s="17">
        <f>SUM((DG962+DH962)*0.00833333333333333)</f>
        <v>0</v>
      </c>
      <c r="DK962" s="23">
        <f ca="1">MONTH(TODAY())+1</f>
        <v>5</v>
      </c>
      <c r="DL962" s="23">
        <f>SUM(DG962,DH962,DI962)</f>
        <v>0</v>
      </c>
      <c r="DM962" s="14">
        <f>SUM( BQ962, BW962, CC962, CI962, CO962,CU962,DA962,DG962)</f>
        <v>289.49</v>
      </c>
      <c r="DN962" s="14">
        <f>SUM(BR962,BX962,CD962,CJ962, CP962,CV962,DB962,DH962)</f>
        <v>23.504000000000001</v>
      </c>
      <c r="DO962" s="14">
        <f ca="1">SUM(BS962,BY962,CE962,CK962, CQ962,CW962,DC962,DI962)</f>
        <v>25.854399999999988</v>
      </c>
      <c r="DP962" s="25">
        <f ca="1">SUM(DM962:DO962)</f>
        <v>338.84840000000003</v>
      </c>
      <c r="DQ962" s="47">
        <f ca="1">SUM(DP962/EG962)</f>
        <v>1.4993292035398231E-2</v>
      </c>
      <c r="DR962" s="14">
        <v>20</v>
      </c>
      <c r="DS962" s="32">
        <f>COUNTIF(DX962, "*")+COUNTIF(AO962, "*")+COUNTIF(AJ962, "*")+COUNTIF(AA962, "*")+COUNTIF(EY962, "*")+COUNTIF(FE962, "*")+COUNTIF(FK962, "*")+COUNTIF(FO962, "*")+COUNTIF(FV962, "*")+COUNTIF(AT962, "*")+COUNTIF(GE962, "*")+COUNTIF(GP962, "*")+COUNTIF(HA962, "*")+COUNTIF(HI962, "*")+COUNTIF(HQ962, "*")+COUNTIF(HY962, "*")+COUNTIF(IG962, "*")</f>
        <v>2</v>
      </c>
      <c r="DT962" s="14">
        <f>DS962*0.6</f>
        <v>1.2</v>
      </c>
      <c r="DU962" s="4"/>
      <c r="DV962" s="4"/>
      <c r="DW962" s="4"/>
      <c r="DX962" s="4"/>
      <c r="DZ962" s="4"/>
      <c r="EA962" s="14">
        <f>SUM(DV962:DZ962)</f>
        <v>0</v>
      </c>
      <c r="EB962" s="14">
        <f ca="1">SUM(DP962,DR962,EA962, DU962, DT962,GB962)</f>
        <v>360.04840000000002</v>
      </c>
      <c r="EC962" s="24" t="s">
        <v>3879</v>
      </c>
      <c r="ED962" s="130">
        <v>3</v>
      </c>
      <c r="EE962" s="14">
        <v>21600</v>
      </c>
      <c r="EF962" s="14">
        <v>1000</v>
      </c>
      <c r="EG962" s="14">
        <v>22600</v>
      </c>
      <c r="EH962" s="14">
        <v>23200</v>
      </c>
      <c r="EI962" s="14">
        <v>1000</v>
      </c>
      <c r="EJ962" s="14">
        <f>SUM(EH962+EI962)</f>
        <v>24200</v>
      </c>
      <c r="IM962" s="9"/>
      <c r="IX962" s="14">
        <f ca="1">SUM(IN962-EB962-GB962-IV962)</f>
        <v>-360.04840000000002</v>
      </c>
      <c r="IY962" s="9"/>
      <c r="IZ962" s="9"/>
      <c r="JA962" s="9"/>
      <c r="JB962" s="9"/>
      <c r="JC962" s="9"/>
    </row>
    <row r="963" spans="1:263" ht="15" customHeight="1">
      <c r="A963" s="2">
        <v>102018092</v>
      </c>
      <c r="B963" s="4" t="s">
        <v>1277</v>
      </c>
      <c r="C963" s="4"/>
      <c r="D963" s="3"/>
      <c r="E963" s="3"/>
      <c r="F963" s="3"/>
      <c r="G963" s="3"/>
      <c r="H963" s="3"/>
      <c r="J963" t="s">
        <v>305</v>
      </c>
      <c r="K963" t="s">
        <v>1278</v>
      </c>
      <c r="L963" t="s">
        <v>574</v>
      </c>
      <c r="O963" s="1"/>
      <c r="P963" t="s">
        <v>1278</v>
      </c>
      <c r="Q963" t="s">
        <v>1279</v>
      </c>
      <c r="T963" s="1"/>
      <c r="AJ963" s="4"/>
      <c r="AK963" s="4"/>
      <c r="AO963" s="4"/>
      <c r="AP963" s="5"/>
      <c r="AS963" s="5"/>
      <c r="AT963" s="5"/>
      <c r="AU963" s="1"/>
      <c r="AV963" s="1"/>
      <c r="AW963" s="1"/>
      <c r="AX963" s="1"/>
      <c r="AY963" s="1"/>
      <c r="AZ963" s="1"/>
      <c r="BA963" s="1"/>
      <c r="BB963" s="1"/>
      <c r="BC963" s="1"/>
      <c r="BD963" s="1"/>
      <c r="BE963" s="1"/>
      <c r="BF963" s="1"/>
      <c r="BG963" s="5"/>
      <c r="BH963" s="16"/>
      <c r="BI963" s="16"/>
      <c r="BK963" s="4"/>
      <c r="BL963" s="4"/>
      <c r="BM963" s="6"/>
      <c r="BN963" s="7"/>
      <c r="BO963" s="4"/>
      <c r="BP963" s="4"/>
      <c r="BQ963" s="4"/>
      <c r="BR963" s="4"/>
      <c r="BS963" s="6"/>
      <c r="BT963" s="7"/>
      <c r="BU963" s="4"/>
      <c r="BV963" s="4"/>
      <c r="BW963" s="4"/>
      <c r="BX963" s="4"/>
      <c r="BY963" s="6"/>
      <c r="BZ963" s="7"/>
      <c r="CA963" s="4"/>
      <c r="CB963" s="4"/>
      <c r="CC963" s="4"/>
      <c r="CD963" s="4"/>
      <c r="CE963" s="6"/>
      <c r="CF963" s="7"/>
      <c r="CG963" s="4"/>
      <c r="CH963" s="4"/>
      <c r="CI963" s="4"/>
      <c r="CJ963" s="4"/>
      <c r="CK963" s="6"/>
      <c r="CL963" s="7"/>
      <c r="CM963" s="4"/>
      <c r="CN963" s="4"/>
      <c r="CO963" s="4"/>
      <c r="CP963" s="4"/>
      <c r="CQ963" s="6"/>
      <c r="CR963" s="7"/>
      <c r="CS963" s="4"/>
      <c r="CT963" s="4"/>
      <c r="CU963" s="4"/>
      <c r="CV963" s="4"/>
      <c r="CW963" s="6"/>
      <c r="CX963" s="7"/>
      <c r="CY963" s="4"/>
      <c r="CZ963" s="4"/>
      <c r="DA963" s="4"/>
      <c r="DB963" s="4"/>
      <c r="DC963" s="6"/>
      <c r="DD963" s="7"/>
      <c r="DE963" s="4"/>
      <c r="DF963" s="4"/>
      <c r="DG963" s="14"/>
      <c r="DH963" s="14"/>
      <c r="DI963" s="4"/>
      <c r="DJ963" s="3"/>
      <c r="DK963" s="4"/>
      <c r="DL963" s="234"/>
      <c r="DM963" s="4"/>
      <c r="DN963" s="4"/>
      <c r="DO963" s="4"/>
      <c r="DP963" s="4"/>
      <c r="DQ963" s="4"/>
      <c r="DR963" s="4"/>
      <c r="DS963" s="7"/>
      <c r="DT963" s="8"/>
      <c r="DU963" s="4"/>
      <c r="DV963" s="8"/>
      <c r="DW963" s="4"/>
      <c r="DX963" s="4"/>
      <c r="EG963" s="11"/>
      <c r="EM963" s="11"/>
      <c r="EN963" s="11"/>
      <c r="EO963" s="4"/>
      <c r="EP963" s="4"/>
      <c r="EQ963" s="4"/>
      <c r="ER963" s="4"/>
      <c r="ES963" s="4"/>
      <c r="ET963" s="4"/>
      <c r="EU963" s="4"/>
      <c r="EV963" s="4"/>
      <c r="EW963" s="4"/>
      <c r="EX963" s="4"/>
      <c r="EY963" s="4"/>
      <c r="EZ963" s="4"/>
      <c r="FA963" s="4"/>
      <c r="FB963" s="4"/>
      <c r="FC963" s="4"/>
      <c r="FG963" s="9"/>
      <c r="FP963" s="9"/>
      <c r="FZ963" s="10"/>
      <c r="GJ963" s="10"/>
      <c r="GY963" s="9"/>
      <c r="IK963" s="4"/>
      <c r="IL963" s="18"/>
      <c r="IM963" s="18"/>
      <c r="IN963" s="14"/>
      <c r="IO963" s="14"/>
      <c r="IP963" s="27">
        <v>43549</v>
      </c>
      <c r="IQ963" s="27">
        <v>43565</v>
      </c>
      <c r="IR963" s="18"/>
      <c r="IS963" s="18"/>
      <c r="IT963" s="18"/>
    </row>
    <row r="964" spans="1:263" ht="15" customHeight="1">
      <c r="A964" s="2">
        <v>102018028</v>
      </c>
      <c r="B964" s="4" t="s">
        <v>1133</v>
      </c>
      <c r="J964" t="s">
        <v>305</v>
      </c>
      <c r="K964" t="s">
        <v>1125</v>
      </c>
      <c r="L964" t="s">
        <v>1126</v>
      </c>
      <c r="M964" t="s">
        <v>537</v>
      </c>
      <c r="O964" s="1"/>
      <c r="P964" t="s">
        <v>1125</v>
      </c>
      <c r="Q964" t="s">
        <v>1106</v>
      </c>
      <c r="R964" t="s">
        <v>403</v>
      </c>
      <c r="T964" s="1"/>
      <c r="AJ964" s="4"/>
      <c r="AK964" s="4"/>
      <c r="AO964" s="4"/>
      <c r="AP964" s="5"/>
      <c r="AQ964" s="34"/>
      <c r="AS964" s="1"/>
      <c r="AT964" s="1"/>
      <c r="AU964" s="29"/>
      <c r="AV964" s="1"/>
      <c r="AW964" s="1"/>
      <c r="AX964" s="1"/>
      <c r="AY964" s="1"/>
      <c r="AZ964" s="1"/>
      <c r="BA964" s="1"/>
      <c r="BB964" s="1"/>
      <c r="BC964" s="1"/>
      <c r="BD964" s="1"/>
      <c r="BE964" s="1"/>
      <c r="BF964" s="1"/>
      <c r="BG964" s="5"/>
      <c r="BH964" s="16"/>
      <c r="BI964" s="16"/>
      <c r="BK964" s="4"/>
      <c r="BL964" s="4"/>
      <c r="BM964" s="6"/>
      <c r="BN964" s="7"/>
      <c r="BO964" s="4"/>
      <c r="BQ964" s="4"/>
      <c r="BR964" s="4"/>
      <c r="BS964" s="6"/>
      <c r="BT964" s="7"/>
      <c r="BU964" s="4"/>
      <c r="BW964" s="4"/>
      <c r="BX964" s="4"/>
      <c r="BY964" s="6"/>
      <c r="BZ964" s="7"/>
      <c r="CA964" s="4"/>
      <c r="CB964" s="6"/>
      <c r="CC964" s="4"/>
      <c r="CD964" s="4"/>
      <c r="CE964" s="6"/>
      <c r="CF964" s="7"/>
      <c r="CG964" s="4"/>
      <c r="CH964" s="6"/>
      <c r="CI964" s="4"/>
      <c r="CJ964" s="4"/>
      <c r="CK964" s="6"/>
      <c r="CL964" s="7"/>
      <c r="CM964" s="4"/>
      <c r="CN964" s="4"/>
      <c r="CO964" s="4"/>
      <c r="CP964" s="4"/>
      <c r="CQ964" s="6"/>
      <c r="CR964" s="7"/>
      <c r="CS964" s="4"/>
      <c r="CT964" s="4"/>
      <c r="CU964" s="4"/>
      <c r="CV964" s="4"/>
      <c r="CW964" s="6"/>
      <c r="CX964" s="7"/>
      <c r="CY964" s="4"/>
      <c r="CZ964" s="4"/>
      <c r="DA964" s="4"/>
      <c r="DB964" s="4"/>
      <c r="DC964" s="6"/>
      <c r="DD964" s="7"/>
      <c r="DE964" s="4"/>
      <c r="DF964" s="4"/>
      <c r="DG964" s="4"/>
      <c r="DH964" s="4"/>
      <c r="DI964" s="6"/>
      <c r="DJ964" s="7"/>
      <c r="DK964" s="4"/>
      <c r="DL964" s="4"/>
      <c r="DM964" s="4"/>
      <c r="DN964" s="4"/>
      <c r="DO964" s="4"/>
      <c r="DQ964" s="4"/>
      <c r="DR964" s="4"/>
      <c r="DS964" s="4"/>
      <c r="DT964" s="7"/>
      <c r="DU964" s="4"/>
      <c r="DV964" s="4"/>
      <c r="DW964" s="4"/>
      <c r="DX964" s="4"/>
      <c r="DY964" s="4"/>
      <c r="DZ964" s="4"/>
      <c r="EA964" s="7"/>
      <c r="EB964" s="7"/>
      <c r="EC964" s="4"/>
      <c r="ED964" s="4"/>
      <c r="EE964" s="4"/>
      <c r="EF964" s="4"/>
      <c r="EG964" s="11"/>
      <c r="EP964" s="11"/>
      <c r="EV964" s="11"/>
      <c r="EW964" s="4"/>
      <c r="EX964" s="4"/>
      <c r="EY964" s="4"/>
      <c r="EZ964" s="4"/>
      <c r="FA964" s="4"/>
      <c r="FB964" s="4"/>
      <c r="FC964" s="4"/>
      <c r="FD964" s="4"/>
      <c r="FE964" s="4"/>
      <c r="FF964" s="4"/>
      <c r="FG964" s="4"/>
      <c r="FH964" s="4"/>
      <c r="FI964" s="4"/>
      <c r="FJ964" s="4"/>
      <c r="FK964" s="4"/>
      <c r="FQ964" s="9"/>
      <c r="GG964" s="10"/>
      <c r="GK964" s="9"/>
      <c r="GV964" s="9"/>
      <c r="HF964" s="9"/>
      <c r="IW964" s="18"/>
      <c r="IX964" s="18"/>
      <c r="IY964" s="18"/>
    </row>
    <row r="965" spans="1:263" ht="15" customHeight="1">
      <c r="A965" s="19">
        <v>102023146</v>
      </c>
      <c r="B965" s="18" t="s">
        <v>1133</v>
      </c>
      <c r="D965" s="1"/>
      <c r="E965" s="3"/>
      <c r="F965" s="3"/>
      <c r="G965" s="3"/>
      <c r="J965" s="18" t="s">
        <v>554</v>
      </c>
      <c r="K965" s="18" t="s">
        <v>1125</v>
      </c>
      <c r="L965" s="18" t="s">
        <v>1126</v>
      </c>
      <c r="M965" s="18" t="s">
        <v>537</v>
      </c>
      <c r="N965" s="18"/>
      <c r="O965" s="24"/>
      <c r="P965" s="18" t="s">
        <v>1125</v>
      </c>
      <c r="Q965" s="18" t="s">
        <v>1106</v>
      </c>
      <c r="R965" s="18" t="s">
        <v>403</v>
      </c>
      <c r="S965" s="18"/>
      <c r="AG965" s="43"/>
      <c r="AJ965" s="18" t="s">
        <v>328</v>
      </c>
      <c r="AL965" t="s">
        <v>600</v>
      </c>
      <c r="AM965"/>
      <c r="AN965"/>
      <c r="AO965" s="18" t="s">
        <v>4124</v>
      </c>
      <c r="AP965" s="3" t="s">
        <v>258</v>
      </c>
      <c r="AQ965" s="18" t="s">
        <v>300</v>
      </c>
      <c r="AR965" s="18" t="s">
        <v>301</v>
      </c>
      <c r="AX965" s="1"/>
      <c r="AY965" s="1"/>
      <c r="AZ965" s="1"/>
      <c r="BA965" s="1"/>
      <c r="BB965" s="1"/>
      <c r="BC965" s="2"/>
      <c r="BD965" s="116"/>
      <c r="BE965" s="115">
        <v>45057</v>
      </c>
      <c r="BF965" s="2"/>
      <c r="BG965" s="2"/>
      <c r="BH965" s="2"/>
      <c r="BI965" s="2"/>
      <c r="BJ965" s="2"/>
      <c r="BK965" s="2"/>
      <c r="BL965" s="20">
        <f ca="1">SUM(EB965)+220</f>
        <v>1266.1837624999998</v>
      </c>
      <c r="BM965" s="22">
        <f ca="1">PMT(10%/12,12,BL965,0,0)</f>
        <v>-111.31766887641923</v>
      </c>
      <c r="BN965" s="22">
        <f ca="1">SUM(BM965*-1)</f>
        <v>111.31766887641923</v>
      </c>
      <c r="BO965" s="14">
        <f>SUM(EJ965*0.0052)/12</f>
        <v>26.303333333333331</v>
      </c>
      <c r="BP965" s="22">
        <f ca="1">SUM(BN965+BO965)</f>
        <v>137.62100220975256</v>
      </c>
      <c r="BQ965" s="14"/>
      <c r="BR965" s="14">
        <f>SUM(BQ965*0.1)</f>
        <v>0</v>
      </c>
      <c r="BS965" s="14">
        <f ca="1">SUM(BT965*BU965)</f>
        <v>0</v>
      </c>
      <c r="BT965" s="17">
        <f>SUM((BQ965+BR965)*0.00833333333333333)</f>
        <v>0</v>
      </c>
      <c r="BU965" s="23">
        <f ca="1">MONTH(TODAY())+49</f>
        <v>53</v>
      </c>
      <c r="BV965" s="14">
        <f ca="1">SUM(BQ965,BR965,BS965)</f>
        <v>0</v>
      </c>
      <c r="BW965" s="14"/>
      <c r="BX965" s="14">
        <f>SUM(BW965*0.1)</f>
        <v>0</v>
      </c>
      <c r="BY965" s="14">
        <f ca="1">SUM(BZ965*CA965)</f>
        <v>0</v>
      </c>
      <c r="BZ965" s="17">
        <f>SUM((BW965+BX965)*0.00833333333333333)</f>
        <v>0</v>
      </c>
      <c r="CA965" s="23">
        <f ca="1">MONTH(TODAY())+37</f>
        <v>41</v>
      </c>
      <c r="CB965" s="14">
        <f ca="1">SUM(BW965,BX965,BY965)</f>
        <v>0</v>
      </c>
      <c r="CC965" s="14">
        <v>0</v>
      </c>
      <c r="CD965" s="14">
        <f>SUM(CC965*0.1)</f>
        <v>0</v>
      </c>
      <c r="CE965" s="14">
        <f ca="1">SUM(CF965*CG965)</f>
        <v>0</v>
      </c>
      <c r="CF965" s="17">
        <f>SUM((CC965+CD965)*0.00833333333333333)</f>
        <v>0</v>
      </c>
      <c r="CG965" s="23">
        <f ca="1">MONTH(TODAY())+25</f>
        <v>29</v>
      </c>
      <c r="CH965" s="14">
        <f ca="1">SUM(CC965,CD965,CE965)</f>
        <v>0</v>
      </c>
      <c r="CI965" s="14">
        <f>SUM(EG965*0.0052)</f>
        <v>219.95999999999998</v>
      </c>
      <c r="CJ965" s="14">
        <f>SUM(CI965*0.1)</f>
        <v>21.995999999999999</v>
      </c>
      <c r="CK965" s="14">
        <f ca="1">SUM(CL965*CM965)</f>
        <v>34.277099999999983</v>
      </c>
      <c r="CL965" s="17">
        <f>SUM((CI965+CJ965)*0.00833333333333333)</f>
        <v>2.0162999999999989</v>
      </c>
      <c r="CM965" s="23">
        <f ca="1">MONTH(TODAY())+13</f>
        <v>17</v>
      </c>
      <c r="CN965" s="14">
        <f ca="1">SUM(CI965,CJ965,CK965)</f>
        <v>276.23309999999998</v>
      </c>
      <c r="CO965" s="14">
        <f>SUM(EG965*0.0052)/2</f>
        <v>109.97999999999999</v>
      </c>
      <c r="CP965" s="14">
        <f>SUM(CO965*0.1)</f>
        <v>10.997999999999999</v>
      </c>
      <c r="CQ965" s="14">
        <f ca="1">SUM(CR965*CS965)</f>
        <v>9.0733499999999943</v>
      </c>
      <c r="CR965" s="17">
        <f>SUM((CO965+CP965)*0.00833333333333333)</f>
        <v>1.0081499999999994</v>
      </c>
      <c r="CS965" s="23">
        <f ca="1">MONTH(TODAY())+5</f>
        <v>9</v>
      </c>
      <c r="CT965" s="23">
        <f ca="1">SUM(CO965,CP965,CQ965)</f>
        <v>130.05134999999999</v>
      </c>
      <c r="CU965" s="14">
        <f>SUM(EG965*0.0052)/2</f>
        <v>109.97999999999999</v>
      </c>
      <c r="CV965" s="14">
        <f>SUM(CU965*0.1)</f>
        <v>10.997999999999999</v>
      </c>
      <c r="CW965" s="14">
        <f ca="1">SUM(CX965*CY965)</f>
        <v>5.0407499999999974</v>
      </c>
      <c r="CX965" s="17">
        <f>SUM((CU965+CV965)*0.00833333333333333)</f>
        <v>1.0081499999999994</v>
      </c>
      <c r="CY965" s="23">
        <f ca="1">MONTH(TODAY())+1</f>
        <v>5</v>
      </c>
      <c r="CZ965" s="23">
        <f ca="1">SUM(CU965,CV965,CW965)</f>
        <v>126.01875</v>
      </c>
      <c r="DA965" s="14">
        <f>SUM(EJ965*0.0045)/2</f>
        <v>136.57499999999999</v>
      </c>
      <c r="DB965" s="14">
        <f>SUM(DA965*0.1)</f>
        <v>13.657499999999999</v>
      </c>
      <c r="DC965" s="14">
        <f ca="1">SUM(DD965*DE965)</f>
        <v>-1.2519374999999993</v>
      </c>
      <c r="DD965" s="17">
        <f>SUM((DA965+DB965)*0.00833333333333333)</f>
        <v>1.2519374999999993</v>
      </c>
      <c r="DE965" s="23">
        <f ca="1">MONTH(TODAY())-5</f>
        <v>-1</v>
      </c>
      <c r="DF965" s="23">
        <f ca="1">SUM(DA965,DB965,DC965)</f>
        <v>148.98056249999999</v>
      </c>
      <c r="DG965" s="14">
        <v>0</v>
      </c>
      <c r="DH965" s="14">
        <v>0</v>
      </c>
      <c r="DI965" s="14">
        <v>0</v>
      </c>
      <c r="DJ965" s="17">
        <f>SUM((DG965+DH965)*0.00833333333333333)</f>
        <v>0</v>
      </c>
      <c r="DK965" s="23">
        <f ca="1">MONTH(TODAY())+1</f>
        <v>5</v>
      </c>
      <c r="DL965" s="23">
        <f>SUM(DG965,DH965,DI965)</f>
        <v>0</v>
      </c>
      <c r="DM965" s="14">
        <f>SUM( BQ965, BW965, CC965, CI965, CO965,CU965,DA965,DG965)</f>
        <v>576.49499999999989</v>
      </c>
      <c r="DN965" s="14">
        <f>SUM(BR965,BX965,CD965,CJ965, CP965,CV965,DB965,DH965)</f>
        <v>57.649499999999996</v>
      </c>
      <c r="DO965" s="14">
        <f ca="1">SUM(BS965,BY965,CE965,CK965, CQ965,CW965,DC965,DI965)</f>
        <v>47.13926249999998</v>
      </c>
      <c r="DP965" s="25">
        <f ca="1">SUM(DM965:DO965)</f>
        <v>681.28376249999985</v>
      </c>
      <c r="DQ965" s="47">
        <f ca="1">SUM(DP965/EG965)</f>
        <v>1.6105999113475173E-2</v>
      </c>
      <c r="DR965" s="14">
        <v>200</v>
      </c>
      <c r="DS965" s="32">
        <f>COUNTIF(DX965, "*")+COUNTIF(AO965, "*")+COUNTIF(AJ965, "*")+COUNTIF(AA965, "*")+COUNTIF(EY965, "*")+COUNTIF(FE965, "*")+COUNTIF(FK965, "*")+COUNTIF(FO965, "*")+COUNTIF(FV965, "*")+COUNTIF(AT965, "*")+COUNTIF(GE965, "*")+COUNTIF(GP965, "*")+COUNTIF(HA965, "*")+COUNTIF(HI965, "*")+COUNTIF(HQ965, "*")+COUNTIF(HY965, "*")+COUNTIF(IG965, "*")</f>
        <v>2</v>
      </c>
      <c r="DT965" s="14">
        <f>DS965*7.45</f>
        <v>14.9</v>
      </c>
      <c r="DU965" s="4">
        <v>150</v>
      </c>
      <c r="DV965" s="4"/>
      <c r="DW965" s="4"/>
      <c r="DX965" s="4"/>
      <c r="DZ965" s="4"/>
      <c r="EA965" s="14">
        <f>SUM(DV965:DZ965)</f>
        <v>0</v>
      </c>
      <c r="EB965" s="14">
        <f ca="1">SUM(DP965,DR965,EA965, DU965, DT965,GB965)</f>
        <v>1046.1837624999998</v>
      </c>
      <c r="EC965" s="24" t="s">
        <v>3879</v>
      </c>
      <c r="ED965" s="130">
        <v>22.99</v>
      </c>
      <c r="EE965" s="14">
        <v>42300</v>
      </c>
      <c r="EF965" s="14">
        <v>0</v>
      </c>
      <c r="EG965" s="14">
        <f>SUM(EE965+EF965)</f>
        <v>42300</v>
      </c>
      <c r="EH965" s="14">
        <v>60700</v>
      </c>
      <c r="EI965" s="14">
        <v>0</v>
      </c>
      <c r="EJ965" s="14">
        <f>SUM(EH965+EI965)</f>
        <v>60700</v>
      </c>
      <c r="EK965" t="s">
        <v>4850</v>
      </c>
      <c r="EL965" t="s">
        <v>4851</v>
      </c>
      <c r="IM965" s="9"/>
      <c r="IX965" s="14">
        <f ca="1">SUM(IN965-EB965-GB965-IV965)</f>
        <v>-1046.1837624999998</v>
      </c>
      <c r="IY965" s="9"/>
      <c r="IZ965" s="9"/>
      <c r="JA965" s="9"/>
      <c r="JB965" s="9"/>
      <c r="JC965" s="9"/>
    </row>
    <row r="966" spans="1:263" ht="15" customHeight="1">
      <c r="A966" s="19">
        <v>102022040</v>
      </c>
      <c r="B966" t="s">
        <v>2794</v>
      </c>
      <c r="D966" s="1">
        <v>2025</v>
      </c>
      <c r="J966" t="s">
        <v>554</v>
      </c>
      <c r="K966" t="s">
        <v>3007</v>
      </c>
      <c r="L966" t="s">
        <v>577</v>
      </c>
      <c r="P966" t="s">
        <v>3007</v>
      </c>
      <c r="Q966" t="s">
        <v>3008</v>
      </c>
      <c r="R966" t="s">
        <v>537</v>
      </c>
      <c r="AE966" s="1"/>
      <c r="AH966" s="3"/>
      <c r="AJ966" t="s">
        <v>328</v>
      </c>
      <c r="AL966" t="s">
        <v>600</v>
      </c>
      <c r="AM966"/>
      <c r="AN966"/>
      <c r="AO966" s="3" t="s">
        <v>3009</v>
      </c>
      <c r="AP966" s="1" t="s">
        <v>258</v>
      </c>
      <c r="AQ966" s="3" t="s">
        <v>567</v>
      </c>
      <c r="AR966" t="s">
        <v>821</v>
      </c>
      <c r="AY966" s="2"/>
      <c r="AZ966" s="2"/>
      <c r="BA966" s="70"/>
      <c r="BB966" s="2"/>
      <c r="BC966" s="2"/>
      <c r="BD966" s="2"/>
      <c r="BE966" s="2"/>
      <c r="BF966" s="2"/>
      <c r="BG966" s="2"/>
      <c r="BH966" s="20"/>
      <c r="BI966" s="22"/>
      <c r="BJ966" s="22"/>
      <c r="BK966" s="14"/>
      <c r="BL966" s="22"/>
      <c r="BM966" s="14"/>
      <c r="BN966" s="14"/>
      <c r="BO966" s="14"/>
      <c r="BP966" s="17"/>
      <c r="BQ966" s="23"/>
      <c r="BR966" s="14"/>
      <c r="BS966" s="14"/>
      <c r="BT966" s="14"/>
      <c r="BU966" s="14"/>
      <c r="BV966" s="17"/>
      <c r="BW966" s="23"/>
      <c r="BX966" s="14"/>
      <c r="BY966" s="14"/>
      <c r="BZ966" s="14"/>
      <c r="CA966" s="14"/>
      <c r="CB966" s="17"/>
      <c r="CC966" s="23"/>
      <c r="CD966" s="14"/>
      <c r="CE966" s="14"/>
      <c r="CF966" s="14"/>
      <c r="CG966" s="14"/>
      <c r="CH966" s="17"/>
      <c r="CI966" s="23"/>
      <c r="CJ966" s="14"/>
      <c r="CK966" s="14"/>
      <c r="CL966" s="14"/>
      <c r="CM966" s="14"/>
      <c r="CN966" s="17"/>
      <c r="CO966" s="23"/>
      <c r="CP966" s="14"/>
      <c r="CQ966" s="14"/>
      <c r="CR966" s="14"/>
      <c r="CS966" s="14"/>
      <c r="CT966" s="14"/>
      <c r="CU966" s="47"/>
      <c r="CV966" s="14"/>
      <c r="CW966" s="32"/>
      <c r="CX966" s="14"/>
      <c r="CZ966" s="14"/>
      <c r="DF966" s="14"/>
      <c r="DG966" s="24"/>
      <c r="DH966" s="4"/>
      <c r="DI966" s="4"/>
      <c r="DJ966" s="25"/>
      <c r="DK966" s="35">
        <v>0.98</v>
      </c>
      <c r="ID966" s="4"/>
    </row>
    <row r="967" spans="1:263" ht="15" customHeight="1">
      <c r="A967" s="2">
        <v>102017083</v>
      </c>
      <c r="B967" t="s">
        <v>3539</v>
      </c>
      <c r="J967" t="s">
        <v>311</v>
      </c>
      <c r="K967" t="s">
        <v>1017</v>
      </c>
      <c r="L967" t="s">
        <v>1018</v>
      </c>
      <c r="M967" t="s">
        <v>537</v>
      </c>
      <c r="N967" s="1"/>
      <c r="O967" s="4"/>
      <c r="P967" s="3" t="s">
        <v>888</v>
      </c>
      <c r="Q967" t="s">
        <v>341</v>
      </c>
      <c r="V967" s="1"/>
      <c r="AE967" s="1"/>
      <c r="AJ967" s="4"/>
      <c r="AK967" s="4"/>
      <c r="AL967" s="4"/>
      <c r="AP967" s="13"/>
      <c r="AQ967" s="63"/>
      <c r="AR967" s="34"/>
      <c r="AS967" s="5"/>
      <c r="AT967" s="13"/>
      <c r="AU967" s="1"/>
      <c r="AV967" s="1"/>
      <c r="AW967" s="1"/>
      <c r="AX967" s="1"/>
      <c r="AY967" s="1"/>
      <c r="AZ967" s="15"/>
      <c r="BA967" s="1"/>
      <c r="BB967" s="1"/>
      <c r="BC967" s="1"/>
      <c r="BD967" s="1"/>
      <c r="BE967" s="1"/>
      <c r="BF967" s="1"/>
      <c r="BG967" s="5"/>
      <c r="BH967" s="16"/>
      <c r="BI967" s="16"/>
      <c r="BK967" s="4"/>
      <c r="BL967" s="4"/>
      <c r="BM967" s="6"/>
      <c r="BN967" s="7"/>
      <c r="BO967" s="4"/>
      <c r="BQ967" s="4"/>
      <c r="BR967" s="4"/>
      <c r="BS967" s="6"/>
      <c r="BT967" s="7"/>
      <c r="BU967" s="4"/>
      <c r="BV967" s="4"/>
      <c r="BW967" s="4"/>
      <c r="BX967" s="4"/>
      <c r="BY967" s="6"/>
      <c r="BZ967" s="7"/>
      <c r="CA967" s="4"/>
      <c r="CC967" s="4"/>
      <c r="CD967" s="4"/>
      <c r="CE967" s="6"/>
      <c r="CF967" s="7"/>
      <c r="CG967" s="4"/>
      <c r="CH967" s="4"/>
      <c r="CI967" s="4"/>
      <c r="CJ967" s="4"/>
      <c r="CK967" s="6"/>
      <c r="CL967" s="7"/>
      <c r="CM967" s="4"/>
      <c r="CN967" s="4"/>
      <c r="CO967" s="4"/>
      <c r="CP967" s="4"/>
      <c r="CQ967" s="6"/>
      <c r="CR967" s="7"/>
      <c r="CS967" s="4"/>
      <c r="CT967" s="4"/>
      <c r="CU967" s="4"/>
      <c r="CV967" s="4"/>
      <c r="CW967" s="6"/>
      <c r="CX967" s="7"/>
      <c r="CY967" s="4"/>
      <c r="CZ967" s="4"/>
      <c r="DA967" s="4"/>
      <c r="DB967" s="4"/>
      <c r="DC967" s="6"/>
      <c r="DD967" s="7"/>
      <c r="DE967" s="4"/>
      <c r="DF967" s="4"/>
      <c r="DG967" s="4"/>
      <c r="DH967" s="4"/>
      <c r="DI967" s="6"/>
      <c r="DJ967" s="7"/>
      <c r="DK967" s="4"/>
      <c r="DL967" s="4"/>
      <c r="DM967" s="4"/>
      <c r="DN967" s="4"/>
      <c r="DO967" s="4"/>
      <c r="DP967" s="3"/>
      <c r="DQ967" s="4"/>
      <c r="DR967" s="4"/>
      <c r="DS967" s="4"/>
      <c r="DT967" s="4"/>
      <c r="DU967" s="4"/>
      <c r="DV967" s="4"/>
      <c r="DW967" s="4"/>
      <c r="DX967" s="4"/>
      <c r="DY967" s="4"/>
      <c r="DZ967" s="4"/>
      <c r="EA967" s="4"/>
      <c r="EB967" s="4"/>
      <c r="EC967" s="4"/>
      <c r="ED967" s="4"/>
      <c r="EE967" s="4"/>
      <c r="EF967" s="4"/>
      <c r="EG967" s="4"/>
      <c r="EH967" s="4"/>
      <c r="EI967" s="4"/>
      <c r="ER967" s="11"/>
      <c r="EX967" s="11"/>
      <c r="EY967" s="11"/>
      <c r="EZ967" s="4"/>
      <c r="FA967" s="4"/>
      <c r="FB967" s="4"/>
      <c r="FC967" s="4"/>
      <c r="FD967" s="4"/>
      <c r="FE967" s="4"/>
      <c r="FF967" s="4"/>
      <c r="FG967" s="4"/>
      <c r="FH967" s="4"/>
      <c r="FI967" s="4"/>
      <c r="FJ967" s="4"/>
      <c r="FK967" s="4"/>
      <c r="FQ967" s="9"/>
      <c r="GI967" s="10"/>
      <c r="GS967" s="10"/>
      <c r="HH967" s="9"/>
      <c r="IP967" s="4"/>
    </row>
    <row r="968" spans="1:263" ht="15" customHeight="1">
      <c r="A968" s="19">
        <v>102019001</v>
      </c>
      <c r="B968" s="14" t="s">
        <v>498</v>
      </c>
      <c r="C968" s="14"/>
      <c r="D968" s="20"/>
      <c r="E968" s="24" t="s">
        <v>499</v>
      </c>
      <c r="F968" s="19">
        <v>190005534</v>
      </c>
      <c r="G968" s="18"/>
      <c r="H968" s="18"/>
      <c r="I968" s="18"/>
      <c r="J968" s="18" t="s">
        <v>305</v>
      </c>
      <c r="K968" s="18" t="s">
        <v>500</v>
      </c>
      <c r="L968" s="18" t="s">
        <v>501</v>
      </c>
      <c r="M968" s="18"/>
      <c r="N968" s="18"/>
      <c r="O968" s="18" t="s">
        <v>258</v>
      </c>
      <c r="P968" s="18" t="s">
        <v>500</v>
      </c>
      <c r="Q968" s="18" t="s">
        <v>502</v>
      </c>
      <c r="R968" s="18"/>
      <c r="S968" s="18"/>
      <c r="T968" s="13"/>
      <c r="U968" s="18"/>
      <c r="V968" s="18"/>
      <c r="W968" s="18"/>
      <c r="X968" s="18"/>
      <c r="Y968" s="18"/>
      <c r="Z968" s="18"/>
      <c r="AA968" s="18"/>
      <c r="AB968" s="18"/>
      <c r="AC968" s="18"/>
      <c r="AD968" s="18"/>
      <c r="AE968" s="18"/>
      <c r="AF968" s="18"/>
      <c r="AG968" s="231"/>
      <c r="AH968" s="18"/>
      <c r="AI968" s="18"/>
      <c r="AJ968" s="14"/>
      <c r="AK968" s="14"/>
      <c r="AL968" s="14"/>
      <c r="AM968" s="24"/>
      <c r="AN968" s="24"/>
      <c r="AO968" s="14"/>
      <c r="AP968" s="20"/>
      <c r="AQ968" s="24"/>
      <c r="AR968" s="24"/>
      <c r="AS968" s="20"/>
      <c r="AT968" s="20"/>
      <c r="AU968" s="13"/>
      <c r="AV968" s="13"/>
      <c r="AW968" s="13"/>
      <c r="AX968" s="48"/>
      <c r="AY968" s="48"/>
      <c r="AZ968" s="48"/>
      <c r="BA968" s="48"/>
      <c r="BB968" s="19"/>
      <c r="BC968" s="48"/>
      <c r="BD968" s="48"/>
      <c r="BE968" s="48"/>
      <c r="BF968" s="19"/>
      <c r="BG968" s="20"/>
      <c r="BH968" s="22"/>
      <c r="BI968" s="22"/>
      <c r="BJ968" s="14"/>
      <c r="BK968" s="14"/>
      <c r="BL968" s="14"/>
      <c r="BM968" s="17"/>
      <c r="BN968" s="23"/>
      <c r="BO968" s="14"/>
      <c r="BP968" s="14"/>
      <c r="BQ968" s="14"/>
      <c r="BR968" s="14"/>
      <c r="BS968" s="17"/>
      <c r="BT968" s="23"/>
      <c r="BU968" s="14"/>
      <c r="BV968" s="14"/>
      <c r="BW968" s="14"/>
      <c r="BX968" s="14"/>
      <c r="BY968" s="17"/>
      <c r="BZ968" s="23"/>
      <c r="CA968" s="14"/>
      <c r="CB968" s="14"/>
      <c r="CC968" s="14"/>
      <c r="CD968" s="14"/>
      <c r="CE968" s="17"/>
      <c r="CF968" s="23"/>
      <c r="CG968" s="14"/>
      <c r="CH968" s="14"/>
      <c r="CI968" s="14"/>
      <c r="CJ968" s="14"/>
      <c r="CK968" s="17"/>
      <c r="CL968" s="23"/>
      <c r="CM968" s="14"/>
      <c r="CN968" s="14"/>
      <c r="CO968" s="14"/>
      <c r="CP968" s="14"/>
      <c r="CQ968" s="17"/>
      <c r="CR968" s="23"/>
      <c r="CS968" s="14"/>
      <c r="CT968" s="14"/>
      <c r="CU968" s="14"/>
      <c r="CV968" s="14"/>
      <c r="CW968" s="17"/>
      <c r="CX968" s="23"/>
      <c r="CY968" s="14"/>
      <c r="CZ968" s="14"/>
      <c r="DA968" s="14"/>
      <c r="DB968" s="14"/>
      <c r="DC968" s="14"/>
      <c r="DD968" s="14"/>
      <c r="DE968" s="47"/>
      <c r="DF968" s="24"/>
      <c r="DG968" s="14"/>
      <c r="DH968" s="32"/>
      <c r="DI968" s="14"/>
      <c r="DJ968" s="14"/>
      <c r="DK968" s="14"/>
      <c r="DL968" s="14"/>
      <c r="DM968" s="14"/>
      <c r="DN968" s="14"/>
      <c r="DO968" s="23"/>
      <c r="DP968" s="25"/>
      <c r="DQ968" s="14"/>
      <c r="DR968" s="25"/>
      <c r="DS968" s="25"/>
      <c r="DT968" s="25"/>
      <c r="DU968" s="36"/>
      <c r="DV968" s="18"/>
      <c r="DW968" s="18"/>
      <c r="DX968" s="18"/>
      <c r="DY968" s="18"/>
      <c r="DZ968" s="18"/>
      <c r="EA968" s="18"/>
      <c r="EB968" s="18"/>
      <c r="EC968" s="18"/>
      <c r="ED968" s="30"/>
      <c r="EE968" s="18"/>
      <c r="EF968" s="18"/>
      <c r="EG968" s="18"/>
      <c r="EH968" s="18"/>
      <c r="EI968" s="18"/>
      <c r="EJ968" s="30"/>
      <c r="EK968" s="30"/>
      <c r="EL968" s="14"/>
      <c r="EM968" s="14"/>
      <c r="EN968" s="14"/>
      <c r="EO968" s="14"/>
      <c r="EP968" s="14"/>
      <c r="EQ968" s="14"/>
      <c r="ER968" s="14"/>
      <c r="ES968" s="14"/>
      <c r="ET968" s="14"/>
      <c r="EU968" s="14"/>
      <c r="EV968" s="14"/>
      <c r="EW968" s="14"/>
      <c r="EX968" s="14"/>
      <c r="EY968" s="14"/>
      <c r="EZ968" s="14"/>
      <c r="FA968" s="18"/>
      <c r="FB968" s="18"/>
      <c r="FC968" s="18"/>
      <c r="FD968" s="27"/>
      <c r="FE968" s="18"/>
      <c r="FF968" s="18"/>
      <c r="FG968" s="18"/>
      <c r="FH968" s="18"/>
      <c r="FI968" s="18"/>
      <c r="FJ968" s="18"/>
      <c r="FK968" s="18"/>
      <c r="FL968" s="18"/>
      <c r="FM968" s="27"/>
      <c r="FN968" s="18"/>
      <c r="FO968" s="18"/>
      <c r="FP968" s="18"/>
      <c r="FQ968" s="18"/>
      <c r="FR968" s="18"/>
      <c r="FS968" s="14"/>
      <c r="FT968" s="18"/>
      <c r="FU968" s="18"/>
      <c r="FV968" s="18"/>
      <c r="FW968" s="18"/>
      <c r="FX968" s="28"/>
      <c r="FY968" s="18"/>
      <c r="FZ968" s="18"/>
      <c r="GA968" s="18"/>
      <c r="GB968" s="18"/>
      <c r="GC968" s="18"/>
      <c r="GD968" s="18"/>
      <c r="GE968" s="18"/>
      <c r="GF968" s="18"/>
      <c r="GG968" s="18"/>
      <c r="GH968" s="28"/>
      <c r="GI968" s="18"/>
      <c r="GJ968" s="18"/>
      <c r="GK968" s="18"/>
      <c r="GL968" s="18"/>
      <c r="GM968" s="18"/>
      <c r="GN968" s="18"/>
      <c r="GO968" s="18"/>
      <c r="GP968" s="18"/>
      <c r="GQ968" s="18"/>
      <c r="GR968" s="18"/>
      <c r="GS968" s="18"/>
      <c r="GT968" s="18"/>
      <c r="GU968" s="18"/>
      <c r="GV968" s="18"/>
      <c r="GW968" s="27"/>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27"/>
      <c r="IE968" s="14"/>
      <c r="IF968" s="14"/>
      <c r="IG968" s="27"/>
      <c r="IH968" s="18"/>
      <c r="II968" s="18"/>
      <c r="IJ968" s="18"/>
      <c r="IK968" s="18"/>
      <c r="IL968" s="9"/>
      <c r="IN968" t="s">
        <v>1371</v>
      </c>
      <c r="IO968" t="s">
        <v>1372</v>
      </c>
      <c r="IP968" t="s">
        <v>279</v>
      </c>
      <c r="IS968" s="4">
        <v>155</v>
      </c>
      <c r="IT968" s="4"/>
    </row>
    <row r="969" spans="1:263" ht="15" customHeight="1">
      <c r="A969" s="19">
        <v>102019001</v>
      </c>
      <c r="B969" s="14" t="s">
        <v>498</v>
      </c>
      <c r="C969" s="14"/>
      <c r="D969" s="14"/>
      <c r="E969" s="24" t="s">
        <v>499</v>
      </c>
      <c r="F969" s="19">
        <v>190005534</v>
      </c>
      <c r="G969" s="19"/>
      <c r="H969" s="19"/>
      <c r="I969" s="19"/>
      <c r="J969" s="18" t="s">
        <v>305</v>
      </c>
      <c r="K969" s="18" t="s">
        <v>500</v>
      </c>
      <c r="L969" s="18" t="s">
        <v>501</v>
      </c>
      <c r="M969" s="18"/>
      <c r="N969" s="18"/>
      <c r="O969" s="18" t="s">
        <v>258</v>
      </c>
      <c r="P969" s="18" t="s">
        <v>500</v>
      </c>
      <c r="Q969" s="18" t="s">
        <v>502</v>
      </c>
      <c r="R969" s="18"/>
      <c r="S969" s="18"/>
      <c r="T969" s="13" t="s">
        <v>258</v>
      </c>
      <c r="U969" s="18"/>
      <c r="V969" s="18"/>
      <c r="W969" s="18"/>
      <c r="X969" s="18"/>
      <c r="Y969" s="18"/>
      <c r="Z969" s="18"/>
      <c r="AA969" s="18"/>
      <c r="AB969" s="18"/>
      <c r="AC969" s="18"/>
      <c r="AD969" s="18"/>
      <c r="AE969" s="18"/>
      <c r="AF969" s="18"/>
      <c r="AG969" s="37"/>
      <c r="AH969" s="18"/>
      <c r="AI969" s="18"/>
      <c r="AJ969" s="14" t="s">
        <v>328</v>
      </c>
      <c r="AK969" s="14"/>
      <c r="AL969" s="14" t="s">
        <v>329</v>
      </c>
      <c r="AM969" s="18"/>
      <c r="AN969" s="18"/>
      <c r="AO969" s="14" t="s">
        <v>503</v>
      </c>
      <c r="AP969" s="20" t="s">
        <v>258</v>
      </c>
      <c r="AQ969" s="18" t="s">
        <v>504</v>
      </c>
      <c r="AR969" s="24"/>
      <c r="AS969" s="20"/>
      <c r="AT969" s="20"/>
      <c r="AU969" s="13" t="s">
        <v>258</v>
      </c>
      <c r="AV969" s="13" t="s">
        <v>258</v>
      </c>
      <c r="AW969" s="13" t="s">
        <v>258</v>
      </c>
      <c r="AX969" s="21">
        <v>43766</v>
      </c>
      <c r="AY969" s="21">
        <v>43518</v>
      </c>
      <c r="AZ969" s="21">
        <v>43734</v>
      </c>
      <c r="BA969" s="21">
        <v>43805</v>
      </c>
      <c r="BB969" s="13" t="s">
        <v>318</v>
      </c>
      <c r="BC969" s="21">
        <v>43784</v>
      </c>
      <c r="BD969" s="21">
        <v>43791</v>
      </c>
      <c r="BE969" s="21">
        <v>43924</v>
      </c>
      <c r="BF969" s="13" t="s">
        <v>319</v>
      </c>
      <c r="BG969" s="20">
        <v>8679.9</v>
      </c>
      <c r="BH969" s="22">
        <v>-763.10110956776032</v>
      </c>
      <c r="BI969" s="22">
        <v>763.10110956776032</v>
      </c>
      <c r="BJ969" s="14"/>
      <c r="BK969" s="14">
        <v>0</v>
      </c>
      <c r="BL969" s="14">
        <v>0</v>
      </c>
      <c r="BM969" s="17">
        <v>0</v>
      </c>
      <c r="BN969" s="23">
        <v>84</v>
      </c>
      <c r="BO969" s="14">
        <v>0</v>
      </c>
      <c r="BP969" s="14"/>
      <c r="BQ969" s="14">
        <v>0</v>
      </c>
      <c r="BR969" s="14">
        <v>0</v>
      </c>
      <c r="BS969" s="17">
        <v>0</v>
      </c>
      <c r="BT969" s="23">
        <v>72</v>
      </c>
      <c r="BU969" s="14">
        <v>0</v>
      </c>
      <c r="BV969" s="14"/>
      <c r="BW969" s="14">
        <v>0</v>
      </c>
      <c r="BX969" s="14">
        <v>0</v>
      </c>
      <c r="BY969" s="17">
        <v>0</v>
      </c>
      <c r="BZ969" s="23">
        <v>61</v>
      </c>
      <c r="CA969" s="14">
        <v>0</v>
      </c>
      <c r="CB969" s="14"/>
      <c r="CC969" s="14">
        <v>0</v>
      </c>
      <c r="CD969" s="14">
        <v>0</v>
      </c>
      <c r="CE969" s="17">
        <v>0</v>
      </c>
      <c r="CF969" s="23">
        <v>49</v>
      </c>
      <c r="CG969" s="14">
        <v>0</v>
      </c>
      <c r="CH969" s="14"/>
      <c r="CI969" s="14">
        <v>0</v>
      </c>
      <c r="CJ969" s="14">
        <v>0</v>
      </c>
      <c r="CK969" s="17">
        <v>0</v>
      </c>
      <c r="CL969" s="23">
        <v>37</v>
      </c>
      <c r="CM969" s="14">
        <v>0</v>
      </c>
      <c r="CN969" s="14"/>
      <c r="CO969" s="14">
        <v>0</v>
      </c>
      <c r="CP969" s="14">
        <v>0</v>
      </c>
      <c r="CQ969" s="17">
        <v>0</v>
      </c>
      <c r="CR969" s="23">
        <v>25</v>
      </c>
      <c r="CS969" s="14">
        <v>0</v>
      </c>
      <c r="CT969" s="14">
        <v>168.48</v>
      </c>
      <c r="CU969" s="14">
        <v>16.847999999999999</v>
      </c>
      <c r="CV969" s="14">
        <v>20.077199999999987</v>
      </c>
      <c r="CW969" s="17">
        <v>1.5443999999999991</v>
      </c>
      <c r="CX969" s="23">
        <v>13</v>
      </c>
      <c r="CY969" s="14">
        <v>205.40519999999995</v>
      </c>
      <c r="CZ969" s="14">
        <v>168.48</v>
      </c>
      <c r="DA969" s="14">
        <v>1752.19</v>
      </c>
      <c r="DB969" s="14">
        <v>158.37</v>
      </c>
      <c r="DC969" s="14">
        <v>2061.08</v>
      </c>
      <c r="DD969" s="14">
        <v>3971.64</v>
      </c>
      <c r="DE969" s="24" t="s">
        <v>1518</v>
      </c>
      <c r="DF969" s="14">
        <v>1907.5</v>
      </c>
      <c r="DG969" s="32">
        <v>2</v>
      </c>
      <c r="DH969" s="14">
        <v>156.5</v>
      </c>
      <c r="DI969" s="14">
        <v>350</v>
      </c>
      <c r="DJ969" s="14">
        <v>8473.4</v>
      </c>
      <c r="DK969" s="14">
        <v>353.75</v>
      </c>
      <c r="DL969" s="14">
        <v>903.6099999999999</v>
      </c>
      <c r="DM969" s="14">
        <v>140.80000000000001</v>
      </c>
      <c r="DN969" s="14">
        <v>129.6</v>
      </c>
      <c r="DO969" s="25">
        <v>560</v>
      </c>
      <c r="DP969" s="14">
        <v>2087.7599999999998</v>
      </c>
      <c r="DQ969" s="25">
        <v>32400</v>
      </c>
      <c r="DR969" s="25">
        <v>0</v>
      </c>
      <c r="DS969" s="25">
        <v>32400</v>
      </c>
      <c r="DT969" s="36">
        <v>9.57</v>
      </c>
      <c r="DU969" s="18" t="s">
        <v>1932</v>
      </c>
      <c r="DV969" s="18" t="s">
        <v>505</v>
      </c>
      <c r="DW969" s="18" t="s">
        <v>1933</v>
      </c>
      <c r="DX969" s="18" t="s">
        <v>506</v>
      </c>
      <c r="DY969" s="18" t="s">
        <v>507</v>
      </c>
      <c r="DZ969" s="18" t="s">
        <v>508</v>
      </c>
      <c r="EA969" s="18"/>
      <c r="EB969" s="18"/>
      <c r="EC969" s="18"/>
      <c r="ED969" s="18"/>
      <c r="EE969" s="18"/>
      <c r="EF969" s="18"/>
      <c r="EG969" s="18"/>
      <c r="EH969" s="18"/>
      <c r="EI969" s="18"/>
      <c r="EJ969" s="18"/>
      <c r="EK969" s="18"/>
      <c r="EL969" s="18"/>
      <c r="EM969" s="18"/>
      <c r="EN969" s="18"/>
      <c r="EO969" s="18"/>
      <c r="EP969" s="14"/>
      <c r="EQ969" s="14"/>
      <c r="ER969" s="14"/>
      <c r="ES969" s="14"/>
      <c r="ET969" s="14"/>
      <c r="EU969" s="14"/>
      <c r="EV969" s="14"/>
      <c r="EW969" s="14"/>
      <c r="EX969" s="14"/>
      <c r="EY969" s="14"/>
      <c r="EZ969" s="18"/>
      <c r="FA969" s="18"/>
      <c r="FB969" s="18"/>
      <c r="FC969" s="27"/>
      <c r="FD969" s="18"/>
      <c r="FE969" s="18"/>
      <c r="FF969" s="18"/>
      <c r="FG969" s="18"/>
      <c r="FH969" s="18"/>
      <c r="FI969" s="18"/>
      <c r="FJ969" s="18"/>
      <c r="FK969" s="18"/>
      <c r="FL969" s="18"/>
      <c r="FM969" s="18"/>
      <c r="FN969" s="18"/>
      <c r="FO969" s="18"/>
      <c r="FP969" s="18"/>
      <c r="FQ969" s="14"/>
      <c r="FR969" s="18"/>
      <c r="FS969" s="18"/>
      <c r="FT969" s="18"/>
      <c r="FU969" s="18"/>
      <c r="FV969" s="28"/>
      <c r="FW969" s="18"/>
      <c r="FX969" s="18"/>
      <c r="FY969" s="18"/>
      <c r="FZ969" s="18"/>
      <c r="GA969" s="18"/>
      <c r="GB969" s="18"/>
      <c r="GC969" s="18"/>
      <c r="GD969" s="18"/>
      <c r="GE969" s="18"/>
      <c r="GF969" s="28"/>
      <c r="GG969" s="18"/>
      <c r="GH969" s="18"/>
      <c r="GI969" s="18"/>
      <c r="GJ969" s="18"/>
      <c r="GK969" s="18"/>
      <c r="GL969" s="18"/>
      <c r="GM969" s="18"/>
      <c r="GN969" s="18"/>
      <c r="GO969" s="18"/>
      <c r="GP969" s="18"/>
      <c r="GQ969" s="18"/>
      <c r="GR969" s="18"/>
      <c r="GS969" s="18"/>
      <c r="GT969" s="18"/>
      <c r="GU969" s="27"/>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27">
        <v>44128</v>
      </c>
      <c r="IC969" s="14">
        <v>32400</v>
      </c>
      <c r="ID969" s="27">
        <v>44128</v>
      </c>
      <c r="IE969" s="14">
        <v>17000</v>
      </c>
      <c r="IF969" s="14">
        <v>1700</v>
      </c>
      <c r="IG969" s="27"/>
      <c r="IH969" s="18" t="s">
        <v>772</v>
      </c>
      <c r="II969" s="18" t="s">
        <v>1153</v>
      </c>
      <c r="IJ969" s="18" t="s">
        <v>386</v>
      </c>
      <c r="IK969" s="18"/>
      <c r="IL969" s="14"/>
      <c r="IM969" s="14"/>
      <c r="IN969" s="14">
        <v>187.5</v>
      </c>
      <c r="IO969" s="14">
        <v>8526.6</v>
      </c>
      <c r="IP969" s="27">
        <v>43931</v>
      </c>
      <c r="IQ969" s="27">
        <v>43965</v>
      </c>
      <c r="IR969" s="27">
        <v>44131</v>
      </c>
      <c r="IS969" s="27">
        <v>44137</v>
      </c>
      <c r="IT969" s="27">
        <v>44238</v>
      </c>
      <c r="IU969" s="18"/>
      <c r="IV969" s="18"/>
      <c r="IW969" s="18"/>
      <c r="IX969" s="18"/>
      <c r="IY969" s="18"/>
    </row>
    <row r="970" spans="1:263" ht="15" customHeight="1">
      <c r="A970" s="19">
        <v>102023133</v>
      </c>
      <c r="B970" s="18" t="s">
        <v>4362</v>
      </c>
      <c r="D970" s="1"/>
      <c r="E970" s="3"/>
      <c r="F970" s="3"/>
      <c r="J970" s="18" t="s">
        <v>554</v>
      </c>
      <c r="K970" s="18" t="s">
        <v>4474</v>
      </c>
      <c r="L970" s="18" t="s">
        <v>4475</v>
      </c>
      <c r="M970" s="18" t="s">
        <v>537</v>
      </c>
      <c r="N970" s="18"/>
      <c r="O970" s="19"/>
      <c r="P970" s="18" t="s">
        <v>4474</v>
      </c>
      <c r="Q970" s="18" t="s">
        <v>4476</v>
      </c>
      <c r="R970" s="18" t="s">
        <v>403</v>
      </c>
      <c r="S970" s="18"/>
      <c r="AG970" s="43"/>
      <c r="AJ970" s="18"/>
      <c r="AM970"/>
      <c r="AN970"/>
      <c r="AO970" s="18" t="s">
        <v>4477</v>
      </c>
      <c r="AP970" s="3" t="s">
        <v>258</v>
      </c>
      <c r="AQ970" s="18" t="s">
        <v>329</v>
      </c>
      <c r="AR970" t="s">
        <v>260</v>
      </c>
      <c r="AX970" s="1"/>
      <c r="AY970" s="1"/>
      <c r="AZ970" s="1"/>
      <c r="BA970" s="1"/>
      <c r="BB970" s="1"/>
      <c r="BC970" s="2"/>
      <c r="BD970" s="116"/>
      <c r="BE970" s="115"/>
      <c r="BF970" s="2"/>
      <c r="BG970" s="2"/>
      <c r="BH970" s="2"/>
      <c r="BI970" s="2"/>
      <c r="BJ970" s="2"/>
      <c r="BK970" s="2"/>
      <c r="BL970" s="20">
        <f ca="1">SUM(DP970)+220</f>
        <v>767.86959999999999</v>
      </c>
      <c r="BM970" s="22">
        <f ca="1">PMT(10%/12,12,BL970,0,0)</f>
        <v>-67.507937160952565</v>
      </c>
      <c r="BN970" s="22">
        <f ca="1">SUM(BM970*-1)</f>
        <v>67.507937160952565</v>
      </c>
      <c r="BO970" s="14">
        <f>SUM(DX970*0.0052)/12</f>
        <v>21.276666666666667</v>
      </c>
      <c r="BP970" s="22">
        <f ca="1">SUM(BN970+BO970)</f>
        <v>88.784603827619236</v>
      </c>
      <c r="BQ970" s="14"/>
      <c r="BR970" s="14">
        <f>SUM(BQ970*0.1)</f>
        <v>0</v>
      </c>
      <c r="BS970" s="14">
        <f ca="1">SUM(BT970*BU970)</f>
        <v>0</v>
      </c>
      <c r="BT970" s="17">
        <f>SUM((BQ970+BR970)*0.00833333333333333)</f>
        <v>0</v>
      </c>
      <c r="BU970" s="23">
        <f ca="1">MONTH(TODAY())+49</f>
        <v>53</v>
      </c>
      <c r="BV970" s="14">
        <f ca="1">SUM(BQ970,BR970,BS970)</f>
        <v>0</v>
      </c>
      <c r="BW970" s="14"/>
      <c r="BX970" s="14">
        <f>SUM(BW970*0.1)</f>
        <v>0</v>
      </c>
      <c r="BY970" s="14">
        <f ca="1">SUM(BZ970*CA970)</f>
        <v>0</v>
      </c>
      <c r="BZ970" s="17">
        <f>SUM((BW970+BX970)*0.00833333333333333)</f>
        <v>0</v>
      </c>
      <c r="CA970" s="23">
        <f ca="1">MONTH(TODAY())+37</f>
        <v>41</v>
      </c>
      <c r="CB970" s="14">
        <f ca="1">SUM(BW970,BX970,BY970)</f>
        <v>0</v>
      </c>
      <c r="CC970" s="14">
        <v>0</v>
      </c>
      <c r="CD970" s="14">
        <f>SUM(CC970*0.1)</f>
        <v>0</v>
      </c>
      <c r="CE970" s="14">
        <f ca="1">SUM(CF970*CG970)</f>
        <v>0</v>
      </c>
      <c r="CF970" s="17">
        <f>SUM((CC970+CD970)*0.00833333333333333)</f>
        <v>0</v>
      </c>
      <c r="CG970" s="23">
        <f ca="1">MONTH(TODAY())+25</f>
        <v>29</v>
      </c>
      <c r="CH970" s="14">
        <f ca="1">SUM(CC970,CD970,CE970)</f>
        <v>0</v>
      </c>
      <c r="CI970" s="14">
        <f>SUM(DU970*0.0052)</f>
        <v>217.88</v>
      </c>
      <c r="CJ970" s="14">
        <f>SUM(CI970*0.1)</f>
        <v>21.788</v>
      </c>
      <c r="CK970" s="14">
        <f ca="1">SUM(CL970*CM970)</f>
        <v>33.952966666666654</v>
      </c>
      <c r="CL970" s="17">
        <f>SUM((CI970+CJ970)*0.00833333333333333)</f>
        <v>1.9972333333333325</v>
      </c>
      <c r="CM970" s="23">
        <f ca="1">MONTH(TODAY())+13</f>
        <v>17</v>
      </c>
      <c r="CN970" s="14">
        <f ca="1">SUM(CI970,CJ970,CK970)</f>
        <v>273.62096666666667</v>
      </c>
      <c r="CO970" s="14">
        <f>SUM(DU970*0.0052)/2</f>
        <v>108.94</v>
      </c>
      <c r="CP970" s="14">
        <f>SUM(CO970*0.1)</f>
        <v>10.894</v>
      </c>
      <c r="CQ970" s="14">
        <f ca="1">SUM(CR970*CS970)</f>
        <v>8.987549999999997</v>
      </c>
      <c r="CR970" s="17">
        <f>SUM((CO970+CP970)*0.00833333333333333)</f>
        <v>0.99861666666666626</v>
      </c>
      <c r="CS970" s="23">
        <f ca="1">MONTH(TODAY())+5</f>
        <v>9</v>
      </c>
      <c r="CT970" s="23">
        <f ca="1">SUM(CO970,CP970,CQ970)</f>
        <v>128.82155</v>
      </c>
      <c r="CU970" s="14">
        <f>SUM(DU970*0.0052)/2</f>
        <v>108.94</v>
      </c>
      <c r="CV970" s="14">
        <f>SUM(CU970*0.1)</f>
        <v>10.894</v>
      </c>
      <c r="CW970" s="14">
        <f ca="1">SUM(CX970*CY970)</f>
        <v>4.9930833333333311</v>
      </c>
      <c r="CX970" s="17">
        <f>SUM((CU970+CV970)*0.00833333333333333)</f>
        <v>0.99861666666666626</v>
      </c>
      <c r="CY970" s="23">
        <f ca="1">MONTH(TODAY())+1</f>
        <v>5</v>
      </c>
      <c r="CZ970" s="23">
        <f ca="1">SUM(CU970,CV970,CW970)</f>
        <v>124.82708333333333</v>
      </c>
      <c r="DA970" s="14">
        <f>SUM( BQ970, BW970, CC970, CI970, CO970,CU970)</f>
        <v>435.76</v>
      </c>
      <c r="DB970" s="14">
        <f>SUM(BR970,BX970,CD970,CJ970, CP970,CV970)</f>
        <v>43.576000000000001</v>
      </c>
      <c r="DC970" s="14">
        <f ca="1">SUM(BS970,BY970,CE970,CK970, CQ970,CW970)</f>
        <v>47.933599999999984</v>
      </c>
      <c r="DD970" s="25">
        <f ca="1">SUM(DA970:DC970)</f>
        <v>527.26959999999997</v>
      </c>
      <c r="DE970" s="47">
        <f ca="1">SUM(DD970/DU970)</f>
        <v>1.2584E-2</v>
      </c>
      <c r="DF970" s="14">
        <v>20</v>
      </c>
      <c r="DG970" s="32">
        <f>COUNTIF(DL970, "*")+COUNTIF(AO970, "*")+COUNTIF(AJ970, "*")+COUNTIF(AA970, "*")+COUNTIF(EM970, "*")+COUNTIF(ES970, "*")+COUNTIF(EY970, "*")+COUNTIF(FC970, "*")+COUNTIF(FJ970, "*")+COUNTIF(AT970, "*")+COUNTIF(FS970, "*")+COUNTIF(GD970, "*")+COUNTIF(GO970, "*")+COUNTIF(GW970, "*")+COUNTIF(HE970, "*")+COUNTIF(HM970, "*")+COUNTIF(HU970, "*")</f>
        <v>1</v>
      </c>
      <c r="DH970" s="14">
        <f>DG970*0.6</f>
        <v>0.6</v>
      </c>
      <c r="DI970" s="4"/>
      <c r="DJ970" s="4"/>
      <c r="DK970" s="4"/>
      <c r="DL970" s="4"/>
      <c r="DN970" s="4"/>
      <c r="DO970" s="14">
        <f>SUM(DJ970:DN970)</f>
        <v>0</v>
      </c>
      <c r="DP970" s="14">
        <f ca="1">SUM(DD970,DF970,DO970, DI970, DH970,FP970)</f>
        <v>547.86959999999999</v>
      </c>
      <c r="DQ970" s="24" t="s">
        <v>3879</v>
      </c>
      <c r="DR970" s="130">
        <v>4.9800000000000004</v>
      </c>
      <c r="DS970" s="14">
        <v>27900</v>
      </c>
      <c r="DT970" s="14">
        <v>14000</v>
      </c>
      <c r="DU970" s="14">
        <v>41900</v>
      </c>
      <c r="DV970" s="14">
        <v>35900</v>
      </c>
      <c r="DW970" s="14">
        <v>13200</v>
      </c>
      <c r="DX970" s="14">
        <f>SUM(DV970+DW970)</f>
        <v>49100</v>
      </c>
      <c r="IA970" s="9"/>
      <c r="IL970" s="14">
        <f ca="1">SUM(IB970-DP970-FP970-IJ970)</f>
        <v>-547.86959999999999</v>
      </c>
      <c r="IM970" s="9"/>
      <c r="IN970" s="9"/>
      <c r="IO970" s="9"/>
      <c r="IP970" s="9"/>
      <c r="IQ970" s="9"/>
    </row>
    <row r="971" spans="1:263" ht="15" customHeight="1">
      <c r="A971" s="2">
        <v>102019006</v>
      </c>
      <c r="B971" s="4" t="s">
        <v>539</v>
      </c>
      <c r="C971" s="5"/>
      <c r="D971" s="5"/>
      <c r="E971" s="5"/>
      <c r="F971" s="3"/>
      <c r="G971">
        <v>190000625</v>
      </c>
      <c r="J971" t="s">
        <v>253</v>
      </c>
      <c r="K971" t="s">
        <v>540</v>
      </c>
      <c r="L971" t="s">
        <v>541</v>
      </c>
      <c r="O971" s="1"/>
      <c r="AC971" s="1"/>
      <c r="AG971"/>
      <c r="AJ971" s="4"/>
      <c r="AK971" s="3"/>
      <c r="AO971" s="4"/>
      <c r="AP971" s="5"/>
      <c r="AS971" s="5"/>
      <c r="AT971" s="5"/>
      <c r="AU971" s="1"/>
      <c r="AV971" s="1"/>
      <c r="AW971" s="1"/>
      <c r="AX971" s="1"/>
      <c r="AY971" s="1"/>
      <c r="AZ971" s="1"/>
      <c r="BA971" s="1"/>
      <c r="BB971" s="1"/>
      <c r="BC971" s="1"/>
      <c r="BD971" s="1"/>
      <c r="BE971" s="1"/>
      <c r="BF971" s="1"/>
      <c r="BG971" s="5"/>
      <c r="BH971" s="16"/>
      <c r="BI971" s="16"/>
      <c r="BJ971" s="4"/>
      <c r="BK971" s="4"/>
      <c r="BL971" s="4"/>
      <c r="BM971" s="6"/>
      <c r="BN971" s="7"/>
      <c r="BO971" s="4"/>
      <c r="BQ971" s="4"/>
      <c r="BR971" s="4"/>
      <c r="BS971" s="6"/>
      <c r="BT971" s="7"/>
      <c r="BU971" s="4"/>
      <c r="BV971" s="4"/>
      <c r="BW971" s="4"/>
      <c r="BX971" s="4"/>
      <c r="BY971" s="6"/>
      <c r="BZ971" s="7"/>
      <c r="CA971" s="4"/>
      <c r="CB971" s="4"/>
      <c r="CC971" s="4"/>
      <c r="CD971" s="4"/>
      <c r="CE971" s="6"/>
      <c r="CF971" s="7"/>
      <c r="CG971" s="4"/>
      <c r="CH971" s="4"/>
      <c r="CI971" s="4"/>
      <c r="CJ971" s="4"/>
      <c r="CK971" s="6"/>
      <c r="CL971" s="7"/>
      <c r="CM971" s="4"/>
      <c r="CN971" s="4"/>
      <c r="CO971" s="4"/>
      <c r="CP971" s="4"/>
      <c r="CQ971" s="6"/>
      <c r="CR971" s="7"/>
      <c r="CS971" s="4"/>
      <c r="CT971" s="4"/>
      <c r="CU971" s="4"/>
      <c r="CV971" s="4"/>
      <c r="CW971" s="6"/>
      <c r="CX971" s="7"/>
      <c r="CY971" s="4"/>
      <c r="CZ971" s="4"/>
      <c r="DA971" s="4"/>
      <c r="DB971" s="4"/>
      <c r="DC971" s="6"/>
      <c r="DD971" s="7"/>
      <c r="DE971" s="4"/>
      <c r="DF971" s="4"/>
      <c r="DG971" s="4"/>
      <c r="DH971" s="14"/>
      <c r="DI971" s="14"/>
      <c r="DJ971" s="4"/>
      <c r="DK971" s="3"/>
      <c r="DL971" s="4"/>
      <c r="DM971" s="234"/>
      <c r="DN971" s="4"/>
      <c r="DO971" s="4"/>
      <c r="DP971" s="4"/>
      <c r="DQ971" s="4"/>
      <c r="DR971" s="4"/>
      <c r="DS971" s="4"/>
      <c r="DT971" s="7"/>
      <c r="DU971" s="8"/>
      <c r="DV971" s="4"/>
      <c r="DW971" s="4"/>
      <c r="DX971" s="4"/>
      <c r="DY971" s="4"/>
      <c r="DZ971" s="33"/>
      <c r="EA971" s="251"/>
      <c r="EB971" s="251"/>
      <c r="EI971" s="11"/>
      <c r="EO971" s="11"/>
      <c r="EP971" s="11"/>
      <c r="EQ971" s="4"/>
      <c r="ER971" s="4"/>
      <c r="ES971" s="4"/>
      <c r="ET971" s="4"/>
      <c r="EU971" s="4"/>
      <c r="EV971" s="4"/>
      <c r="EW971" s="4"/>
      <c r="EX971" s="4"/>
      <c r="EY971" s="4"/>
      <c r="EZ971" s="4"/>
      <c r="FA971" s="4"/>
      <c r="FB971" s="4"/>
      <c r="FC971" s="4"/>
      <c r="FD971" s="4"/>
      <c r="FE971" s="4"/>
      <c r="FI971" s="9"/>
      <c r="FR971" s="9"/>
      <c r="FX971" s="4"/>
      <c r="GC971" s="10"/>
      <c r="GM971" s="10"/>
      <c r="HB971" s="9"/>
      <c r="II971" s="9"/>
      <c r="IJ971" s="4"/>
      <c r="IK971" s="4"/>
      <c r="IL971" s="18"/>
      <c r="IM971" s="18"/>
      <c r="IN971" s="14"/>
      <c r="IO971" s="14"/>
      <c r="IP971" s="18"/>
      <c r="IQ971" s="18"/>
      <c r="IR971" s="18"/>
      <c r="IS971" s="18"/>
      <c r="IT971" s="18"/>
      <c r="IU971" s="243"/>
      <c r="IV971" s="243"/>
    </row>
    <row r="972" spans="1:263" ht="15" customHeight="1">
      <c r="A972" s="18">
        <v>102023108</v>
      </c>
      <c r="B972" s="18" t="s">
        <v>4363</v>
      </c>
      <c r="D972" s="1"/>
      <c r="E972" s="3" t="s">
        <v>5595</v>
      </c>
      <c r="F972" s="2">
        <v>240001720</v>
      </c>
      <c r="G972" s="3" t="s">
        <v>5237</v>
      </c>
      <c r="J972" s="18"/>
      <c r="K972" s="18" t="s">
        <v>5031</v>
      </c>
      <c r="L972" s="18"/>
      <c r="M972" s="18"/>
      <c r="N972" s="18"/>
      <c r="O972" s="19"/>
      <c r="P972" s="18"/>
      <c r="Q972" s="18"/>
      <c r="R972" s="18"/>
      <c r="S972" s="18"/>
      <c r="AD972" t="s">
        <v>5853</v>
      </c>
      <c r="AE972" t="s">
        <v>311</v>
      </c>
      <c r="AF972" t="s">
        <v>5854</v>
      </c>
      <c r="AG972" t="s">
        <v>5855</v>
      </c>
      <c r="AH972" s="18" t="s">
        <v>5032</v>
      </c>
      <c r="AI972" s="18" t="s">
        <v>329</v>
      </c>
      <c r="AJ972" s="18" t="s">
        <v>328</v>
      </c>
      <c r="AK972" s="1"/>
      <c r="AL972" s="18" t="s">
        <v>329</v>
      </c>
      <c r="AM972"/>
      <c r="AN972"/>
      <c r="AO972" t="s">
        <v>4107</v>
      </c>
      <c r="AP972" s="1" t="s">
        <v>258</v>
      </c>
      <c r="AQ972" t="s">
        <v>4108</v>
      </c>
      <c r="AR972" t="s">
        <v>1668</v>
      </c>
      <c r="AS972" s="10"/>
      <c r="AT972" s="10"/>
      <c r="AU972" s="10"/>
      <c r="AV972" s="10"/>
      <c r="AW972" s="10"/>
      <c r="AX972" s="1"/>
      <c r="AY972" s="1" t="s">
        <v>258</v>
      </c>
      <c r="AZ972" s="1"/>
      <c r="BA972" s="1"/>
      <c r="BB972" s="1"/>
      <c r="BC972" s="48">
        <v>45393</v>
      </c>
      <c r="BD972" s="48">
        <v>45361</v>
      </c>
      <c r="BE972" s="144">
        <v>45315</v>
      </c>
      <c r="BF972" s="2"/>
      <c r="BG972" s="2"/>
      <c r="BH972" s="2"/>
      <c r="BI972" s="2"/>
      <c r="BJ972" s="70"/>
      <c r="BK972" s="70"/>
      <c r="BL972" s="20">
        <f ca="1">SUM(EH972)+220</f>
        <v>1435.4740000000002</v>
      </c>
      <c r="BM972" s="22">
        <f ca="1">PMT(10%/12,12,BL972,0,0)</f>
        <v>-126.20097030561081</v>
      </c>
      <c r="BN972" s="22">
        <f ca="1">SUM(BM972*-1)</f>
        <v>126.20097030561081</v>
      </c>
      <c r="BO972" s="14">
        <f>SUM(EP972*0.0052)/12</f>
        <v>6.6733333333333329</v>
      </c>
      <c r="BP972" s="22">
        <f ca="1">SUM(BN972+BO972)</f>
        <v>132.87430363894416</v>
      </c>
      <c r="BQ972" s="14"/>
      <c r="BR972" s="14">
        <f>SUM(BQ972*0.1)</f>
        <v>0</v>
      </c>
      <c r="BS972" s="14">
        <f ca="1">SUM(BT972*BU972)</f>
        <v>0</v>
      </c>
      <c r="BT972" s="17">
        <f>SUM((BQ972+BR972)*0.00833333333333333)</f>
        <v>0</v>
      </c>
      <c r="BU972" s="23">
        <f ca="1">MONTH(TODAY())+49</f>
        <v>53</v>
      </c>
      <c r="BV972" s="14">
        <f ca="1">SUM(BQ972,BR972,BS972)</f>
        <v>0</v>
      </c>
      <c r="BW972" s="14">
        <v>0</v>
      </c>
      <c r="BX972" s="14">
        <f>SUM(BW972*0.1)</f>
        <v>0</v>
      </c>
      <c r="BY972" s="14">
        <f ca="1">SUM(BZ972*CA972)</f>
        <v>0</v>
      </c>
      <c r="BZ972" s="17">
        <f>SUM((BW972+BX972)*0.00833333333333333)</f>
        <v>0</v>
      </c>
      <c r="CA972" s="23">
        <f ca="1">MONTH(TODAY())+37</f>
        <v>41</v>
      </c>
      <c r="CB972" s="14">
        <f ca="1">SUM(BW972,BX972,BY972)</f>
        <v>0</v>
      </c>
      <c r="CC972" s="14">
        <f>SUM(EM972*0.0052)</f>
        <v>59.8</v>
      </c>
      <c r="CD972" s="14">
        <f>SUM(CC972*0.1)</f>
        <v>5.98</v>
      </c>
      <c r="CE972" s="14">
        <f ca="1">SUM(CF972*CG972)</f>
        <v>15.896833333333328</v>
      </c>
      <c r="CF972" s="17">
        <f>SUM((CC972+CD972)*0.00833333333333333)</f>
        <v>0.54816666666666647</v>
      </c>
      <c r="CG972" s="23">
        <f ca="1">MONTH(TODAY())+25</f>
        <v>29</v>
      </c>
      <c r="CH972" s="14">
        <f ca="1">SUM(CC972,CD972,CE972)</f>
        <v>81.676833333333335</v>
      </c>
      <c r="CI972" s="14">
        <f>SUM(EM972*0.0052)/2</f>
        <v>29.9</v>
      </c>
      <c r="CJ972" s="14">
        <f>SUM(CI972*0.1)</f>
        <v>2.99</v>
      </c>
      <c r="CK972" s="14">
        <f ca="1">SUM(CL972*CM972)</f>
        <v>5.7557499999999981</v>
      </c>
      <c r="CL972" s="17">
        <f>SUM((CI972+CJ972)*0.00833333333333333)</f>
        <v>0.27408333333333323</v>
      </c>
      <c r="CM972" s="23">
        <f ca="1">MONTH(TODAY())+17</f>
        <v>21</v>
      </c>
      <c r="CN972" s="23">
        <f ca="1">SUM(CI972,CJ972,CK972)</f>
        <v>38.64575</v>
      </c>
      <c r="CO972" s="14">
        <f>SUM(EM972*0.0052)/2</f>
        <v>29.9</v>
      </c>
      <c r="CP972" s="14">
        <f>SUM(CO972*0.1)</f>
        <v>2.99</v>
      </c>
      <c r="CQ972" s="14">
        <f ca="1">SUM(CR972*CS972)</f>
        <v>4.6594166666666652</v>
      </c>
      <c r="CR972" s="17">
        <f>SUM((CO972+CP972)*0.00833333333333333)</f>
        <v>0.27408333333333323</v>
      </c>
      <c r="CS972" s="23">
        <f ca="1">MONTH(TODAY())+13</f>
        <v>17</v>
      </c>
      <c r="CT972" s="23">
        <f ca="1">SUM(CO972,CP972,CQ972)</f>
        <v>37.549416666666666</v>
      </c>
      <c r="CU972" s="14">
        <f>SUM(EP972*0.0045)/2</f>
        <v>34.65</v>
      </c>
      <c r="CV972" s="14">
        <f>SUM(CU972*0.1)</f>
        <v>3.4649999999999999</v>
      </c>
      <c r="CW972" s="14">
        <f ca="1">SUM(CX972*CY972)</f>
        <v>3.4938749999999983</v>
      </c>
      <c r="CX972" s="17">
        <f>SUM((CU972+CV972)*0.00833333333333333)</f>
        <v>0.31762499999999982</v>
      </c>
      <c r="CY972" s="23">
        <f ca="1">MONTH(TODAY())+7</f>
        <v>11</v>
      </c>
      <c r="CZ972" s="23">
        <f ca="1">SUM(CU972,CV972,CW972)</f>
        <v>41.608874999999991</v>
      </c>
      <c r="DA972" s="14">
        <f>SUM(EP972*0.0045)/2</f>
        <v>34.65</v>
      </c>
      <c r="DB972" s="14">
        <f>SUM(DA972*0.1)</f>
        <v>3.4649999999999999</v>
      </c>
      <c r="DC972" s="14">
        <f ca="1">SUM(DD972*DE972)</f>
        <v>1.5881249999999991</v>
      </c>
      <c r="DD972" s="17">
        <f>SUM((DA972+DB972)*0.00833333333333333)</f>
        <v>0.31762499999999982</v>
      </c>
      <c r="DE972" s="23">
        <f ca="1">MONTH(TODAY())+1</f>
        <v>5</v>
      </c>
      <c r="DF972" s="14">
        <f ca="1">SUM(DA972,DB972,DC972)</f>
        <v>39.703124999999993</v>
      </c>
      <c r="DG972" s="14">
        <f>SUM(EP972*0.0045)/2</f>
        <v>34.65</v>
      </c>
      <c r="DH972" s="14">
        <f>0</f>
        <v>0</v>
      </c>
      <c r="DI972" s="14">
        <f>0</f>
        <v>0</v>
      </c>
      <c r="DJ972" s="17">
        <f>SUM((DG972+DH972)*0.00833333333333333)</f>
        <v>0.28874999999999984</v>
      </c>
      <c r="DK972" s="23">
        <f ca="1">MONTH(TODAY())+7</f>
        <v>11</v>
      </c>
      <c r="DL972" s="23">
        <f>SUM(DG972,DH972,DI972)</f>
        <v>34.65</v>
      </c>
      <c r="DM972" s="14">
        <f>0</f>
        <v>0</v>
      </c>
      <c r="DN972" s="14">
        <f>0</f>
        <v>0</v>
      </c>
      <c r="DO972" s="14">
        <f ca="1">SUM(DP972*DQ972)</f>
        <v>0</v>
      </c>
      <c r="DP972" s="17">
        <f>SUM((DM972+DN972)*0.00833333333333333)</f>
        <v>0</v>
      </c>
      <c r="DQ972" s="23">
        <f ca="1">MONTH(TODAY())+1</f>
        <v>5</v>
      </c>
      <c r="DR972" s="14">
        <f ca="1">SUM(DM972,DN972,DO972)</f>
        <v>0</v>
      </c>
      <c r="DS972" s="14">
        <f>SUM(BQ972, BW972, CC972, CI972,CO972,CU972,DA972,DG972,DM972)</f>
        <v>223.55</v>
      </c>
      <c r="DT972" s="14">
        <f>SUM(BR972,BX972,CD972, CJ972,CP972,CV972,DB972,DH972,DN972)</f>
        <v>18.89</v>
      </c>
      <c r="DU972" s="14">
        <f ca="1">SUM(BS972,BY972,CE972, CK972,CQ972,CW972,DC972,DI972,DO972)</f>
        <v>31.393999999999988</v>
      </c>
      <c r="DV972" s="25">
        <f ca="1">SUM(DS972:DU972)</f>
        <v>273.834</v>
      </c>
      <c r="DW972" s="47">
        <f ca="1">SUM(DV972/EM972)</f>
        <v>2.3811652173913043E-2</v>
      </c>
      <c r="DX972" s="14">
        <f>20+40+40+200+20+200+60</f>
        <v>580</v>
      </c>
      <c r="DY972" s="32">
        <f>COUNTIF(AO972, "*")+COUNTIF(AJ972, "*")+COUNTIF(AA972, "*")+COUNTIF(FA972, "*")+COUNTIF(FG972, "*")+COUNTIF(FM972, "*")+COUNTIF(FQ972, "*")+COUNTIF(FX972, "*")+COUNTIF(AT972, "*")+COUNTIF(GG972, "*")+COUNTIF(GR972, "*")+COUNTIF(HC972, "*")+COUNTIF(HK972, "*")+COUNTIF(HS972, "*")+COUNTIF(IA972, "*")</f>
        <v>6</v>
      </c>
      <c r="DZ972" s="14">
        <f>1.2+DY972*8</f>
        <v>49.2</v>
      </c>
      <c r="EA972" s="4">
        <v>250</v>
      </c>
      <c r="EB972" s="4">
        <v>62.44</v>
      </c>
      <c r="EC972" s="4"/>
      <c r="ED972" s="4"/>
      <c r="EF972" s="4"/>
      <c r="EG972" s="14">
        <f>SUM(EB972:EF972)</f>
        <v>62.44</v>
      </c>
      <c r="EH972" s="14">
        <f ca="1">SUM(DV972,DX972,EG972, EA972, DZ972,GD972)</f>
        <v>1215.4740000000002</v>
      </c>
      <c r="EI972" s="24" t="s">
        <v>4944</v>
      </c>
      <c r="EJ972" s="130">
        <v>3</v>
      </c>
      <c r="EK972" s="14">
        <v>11500</v>
      </c>
      <c r="EL972" s="14">
        <v>0</v>
      </c>
      <c r="EM972" s="14">
        <f>SUM(EK972+EL972)</f>
        <v>11500</v>
      </c>
      <c r="EN972" s="14">
        <v>15400</v>
      </c>
      <c r="EO972" s="14">
        <v>0</v>
      </c>
      <c r="EP972" s="14">
        <f>SUM(EN972+EO972)</f>
        <v>15400</v>
      </c>
      <c r="EQ972" s="10" t="s">
        <v>5034</v>
      </c>
      <c r="ER972" s="10" t="s">
        <v>5033</v>
      </c>
      <c r="ES972" s="10" t="s">
        <v>5035</v>
      </c>
      <c r="ET972" s="10"/>
      <c r="EU972" s="10"/>
      <c r="EV972" s="10"/>
      <c r="EW972" s="10"/>
      <c r="EX972" s="10"/>
      <c r="FP972" t="s">
        <v>5022</v>
      </c>
      <c r="FQ972" t="s">
        <v>5023</v>
      </c>
      <c r="FS972" t="s">
        <v>4921</v>
      </c>
      <c r="FT972" t="s">
        <v>4922</v>
      </c>
      <c r="FU972" s="9">
        <v>39514</v>
      </c>
      <c r="FV972" t="s">
        <v>5024</v>
      </c>
      <c r="FW972" t="s">
        <v>5025</v>
      </c>
      <c r="FX972" t="s">
        <v>5026</v>
      </c>
      <c r="FZ972" t="s">
        <v>5027</v>
      </c>
      <c r="GA972" t="s">
        <v>4922</v>
      </c>
      <c r="GB972" s="9">
        <v>39514</v>
      </c>
      <c r="GC972" t="s">
        <v>5024</v>
      </c>
      <c r="GE972" t="s">
        <v>5018</v>
      </c>
      <c r="GF972" t="s">
        <v>5017</v>
      </c>
      <c r="GG972" t="s">
        <v>5020</v>
      </c>
      <c r="GH972" t="s">
        <v>5019</v>
      </c>
      <c r="GI972" t="s">
        <v>274</v>
      </c>
      <c r="GJ972" t="s">
        <v>275</v>
      </c>
      <c r="GK972" s="9">
        <v>43119</v>
      </c>
      <c r="GL972" t="s">
        <v>5021</v>
      </c>
      <c r="GP972" t="s">
        <v>3444</v>
      </c>
      <c r="GQ972" t="s">
        <v>5030</v>
      </c>
      <c r="GR972" t="s">
        <v>5028</v>
      </c>
      <c r="GT972" t="s">
        <v>274</v>
      </c>
      <c r="GU972" t="s">
        <v>275</v>
      </c>
      <c r="GV972" s="9">
        <v>41709</v>
      </c>
      <c r="GW972" t="s">
        <v>5029</v>
      </c>
      <c r="IE972" s="9"/>
      <c r="IN972" s="14">
        <f ca="1">SUM(IF972-EH972-GD972-IL972)</f>
        <v>-1215.4740000000002</v>
      </c>
      <c r="IO972" s="14"/>
      <c r="IP972" s="14"/>
      <c r="IQ972" s="9"/>
      <c r="IR972" s="9"/>
      <c r="IS972" s="9"/>
      <c r="IT972" s="9"/>
      <c r="IU972" s="9"/>
    </row>
    <row r="973" spans="1:263" ht="15" customHeight="1">
      <c r="A973" s="19">
        <v>102020048</v>
      </c>
      <c r="B973" s="18" t="s">
        <v>1816</v>
      </c>
      <c r="C973" s="18"/>
      <c r="D973" s="13"/>
      <c r="E973" s="18" t="s">
        <v>1878</v>
      </c>
      <c r="F973" s="18">
        <v>200002169</v>
      </c>
      <c r="G973" s="18">
        <v>200005456</v>
      </c>
      <c r="H973" s="18"/>
      <c r="I973" s="18"/>
      <c r="J973" s="18"/>
      <c r="K973" s="18" t="s">
        <v>1748</v>
      </c>
      <c r="L973" s="18"/>
      <c r="M973" s="18"/>
      <c r="N973" s="18"/>
      <c r="O973" s="18"/>
      <c r="P973" s="18"/>
      <c r="Q973" s="18"/>
      <c r="R973" s="18"/>
      <c r="S973" s="18"/>
      <c r="T973" s="18"/>
      <c r="U973" s="18"/>
      <c r="V973" s="18"/>
      <c r="W973" s="18"/>
      <c r="X973" s="18"/>
      <c r="Y973" s="18"/>
      <c r="Z973" s="18"/>
      <c r="AA973" s="18"/>
      <c r="AB973" s="18"/>
      <c r="AC973" s="18"/>
      <c r="AD973" s="18"/>
      <c r="AE973" s="18"/>
      <c r="AF973" s="18"/>
      <c r="AG973" s="231"/>
      <c r="AH973" s="18"/>
      <c r="AI973" s="18"/>
      <c r="AJ973" s="18"/>
      <c r="AK973" s="18"/>
      <c r="AL973" s="18"/>
      <c r="AM973" s="24"/>
      <c r="AN973" s="24"/>
      <c r="AO973" s="18"/>
      <c r="AP973" s="13"/>
      <c r="AQ973" s="24"/>
      <c r="AR973" s="24"/>
      <c r="AS973" s="18"/>
      <c r="AT973" s="18"/>
      <c r="AU973" s="18"/>
      <c r="AV973" s="18"/>
      <c r="AW973" s="18"/>
      <c r="AX973" s="48"/>
      <c r="AY973" s="48"/>
      <c r="AZ973" s="48"/>
      <c r="BA973" s="19"/>
      <c r="BB973" s="19"/>
      <c r="BC973" s="19"/>
      <c r="BD973" s="19"/>
      <c r="BE973" s="48"/>
      <c r="BF973" s="19"/>
      <c r="BG973" s="20"/>
      <c r="BH973" s="22"/>
      <c r="BI973" s="22"/>
      <c r="BJ973" s="14"/>
      <c r="BK973" s="14"/>
      <c r="BL973" s="14"/>
      <c r="BM973" s="17"/>
      <c r="BN973" s="23"/>
      <c r="BO973" s="14"/>
      <c r="BP973" s="14"/>
      <c r="BQ973" s="14"/>
      <c r="BR973" s="14"/>
      <c r="BS973" s="17"/>
      <c r="BT973" s="23"/>
      <c r="BU973" s="14"/>
      <c r="BV973" s="14"/>
      <c r="BW973" s="14"/>
      <c r="BX973" s="14"/>
      <c r="BY973" s="17"/>
      <c r="BZ973" s="23"/>
      <c r="CA973" s="14"/>
      <c r="CB973" s="14"/>
      <c r="CC973" s="14"/>
      <c r="CD973" s="14"/>
      <c r="CE973" s="17"/>
      <c r="CF973" s="23"/>
      <c r="CG973" s="14"/>
      <c r="CH973" s="14"/>
      <c r="CI973" s="14"/>
      <c r="CJ973" s="14"/>
      <c r="CK973" s="17"/>
      <c r="CL973" s="23"/>
      <c r="CM973" s="14"/>
      <c r="CN973" s="14"/>
      <c r="CO973" s="14"/>
      <c r="CP973" s="14"/>
      <c r="CQ973" s="17"/>
      <c r="CR973" s="23"/>
      <c r="CS973" s="14"/>
      <c r="CT973" s="14"/>
      <c r="CU973" s="14"/>
      <c r="CV973" s="14"/>
      <c r="CW973" s="17"/>
      <c r="CX973" s="23"/>
      <c r="CY973" s="14"/>
      <c r="CZ973" s="14"/>
      <c r="DA973" s="14"/>
      <c r="DB973" s="14"/>
      <c r="DC973" s="17"/>
      <c r="DD973" s="23"/>
      <c r="DE973" s="14"/>
      <c r="DF973" s="14"/>
      <c r="DG973" s="14"/>
      <c r="DH973" s="14"/>
      <c r="DI973" s="14"/>
      <c r="DJ973" s="47"/>
      <c r="DK973" s="14"/>
      <c r="DL973" s="32"/>
      <c r="DM973" s="14"/>
      <c r="DN973" s="14"/>
      <c r="DO973" s="14"/>
      <c r="DP973" s="14"/>
      <c r="DQ973" s="14"/>
      <c r="DR973" s="14"/>
      <c r="DS973" s="23"/>
      <c r="DT973" s="25"/>
      <c r="DU973" s="14"/>
      <c r="DV973" s="24"/>
      <c r="DW973" s="25"/>
      <c r="DX973" s="25"/>
      <c r="DY973" s="25"/>
      <c r="DZ973" s="36"/>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27"/>
      <c r="FJ973" s="18"/>
      <c r="FK973" s="18"/>
      <c r="FL973" s="18"/>
      <c r="FM973" s="18"/>
      <c r="FN973" s="18"/>
      <c r="FO973" s="18"/>
      <c r="FP973" s="27"/>
      <c r="FQ973" s="18"/>
      <c r="FR973" s="18"/>
      <c r="FS973" s="18"/>
      <c r="FT973" s="18"/>
      <c r="FU973" s="18"/>
      <c r="FV973" s="18"/>
      <c r="FW973" s="18"/>
      <c r="FX973" s="18"/>
      <c r="FY973" s="18"/>
      <c r="FZ973" s="18"/>
      <c r="GA973" s="18"/>
      <c r="GB973" s="18"/>
      <c r="GC973" s="18"/>
      <c r="GD973" s="18"/>
      <c r="GE973" s="27"/>
      <c r="GF973" s="18"/>
      <c r="GG973" s="18"/>
      <c r="GH973" s="18"/>
      <c r="GI973" s="18"/>
      <c r="GJ973" s="18"/>
      <c r="GK973" s="18"/>
      <c r="GL973" s="18"/>
      <c r="GM973" s="18"/>
      <c r="GN973" s="18"/>
      <c r="GO973" s="18"/>
      <c r="GP973" s="27"/>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27"/>
      <c r="IJ973" s="18"/>
      <c r="IK973" s="18"/>
      <c r="IL973" s="9"/>
      <c r="IM973" s="9"/>
      <c r="IN973" s="9"/>
    </row>
    <row r="974" spans="1:263" ht="15" customHeight="1">
      <c r="A974" s="19">
        <v>102022119</v>
      </c>
      <c r="B974" t="s">
        <v>2858</v>
      </c>
      <c r="D974" s="1"/>
      <c r="E974" s="3"/>
      <c r="F974" s="3"/>
      <c r="J974" t="s">
        <v>311</v>
      </c>
      <c r="K974" t="s">
        <v>3129</v>
      </c>
      <c r="L974" t="s">
        <v>3130</v>
      </c>
      <c r="M974" t="s">
        <v>763</v>
      </c>
      <c r="AG974" s="43"/>
      <c r="AJ974" t="s">
        <v>3131</v>
      </c>
      <c r="AK974" t="s">
        <v>258</v>
      </c>
      <c r="AL974" t="s">
        <v>329</v>
      </c>
      <c r="AM974" t="s">
        <v>260</v>
      </c>
      <c r="AN974"/>
      <c r="AO974" s="3" t="s">
        <v>3132</v>
      </c>
      <c r="AP974" s="3" t="s">
        <v>258</v>
      </c>
      <c r="AQ974" t="s">
        <v>3133</v>
      </c>
      <c r="AR974"/>
      <c r="AS974" s="1"/>
      <c r="AT974" s="1"/>
      <c r="AU974" s="1"/>
      <c r="AV974" s="1"/>
      <c r="AW974" s="1"/>
      <c r="AX974" s="2"/>
      <c r="AY974" s="115">
        <v>44654</v>
      </c>
      <c r="AZ974" s="115">
        <v>44638</v>
      </c>
      <c r="BA974" s="2"/>
      <c r="BB974" s="2"/>
      <c r="BC974" s="2"/>
      <c r="BD974" s="2"/>
      <c r="BE974" s="2"/>
      <c r="BF974" s="2"/>
      <c r="BG974" s="20">
        <f ca="1">SUM(CY974)+214.5</f>
        <v>1184.8369142857141</v>
      </c>
      <c r="BH974" s="22">
        <f ca="1">PMT(10%/12,12,BG974,0,0)</f>
        <v>-104.16598854229538</v>
      </c>
      <c r="BI974" s="22">
        <f ca="1">SUM(BH974*-1)</f>
        <v>104.16598854229538</v>
      </c>
      <c r="BJ974" s="14">
        <f>SUM(DI974*0.0052)/12</f>
        <v>19.326666666666664</v>
      </c>
      <c r="BK974" s="22">
        <f ca="1">SUM(BI974+BJ974)</f>
        <v>123.49265520896205</v>
      </c>
      <c r="BL974" s="14"/>
      <c r="BM974" s="14">
        <f>SUM(BL974*0.1)</f>
        <v>0</v>
      </c>
      <c r="BN974" s="14">
        <f ca="1">SUM(BO974*BP974)</f>
        <v>0</v>
      </c>
      <c r="BO974" s="17">
        <f>SUM((BL974+BM974)*0.00833333333333333)</f>
        <v>0</v>
      </c>
      <c r="BP974" s="23">
        <f ca="1">MONTH(TODAY())+49</f>
        <v>53</v>
      </c>
      <c r="BQ974" s="14">
        <f ca="1">SUM(BL974,BM974,BN974)</f>
        <v>0</v>
      </c>
      <c r="BR974" s="14"/>
      <c r="BS974" s="14">
        <f>SUM(BR974*0.1)</f>
        <v>0</v>
      </c>
      <c r="BT974" s="14">
        <f ca="1">SUM(BU974*BV974)</f>
        <v>0</v>
      </c>
      <c r="BU974" s="17">
        <f>SUM((BR974+BS974)*0.00833333333333333)</f>
        <v>0</v>
      </c>
      <c r="BV974" s="23">
        <f ca="1">MONTH(TODAY())+37</f>
        <v>41</v>
      </c>
      <c r="BW974" s="14">
        <f ca="1">SUM(BR974,BS974,BT974)</f>
        <v>0</v>
      </c>
      <c r="BX974" s="14"/>
      <c r="BY974" s="14">
        <f>SUM(BX974*0.1)</f>
        <v>0</v>
      </c>
      <c r="BZ974" s="14">
        <f ca="1">SUM(CA974*CB974)</f>
        <v>0</v>
      </c>
      <c r="CA974" s="17">
        <f>SUM((BX974+BY974)*0.00833333333333333)</f>
        <v>0</v>
      </c>
      <c r="CB974" s="23">
        <f ca="1">MONTH(TODAY())+25</f>
        <v>29</v>
      </c>
      <c r="CC974" s="14">
        <f ca="1">SUM(BX974,BY974,BZ974)</f>
        <v>0</v>
      </c>
      <c r="CD974" s="14">
        <f>SUM(DI974*0.0052)</f>
        <v>231.92</v>
      </c>
      <c r="CE974" s="14">
        <f>SUM(CD974*0.1)</f>
        <v>23.192</v>
      </c>
      <c r="CF974" s="14">
        <f ca="1">SUM(CG974*CH974)</f>
        <v>36.140866666666653</v>
      </c>
      <c r="CG974" s="17">
        <f>SUM((CD974+CE974)*0.00833333333333333)</f>
        <v>2.1259333333333323</v>
      </c>
      <c r="CH974" s="23">
        <f ca="1">MONTH(TODAY())+13</f>
        <v>17</v>
      </c>
      <c r="CI974" s="14">
        <f ca="1">SUM(CD974,CE974,CF974)</f>
        <v>291.25286666666665</v>
      </c>
      <c r="CJ974" s="14">
        <f>SUM(DI974*0.0052)</f>
        <v>231.92</v>
      </c>
      <c r="CK974" s="14">
        <f>SUM(CJ974*0.1)</f>
        <v>23.192</v>
      </c>
      <c r="CL974" s="14">
        <f ca="1">SUM(CM974*CN974)</f>
        <v>10.629666666666662</v>
      </c>
      <c r="CM974" s="17">
        <f>SUM((CJ974+CK974)*0.00833333333333333)</f>
        <v>2.1259333333333323</v>
      </c>
      <c r="CN974" s="23">
        <f ca="1">MONTH(TODAY())+1</f>
        <v>5</v>
      </c>
      <c r="CO974" s="14">
        <f ca="1">SUM(CJ974,CK974,CL974)</f>
        <v>265.74166666666667</v>
      </c>
      <c r="CP974" s="14">
        <f t="shared" ref="CP974:CR976" si="343">SUM(BL974, BR974,BX974,CD974,CJ974)</f>
        <v>463.84</v>
      </c>
      <c r="CQ974" s="14">
        <f t="shared" si="343"/>
        <v>46.384</v>
      </c>
      <c r="CR974" s="14">
        <f t="shared" ca="1" si="343"/>
        <v>46.770533333333319</v>
      </c>
      <c r="CS974" s="14">
        <f ca="1">SUM(CP974:CR974)</f>
        <v>556.99453333333327</v>
      </c>
      <c r="CT974" s="47">
        <f ca="1">SUM(CS974/DI974)</f>
        <v>1.2488666666666665E-2</v>
      </c>
      <c r="CU974" s="14">
        <f>19.5+195</f>
        <v>214.5</v>
      </c>
      <c r="CV974" s="32">
        <f>COUNTIF(DB974, "*")+COUNTIF(AO974, "*")+COUNTIF(AJ974, "*")+COUNTIF(AA974, "*")+COUNTIF(DY974, "*")+COUNTIF(EE974, "*")+COUNTIF(EK974, "*")+COUNTIF(EO974, "*")+COUNTIF(EV974, "*")+COUNTIF(FC974, "*")+COUNTIF(FJ974, "*")+COUNTIF(FU974, "*")+COUNTIF(GF974, "*")+COUNTIF(GN974, "*")+COUNTIF(GV974, "*")+COUNTIF(HD974, "*")+COUNTIF(HL974, "*")</f>
        <v>3</v>
      </c>
      <c r="CW974" s="14">
        <f>CV974*0.5+CV974*6.66</f>
        <v>21.48</v>
      </c>
      <c r="CX974" s="4">
        <v>150</v>
      </c>
      <c r="CY974" s="14">
        <f ca="1">SUM(CS974,CU974,DE974, CX974, CW974,FG974)</f>
        <v>970.33691428571422</v>
      </c>
      <c r="CZ974" s="14">
        <v>27.362380952380899</v>
      </c>
      <c r="DE974" s="14">
        <f>SUM(CZ974:DD974)</f>
        <v>27.362380952380899</v>
      </c>
      <c r="DF974" s="24" t="s">
        <v>2773</v>
      </c>
      <c r="DG974" s="4">
        <v>40400</v>
      </c>
      <c r="DH974" s="4">
        <v>4200</v>
      </c>
      <c r="DI974" s="25">
        <f>SUM(DG974+DH974)</f>
        <v>44600</v>
      </c>
      <c r="DJ974" s="35">
        <v>9.0399999999999991</v>
      </c>
      <c r="DK974" t="s">
        <v>3537</v>
      </c>
      <c r="DL974" t="s">
        <v>3535</v>
      </c>
      <c r="DM974" t="s">
        <v>3536</v>
      </c>
      <c r="DW974" t="s">
        <v>3531</v>
      </c>
      <c r="DY974" t="s">
        <v>3532</v>
      </c>
      <c r="EA974" t="s">
        <v>3533</v>
      </c>
      <c r="IC974" s="4"/>
    </row>
    <row r="975" spans="1:263" ht="15" customHeight="1">
      <c r="A975" s="19">
        <v>102022120</v>
      </c>
      <c r="B975" t="s">
        <v>2859</v>
      </c>
      <c r="D975" s="1"/>
      <c r="E975" s="3"/>
      <c r="F975" s="3"/>
      <c r="J975" t="s">
        <v>311</v>
      </c>
      <c r="K975" t="s">
        <v>3129</v>
      </c>
      <c r="L975" t="s">
        <v>3130</v>
      </c>
      <c r="M975" t="s">
        <v>763</v>
      </c>
      <c r="AG975" s="43"/>
      <c r="AJ975" s="18" t="s">
        <v>328</v>
      </c>
      <c r="AL975" t="s">
        <v>329</v>
      </c>
      <c r="AM975"/>
      <c r="AN975"/>
      <c r="AO975" s="3" t="s">
        <v>3132</v>
      </c>
      <c r="AP975" s="3" t="s">
        <v>258</v>
      </c>
      <c r="AQ975" t="s">
        <v>3133</v>
      </c>
      <c r="AR975"/>
      <c r="AS975" s="1"/>
      <c r="AT975" s="1"/>
      <c r="AU975" s="1"/>
      <c r="AV975" s="1"/>
      <c r="AW975" s="1"/>
      <c r="AX975" s="2"/>
      <c r="AY975" s="115">
        <v>44654</v>
      </c>
      <c r="AZ975" s="115">
        <v>44638</v>
      </c>
      <c r="BA975" s="2"/>
      <c r="BB975" s="2"/>
      <c r="BC975" s="2"/>
      <c r="BD975" s="2"/>
      <c r="BE975" s="2"/>
      <c r="BF975" s="2"/>
      <c r="BG975" s="20">
        <f ca="1">SUM(CY975)+214.5</f>
        <v>1067.4434476190477</v>
      </c>
      <c r="BH975" s="22">
        <f ca="1">PMT(10%/12,12,BG975,0,0)</f>
        <v>-93.845237765288857</v>
      </c>
      <c r="BI975" s="22">
        <f ca="1">SUM(BH975*-1)</f>
        <v>93.845237765288857</v>
      </c>
      <c r="BJ975" s="14">
        <f>SUM(DI975*0.0052)/12</f>
        <v>15.253333333333332</v>
      </c>
      <c r="BK975" s="22">
        <f ca="1">SUM(BI975+BJ975)</f>
        <v>109.09857109862219</v>
      </c>
      <c r="BL975" s="14"/>
      <c r="BM975" s="14">
        <f>SUM(BL975*0.1)</f>
        <v>0</v>
      </c>
      <c r="BN975" s="14">
        <f ca="1">SUM(BO975*BP975)</f>
        <v>0</v>
      </c>
      <c r="BO975" s="17">
        <f>SUM((BL975+BM975)*0.00833333333333333)</f>
        <v>0</v>
      </c>
      <c r="BP975" s="23">
        <f ca="1">MONTH(TODAY())+49</f>
        <v>53</v>
      </c>
      <c r="BQ975" s="14">
        <f ca="1">SUM(BL975,BM975,BN975)</f>
        <v>0</v>
      </c>
      <c r="BR975" s="14"/>
      <c r="BS975" s="14">
        <f>SUM(BR975*0.1)</f>
        <v>0</v>
      </c>
      <c r="BT975" s="14">
        <f ca="1">SUM(BU975*BV975)</f>
        <v>0</v>
      </c>
      <c r="BU975" s="17">
        <f>SUM((BR975+BS975)*0.00833333333333333)</f>
        <v>0</v>
      </c>
      <c r="BV975" s="23">
        <f ca="1">MONTH(TODAY())+37</f>
        <v>41</v>
      </c>
      <c r="BW975" s="14">
        <f ca="1">SUM(BR975,BS975,BT975)</f>
        <v>0</v>
      </c>
      <c r="BX975" s="14"/>
      <c r="BY975" s="14">
        <f>SUM(BX975*0.1)</f>
        <v>0</v>
      </c>
      <c r="BZ975" s="14">
        <f ca="1">SUM(CA975*CB975)</f>
        <v>0</v>
      </c>
      <c r="CA975" s="17">
        <f>SUM((BX975+BY975)*0.00833333333333333)</f>
        <v>0</v>
      </c>
      <c r="CB975" s="23">
        <f ca="1">MONTH(TODAY())+25</f>
        <v>29</v>
      </c>
      <c r="CC975" s="14">
        <f ca="1">SUM(BX975,BY975,BZ975)</f>
        <v>0</v>
      </c>
      <c r="CD975" s="14">
        <f>SUM(DI975*0.0052)</f>
        <v>183.04</v>
      </c>
      <c r="CE975" s="14">
        <f>SUM(CD975*0.1)</f>
        <v>18.303999999999998</v>
      </c>
      <c r="CF975" s="14">
        <f ca="1">SUM(CG975*CH975)</f>
        <v>28.523733333333322</v>
      </c>
      <c r="CG975" s="17">
        <f>SUM((CD975+CE975)*0.00833333333333333)</f>
        <v>1.677866666666666</v>
      </c>
      <c r="CH975" s="23">
        <f ca="1">MONTH(TODAY())+13</f>
        <v>17</v>
      </c>
      <c r="CI975" s="14">
        <f ca="1">SUM(CD975,CE975,CF975)</f>
        <v>229.86773333333332</v>
      </c>
      <c r="CJ975" s="14">
        <f>SUM(DI975*0.0052)</f>
        <v>183.04</v>
      </c>
      <c r="CK975" s="14">
        <f>SUM(CJ975*0.1)</f>
        <v>18.303999999999998</v>
      </c>
      <c r="CL975" s="14">
        <f ca="1">SUM(CM975*CN975)</f>
        <v>8.3893333333333295</v>
      </c>
      <c r="CM975" s="17">
        <f>SUM((CJ975+CK975)*0.00833333333333333)</f>
        <v>1.677866666666666</v>
      </c>
      <c r="CN975" s="23">
        <f ca="1">MONTH(TODAY())+1</f>
        <v>5</v>
      </c>
      <c r="CO975" s="14">
        <f ca="1">SUM(CJ975,CK975,CL975)</f>
        <v>209.73333333333332</v>
      </c>
      <c r="CP975" s="14">
        <f t="shared" si="343"/>
        <v>366.08</v>
      </c>
      <c r="CQ975" s="14">
        <f t="shared" si="343"/>
        <v>36.607999999999997</v>
      </c>
      <c r="CR975" s="14">
        <f t="shared" ca="1" si="343"/>
        <v>36.913066666666651</v>
      </c>
      <c r="CS975" s="14">
        <f ca="1">SUM(CP975:CR975)</f>
        <v>439.60106666666661</v>
      </c>
      <c r="CT975" s="47">
        <f ca="1">SUM(CS975/DI975)</f>
        <v>1.2488666666666665E-2</v>
      </c>
      <c r="CU975" s="14">
        <f>19.5+195</f>
        <v>214.5</v>
      </c>
      <c r="CV975" s="32">
        <f>COUNTIF(DB975, "*")+COUNTIF(AO975, "*")+COUNTIF(AJ975, "*")+COUNTIF(AA975, "*")+COUNTIF(DY975, "*")+COUNTIF(EE975, "*")+COUNTIF(EK975, "*")+COUNTIF(EO975, "*")+COUNTIF(EV975, "*")+COUNTIF(FC975, "*")+COUNTIF(FJ975, "*")+COUNTIF(FU975, "*")+COUNTIF(GF975, "*")+COUNTIF(GN975, "*")+COUNTIF(GV975, "*")+COUNTIF(HD975, "*")+COUNTIF(HL975, "*")</f>
        <v>3</v>
      </c>
      <c r="CW975" s="14">
        <f>CV975*0.5+CV975*6.66</f>
        <v>21.48</v>
      </c>
      <c r="CX975" s="4">
        <v>150</v>
      </c>
      <c r="CY975" s="14">
        <f ca="1">SUM(CS975,CU975,DE975, CX975, CW975,FG975)</f>
        <v>852.94344761904756</v>
      </c>
      <c r="CZ975" s="14">
        <v>27.362380952380899</v>
      </c>
      <c r="DE975" s="14">
        <f>SUM(CZ975:DD975)</f>
        <v>27.362380952380899</v>
      </c>
      <c r="DF975" s="24" t="s">
        <v>2773</v>
      </c>
      <c r="DG975" s="4">
        <v>35200</v>
      </c>
      <c r="DH975" s="4">
        <v>0</v>
      </c>
      <c r="DI975" s="25">
        <f>SUM(DG975+DH975)</f>
        <v>35200</v>
      </c>
      <c r="DJ975" s="35">
        <v>6.99</v>
      </c>
      <c r="DK975" t="s">
        <v>3538</v>
      </c>
      <c r="DL975" t="s">
        <v>3535</v>
      </c>
      <c r="DM975" t="s">
        <v>3536</v>
      </c>
      <c r="DW975" t="s">
        <v>3531</v>
      </c>
      <c r="DY975" t="s">
        <v>3532</v>
      </c>
      <c r="EA975" t="s">
        <v>3533</v>
      </c>
      <c r="IC975" s="4"/>
    </row>
    <row r="976" spans="1:263" ht="15" customHeight="1">
      <c r="A976" s="19">
        <v>102022121</v>
      </c>
      <c r="B976" t="s">
        <v>2860</v>
      </c>
      <c r="D976" s="1"/>
      <c r="E976" s="3"/>
      <c r="F976" s="3"/>
      <c r="J976" t="s">
        <v>311</v>
      </c>
      <c r="K976" t="s">
        <v>3129</v>
      </c>
      <c r="L976" t="s">
        <v>3130</v>
      </c>
      <c r="M976" t="s">
        <v>763</v>
      </c>
      <c r="AG976" s="43"/>
      <c r="AJ976" s="18" t="s">
        <v>328</v>
      </c>
      <c r="AL976" t="s">
        <v>329</v>
      </c>
      <c r="AM976"/>
      <c r="AN976"/>
      <c r="AO976" s="3" t="s">
        <v>3132</v>
      </c>
      <c r="AP976" s="3" t="s">
        <v>258</v>
      </c>
      <c r="AQ976" t="s">
        <v>3133</v>
      </c>
      <c r="AR976"/>
      <c r="AS976" s="1"/>
      <c r="AT976" s="1"/>
      <c r="AU976" s="1"/>
      <c r="AV976" s="1"/>
      <c r="AW976" s="1"/>
      <c r="AX976" s="2"/>
      <c r="AY976" s="115">
        <v>44654</v>
      </c>
      <c r="AZ976" s="115">
        <v>44638</v>
      </c>
      <c r="BA976" s="2"/>
      <c r="BB976" s="2"/>
      <c r="BC976" s="2"/>
      <c r="BD976" s="2"/>
      <c r="BE976" s="2"/>
      <c r="BF976" s="2"/>
      <c r="BG976" s="20">
        <f ca="1">SUM(CY976)+214.5</f>
        <v>897.59758095238089</v>
      </c>
      <c r="BH976" s="22">
        <f ca="1">PMT(10%/12,12,BG976,0,0)</f>
        <v>-78.913087704938931</v>
      </c>
      <c r="BI976" s="22">
        <f ca="1">SUM(BH976*-1)</f>
        <v>78.913087704938931</v>
      </c>
      <c r="BJ976" s="14">
        <f>SUM(DI976*0.0052)/12</f>
        <v>9.36</v>
      </c>
      <c r="BK976" s="22">
        <f ca="1">SUM(BI976+BJ976)</f>
        <v>88.273087704938931</v>
      </c>
      <c r="BL976" s="14"/>
      <c r="BM976" s="14">
        <f>SUM(BL976*0.1)</f>
        <v>0</v>
      </c>
      <c r="BN976" s="14">
        <f ca="1">SUM(BO976*BP976)</f>
        <v>0</v>
      </c>
      <c r="BO976" s="17">
        <f>SUM((BL976+BM976)*0.00833333333333333)</f>
        <v>0</v>
      </c>
      <c r="BP976" s="23">
        <f ca="1">MONTH(TODAY())+49</f>
        <v>53</v>
      </c>
      <c r="BQ976" s="14">
        <f ca="1">SUM(BL976,BM976,BN976)</f>
        <v>0</v>
      </c>
      <c r="BR976" s="14"/>
      <c r="BS976" s="14">
        <f>SUM(BR976*0.1)</f>
        <v>0</v>
      </c>
      <c r="BT976" s="14">
        <f ca="1">SUM(BU976*BV976)</f>
        <v>0</v>
      </c>
      <c r="BU976" s="17">
        <f>SUM((BR976+BS976)*0.00833333333333333)</f>
        <v>0</v>
      </c>
      <c r="BV976" s="23">
        <f ca="1">MONTH(TODAY())+37</f>
        <v>41</v>
      </c>
      <c r="BW976" s="14">
        <f ca="1">SUM(BR976,BS976,BT976)</f>
        <v>0</v>
      </c>
      <c r="BX976" s="14"/>
      <c r="BY976" s="14">
        <f>SUM(BX976*0.1)</f>
        <v>0</v>
      </c>
      <c r="BZ976" s="14">
        <f ca="1">SUM(CA976*CB976)</f>
        <v>0</v>
      </c>
      <c r="CA976" s="17">
        <f>SUM((BX976+BY976)*0.00833333333333333)</f>
        <v>0</v>
      </c>
      <c r="CB976" s="23">
        <f ca="1">MONTH(TODAY())+25</f>
        <v>29</v>
      </c>
      <c r="CC976" s="14">
        <f ca="1">SUM(BX976,BY976,BZ976)</f>
        <v>0</v>
      </c>
      <c r="CD976" s="14">
        <f>SUM(DI976*0.0052)</f>
        <v>112.32</v>
      </c>
      <c r="CE976" s="14">
        <f>SUM(CD976*0.1)</f>
        <v>11.231999999999999</v>
      </c>
      <c r="CF976" s="14">
        <f ca="1">SUM(CG976*CH976)</f>
        <v>17.503199999999989</v>
      </c>
      <c r="CG976" s="17">
        <f>SUM((CD976+CE976)*0.00833333333333333)</f>
        <v>1.0295999999999994</v>
      </c>
      <c r="CH976" s="23">
        <f ca="1">MONTH(TODAY())+13</f>
        <v>17</v>
      </c>
      <c r="CI976" s="14">
        <f ca="1">SUM(CD976,CE976,CF976)</f>
        <v>141.05519999999999</v>
      </c>
      <c r="CJ976" s="14">
        <f>SUM(DI976*0.0052)</f>
        <v>112.32</v>
      </c>
      <c r="CK976" s="14">
        <f>SUM(CJ976*0.1)</f>
        <v>11.231999999999999</v>
      </c>
      <c r="CL976" s="14">
        <f ca="1">SUM(CM976*CN976)</f>
        <v>5.147999999999997</v>
      </c>
      <c r="CM976" s="17">
        <f>SUM((CJ976+CK976)*0.00833333333333333)</f>
        <v>1.0295999999999994</v>
      </c>
      <c r="CN976" s="23">
        <f ca="1">MONTH(TODAY())+1</f>
        <v>5</v>
      </c>
      <c r="CO976" s="14">
        <f ca="1">SUM(CJ976,CK976,CL976)</f>
        <v>128.69999999999999</v>
      </c>
      <c r="CP976" s="14">
        <f t="shared" si="343"/>
        <v>224.64</v>
      </c>
      <c r="CQ976" s="14">
        <f t="shared" si="343"/>
        <v>22.463999999999999</v>
      </c>
      <c r="CR976" s="14">
        <f t="shared" ca="1" si="343"/>
        <v>22.651199999999985</v>
      </c>
      <c r="CS976" s="14">
        <f ca="1">SUM(CP976:CR976)</f>
        <v>269.75519999999995</v>
      </c>
      <c r="CT976" s="47">
        <f ca="1">SUM(CS976/DI976)</f>
        <v>1.2488666666666664E-2</v>
      </c>
      <c r="CU976" s="14">
        <f>19.5+195</f>
        <v>214.5</v>
      </c>
      <c r="CV976" s="32">
        <f>COUNTIF(DB976, "*")+COUNTIF(AO976, "*")+COUNTIF(AJ976, "*")+COUNTIF(AA976, "*")+COUNTIF(DY976, "*")+COUNTIF(EE976, "*")+COUNTIF(EK976, "*")+COUNTIF(EO976, "*")+COUNTIF(EV976, "*")+COUNTIF(FC976, "*")+COUNTIF(FJ976, "*")+COUNTIF(FU976, "*")+COUNTIF(GF976, "*")+COUNTIF(GN976, "*")+COUNTIF(GV976, "*")+COUNTIF(HD976, "*")+COUNTIF(HL976, "*")</f>
        <v>3</v>
      </c>
      <c r="CW976" s="14">
        <f>CV976*0.5+CV976*6.66</f>
        <v>21.48</v>
      </c>
      <c r="CX976" s="4">
        <v>150</v>
      </c>
      <c r="CY976" s="14">
        <f ca="1">SUM(CS976,CU976,DE976, CX976, CW976,FG976)</f>
        <v>683.09758095238089</v>
      </c>
      <c r="CZ976" s="14">
        <v>27.362380952380899</v>
      </c>
      <c r="DE976" s="14">
        <f>SUM(CZ976:DD976)</f>
        <v>27.362380952380899</v>
      </c>
      <c r="DF976" s="24" t="s">
        <v>2773</v>
      </c>
      <c r="DG976" s="4">
        <v>21600</v>
      </c>
      <c r="DH976" s="4">
        <v>0</v>
      </c>
      <c r="DI976" s="25">
        <f>SUM(DG976+DH976)</f>
        <v>21600</v>
      </c>
      <c r="DJ976" s="35">
        <v>10</v>
      </c>
      <c r="DK976" t="s">
        <v>3534</v>
      </c>
      <c r="DL976" t="s">
        <v>3535</v>
      </c>
      <c r="DM976" t="s">
        <v>3536</v>
      </c>
      <c r="DW976" t="s">
        <v>3531</v>
      </c>
      <c r="DY976" t="s">
        <v>3532</v>
      </c>
      <c r="EA976" t="s">
        <v>3533</v>
      </c>
      <c r="IC976" s="4"/>
    </row>
    <row r="977" spans="1:263" ht="15" customHeight="1">
      <c r="A977" s="2">
        <v>102017047</v>
      </c>
      <c r="B977" t="s">
        <v>912</v>
      </c>
      <c r="J977" t="s">
        <v>311</v>
      </c>
      <c r="K977" t="s">
        <v>904</v>
      </c>
      <c r="L977" t="s">
        <v>865</v>
      </c>
      <c r="M977" t="s">
        <v>426</v>
      </c>
      <c r="N977" t="s">
        <v>470</v>
      </c>
      <c r="O977" s="1"/>
      <c r="T977" s="1"/>
      <c r="AE977" s="1"/>
      <c r="AJ977" s="4"/>
      <c r="AK977" s="18"/>
      <c r="AL977" s="14"/>
      <c r="AM977" s="34"/>
      <c r="AQ977" s="34"/>
      <c r="AR977" s="34"/>
      <c r="AS977" s="13"/>
      <c r="AT977" s="1"/>
      <c r="AU977" s="1"/>
      <c r="AV977" s="1"/>
      <c r="AW977" s="1"/>
      <c r="AX977" s="1"/>
      <c r="AY977" s="15"/>
      <c r="AZ977" s="15"/>
      <c r="BA977" s="1"/>
      <c r="BB977" s="1"/>
      <c r="BC977" s="1"/>
      <c r="BD977" s="1"/>
      <c r="BE977" s="1"/>
      <c r="BF977" s="1"/>
      <c r="BG977" s="5"/>
      <c r="BH977" s="16"/>
      <c r="BI977" s="16"/>
      <c r="BK977" s="4"/>
      <c r="BL977" s="4"/>
      <c r="BM977" s="6"/>
      <c r="BN977" s="7"/>
      <c r="BO977" s="4"/>
      <c r="BQ977" s="4"/>
      <c r="BR977" s="4"/>
      <c r="BS977" s="6"/>
      <c r="BT977" s="7"/>
      <c r="BU977" s="4"/>
      <c r="BV977" s="4"/>
      <c r="BW977" s="4"/>
      <c r="BX977" s="4"/>
      <c r="BY977" s="6"/>
      <c r="BZ977" s="7"/>
      <c r="CA977" s="4"/>
      <c r="CC977" s="4"/>
      <c r="CD977" s="4"/>
      <c r="CE977" s="6"/>
      <c r="CF977" s="7"/>
      <c r="CG977" s="4"/>
      <c r="CH977" s="4"/>
      <c r="CI977" s="4"/>
      <c r="CJ977" s="4"/>
      <c r="CK977" s="6"/>
      <c r="CL977" s="7"/>
      <c r="CM977" s="4"/>
      <c r="CN977" s="4"/>
      <c r="CO977" s="4"/>
      <c r="CP977" s="4"/>
      <c r="CQ977" s="6"/>
      <c r="CR977" s="7"/>
      <c r="CS977" s="4"/>
      <c r="CT977" s="4"/>
      <c r="CU977" s="4"/>
      <c r="CV977" s="4"/>
      <c r="CW977" s="6"/>
      <c r="CX977" s="23"/>
      <c r="CY977" s="4"/>
      <c r="CZ977" s="4"/>
      <c r="DA977" s="4"/>
      <c r="DB977" s="4"/>
      <c r="DC977" s="6"/>
      <c r="DD977" s="23"/>
      <c r="DE977" s="4"/>
      <c r="DF977" s="4"/>
      <c r="DG977" s="4"/>
      <c r="DH977" s="4"/>
      <c r="DI977" s="6"/>
      <c r="DJ977" s="7"/>
      <c r="DK977" s="4"/>
      <c r="DL977" s="4"/>
      <c r="DM977" s="4"/>
      <c r="DN977" s="4"/>
      <c r="DO977" s="4"/>
      <c r="DP977" s="4"/>
      <c r="DQ977" s="3"/>
      <c r="DR977" s="4"/>
      <c r="DS977" s="4"/>
      <c r="DT977" s="4"/>
      <c r="DU977" s="4"/>
      <c r="DV977" s="4"/>
      <c r="DW977" s="4"/>
      <c r="DX977" s="4"/>
      <c r="DY977" s="4"/>
      <c r="DZ977" s="4"/>
      <c r="EA977" s="4"/>
      <c r="EB977" s="4"/>
      <c r="EC977" s="4"/>
      <c r="ED977" s="4"/>
      <c r="FL977" s="9"/>
      <c r="FM977" s="10"/>
      <c r="FT977" s="10"/>
      <c r="FU977" s="9"/>
      <c r="FV977" s="18"/>
      <c r="FW977" s="18"/>
      <c r="FX977" s="18"/>
      <c r="FY977" s="18"/>
      <c r="FZ977" s="18"/>
      <c r="GG977" s="9"/>
      <c r="IP977" s="4"/>
    </row>
    <row r="978" spans="1:263" ht="15" customHeight="1">
      <c r="A978" s="2">
        <v>102018103</v>
      </c>
      <c r="B978" t="s">
        <v>1303</v>
      </c>
      <c r="J978" t="s">
        <v>311</v>
      </c>
      <c r="K978" t="s">
        <v>904</v>
      </c>
      <c r="L978" t="s">
        <v>865</v>
      </c>
      <c r="M978" t="s">
        <v>426</v>
      </c>
      <c r="N978" t="s">
        <v>470</v>
      </c>
      <c r="O978" s="1"/>
      <c r="T978" s="1"/>
      <c r="AJ978" s="4"/>
      <c r="AK978" s="4"/>
      <c r="AO978" s="4"/>
      <c r="AP978" s="5"/>
      <c r="AS978" s="5"/>
      <c r="AT978" s="5"/>
      <c r="AU978" s="1"/>
      <c r="AV978" s="1"/>
      <c r="AW978" s="1"/>
      <c r="AX978" s="1"/>
      <c r="AY978" s="1"/>
      <c r="AZ978" s="1"/>
      <c r="BA978" s="1"/>
      <c r="BB978" s="1"/>
      <c r="BC978" s="1"/>
      <c r="BD978" s="1"/>
      <c r="BE978" s="1"/>
      <c r="BF978" s="1"/>
      <c r="BG978" s="5"/>
      <c r="BH978" s="16"/>
      <c r="BI978" s="16"/>
      <c r="BJ978" s="4"/>
      <c r="BK978" s="4"/>
      <c r="BL978" s="4"/>
      <c r="BM978" s="6"/>
      <c r="BN978" s="7"/>
      <c r="BO978" s="4"/>
      <c r="BP978" s="4"/>
      <c r="BQ978" s="4"/>
      <c r="BR978" s="4"/>
      <c r="BS978" s="6"/>
      <c r="BT978" s="7"/>
      <c r="BU978" s="4"/>
      <c r="BV978" s="4"/>
      <c r="BW978" s="4"/>
      <c r="BX978" s="4"/>
      <c r="BY978" s="6"/>
      <c r="BZ978" s="7"/>
      <c r="CA978" s="4"/>
      <c r="CB978" s="4"/>
      <c r="CC978" s="4"/>
      <c r="CD978" s="4"/>
      <c r="CE978" s="6"/>
      <c r="CF978" s="7"/>
      <c r="CG978" s="4"/>
      <c r="CH978" s="4"/>
      <c r="CI978" s="4"/>
      <c r="CJ978" s="4"/>
      <c r="CK978" s="6"/>
      <c r="CL978" s="7"/>
      <c r="CM978" s="4"/>
      <c r="CN978" s="4"/>
      <c r="CO978" s="4"/>
      <c r="CP978" s="4"/>
      <c r="CQ978" s="6"/>
      <c r="CR978" s="7"/>
      <c r="CS978" s="4"/>
      <c r="CT978" s="4"/>
      <c r="CU978" s="4"/>
      <c r="CV978" s="4"/>
      <c r="CW978" s="6"/>
      <c r="CX978" s="7"/>
      <c r="CY978" s="4"/>
      <c r="CZ978" s="4"/>
      <c r="DA978" s="4"/>
      <c r="DB978" s="4"/>
      <c r="DC978" s="6"/>
      <c r="DD978" s="7"/>
      <c r="DE978" s="4"/>
      <c r="DF978" s="4"/>
      <c r="DG978" s="14"/>
      <c r="DH978" s="14"/>
      <c r="DI978" s="4"/>
      <c r="DJ978" s="3"/>
      <c r="DK978" s="4"/>
      <c r="DL978" s="234"/>
      <c r="DM978" s="4"/>
      <c r="DN978" s="4"/>
      <c r="DO978" s="4"/>
      <c r="DP978" s="4"/>
      <c r="DQ978" s="4"/>
      <c r="DR978" s="4"/>
      <c r="DS978" s="7"/>
      <c r="DT978" s="4"/>
      <c r="DU978" s="4"/>
      <c r="DV978" s="8"/>
      <c r="DW978" s="4"/>
      <c r="DX978" s="4"/>
      <c r="EG978" s="11"/>
      <c r="EM978" s="11"/>
      <c r="EN978" s="11"/>
      <c r="EO978" s="4"/>
      <c r="EP978" s="4"/>
      <c r="EQ978" s="4"/>
      <c r="ER978" s="4"/>
      <c r="ES978" s="4"/>
      <c r="ET978" s="4"/>
      <c r="EU978" s="4"/>
      <c r="EV978" s="4"/>
      <c r="EW978" s="4"/>
      <c r="EX978" s="4"/>
      <c r="EY978" s="4"/>
      <c r="EZ978" s="4"/>
      <c r="FA978" s="4"/>
      <c r="FB978" s="4"/>
      <c r="FC978" s="4"/>
      <c r="FG978" s="9"/>
      <c r="FP978" s="9"/>
      <c r="FZ978" s="10"/>
      <c r="GJ978" s="10"/>
      <c r="GY978" s="9"/>
      <c r="IK978" s="4"/>
    </row>
    <row r="979" spans="1:263" ht="15" customHeight="1">
      <c r="A979" s="19">
        <v>102020053</v>
      </c>
      <c r="B979" s="18" t="s">
        <v>1680</v>
      </c>
      <c r="C979" s="18"/>
      <c r="D979" s="13"/>
      <c r="E979" s="18" t="s">
        <v>1890</v>
      </c>
      <c r="F979" s="18">
        <v>200003753</v>
      </c>
      <c r="G979" s="18"/>
      <c r="H979" s="18"/>
      <c r="I979" s="18"/>
      <c r="J979" s="18" t="s">
        <v>311</v>
      </c>
      <c r="K979" s="18" t="s">
        <v>1681</v>
      </c>
      <c r="L979" s="18" t="s">
        <v>1099</v>
      </c>
      <c r="M979" s="18" t="s">
        <v>396</v>
      </c>
      <c r="N979" s="18"/>
      <c r="O979" s="18"/>
      <c r="P979" s="18"/>
      <c r="Q979" s="18"/>
      <c r="R979" s="18"/>
      <c r="S979" s="18"/>
      <c r="T979" s="18"/>
      <c r="U979" s="18"/>
      <c r="V979" s="18"/>
      <c r="W979" s="18"/>
      <c r="X979" s="18"/>
      <c r="Y979" s="18"/>
      <c r="Z979" s="18"/>
      <c r="AA979" s="18"/>
      <c r="AB979" s="18"/>
      <c r="AC979" s="18"/>
      <c r="AD979" s="18"/>
      <c r="AE979" s="18"/>
      <c r="AF979" s="18"/>
      <c r="AG979" s="24"/>
      <c r="AH979" s="18"/>
      <c r="AI979" s="18"/>
      <c r="AJ979" s="18" t="s">
        <v>328</v>
      </c>
      <c r="AK979" s="18"/>
      <c r="AL979" s="18" t="s">
        <v>329</v>
      </c>
      <c r="AM979" s="24"/>
      <c r="AN979" s="24"/>
      <c r="AO979" s="18" t="s">
        <v>1682</v>
      </c>
      <c r="AP979" s="13" t="s">
        <v>258</v>
      </c>
      <c r="AQ979" s="24" t="s">
        <v>1683</v>
      </c>
      <c r="AR979" s="24"/>
      <c r="AS979" s="13"/>
      <c r="AT979" s="13"/>
      <c r="AU979" s="13"/>
      <c r="AV979" s="13"/>
      <c r="AW979" s="13"/>
      <c r="AX979" s="48"/>
      <c r="AY979" s="48"/>
      <c r="AZ979" s="48"/>
      <c r="BA979" s="48"/>
      <c r="BB979" s="19"/>
      <c r="BC979" s="48"/>
      <c r="BD979" s="48"/>
      <c r="BE979" s="48"/>
      <c r="BF979" s="19"/>
      <c r="BG979" s="20"/>
      <c r="BH979" s="22"/>
      <c r="BI979" s="22"/>
      <c r="BJ979" s="14"/>
      <c r="BK979" s="22"/>
      <c r="BL979" s="14"/>
      <c r="BM979" s="14"/>
      <c r="BN979" s="14"/>
      <c r="BO979" s="17"/>
      <c r="BP979" s="23"/>
      <c r="BQ979" s="14"/>
      <c r="BR979" s="14"/>
      <c r="BS979" s="14"/>
      <c r="BT979" s="14"/>
      <c r="BU979" s="17"/>
      <c r="BV979" s="23"/>
      <c r="BW979" s="14"/>
      <c r="BX979" s="14"/>
      <c r="BY979" s="14"/>
      <c r="BZ979" s="14"/>
      <c r="CA979" s="17"/>
      <c r="CB979" s="23"/>
      <c r="CC979" s="14"/>
      <c r="CD979" s="14"/>
      <c r="CE979" s="14"/>
      <c r="CF979" s="14"/>
      <c r="CG979" s="17"/>
      <c r="CH979" s="23"/>
      <c r="CI979" s="14"/>
      <c r="CJ979" s="14"/>
      <c r="CK979" s="14"/>
      <c r="CL979" s="14"/>
      <c r="CM979" s="17"/>
      <c r="CN979" s="23"/>
      <c r="CO979" s="14"/>
      <c r="CP979" s="14"/>
      <c r="CQ979" s="14"/>
      <c r="CR979" s="14"/>
      <c r="CS979" s="17"/>
      <c r="CT979" s="23"/>
      <c r="CU979" s="14"/>
      <c r="CV979" s="14"/>
      <c r="CW979" s="14"/>
      <c r="CX979" s="14"/>
      <c r="CY979" s="14"/>
      <c r="CZ979" s="14"/>
      <c r="DA979" s="14"/>
      <c r="DB979" s="14"/>
      <c r="DC979" s="14"/>
      <c r="DD979" s="14"/>
      <c r="DE979" s="14"/>
      <c r="DF979" s="47"/>
      <c r="DG979" s="14"/>
      <c r="DH979" s="32"/>
      <c r="DI979" s="14"/>
      <c r="DJ979" s="14">
        <f>200</f>
        <v>200</v>
      </c>
      <c r="DK979" s="14">
        <f>SUM(DE979,DG979,DQ979, DJ979, DI979,FS979)</f>
        <v>1719.25</v>
      </c>
      <c r="DL979" s="14">
        <f>25+733</f>
        <v>758</v>
      </c>
      <c r="DM979" s="14">
        <f>93.75+85</f>
        <v>178.75</v>
      </c>
      <c r="DN979" s="14">
        <v>72.5</v>
      </c>
      <c r="DO979" s="23"/>
      <c r="DP979" s="25">
        <v>510</v>
      </c>
      <c r="DQ979" s="14">
        <f>SUM(DL979:DP979)</f>
        <v>1519.25</v>
      </c>
      <c r="DR979" s="24" t="s">
        <v>418</v>
      </c>
      <c r="DS979" s="25">
        <v>13900</v>
      </c>
      <c r="DT979" s="25">
        <v>0</v>
      </c>
      <c r="DU979" s="25">
        <f>SUM(DS979+DT979)</f>
        <v>13900</v>
      </c>
      <c r="DV979" s="36">
        <v>2.35</v>
      </c>
      <c r="DW979" s="26" t="s">
        <v>1842</v>
      </c>
      <c r="DX979" s="26" t="s">
        <v>1843</v>
      </c>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Z979" s="18"/>
      <c r="JA979" s="18"/>
      <c r="JB979" s="18"/>
      <c r="JC979" s="18"/>
    </row>
    <row r="980" spans="1:263" ht="15" customHeight="1">
      <c r="A980" s="19">
        <v>102020053</v>
      </c>
      <c r="B980" s="18" t="s">
        <v>1680</v>
      </c>
      <c r="C980" s="13"/>
      <c r="D980" s="13"/>
      <c r="E980" s="18" t="s">
        <v>1890</v>
      </c>
      <c r="F980" s="18">
        <v>200003753</v>
      </c>
      <c r="G980" s="18"/>
      <c r="H980" s="18"/>
      <c r="I980" s="18"/>
      <c r="J980" s="18" t="s">
        <v>311</v>
      </c>
      <c r="K980" s="18" t="s">
        <v>1681</v>
      </c>
      <c r="L980" s="18" t="s">
        <v>1099</v>
      </c>
      <c r="M980" s="18" t="s">
        <v>396</v>
      </c>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t="s">
        <v>328</v>
      </c>
      <c r="AK980" s="18"/>
      <c r="AL980" s="18" t="s">
        <v>329</v>
      </c>
      <c r="AM980" s="18"/>
      <c r="AN980" s="18"/>
      <c r="AO980" s="24" t="s">
        <v>1682</v>
      </c>
      <c r="AP980" s="24" t="s">
        <v>258</v>
      </c>
      <c r="AQ980" s="24" t="s">
        <v>1683</v>
      </c>
      <c r="AR980" s="18"/>
      <c r="AS980" s="13"/>
      <c r="AT980" s="13"/>
      <c r="AU980" s="13" t="s">
        <v>258</v>
      </c>
      <c r="AV980" s="13" t="s">
        <v>258</v>
      </c>
      <c r="AW980" s="13" t="s">
        <v>258</v>
      </c>
      <c r="AX980" s="48">
        <v>44018</v>
      </c>
      <c r="AY980" s="48">
        <v>43982</v>
      </c>
      <c r="AZ980" s="48">
        <v>43977</v>
      </c>
      <c r="BA980" s="48">
        <v>44071</v>
      </c>
      <c r="BB980" s="19" t="s">
        <v>318</v>
      </c>
      <c r="BC980" s="48">
        <v>44057</v>
      </c>
      <c r="BD980" s="48">
        <v>44064</v>
      </c>
      <c r="BE980" s="48">
        <v>44316</v>
      </c>
      <c r="BF980" s="19" t="s">
        <v>319</v>
      </c>
      <c r="BG980" s="20">
        <v>3199.4107999999997</v>
      </c>
      <c r="BH980" s="22">
        <v>-281.27903909527475</v>
      </c>
      <c r="BI980" s="22">
        <v>281.27903909527475</v>
      </c>
      <c r="BJ980" s="14">
        <v>6.0233333333333334</v>
      </c>
      <c r="BK980" s="22">
        <v>287.30237242860807</v>
      </c>
      <c r="BL980" s="14"/>
      <c r="BM980" s="14">
        <v>0</v>
      </c>
      <c r="BN980" s="14">
        <v>0</v>
      </c>
      <c r="BO980" s="17">
        <v>0</v>
      </c>
      <c r="BP980" s="23">
        <v>70</v>
      </c>
      <c r="BQ980" s="14">
        <v>0</v>
      </c>
      <c r="BR980" s="14"/>
      <c r="BS980" s="14">
        <v>0</v>
      </c>
      <c r="BT980" s="14">
        <v>0</v>
      </c>
      <c r="BU980" s="17">
        <v>0</v>
      </c>
      <c r="BV980" s="23">
        <v>58</v>
      </c>
      <c r="BW980" s="14">
        <v>0</v>
      </c>
      <c r="BX980" s="14">
        <v>66.56</v>
      </c>
      <c r="BY980" s="14">
        <f>SUM(BX980*0.1)</f>
        <v>6.6560000000000006</v>
      </c>
      <c r="BZ980" s="14">
        <f>SUM(CA980*CB980)</f>
        <v>29.896533333333327</v>
      </c>
      <c r="CA980" s="17">
        <f>SUM((BX980+BY980)*0.00833333333333333)</f>
        <v>0.61013333333333319</v>
      </c>
      <c r="CB980" s="23">
        <v>49</v>
      </c>
      <c r="CC980" s="14">
        <f>SUM(BX980,BY980,BZ980)</f>
        <v>103.11253333333333</v>
      </c>
      <c r="CD980" s="14">
        <v>66.56</v>
      </c>
      <c r="CE980" s="14">
        <f>SUM(CD980*0.1)</f>
        <v>6.6560000000000006</v>
      </c>
      <c r="CF980" s="14">
        <f>SUM(CG980*CH980)</f>
        <v>22.574933333333327</v>
      </c>
      <c r="CG980" s="17">
        <f>SUM((CD980+CE980)*0.00833333333333333)</f>
        <v>0.61013333333333319</v>
      </c>
      <c r="CH980" s="23">
        <v>37</v>
      </c>
      <c r="CI980" s="14">
        <f>SUM(CD980,CE980,CF980)</f>
        <v>95.790933333333328</v>
      </c>
      <c r="CJ980" s="14">
        <v>72.28</v>
      </c>
      <c r="CK980" s="14">
        <v>7.2280000000000006</v>
      </c>
      <c r="CL980" s="14">
        <f>SUM(CM980*CN980)</f>
        <v>16.564166666666658</v>
      </c>
      <c r="CM980" s="17">
        <f>SUM((CJ980+CK980)*0.00833333333333333)</f>
        <v>0.6625666666666663</v>
      </c>
      <c r="CN980" s="23">
        <v>25</v>
      </c>
      <c r="CO980" s="14">
        <f>SUM(CJ980,CK980,CL980)</f>
        <v>96.072166666666647</v>
      </c>
      <c r="CP980" s="14">
        <v>72.28</v>
      </c>
      <c r="CQ980" s="14">
        <v>7.2280000000000006</v>
      </c>
      <c r="CR980" s="14">
        <f>SUM(CS980*CT980)</f>
        <v>8.6133666666666624</v>
      </c>
      <c r="CS980" s="17">
        <f>SUM((CP980+CQ980)*0.00833333333333333)</f>
        <v>0.6625666666666663</v>
      </c>
      <c r="CT980" s="23">
        <v>13</v>
      </c>
      <c r="CU980" s="14">
        <f>SUM(CP980,CQ980,CR980)</f>
        <v>88.12136666666666</v>
      </c>
      <c r="CV980" s="14">
        <f>SUM(DP980*0.0052)</f>
        <v>72.28</v>
      </c>
      <c r="CW980" s="14">
        <f>SUM(BL980, BR980, BX980, CD980,CJ980,CP980, CV980)</f>
        <v>349.96000000000004</v>
      </c>
      <c r="CX980" s="14">
        <f>SUM(BM980, BS980, BY980, CE980,CK980,CQ980)</f>
        <v>27.768000000000004</v>
      </c>
      <c r="CY980" s="14">
        <f>SUM(BN980, BT980, BZ980, CF980,CL980,CR980)</f>
        <v>77.648999999999987</v>
      </c>
      <c r="CZ980" s="14">
        <f>SUM(CW980:CY980)</f>
        <v>455.37700000000007</v>
      </c>
      <c r="DA980" s="47">
        <v>2.7011568345323742E-2</v>
      </c>
      <c r="DB980" s="14">
        <v>1599</v>
      </c>
      <c r="DC980" s="32">
        <v>2</v>
      </c>
      <c r="DD980" s="14">
        <f>51.7+25.03</f>
        <v>76.73</v>
      </c>
      <c r="DE980" s="14">
        <v>200</v>
      </c>
      <c r="DF980" s="18"/>
      <c r="DG980" s="14">
        <f>758+182.42</f>
        <v>940.42</v>
      </c>
      <c r="DH980" s="14">
        <v>178.75</v>
      </c>
      <c r="DI980" s="14">
        <v>72.5</v>
      </c>
      <c r="DJ980" s="14">
        <v>100</v>
      </c>
      <c r="DK980" s="25">
        <v>510</v>
      </c>
      <c r="DL980" s="14">
        <f>SUM(DG980:DK980)</f>
        <v>1801.67</v>
      </c>
      <c r="DM980" s="24" t="s">
        <v>2299</v>
      </c>
      <c r="DN980" s="25">
        <v>13900</v>
      </c>
      <c r="DO980" s="25">
        <v>0</v>
      </c>
      <c r="DP980" s="25">
        <v>13900</v>
      </c>
      <c r="DQ980" s="36">
        <v>2.35</v>
      </c>
      <c r="DR980" s="26" t="s">
        <v>1842</v>
      </c>
      <c r="DS980" s="26" t="s">
        <v>1843</v>
      </c>
      <c r="DT980" s="18"/>
      <c r="DU980" s="18"/>
      <c r="DV980" s="18"/>
      <c r="DW980" s="18"/>
      <c r="DX980" s="18"/>
      <c r="DY980" s="18"/>
      <c r="DZ980" s="18"/>
      <c r="EA980" s="18"/>
      <c r="EB980" s="14">
        <f>SUM(CZ980,DB980,DL980, DE980, DD980,FK980)</f>
        <v>4132.777</v>
      </c>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4"/>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27">
        <v>44499</v>
      </c>
      <c r="IB980" s="18">
        <v>6000</v>
      </c>
      <c r="IC980" s="14">
        <v>5000</v>
      </c>
      <c r="ID980" s="18"/>
      <c r="IE980" s="18"/>
      <c r="IF980" s="18" t="s">
        <v>2713</v>
      </c>
      <c r="IG980" s="18" t="s">
        <v>2714</v>
      </c>
      <c r="IH980" s="18" t="s">
        <v>259</v>
      </c>
      <c r="II980" s="18"/>
      <c r="IJ980" s="18"/>
      <c r="IK980" s="14">
        <v>107.33</v>
      </c>
      <c r="IL980" s="14">
        <f>SUM(IB980-EB980-IJ980)</f>
        <v>1867.223</v>
      </c>
      <c r="IM980" s="14"/>
      <c r="IN980" s="14"/>
      <c r="IO980" s="27">
        <v>44333</v>
      </c>
      <c r="IP980" s="27">
        <v>44349</v>
      </c>
      <c r="IQ980" s="27">
        <v>44501</v>
      </c>
      <c r="IR980" s="27">
        <v>44505</v>
      </c>
      <c r="IS980" s="18"/>
      <c r="IT980" s="18"/>
      <c r="IU980" s="18"/>
      <c r="IV980" s="18"/>
      <c r="IW980" s="18"/>
      <c r="IX980" s="18"/>
      <c r="IY980" s="18"/>
      <c r="IZ980" s="18"/>
      <c r="JA980" s="18"/>
      <c r="JB980" s="18"/>
      <c r="JC980" s="18"/>
    </row>
    <row r="981" spans="1:263" s="18" customFormat="1" ht="15" customHeight="1">
      <c r="A981" s="2">
        <v>102019099</v>
      </c>
      <c r="B981" t="s">
        <v>1494</v>
      </c>
      <c r="C981"/>
      <c r="D981"/>
      <c r="E981"/>
      <c r="F981" s="9"/>
      <c r="G981" s="9"/>
      <c r="H981" s="9"/>
      <c r="I981" s="9"/>
      <c r="J981"/>
      <c r="K981" t="s">
        <v>1495</v>
      </c>
      <c r="L981"/>
      <c r="M981"/>
      <c r="N981"/>
      <c r="O981" s="1"/>
      <c r="P981"/>
      <c r="Q981"/>
      <c r="R981"/>
      <c r="S981"/>
      <c r="T981" s="1"/>
      <c r="U981"/>
      <c r="V981"/>
      <c r="W981"/>
      <c r="X981"/>
      <c r="Y981"/>
      <c r="Z981"/>
      <c r="AA981"/>
      <c r="AB981"/>
      <c r="AC981" s="3"/>
      <c r="AD981"/>
      <c r="AE981"/>
      <c r="AF981"/>
      <c r="AG981" s="272"/>
      <c r="AH981"/>
      <c r="AI981"/>
      <c r="AJ981"/>
      <c r="AK981"/>
      <c r="AL981"/>
      <c r="AM981" s="3"/>
      <c r="AN981" s="3"/>
      <c r="AO981"/>
      <c r="AP981" s="1"/>
      <c r="AQ981" s="3"/>
      <c r="AR981" s="3"/>
      <c r="AS981"/>
      <c r="AT981"/>
      <c r="AU981"/>
      <c r="AV981"/>
      <c r="AW981"/>
      <c r="AX981"/>
      <c r="AY981"/>
      <c r="AZ981"/>
      <c r="BA981"/>
      <c r="BB981"/>
      <c r="BC981"/>
      <c r="BD981"/>
      <c r="BE981"/>
      <c r="BF981"/>
      <c r="BG981" s="5"/>
      <c r="BH981" s="16"/>
      <c r="BI981" s="16"/>
      <c r="BJ981" s="4"/>
      <c r="BK981" s="4"/>
      <c r="BL981" s="4"/>
      <c r="BM981" s="6"/>
      <c r="BN981" s="7"/>
      <c r="BO981" s="4"/>
      <c r="BP981" s="4"/>
      <c r="BQ981" s="4"/>
      <c r="BR981" s="4"/>
      <c r="BS981" s="6"/>
      <c r="BT981" s="7"/>
      <c r="BU981" s="4"/>
      <c r="BV981" s="4"/>
      <c r="BW981" s="4"/>
      <c r="BX981" s="4"/>
      <c r="BY981" s="6"/>
      <c r="BZ981" s="7"/>
      <c r="CA981" s="4"/>
      <c r="CB981" s="4"/>
      <c r="CC981" s="4"/>
      <c r="CD981" s="4"/>
      <c r="CE981" s="6"/>
      <c r="CF981" s="7"/>
      <c r="CG981" s="4"/>
      <c r="CH981" s="4"/>
      <c r="CI981" s="4"/>
      <c r="CJ981" s="4"/>
      <c r="CK981" s="6"/>
      <c r="CL981" s="7"/>
      <c r="CM981" s="4"/>
      <c r="CN981" s="4"/>
      <c r="CO981" s="4"/>
      <c r="CP981" s="4"/>
      <c r="CQ981" s="6"/>
      <c r="CR981" s="7"/>
      <c r="CS981" s="4"/>
      <c r="CT981" s="4"/>
      <c r="CU981" s="4"/>
      <c r="CV981" s="4"/>
      <c r="CW981" s="6"/>
      <c r="CX981" s="7"/>
      <c r="CY981" s="4"/>
      <c r="CZ981" s="4"/>
      <c r="DA981" s="4"/>
      <c r="DB981" s="4"/>
      <c r="DC981" s="4"/>
      <c r="DD981" s="3"/>
      <c r="DE981" s="4"/>
      <c r="DF981" s="234"/>
      <c r="DG981" s="4"/>
      <c r="DH981" s="4"/>
      <c r="DI981" s="4"/>
      <c r="DJ981" s="4"/>
      <c r="DK981" s="4"/>
      <c r="DL981" s="4"/>
      <c r="DM981" s="7"/>
      <c r="DN981" s="8"/>
      <c r="DO981" s="4"/>
      <c r="DP981" s="8"/>
      <c r="DQ981" s="8"/>
      <c r="DR981" s="8"/>
      <c r="DS981" s="2"/>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s="4"/>
      <c r="IM981" s="4"/>
      <c r="IN981"/>
      <c r="IO981"/>
      <c r="IP981"/>
      <c r="IQ981"/>
      <c r="IR981"/>
      <c r="IS981"/>
      <c r="IT981"/>
      <c r="IU981"/>
      <c r="IV981"/>
      <c r="IZ981"/>
      <c r="JA981"/>
      <c r="JB981"/>
      <c r="JC981"/>
    </row>
    <row r="982" spans="1:263" ht="15" customHeight="1">
      <c r="A982" s="19">
        <v>102020008</v>
      </c>
      <c r="B982" s="18" t="s">
        <v>1555</v>
      </c>
      <c r="C982" s="18"/>
      <c r="D982" s="18"/>
      <c r="E982" s="18"/>
      <c r="F982" s="18">
        <v>200002439</v>
      </c>
      <c r="G982" s="18"/>
      <c r="H982" s="18"/>
      <c r="I982" s="18"/>
      <c r="J982" s="18" t="s">
        <v>554</v>
      </c>
      <c r="K982" s="18" t="s">
        <v>780</v>
      </c>
      <c r="L982" s="18" t="s">
        <v>1554</v>
      </c>
      <c r="M982" s="18" t="s">
        <v>598</v>
      </c>
      <c r="N982" s="18"/>
      <c r="O982" s="18"/>
      <c r="P982" s="18" t="s">
        <v>780</v>
      </c>
      <c r="Q982" s="18" t="s">
        <v>1556</v>
      </c>
      <c r="R982" s="18" t="s">
        <v>326</v>
      </c>
      <c r="S982" s="18"/>
      <c r="T982" s="18"/>
      <c r="U982" s="18"/>
      <c r="V982" s="18"/>
      <c r="W982" s="18"/>
      <c r="X982" s="18"/>
      <c r="Y982" s="18"/>
      <c r="Z982" s="18"/>
      <c r="AA982" s="18"/>
      <c r="AB982" s="18"/>
      <c r="AC982" s="18"/>
      <c r="AD982" s="18"/>
      <c r="AE982" s="18"/>
      <c r="AF982" s="18"/>
      <c r="AG982" s="37"/>
      <c r="AH982" s="24"/>
      <c r="AI982" s="18"/>
      <c r="AJ982" s="18"/>
      <c r="AK982" s="18"/>
      <c r="AL982" s="18"/>
      <c r="AM982" s="24"/>
      <c r="AN982" s="24"/>
      <c r="AO982" s="14"/>
      <c r="AP982" s="20"/>
      <c r="AQ982" s="63"/>
      <c r="AR982" s="63"/>
      <c r="AS982" s="13"/>
      <c r="AT982" s="13"/>
      <c r="AU982" s="13"/>
      <c r="AV982" s="13"/>
      <c r="AW982" s="13"/>
      <c r="AX982" s="19"/>
      <c r="AY982" s="48"/>
      <c r="AZ982" s="48"/>
      <c r="BA982" s="19"/>
      <c r="BB982" s="19"/>
      <c r="BC982" s="19"/>
      <c r="BD982" s="19"/>
      <c r="BE982" s="19"/>
      <c r="BF982" s="19"/>
      <c r="BG982" s="20"/>
      <c r="BH982" s="22"/>
      <c r="BI982" s="22"/>
      <c r="BJ982" s="14"/>
      <c r="BK982" s="22"/>
      <c r="BL982" s="14"/>
      <c r="BM982" s="14"/>
      <c r="BN982" s="14"/>
      <c r="BO982" s="17"/>
      <c r="BP982" s="23"/>
      <c r="BQ982" s="14"/>
      <c r="BR982" s="14"/>
      <c r="BS982" s="14"/>
      <c r="BT982" s="14"/>
      <c r="BU982" s="17"/>
      <c r="BV982" s="23"/>
      <c r="BW982" s="14"/>
      <c r="BX982" s="14"/>
      <c r="BY982" s="14"/>
      <c r="BZ982" s="14"/>
      <c r="CA982" s="17"/>
      <c r="CB982" s="23"/>
      <c r="CC982" s="14"/>
      <c r="CD982" s="14"/>
      <c r="CE982" s="14"/>
      <c r="CF982" s="14"/>
      <c r="CG982" s="17"/>
      <c r="CH982" s="23"/>
      <c r="CI982" s="14"/>
      <c r="CJ982" s="14"/>
      <c r="CK982" s="14"/>
      <c r="CL982" s="14"/>
      <c r="CM982" s="17"/>
      <c r="CN982" s="23"/>
      <c r="CO982" s="14"/>
      <c r="CP982" s="14"/>
      <c r="CQ982" s="14"/>
      <c r="CR982" s="14"/>
      <c r="CS982" s="17"/>
      <c r="CT982" s="23"/>
      <c r="CU982" s="14"/>
      <c r="CV982" s="14"/>
      <c r="CW982" s="14"/>
      <c r="CX982" s="14"/>
      <c r="CY982" s="14"/>
      <c r="CZ982" s="47"/>
      <c r="DA982" s="14"/>
      <c r="DB982" s="32"/>
      <c r="DC982" s="14"/>
      <c r="DD982" s="14"/>
      <c r="DE982" s="14"/>
      <c r="DF982" s="14"/>
      <c r="DG982" s="14"/>
      <c r="DH982" s="14"/>
      <c r="DI982" s="23"/>
      <c r="DJ982" s="25"/>
      <c r="DK982" s="14"/>
      <c r="DL982" s="24"/>
      <c r="DM982" s="25"/>
      <c r="DN982" s="25"/>
      <c r="DO982" s="25"/>
      <c r="DP982" s="36"/>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27"/>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4"/>
      <c r="IS982" s="18"/>
      <c r="IT982" s="18"/>
      <c r="IU982" s="18"/>
      <c r="IV982" s="18"/>
      <c r="IW982" s="18"/>
      <c r="IX982" s="18"/>
      <c r="IY982" s="18"/>
    </row>
    <row r="983" spans="1:263" ht="15" customHeight="1">
      <c r="A983" s="19">
        <v>102020007</v>
      </c>
      <c r="B983" s="18" t="s">
        <v>1553</v>
      </c>
      <c r="C983" s="18"/>
      <c r="D983" s="13"/>
      <c r="E983" s="18" t="s">
        <v>3367</v>
      </c>
      <c r="F983" s="18">
        <v>220000923</v>
      </c>
      <c r="G983" s="18">
        <v>200002440</v>
      </c>
      <c r="H983" s="18">
        <v>210001196</v>
      </c>
      <c r="I983" s="27">
        <v>44396</v>
      </c>
      <c r="J983" s="18" t="s">
        <v>311</v>
      </c>
      <c r="K983" s="18" t="s">
        <v>780</v>
      </c>
      <c r="L983" s="18" t="s">
        <v>1554</v>
      </c>
      <c r="M983" s="18" t="s">
        <v>598</v>
      </c>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4" t="s">
        <v>1564</v>
      </c>
      <c r="AK983" s="18" t="s">
        <v>258</v>
      </c>
      <c r="AL983" s="14" t="s">
        <v>329</v>
      </c>
      <c r="AM983" s="63" t="s">
        <v>260</v>
      </c>
      <c r="AN983" s="24"/>
      <c r="AO983" s="14" t="s">
        <v>1565</v>
      </c>
      <c r="AP983" s="20" t="s">
        <v>258</v>
      </c>
      <c r="AQ983" s="63" t="s">
        <v>329</v>
      </c>
      <c r="AR983" s="63" t="s">
        <v>260</v>
      </c>
      <c r="AS983" s="18"/>
      <c r="AT983" s="18"/>
      <c r="AU983" s="18"/>
      <c r="AV983" s="24"/>
      <c r="AW983" s="18"/>
      <c r="AX983" s="18"/>
      <c r="AY983" s="18"/>
      <c r="AZ983" s="18"/>
      <c r="BA983" s="18"/>
      <c r="BB983" s="18"/>
      <c r="BC983" s="18"/>
      <c r="BD983" s="18"/>
      <c r="BE983" s="37"/>
      <c r="BF983" s="24"/>
      <c r="BG983" s="18"/>
      <c r="BH983" s="13"/>
      <c r="BI983" s="13"/>
      <c r="BJ983" s="13" t="s">
        <v>258</v>
      </c>
      <c r="BK983" s="13"/>
      <c r="BL983" s="13"/>
      <c r="BM983" s="48"/>
      <c r="BN983" s="114"/>
      <c r="BO983" s="114"/>
      <c r="BP983" s="19"/>
      <c r="BQ983" s="19"/>
      <c r="BR983" s="19"/>
      <c r="BS983" s="19"/>
      <c r="BT983" s="19"/>
      <c r="BU983" s="19"/>
      <c r="BV983" s="20"/>
      <c r="BW983" s="22"/>
      <c r="BX983" s="22"/>
      <c r="BY983" s="14"/>
      <c r="BZ983" s="22"/>
      <c r="CA983" s="14"/>
      <c r="CB983" s="14"/>
      <c r="CC983" s="14"/>
      <c r="CD983" s="17"/>
      <c r="CE983" s="23"/>
      <c r="CF983" s="14"/>
      <c r="CG983" s="14"/>
      <c r="CH983" s="14"/>
      <c r="CI983" s="14"/>
      <c r="CJ983" s="17"/>
      <c r="CK983" s="23"/>
      <c r="CL983" s="14"/>
      <c r="CM983" s="14"/>
      <c r="CN983" s="14"/>
      <c r="CO983" s="14"/>
      <c r="CP983" s="17"/>
      <c r="CQ983" s="23"/>
      <c r="CR983" s="14"/>
      <c r="CS983" s="14"/>
      <c r="CT983" s="14"/>
      <c r="CU983" s="14"/>
      <c r="CV983" s="17"/>
      <c r="CW983" s="23"/>
      <c r="CX983" s="14"/>
      <c r="CY983" s="14"/>
      <c r="CZ983" s="14"/>
      <c r="DA983" s="14"/>
      <c r="DB983" s="17"/>
      <c r="DC983" s="23"/>
      <c r="DD983" s="14"/>
      <c r="DE983" s="14"/>
      <c r="DF983" s="14"/>
      <c r="DG983" s="14"/>
      <c r="DH983" s="14"/>
      <c r="DI983" s="47"/>
      <c r="DJ983" s="14"/>
      <c r="DK983" s="32"/>
      <c r="DL983" s="14"/>
      <c r="DM983" s="14"/>
      <c r="DN983" s="14"/>
      <c r="DO983" s="14"/>
      <c r="DP983" s="14"/>
      <c r="DQ983" s="14"/>
      <c r="DR983" s="14"/>
      <c r="DS983" s="25"/>
      <c r="DT983" s="14"/>
      <c r="DU983" s="24"/>
      <c r="DV983" s="25"/>
      <c r="DW983" s="25"/>
      <c r="DX983" s="25"/>
      <c r="DY983" s="36">
        <v>0.48</v>
      </c>
      <c r="DZ983" s="18" t="s">
        <v>1783</v>
      </c>
      <c r="EA983" s="18" t="s">
        <v>1905</v>
      </c>
      <c r="EB983" s="18" t="s">
        <v>1784</v>
      </c>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t="s">
        <v>1803</v>
      </c>
      <c r="FX983" s="18" t="s">
        <v>1785</v>
      </c>
      <c r="FY983" s="18" t="s">
        <v>1786</v>
      </c>
      <c r="FZ983" s="18"/>
      <c r="GA983" s="18" t="s">
        <v>1787</v>
      </c>
      <c r="GB983" s="18" t="s">
        <v>1485</v>
      </c>
      <c r="GC983" s="27">
        <v>40948</v>
      </c>
      <c r="GD983" s="18" t="s">
        <v>1788</v>
      </c>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240"/>
      <c r="IX983" s="240"/>
      <c r="IY983" s="240"/>
    </row>
    <row r="984" spans="1:263" ht="15" customHeight="1">
      <c r="A984" s="19">
        <v>102021004</v>
      </c>
      <c r="B984" s="18" t="s">
        <v>1999</v>
      </c>
      <c r="C984" s="18"/>
      <c r="D984" s="18"/>
      <c r="E984" s="18" t="s">
        <v>2473</v>
      </c>
      <c r="F984" s="18">
        <v>210002344</v>
      </c>
      <c r="G984" s="18"/>
      <c r="H984" s="18"/>
      <c r="I984" s="18"/>
      <c r="J984" s="18" t="s">
        <v>554</v>
      </c>
      <c r="K984" s="18" t="s">
        <v>394</v>
      </c>
      <c r="L984" s="18" t="s">
        <v>577</v>
      </c>
      <c r="M984" s="18" t="s">
        <v>428</v>
      </c>
      <c r="N984" s="18"/>
      <c r="O984" s="18"/>
      <c r="P984" s="18"/>
      <c r="Q984" s="18"/>
      <c r="R984" s="18"/>
      <c r="S984" s="18"/>
      <c r="T984" s="18"/>
      <c r="U984" s="18"/>
      <c r="V984" s="18"/>
      <c r="W984" s="18"/>
      <c r="X984" s="18"/>
      <c r="Y984" s="18"/>
      <c r="Z984" s="18"/>
      <c r="AA984" s="18"/>
      <c r="AB984" s="18"/>
      <c r="AC984" s="18"/>
      <c r="AD984" s="18"/>
      <c r="AE984" s="18"/>
      <c r="AF984" s="18"/>
      <c r="AG984" s="231"/>
      <c r="AH984" s="18"/>
      <c r="AI984" s="18"/>
      <c r="AJ984" s="18"/>
      <c r="AK984" s="18"/>
      <c r="AL984" s="18"/>
      <c r="AM984" s="24"/>
      <c r="AN984" s="24"/>
      <c r="AO984" s="18" t="s">
        <v>2131</v>
      </c>
      <c r="AP984" s="13" t="s">
        <v>258</v>
      </c>
      <c r="AQ984" s="24" t="s">
        <v>329</v>
      </c>
      <c r="AR984" s="24" t="s">
        <v>260</v>
      </c>
      <c r="AS984" s="13"/>
      <c r="AT984" s="13"/>
      <c r="AU984" s="13"/>
      <c r="AV984" s="13"/>
      <c r="AW984" s="13"/>
      <c r="AX984" s="48"/>
      <c r="AY984" s="48"/>
      <c r="AZ984" s="48"/>
      <c r="BA984" s="48"/>
      <c r="BB984" s="19"/>
      <c r="BC984" s="48"/>
      <c r="BD984" s="48"/>
      <c r="BE984" s="48"/>
      <c r="BF984" s="19"/>
      <c r="BG984" s="20"/>
      <c r="BH984" s="22"/>
      <c r="BI984" s="22"/>
      <c r="BJ984" s="14"/>
      <c r="BK984" s="22"/>
      <c r="BL984" s="14"/>
      <c r="BM984" s="14"/>
      <c r="BN984" s="14"/>
      <c r="BO984" s="17"/>
      <c r="BP984" s="23"/>
      <c r="BQ984" s="14"/>
      <c r="BR984" s="14"/>
      <c r="BS984" s="14"/>
      <c r="BT984" s="14"/>
      <c r="BU984" s="17"/>
      <c r="BV984" s="23"/>
      <c r="BW984" s="14"/>
      <c r="BX984" s="14"/>
      <c r="BY984" s="14"/>
      <c r="BZ984" s="14"/>
      <c r="CA984" s="17"/>
      <c r="CB984" s="23"/>
      <c r="CC984" s="14"/>
      <c r="CD984" s="14"/>
      <c r="CE984" s="14"/>
      <c r="CF984" s="14"/>
      <c r="CG984" s="17"/>
      <c r="CH984" s="23"/>
      <c r="CI984" s="14"/>
      <c r="CJ984" s="14"/>
      <c r="CK984" s="14"/>
      <c r="CL984" s="14"/>
      <c r="CM984" s="17"/>
      <c r="CN984" s="23"/>
      <c r="CO984" s="14"/>
      <c r="CP984" s="14"/>
      <c r="CQ984" s="14"/>
      <c r="CR984" s="14"/>
      <c r="CS984" s="17"/>
      <c r="CT984" s="23"/>
      <c r="CU984" s="14"/>
      <c r="CV984" s="14"/>
      <c r="CW984" s="14"/>
      <c r="CX984" s="14"/>
      <c r="CY984" s="14"/>
      <c r="CZ984" s="14"/>
      <c r="DA984" s="14"/>
      <c r="DB984" s="14"/>
      <c r="DC984" s="14"/>
      <c r="DD984" s="14"/>
      <c r="DE984" s="14"/>
      <c r="DF984" s="47"/>
      <c r="DG984" s="14"/>
      <c r="DH984" s="32"/>
      <c r="DI984" s="14"/>
      <c r="DJ984" s="14">
        <v>200</v>
      </c>
      <c r="DK984" s="14">
        <f>SUM(DE984,DG984,DQ984, DJ984, DI984,FS984)</f>
        <v>1225.8699999999999</v>
      </c>
      <c r="DL984" s="14">
        <f>45.62+714</f>
        <v>759.62</v>
      </c>
      <c r="DM984" s="14">
        <f>93.75+110</f>
        <v>203.75</v>
      </c>
      <c r="DN984" s="14">
        <v>62.5</v>
      </c>
      <c r="DO984" s="14"/>
      <c r="DP984" s="25"/>
      <c r="DQ984" s="14">
        <f>SUM(DL984:DP984)</f>
        <v>1025.8699999999999</v>
      </c>
      <c r="DR984" s="24" t="s">
        <v>1997</v>
      </c>
      <c r="DS984" s="25">
        <v>6400</v>
      </c>
      <c r="DT984" s="25">
        <v>64500</v>
      </c>
      <c r="DU984" s="25">
        <f>SUM(DS984+DT984)</f>
        <v>70900</v>
      </c>
      <c r="DV984" s="36">
        <v>0.94</v>
      </c>
      <c r="DW984" s="18" t="s">
        <v>2415</v>
      </c>
      <c r="DX984" s="18" t="s">
        <v>2416</v>
      </c>
      <c r="DY984" s="18" t="s">
        <v>2307</v>
      </c>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t="s">
        <v>439</v>
      </c>
      <c r="FU984" s="18" t="s">
        <v>1530</v>
      </c>
      <c r="FV984" s="18" t="s">
        <v>2308</v>
      </c>
      <c r="FW984" s="18" t="s">
        <v>440</v>
      </c>
      <c r="FX984" s="18" t="s">
        <v>274</v>
      </c>
      <c r="FY984" s="18" t="s">
        <v>275</v>
      </c>
      <c r="FZ984" s="27">
        <v>39668</v>
      </c>
      <c r="GA984" s="18" t="s">
        <v>2309</v>
      </c>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27">
        <v>43711</v>
      </c>
      <c r="IO984" s="27">
        <v>43731</v>
      </c>
      <c r="IP984" s="247"/>
      <c r="IQ984" s="247"/>
      <c r="IR984" s="247"/>
      <c r="IS984" s="247"/>
      <c r="IT984" s="247"/>
      <c r="IU984" s="247"/>
      <c r="IV984" s="247"/>
      <c r="IW984" s="247"/>
      <c r="IX984" s="247"/>
      <c r="IY984" s="247"/>
    </row>
    <row r="985" spans="1:263" ht="15" customHeight="1">
      <c r="A985" s="19">
        <v>102023116</v>
      </c>
      <c r="B985" s="18" t="s">
        <v>4370</v>
      </c>
      <c r="D985" s="1"/>
      <c r="E985" s="3"/>
      <c r="F985" s="3"/>
      <c r="J985" s="18" t="s">
        <v>253</v>
      </c>
      <c r="K985" s="18" t="s">
        <v>1681</v>
      </c>
      <c r="L985" s="18" t="s">
        <v>4441</v>
      </c>
      <c r="M985" s="18"/>
      <c r="N985" s="18"/>
      <c r="O985" s="19"/>
      <c r="P985" s="18"/>
      <c r="Q985" s="18"/>
      <c r="R985" s="18"/>
      <c r="S985" s="18"/>
      <c r="AG985" s="43"/>
      <c r="AJ985" s="18" t="s">
        <v>4442</v>
      </c>
      <c r="AK985" t="s">
        <v>258</v>
      </c>
      <c r="AL985" s="18" t="s">
        <v>329</v>
      </c>
      <c r="AM985" t="s">
        <v>260</v>
      </c>
      <c r="AN985"/>
      <c r="AO985" s="18" t="s">
        <v>4443</v>
      </c>
      <c r="AP985" s="3" t="s">
        <v>258</v>
      </c>
      <c r="AQ985" s="18" t="s">
        <v>349</v>
      </c>
      <c r="AR985" t="s">
        <v>260</v>
      </c>
      <c r="AX985" s="1"/>
      <c r="AY985" s="1"/>
      <c r="AZ985" s="1"/>
      <c r="BA985" s="1"/>
      <c r="BB985" s="1"/>
      <c r="BC985" s="2"/>
      <c r="BD985" s="116"/>
      <c r="BE985" s="115"/>
      <c r="BF985" s="2"/>
      <c r="BG985" s="2"/>
      <c r="BH985" s="2"/>
      <c r="BI985" s="2"/>
      <c r="BJ985" s="2"/>
      <c r="BK985" s="2"/>
      <c r="BL985" s="20">
        <f ca="1">SUM(EB985)+220</f>
        <v>830.4824000000001</v>
      </c>
      <c r="BM985" s="22">
        <f ca="1">PMT(10%/12,12,BL985,0,0)</f>
        <v>-73.012597024907734</v>
      </c>
      <c r="BN985" s="22">
        <f ca="1">SUM(BM985*-1)</f>
        <v>73.012597024907734</v>
      </c>
      <c r="BO985" s="14">
        <f>SUM(EJ985*0.0052)/12</f>
        <v>26</v>
      </c>
      <c r="BP985" s="22">
        <f ca="1">SUM(BN985+BO985)</f>
        <v>99.012597024907734</v>
      </c>
      <c r="BQ985" s="14"/>
      <c r="BR985" s="14">
        <f>SUM(BQ985*0.1)</f>
        <v>0</v>
      </c>
      <c r="BS985" s="14">
        <f ca="1">SUM(BT985*BU985)</f>
        <v>0</v>
      </c>
      <c r="BT985" s="17">
        <f>SUM((BQ985+BR985)*0.00833333333333333)</f>
        <v>0</v>
      </c>
      <c r="BU985" s="23">
        <f ca="1">MONTH(TODAY())+49</f>
        <v>53</v>
      </c>
      <c r="BV985" s="14">
        <f ca="1">SUM(BQ985,BR985,BS985)</f>
        <v>0</v>
      </c>
      <c r="BW985" s="14"/>
      <c r="BX985" s="14">
        <f>SUM(BW985*0.1)</f>
        <v>0</v>
      </c>
      <c r="BY985" s="14">
        <f ca="1">SUM(BZ985*CA985)</f>
        <v>0</v>
      </c>
      <c r="BZ985" s="17">
        <f>SUM((BW985+BX985)*0.00833333333333333)</f>
        <v>0</v>
      </c>
      <c r="CA985" s="23">
        <f ca="1">MONTH(TODAY())+37</f>
        <v>41</v>
      </c>
      <c r="CB985" s="14">
        <f ca="1">SUM(BW985,BX985,BY985)</f>
        <v>0</v>
      </c>
      <c r="CC985" s="14">
        <v>0</v>
      </c>
      <c r="CD985" s="14">
        <f>SUM(CC985*0.1)</f>
        <v>0</v>
      </c>
      <c r="CE985" s="14">
        <f ca="1">SUM(CF985*CG985)</f>
        <v>0</v>
      </c>
      <c r="CF985" s="17">
        <f>SUM((CC985+CD985)*0.00833333333333333)</f>
        <v>0</v>
      </c>
      <c r="CG985" s="23">
        <f ca="1">MONTH(TODAY())+25</f>
        <v>29</v>
      </c>
      <c r="CH985" s="14">
        <f ca="1">SUM(CC985,CD985,CE985)</f>
        <v>0</v>
      </c>
      <c r="CI985" s="14">
        <f>SUM(EG985*0.0052)</f>
        <v>187.72</v>
      </c>
      <c r="CJ985" s="14">
        <f>SUM(CI985*0.1)</f>
        <v>18.772000000000002</v>
      </c>
      <c r="CK985" s="14">
        <f ca="1">SUM(CL985*CM985)</f>
        <v>29.25303333333332</v>
      </c>
      <c r="CL985" s="17">
        <f>SUM((CI985+CJ985)*0.00833333333333333)</f>
        <v>1.7207666666666659</v>
      </c>
      <c r="CM985" s="23">
        <f ca="1">MONTH(TODAY())+13</f>
        <v>17</v>
      </c>
      <c r="CN985" s="14">
        <f ca="1">SUM(CI985,CJ985,CK985)</f>
        <v>235.74503333333331</v>
      </c>
      <c r="CO985" s="14">
        <f>SUM(EG985*0.0052)/2</f>
        <v>93.86</v>
      </c>
      <c r="CP985" s="14">
        <f>SUM(CO985*0.1)</f>
        <v>9.386000000000001</v>
      </c>
      <c r="CQ985" s="14">
        <f ca="1">SUM(CR985*CS985)</f>
        <v>7.7434499999999966</v>
      </c>
      <c r="CR985" s="17">
        <f>SUM((CO985+CP985)*0.00833333333333333)</f>
        <v>0.86038333333333294</v>
      </c>
      <c r="CS985" s="23">
        <f ca="1">MONTH(TODAY())+5</f>
        <v>9</v>
      </c>
      <c r="CT985" s="23">
        <f ca="1">SUM(CO985,CP985,CQ985)</f>
        <v>110.98944999999999</v>
      </c>
      <c r="CU985" s="14">
        <f>SUM(EG985*0.0052)/2</f>
        <v>93.86</v>
      </c>
      <c r="CV985" s="14">
        <f>SUM(CU985*0.1)</f>
        <v>9.386000000000001</v>
      </c>
      <c r="CW985" s="14">
        <f ca="1">SUM(CX985*CY985)</f>
        <v>4.3019166666666644</v>
      </c>
      <c r="CX985" s="17">
        <f>SUM((CU985+CV985)*0.00833333333333333)</f>
        <v>0.86038333333333294</v>
      </c>
      <c r="CY985" s="23">
        <f ca="1">MONTH(TODAY())+1</f>
        <v>5</v>
      </c>
      <c r="CZ985" s="23">
        <f ca="1">SUM(CU985,CV985,CW985)</f>
        <v>107.54791666666667</v>
      </c>
      <c r="DA985" s="14">
        <f>SUM(EJ985*0.0045)/2</f>
        <v>135</v>
      </c>
      <c r="DB985" s="14">
        <v>0</v>
      </c>
      <c r="DC985" s="14">
        <v>0</v>
      </c>
      <c r="DD985" s="17">
        <f>SUM((DA985+DB985)*0.00833333333333333)</f>
        <v>1.1249999999999996</v>
      </c>
      <c r="DE985" s="23">
        <f ca="1">MONTH(TODAY())-5</f>
        <v>-1</v>
      </c>
      <c r="DF985" s="23">
        <f>SUM(DA985,DB985,DC985)</f>
        <v>135</v>
      </c>
      <c r="DG985" s="14">
        <v>0</v>
      </c>
      <c r="DH985" s="14">
        <v>0</v>
      </c>
      <c r="DI985" s="14">
        <v>0</v>
      </c>
      <c r="DJ985" s="17">
        <f>SUM((DG985+DH985)*0.00833333333333333)</f>
        <v>0</v>
      </c>
      <c r="DK985" s="23">
        <f ca="1">MONTH(TODAY())+1</f>
        <v>5</v>
      </c>
      <c r="DL985" s="23">
        <f>SUM(DG985,DH985,DI985)</f>
        <v>0</v>
      </c>
      <c r="DM985" s="14">
        <f>SUM( BQ985, BW985, CC985, CI985, CO985,CU985,DA985,DG985)</f>
        <v>510.44</v>
      </c>
      <c r="DN985" s="14">
        <f>SUM(BR985,BX985,CD985,CJ985, CP985,CV985,DB985,DH985)</f>
        <v>37.544000000000004</v>
      </c>
      <c r="DO985" s="14">
        <f ca="1">SUM(BS985,BY985,CE985,CK985, CQ985,CW985,DC985,DI985)</f>
        <v>41.29839999999998</v>
      </c>
      <c r="DP985" s="25">
        <f ca="1">SUM(DM985:DO985)</f>
        <v>589.28240000000005</v>
      </c>
      <c r="DQ985" s="47">
        <f ca="1">SUM(DP985/EG985)</f>
        <v>1.6323612188365651E-2</v>
      </c>
      <c r="DR985" s="14">
        <v>20</v>
      </c>
      <c r="DS985" s="32">
        <f>COUNTIF(DX985, "*")+COUNTIF(AO985, "*")+COUNTIF(AJ985, "*")+COUNTIF(AA985, "*")+COUNTIF(EY985, "*")+COUNTIF(FE985, "*")+COUNTIF(FK985, "*")+COUNTIF(FO985, "*")+COUNTIF(FV985, "*")+COUNTIF(AT985, "*")+COUNTIF(GE985, "*")+COUNTIF(GP985, "*")+COUNTIF(HA985, "*")+COUNTIF(HI985, "*")+COUNTIF(HQ985, "*")+COUNTIF(HY985, "*")+COUNTIF(IG985, "*")</f>
        <v>2</v>
      </c>
      <c r="DT985" s="14">
        <f>DS985*0.6</f>
        <v>1.2</v>
      </c>
      <c r="DU985" s="4"/>
      <c r="DV985" s="4"/>
      <c r="DW985" s="4"/>
      <c r="DX985" s="4"/>
      <c r="DZ985" s="4"/>
      <c r="EA985" s="14">
        <f>SUM(DV985:DZ985)</f>
        <v>0</v>
      </c>
      <c r="EB985" s="14">
        <f ca="1">SUM(DP985,DR985,EA985, DU985, DT985,GB985)</f>
        <v>610.4824000000001</v>
      </c>
      <c r="EC985" s="24" t="s">
        <v>3879</v>
      </c>
      <c r="ED985" s="130">
        <v>1</v>
      </c>
      <c r="EE985" s="14">
        <v>9000</v>
      </c>
      <c r="EF985" s="14">
        <v>27100</v>
      </c>
      <c r="EG985" s="14">
        <v>36100</v>
      </c>
      <c r="EH985" s="14">
        <v>9000</v>
      </c>
      <c r="EI985" s="14">
        <v>51000</v>
      </c>
      <c r="EJ985" s="14">
        <f>SUM(EH985+EI985)</f>
        <v>60000</v>
      </c>
      <c r="IM985" s="9"/>
      <c r="IX985" s="14">
        <f ca="1">SUM(IN985-EB985-GB985-IV985)</f>
        <v>-610.4824000000001</v>
      </c>
      <c r="IY985" s="9"/>
      <c r="IZ985" s="9"/>
      <c r="JA985" s="9"/>
      <c r="JB985" s="9"/>
      <c r="JC985" s="9"/>
    </row>
    <row r="986" spans="1:263" ht="15" customHeight="1">
      <c r="A986" s="2">
        <v>102024007</v>
      </c>
      <c r="B986" t="s">
        <v>5059</v>
      </c>
      <c r="D986" s="1"/>
      <c r="E986" s="3"/>
      <c r="G986" s="3"/>
      <c r="J986" t="s">
        <v>554</v>
      </c>
      <c r="K986" t="s">
        <v>695</v>
      </c>
      <c r="L986" t="s">
        <v>574</v>
      </c>
      <c r="M986" t="s">
        <v>650</v>
      </c>
      <c r="O986" s="3"/>
      <c r="P986" t="s">
        <v>695</v>
      </c>
      <c r="Q986" t="s">
        <v>5103</v>
      </c>
      <c r="R986" t="s">
        <v>403</v>
      </c>
      <c r="AG986" s="43"/>
      <c r="AK986" s="1"/>
      <c r="AM986"/>
      <c r="AN986"/>
      <c r="AO986" t="s">
        <v>5104</v>
      </c>
      <c r="AP986" s="1" t="s">
        <v>258</v>
      </c>
      <c r="AQ986" t="s">
        <v>329</v>
      </c>
      <c r="AR986" t="s">
        <v>260</v>
      </c>
      <c r="AX986" s="1"/>
      <c r="AY986" s="1"/>
      <c r="AZ986" s="1"/>
      <c r="BA986" s="1"/>
      <c r="BB986" s="1"/>
      <c r="BC986" s="2"/>
      <c r="BD986" s="115">
        <v>45382</v>
      </c>
      <c r="BE986" s="115"/>
      <c r="BF986" s="2"/>
      <c r="BG986" s="2"/>
      <c r="BH986" s="2"/>
      <c r="BI986" s="2"/>
      <c r="BJ986" s="2"/>
      <c r="BK986" s="2"/>
      <c r="BL986" s="20">
        <f ca="1">SUM(EB986)+220</f>
        <v>2718.5295999999998</v>
      </c>
      <c r="BM986" s="22">
        <f ca="1">PMT(10%/12,12,BL986,0,0)</f>
        <v>-239.00194174504307</v>
      </c>
      <c r="BN986" s="22">
        <f ca="1">SUM(BM986*-1)</f>
        <v>239.00194174504307</v>
      </c>
      <c r="BO986" s="14">
        <f>SUM(EJ986*0.0052)/12</f>
        <v>53.603333333333332</v>
      </c>
      <c r="BP986" s="22">
        <f ca="1">SUM(BN986+BO986)</f>
        <v>292.60527507837639</v>
      </c>
      <c r="BQ986" s="14"/>
      <c r="BR986" s="14">
        <f>SUM(BQ986*0.1)</f>
        <v>0</v>
      </c>
      <c r="BS986" s="14">
        <f ca="1">SUM(BT986*BU986)</f>
        <v>0</v>
      </c>
      <c r="BT986" s="17">
        <f>SUM((BQ986+BR986)*0.00833333333333333)</f>
        <v>0</v>
      </c>
      <c r="BU986" s="23">
        <f ca="1">MONTH(TODAY())+61</f>
        <v>65</v>
      </c>
      <c r="BV986" s="14">
        <f ca="1">SUM(BQ986,BR986,BS986)</f>
        <v>0</v>
      </c>
      <c r="BW986" s="14"/>
      <c r="BX986" s="14">
        <f>SUM(BW986*0.1)</f>
        <v>0</v>
      </c>
      <c r="BY986" s="14">
        <f ca="1">SUM(BZ986*CA986)</f>
        <v>0</v>
      </c>
      <c r="BZ986" s="17">
        <f>SUM((BW986+BX986)*0.00833333333333333)</f>
        <v>0</v>
      </c>
      <c r="CA986" s="23">
        <f ca="1">MONTH(TODAY())+49</f>
        <v>53</v>
      </c>
      <c r="CB986" s="14">
        <f ca="1">SUM(BW986,BX986,BY986)</f>
        <v>0</v>
      </c>
      <c r="CC986" s="14">
        <v>0</v>
      </c>
      <c r="CD986" s="14">
        <f>SUM(CC986*0.1)</f>
        <v>0</v>
      </c>
      <c r="CE986" s="14">
        <f ca="1">SUM(CF986*CG986)</f>
        <v>0</v>
      </c>
      <c r="CF986" s="17">
        <f>SUM((CC986+CD986)*0.00833333333333333)</f>
        <v>0</v>
      </c>
      <c r="CG986" s="23">
        <f ca="1">MONTH(TODAY())+37</f>
        <v>41</v>
      </c>
      <c r="CH986" s="14">
        <f ca="1">SUM(CC986,CD986,CE986)</f>
        <v>0</v>
      </c>
      <c r="CI986" s="14">
        <f>SUM(EG986*0.0052)</f>
        <v>669.24</v>
      </c>
      <c r="CJ986" s="14">
        <f>SUM(CI986*0.1)</f>
        <v>66.924000000000007</v>
      </c>
      <c r="CK986" s="14">
        <f ca="1">SUM(CL986*CM986)</f>
        <v>177.9062999999999</v>
      </c>
      <c r="CL986" s="17">
        <f>SUM((CI986+CJ986)*0.00833333333333333)</f>
        <v>6.1346999999999969</v>
      </c>
      <c r="CM986" s="23">
        <f ca="1">MONTH(TODAY())+25</f>
        <v>29</v>
      </c>
      <c r="CN986" s="14">
        <f ca="1">SUM(CI986,CJ986,CK986)</f>
        <v>914.07029999999986</v>
      </c>
      <c r="CO986" s="14">
        <f>SUM(EG986*0.0052)/2</f>
        <v>334.62</v>
      </c>
      <c r="CP986" s="14">
        <f>SUM(CO986*0.1)</f>
        <v>33.462000000000003</v>
      </c>
      <c r="CQ986" s="14">
        <f ca="1">SUM(CR986*CS986)</f>
        <v>64.41434999999997</v>
      </c>
      <c r="CR986" s="17">
        <f>SUM((CO986+CP986)*0.00833333333333333)</f>
        <v>3.0673499999999985</v>
      </c>
      <c r="CS986" s="23">
        <f ca="1">MONTH(TODAY())+17</f>
        <v>21</v>
      </c>
      <c r="CT986" s="23">
        <f ca="1">SUM(CO986,CP986,CQ986)</f>
        <v>432.49634999999995</v>
      </c>
      <c r="CU986" s="14">
        <f>SUM(EG986*0.0052)/2</f>
        <v>334.62</v>
      </c>
      <c r="CV986" s="14">
        <f>SUM(CU986*0.1)</f>
        <v>33.462000000000003</v>
      </c>
      <c r="CW986" s="14">
        <f ca="1">SUM(CX986*CY986)</f>
        <v>52.144949999999973</v>
      </c>
      <c r="CX986" s="17">
        <f>SUM((CU986+CV986)*0.00833333333333333)</f>
        <v>3.0673499999999985</v>
      </c>
      <c r="CY986" s="23">
        <f ca="1">MONTH(TODAY())+13</f>
        <v>17</v>
      </c>
      <c r="CZ986" s="23">
        <f ca="1">SUM(CU986,CV986,CW986)</f>
        <v>420.22694999999999</v>
      </c>
      <c r="DA986" s="14">
        <f>SUM(EJ986*0.0045)/2</f>
        <v>278.32499999999999</v>
      </c>
      <c r="DB986" s="14">
        <f>SUM(DA986*0.1)</f>
        <v>27.8325</v>
      </c>
      <c r="DC986" s="14">
        <f ca="1">SUM(DD986*DE986)</f>
        <v>28.064437499999983</v>
      </c>
      <c r="DD986" s="17">
        <f>SUM((DA986+DB986)*0.00833333333333333)</f>
        <v>2.5513124999999985</v>
      </c>
      <c r="DE986" s="23">
        <f ca="1">MONTH(TODAY())+7</f>
        <v>11</v>
      </c>
      <c r="DF986" s="23">
        <f ca="1">SUM(DA986,DB986,DC986)</f>
        <v>334.22193749999997</v>
      </c>
      <c r="DG986" s="14">
        <f>SUM(EJ986*0.0045)/2</f>
        <v>278.32499999999999</v>
      </c>
      <c r="DH986" s="14">
        <f>SUM(DG986*0.1)</f>
        <v>27.8325</v>
      </c>
      <c r="DI986" s="14">
        <f ca="1">SUM(DJ986*DK986)</f>
        <v>12.756562499999992</v>
      </c>
      <c r="DJ986" s="17">
        <f>SUM((DG986+DH986)*0.00833333333333333)</f>
        <v>2.5513124999999985</v>
      </c>
      <c r="DK986" s="23">
        <f ca="1">MONTH(TODAY())+1</f>
        <v>5</v>
      </c>
      <c r="DL986" s="14">
        <f ca="1">SUM(DG986,DH986,DI986)</f>
        <v>318.91406249999994</v>
      </c>
      <c r="DM986" s="14">
        <f>SUM( BQ986, BW986, CC986, CI986, CO986,CU986,DA986,DG986)</f>
        <v>1895.13</v>
      </c>
      <c r="DN986" s="14">
        <f>SUM(BR986,BX986,CD986,CJ986, CP986,CV986,DB986,DH986)</f>
        <v>189.51300000000003</v>
      </c>
      <c r="DO986" s="14">
        <f ca="1">SUM(BS986,BY986,CE986,CK986, CQ986,CW986,DC986,DI986)</f>
        <v>335.28659999999985</v>
      </c>
      <c r="DP986" s="25">
        <f ca="1">SUM(DM986:DO986)</f>
        <v>2419.9295999999999</v>
      </c>
      <c r="DQ986" s="47">
        <f ca="1">SUM(DP986/EG986)</f>
        <v>1.8802871794871796E-2</v>
      </c>
      <c r="DR986" s="14">
        <f>40+10</f>
        <v>50</v>
      </c>
      <c r="DS986" s="32">
        <f>COUNTIF(AO986, "*")+COUNTIF(AJ986, "*")+COUNTIF(AA986, "*")+COUNTIF(EU986, "*")+COUNTIF(FA986, "*")+COUNTIF(FG986, "*")+COUNTIF(FK986, "*")+COUNTIF(FR986, "*")+COUNTIF(AT986, "*")+COUNTIF(GA986, "*")+COUNTIF(GL986, "*")+COUNTIF(GW986, "*")+COUNTIF(HE986, "*")+COUNTIF(HM986, "*")+COUNTIF(HU986, "*")</f>
        <v>1</v>
      </c>
      <c r="DT986" s="14">
        <f>DS986*0.64</f>
        <v>0.64</v>
      </c>
      <c r="DU986" s="4"/>
      <c r="DV986" s="4">
        <v>27.96</v>
      </c>
      <c r="DW986" s="4"/>
      <c r="DX986" s="4"/>
      <c r="DZ986" s="4"/>
      <c r="EA986" s="14">
        <f>SUM(DV986:DZ986)</f>
        <v>27.96</v>
      </c>
      <c r="EB986" s="14">
        <f ca="1">SUM(DP986,DR986,EA986, DU986, DT986,FX986)</f>
        <v>2498.5295999999998</v>
      </c>
      <c r="EC986" s="24" t="s">
        <v>4944</v>
      </c>
      <c r="ED986" s="130">
        <v>3.72</v>
      </c>
      <c r="EE986" s="14">
        <v>25600</v>
      </c>
      <c r="EF986" s="14">
        <v>103100</v>
      </c>
      <c r="EG986" s="14">
        <f>SUM(EE986+EF986)</f>
        <v>128700</v>
      </c>
      <c r="EH986" s="14">
        <v>29600</v>
      </c>
      <c r="EI986" s="14">
        <v>94100</v>
      </c>
      <c r="EJ986" s="14">
        <f>SUM(EH986+EI986)</f>
        <v>123700</v>
      </c>
      <c r="FX986" s="4"/>
      <c r="HY986" s="9"/>
      <c r="IJ986" s="4"/>
      <c r="IK986" s="4"/>
      <c r="IL986" s="4"/>
      <c r="IM986" s="9"/>
      <c r="IN986" s="9"/>
      <c r="IO986" s="9"/>
      <c r="IP986" s="9"/>
      <c r="IQ986" s="9"/>
      <c r="IT986" s="18"/>
      <c r="IU986" s="18"/>
      <c r="IV986" s="18"/>
      <c r="IW986" s="18"/>
      <c r="IX986" s="18"/>
      <c r="IY986" s="18"/>
      <c r="IZ986" s="18"/>
      <c r="JA986" s="18"/>
      <c r="JB986" s="18"/>
      <c r="JC986" s="18"/>
    </row>
    <row r="987" spans="1:263" ht="15" customHeight="1">
      <c r="A987" s="19">
        <v>102022212</v>
      </c>
      <c r="B987" t="s">
        <v>2925</v>
      </c>
      <c r="D987" s="1"/>
      <c r="E987" s="3"/>
      <c r="F987" s="3"/>
      <c r="G987">
        <v>220001333</v>
      </c>
      <c r="J987" t="s">
        <v>554</v>
      </c>
      <c r="K987" t="s">
        <v>545</v>
      </c>
      <c r="L987" t="s">
        <v>3030</v>
      </c>
      <c r="O987" s="3"/>
      <c r="P987" t="s">
        <v>545</v>
      </c>
      <c r="Q987" t="s">
        <v>3288</v>
      </c>
      <c r="R987" t="s">
        <v>326</v>
      </c>
      <c r="AD987" t="s">
        <v>3357</v>
      </c>
      <c r="AE987" t="s">
        <v>253</v>
      </c>
      <c r="AF987" t="s">
        <v>545</v>
      </c>
      <c r="AG987" s="43" t="s">
        <v>3358</v>
      </c>
      <c r="AH987" s="3" t="s">
        <v>1789</v>
      </c>
      <c r="AI987" s="3" t="s">
        <v>3290</v>
      </c>
      <c r="AJ987" t="s">
        <v>3289</v>
      </c>
      <c r="AK987" t="s">
        <v>258</v>
      </c>
      <c r="AL987" t="s">
        <v>329</v>
      </c>
      <c r="AM987" t="s">
        <v>260</v>
      </c>
      <c r="AN987"/>
      <c r="AO987" t="s">
        <v>1789</v>
      </c>
      <c r="AP987" s="3"/>
      <c r="AQ987" t="s">
        <v>3290</v>
      </c>
      <c r="AR987"/>
      <c r="AY987" s="1"/>
      <c r="AZ987" s="1"/>
      <c r="BA987" s="1"/>
      <c r="BB987" s="1"/>
      <c r="BC987" s="2"/>
      <c r="BD987" s="116"/>
      <c r="BE987" s="115"/>
      <c r="BF987" s="2"/>
      <c r="BG987" s="2"/>
      <c r="BH987" s="2"/>
      <c r="BI987" s="2"/>
      <c r="BJ987" s="2"/>
      <c r="BK987" s="2"/>
      <c r="BL987" s="20">
        <f ca="1">SUM(DP987)+220</f>
        <v>648.00710000000004</v>
      </c>
      <c r="BM987" s="22">
        <f ca="1">PMT(10%/12,12,BL987,0,0)</f>
        <v>-56.970119127845557</v>
      </c>
      <c r="BN987" s="22">
        <f ca="1">SUM(BM987*-1)</f>
        <v>56.970119127845557</v>
      </c>
      <c r="BO987" s="14">
        <f>SUM(DX987*0.0052)/12</f>
        <v>11.916666666666666</v>
      </c>
      <c r="BP987" s="22">
        <f ca="1">SUM(BN987+BO987)</f>
        <v>68.886785794512221</v>
      </c>
      <c r="BQ987" s="14"/>
      <c r="BR987" s="14">
        <f>SUM(BQ987*0.1)</f>
        <v>0</v>
      </c>
      <c r="BS987" s="14">
        <f ca="1">SUM(BT987*BU987)</f>
        <v>0</v>
      </c>
      <c r="BT987" s="17">
        <f>SUM((BQ987+BR987)*0.00833333333333333)</f>
        <v>0</v>
      </c>
      <c r="BU987" s="23">
        <f ca="1">MONTH(TODAY())+49</f>
        <v>53</v>
      </c>
      <c r="BV987" s="14">
        <f ca="1">SUM(BQ987,BR987,BS987)</f>
        <v>0</v>
      </c>
      <c r="BW987" s="14"/>
      <c r="BX987" s="14">
        <f>SUM(BW987*0.1)</f>
        <v>0</v>
      </c>
      <c r="BY987" s="14">
        <f ca="1">SUM(BZ987*CA987)</f>
        <v>0</v>
      </c>
      <c r="BZ987" s="17">
        <f>SUM((BW987+BX987)*0.00833333333333333)</f>
        <v>0</v>
      </c>
      <c r="CA987" s="23">
        <f ca="1">MONTH(TODAY())+37</f>
        <v>41</v>
      </c>
      <c r="CB987" s="14">
        <f ca="1">SUM(BW987,BX987,BY987)</f>
        <v>0</v>
      </c>
      <c r="CC987" s="14">
        <f>SUM(DU987*0.0052)</f>
        <v>107.64</v>
      </c>
      <c r="CD987" s="14">
        <f>SUM(CC987*0.1)</f>
        <v>10.764000000000001</v>
      </c>
      <c r="CE987" s="14">
        <f ca="1">SUM(CF987*CG987)</f>
        <v>28.614299999999989</v>
      </c>
      <c r="CF987" s="17">
        <f>SUM((CC987+CD987)*0.00833333333333333)</f>
        <v>0.98669999999999958</v>
      </c>
      <c r="CG987" s="23">
        <f ca="1">MONTH(TODAY())+25</f>
        <v>29</v>
      </c>
      <c r="CH987" s="14">
        <f ca="1">SUM(CC987,CD987,CE987)</f>
        <v>147.01829999999998</v>
      </c>
      <c r="CI987" s="14">
        <f>SUM(DU987*0.0052)</f>
        <v>107.64</v>
      </c>
      <c r="CJ987" s="14">
        <f>SUM(CI987*0.1)</f>
        <v>10.764000000000001</v>
      </c>
      <c r="CK987" s="14">
        <f ca="1">SUM(CL987*CM987)</f>
        <v>16.773899999999994</v>
      </c>
      <c r="CL987" s="17">
        <f>SUM((CI987+CJ987)*0.00833333333333333)</f>
        <v>0.98669999999999958</v>
      </c>
      <c r="CM987" s="23">
        <f ca="1">MONTH(TODAY())+13</f>
        <v>17</v>
      </c>
      <c r="CN987" s="14">
        <f ca="1">SUM(CI987,CJ987,CK987)</f>
        <v>135.17789999999999</v>
      </c>
      <c r="CO987" s="14">
        <f>SUM(DU987*0.0052)/2</f>
        <v>53.82</v>
      </c>
      <c r="CP987" s="14">
        <f>SUM(CO987*0.1)</f>
        <v>5.3820000000000006</v>
      </c>
      <c r="CQ987" s="14">
        <f ca="1">SUM(CR987*CS987)</f>
        <v>4.4401499999999983</v>
      </c>
      <c r="CR987" s="17">
        <f>SUM((CO987+CP987)*0.00833333333333333)</f>
        <v>0.49334999999999979</v>
      </c>
      <c r="CS987" s="23">
        <f ca="1">MONTH(TODAY())+5</f>
        <v>9</v>
      </c>
      <c r="CT987" s="23">
        <f ca="1">SUM(CO987,CP987,CQ987)</f>
        <v>63.642149999999994</v>
      </c>
      <c r="CU987" s="14">
        <f>SUM(DU987*0.0052)/2</f>
        <v>53.82</v>
      </c>
      <c r="CV987" s="14">
        <f>SUM(CU987*0.1)</f>
        <v>5.3820000000000006</v>
      </c>
      <c r="CW987" s="14">
        <f ca="1">SUM(CX987*CY987)</f>
        <v>2.4667499999999989</v>
      </c>
      <c r="CX987" s="17">
        <f>SUM((CU987+CV987)*0.00833333333333333)</f>
        <v>0.49334999999999979</v>
      </c>
      <c r="CY987" s="23">
        <f ca="1">MONTH(TODAY())+1</f>
        <v>5</v>
      </c>
      <c r="CZ987" s="23">
        <f ca="1">SUM(CU987,CV987,CW987)</f>
        <v>61.668749999999996</v>
      </c>
      <c r="DA987" s="14">
        <f>SUM( BQ987, BW987, CC987, CI987, CO987,CU987)</f>
        <v>322.92</v>
      </c>
      <c r="DB987" s="14">
        <f>SUM(BR987,BX987,CD987,CJ987, CP987,CV987)</f>
        <v>32.292000000000002</v>
      </c>
      <c r="DC987" s="14">
        <f ca="1">SUM(BS987,BY987,CE987,CK987, CQ987,CW987)</f>
        <v>52.295099999999977</v>
      </c>
      <c r="DD987" s="25">
        <f ca="1">SUM(DA987:DC987)</f>
        <v>407.50709999999998</v>
      </c>
      <c r="DE987" s="47">
        <f ca="1">SUM(DD987/DU987)</f>
        <v>1.9686333333333333E-2</v>
      </c>
      <c r="DF987" s="14">
        <v>19.5</v>
      </c>
      <c r="DG987" s="32">
        <f>COUNTIF(DL987, "*")+COUNTIF(AO987, "*")+COUNTIF(AJ987, "*")+COUNTIF(AA987, "*")+COUNTIF(EM987, "*")+COUNTIF(ES987, "*")+COUNTIF(EY987, "*")+COUNTIF(FC987, "*")+COUNTIF(FJ987, "*")+COUNTIF(AT987, "*")+COUNTIF(FS987, "*")+COUNTIF(GD987, "*")+COUNTIF(GO987, "*")+COUNTIF(GW987, "*")+COUNTIF(HE987, "*")+COUNTIF(HM987, "*")+COUNTIF(HU987, "*")</f>
        <v>2</v>
      </c>
      <c r="DH987" s="14">
        <f>DG987*0.5</f>
        <v>1</v>
      </c>
      <c r="DI987" s="4"/>
      <c r="DJ987" s="4"/>
      <c r="DK987" s="4"/>
      <c r="DL987" s="4"/>
      <c r="DN987" s="4"/>
      <c r="DO987" s="14">
        <f>SUM(DJ987:DN987)</f>
        <v>0</v>
      </c>
      <c r="DP987" s="14">
        <f ca="1">SUM(DD987,DF987,DO987, DI987, DH987,FP987)</f>
        <v>428.00709999999998</v>
      </c>
      <c r="DQ987" s="24" t="s">
        <v>2773</v>
      </c>
      <c r="DR987" s="7">
        <v>0.1</v>
      </c>
      <c r="DS987" s="4">
        <v>7200</v>
      </c>
      <c r="DT987" s="4">
        <v>13500</v>
      </c>
      <c r="DU987" s="14">
        <f>SUM(DS987+DT987)</f>
        <v>20700</v>
      </c>
      <c r="DV987" s="14">
        <v>7200</v>
      </c>
      <c r="DW987" s="14">
        <v>20300</v>
      </c>
      <c r="DX987" s="14">
        <f>SUM(DV987+DW987)</f>
        <v>27500</v>
      </c>
      <c r="IA987" s="9"/>
      <c r="IL987" s="14">
        <f ca="1">SUM(IB987-DP987-FP987-IJ987)</f>
        <v>-428.00709999999998</v>
      </c>
      <c r="IM987" s="9"/>
      <c r="IN987" s="9"/>
      <c r="IO987" s="9"/>
      <c r="IP987" s="9"/>
      <c r="IQ987" s="9"/>
    </row>
    <row r="988" spans="1:263" ht="15" customHeight="1">
      <c r="A988" s="2">
        <v>102024008</v>
      </c>
      <c r="B988" t="s">
        <v>5060</v>
      </c>
      <c r="D988" s="1"/>
      <c r="E988" s="3"/>
      <c r="G988" s="3"/>
      <c r="J988" t="s">
        <v>311</v>
      </c>
      <c r="K988" t="s">
        <v>5105</v>
      </c>
      <c r="L988" t="s">
        <v>1355</v>
      </c>
      <c r="M988" t="s">
        <v>469</v>
      </c>
      <c r="N988" t="s">
        <v>341</v>
      </c>
      <c r="O988" s="3"/>
      <c r="AG988" s="43"/>
      <c r="AJ988" t="s">
        <v>328</v>
      </c>
      <c r="AK988" s="1"/>
      <c r="AL988" t="s">
        <v>329</v>
      </c>
      <c r="AM988"/>
      <c r="AN988"/>
      <c r="AO988" t="s">
        <v>5106</v>
      </c>
      <c r="AP988" s="1" t="s">
        <v>258</v>
      </c>
      <c r="AQ988" t="s">
        <v>5107</v>
      </c>
      <c r="AR988"/>
      <c r="AS988" s="10"/>
      <c r="AT988" s="10"/>
      <c r="AU988" s="10"/>
      <c r="AV988" s="10"/>
      <c r="AW988" s="10"/>
      <c r="AX988" s="1"/>
      <c r="AY988" s="1"/>
      <c r="AZ988" s="1"/>
      <c r="BA988" s="1"/>
      <c r="BB988" s="1"/>
      <c r="BC988" s="2"/>
      <c r="BD988" s="115">
        <v>45382</v>
      </c>
      <c r="BE988" s="115">
        <v>45387</v>
      </c>
      <c r="BF988" s="2"/>
      <c r="BG988" s="2"/>
      <c r="BH988" s="2"/>
      <c r="BI988" s="2"/>
      <c r="BJ988" s="2"/>
      <c r="BK988" s="2"/>
      <c r="BL988" s="20">
        <f ca="1">SUM(EB988)+220</f>
        <v>909.74239999999998</v>
      </c>
      <c r="BM988" s="22">
        <f ca="1">PMT(10%/12,12,BL988,0,0)</f>
        <v>-79.980810246758281</v>
      </c>
      <c r="BN988" s="22">
        <f ca="1">SUM(BM988*-1)</f>
        <v>79.980810246758281</v>
      </c>
      <c r="BO988" s="14">
        <f>SUM(EJ988*0.0052)/12</f>
        <v>8.7966666666666651</v>
      </c>
      <c r="BP988" s="22">
        <f ca="1">SUM(BN988+BO988)</f>
        <v>88.777476913424948</v>
      </c>
      <c r="BQ988" s="14"/>
      <c r="BR988" s="14">
        <f>SUM(BQ988*0.1)</f>
        <v>0</v>
      </c>
      <c r="BS988" s="14">
        <f ca="1">SUM(BT988*BU988)</f>
        <v>0</v>
      </c>
      <c r="BT988" s="17">
        <f>SUM((BQ988+BR988)*0.00833333333333333)</f>
        <v>0</v>
      </c>
      <c r="BU988" s="23">
        <f ca="1">MONTH(TODAY())+61</f>
        <v>65</v>
      </c>
      <c r="BV988" s="14">
        <f ca="1">SUM(BQ988,BR988,BS988)</f>
        <v>0</v>
      </c>
      <c r="BW988" s="14"/>
      <c r="BX988" s="14">
        <f>SUM(BW988*0.1)</f>
        <v>0</v>
      </c>
      <c r="BY988" s="14">
        <f ca="1">SUM(BZ988*CA988)</f>
        <v>0</v>
      </c>
      <c r="BZ988" s="17">
        <f>SUM((BW988+BX988)*0.00833333333333333)</f>
        <v>0</v>
      </c>
      <c r="CA988" s="23">
        <f ca="1">MONTH(TODAY())+49</f>
        <v>53</v>
      </c>
      <c r="CB988" s="14">
        <f ca="1">SUM(BW988,BX988,BY988)</f>
        <v>0</v>
      </c>
      <c r="CC988" s="14">
        <v>0</v>
      </c>
      <c r="CD988" s="14">
        <f>SUM(CC988*0.1)</f>
        <v>0</v>
      </c>
      <c r="CE988" s="14">
        <f ca="1">SUM(CF988*CG988)</f>
        <v>0</v>
      </c>
      <c r="CF988" s="17">
        <f>SUM((CC988+CD988)*0.00833333333333333)</f>
        <v>0</v>
      </c>
      <c r="CG988" s="23">
        <f ca="1">MONTH(TODAY())+37</f>
        <v>41</v>
      </c>
      <c r="CH988" s="14">
        <f ca="1">SUM(CC988,CD988,CE988)</f>
        <v>0</v>
      </c>
      <c r="CI988" s="14">
        <f>SUM(EG988*0.0052)</f>
        <v>105.55999999999999</v>
      </c>
      <c r="CJ988" s="14">
        <f>SUM(CI988*0.1)</f>
        <v>10.555999999999999</v>
      </c>
      <c r="CK988" s="14">
        <f ca="1">SUM(CL988*CM988)</f>
        <v>28.06136666666665</v>
      </c>
      <c r="CL988" s="17">
        <f>SUM((CI988+CJ988)*0.00833333333333333)</f>
        <v>0.96763333333333279</v>
      </c>
      <c r="CM988" s="23">
        <f ca="1">MONTH(TODAY())+25</f>
        <v>29</v>
      </c>
      <c r="CN988" s="14">
        <f ca="1">SUM(CI988,CJ988,CK988)</f>
        <v>144.17736666666664</v>
      </c>
      <c r="CO988" s="14">
        <f>SUM(EG988*0.0052)/2</f>
        <v>52.779999999999994</v>
      </c>
      <c r="CP988" s="14">
        <f>SUM(CO988*0.1)</f>
        <v>5.2779999999999996</v>
      </c>
      <c r="CQ988" s="14">
        <f ca="1">SUM(CR988*CS988)</f>
        <v>10.160149999999994</v>
      </c>
      <c r="CR988" s="17">
        <f>SUM((CO988+CP988)*0.00833333333333333)</f>
        <v>0.4838166666666664</v>
      </c>
      <c r="CS988" s="23">
        <f ca="1">MONTH(TODAY())+17</f>
        <v>21</v>
      </c>
      <c r="CT988" s="23">
        <f ca="1">SUM(CO988,CP988,CQ988)</f>
        <v>68.21814999999998</v>
      </c>
      <c r="CU988" s="14">
        <f>SUM(EG988*0.0052)/2</f>
        <v>52.779999999999994</v>
      </c>
      <c r="CV988" s="14">
        <f>SUM(CU988*0.1)</f>
        <v>5.2779999999999996</v>
      </c>
      <c r="CW988" s="14">
        <f ca="1">SUM(CX988*CY988)</f>
        <v>8.2248833333333291</v>
      </c>
      <c r="CX988" s="17">
        <f>SUM((CU988+CV988)*0.00833333333333333)</f>
        <v>0.4838166666666664</v>
      </c>
      <c r="CY988" s="23">
        <f ca="1">MONTH(TODAY())+13</f>
        <v>17</v>
      </c>
      <c r="CZ988" s="23">
        <f ca="1">SUM(CU988,CV988,CW988)</f>
        <v>66.282883333333317</v>
      </c>
      <c r="DA988" s="14">
        <f>SUM(EJ988*0.0045)/2</f>
        <v>45.674999999999997</v>
      </c>
      <c r="DB988" s="14">
        <f>SUM(DA988*0.1)</f>
        <v>4.5674999999999999</v>
      </c>
      <c r="DC988" s="14">
        <f ca="1">SUM(DD988*DE988)</f>
        <v>4.6055624999999978</v>
      </c>
      <c r="DD988" s="17">
        <f>SUM((DA988+DB988)*0.00833333333333333)</f>
        <v>0.41868749999999982</v>
      </c>
      <c r="DE988" s="23">
        <f ca="1">MONTH(TODAY())+7</f>
        <v>11</v>
      </c>
      <c r="DF988" s="23">
        <f ca="1">SUM(DA988,DB988,DC988)</f>
        <v>54.848062499999997</v>
      </c>
      <c r="DG988" s="14">
        <f>SUM(EJ988*0.0045)/2</f>
        <v>45.674999999999997</v>
      </c>
      <c r="DH988" s="14">
        <f>SUM(DG988*0.1)</f>
        <v>4.5674999999999999</v>
      </c>
      <c r="DI988" s="14">
        <f ca="1">SUM(DJ988*DK988)</f>
        <v>2.093437499999999</v>
      </c>
      <c r="DJ988" s="17">
        <f>SUM((DG988+DH988)*0.00833333333333333)</f>
        <v>0.41868749999999982</v>
      </c>
      <c r="DK988" s="23">
        <f ca="1">MONTH(TODAY())+1</f>
        <v>5</v>
      </c>
      <c r="DL988" s="14">
        <f ca="1">SUM(DG988,DH988,DI988)</f>
        <v>52.3359375</v>
      </c>
      <c r="DM988" s="14">
        <f>SUM( BQ988, BW988, CC988, CI988, CO988,CU988,DA988,DG988)</f>
        <v>302.46999999999997</v>
      </c>
      <c r="DN988" s="14">
        <f>SUM(BR988,BX988,CD988,CJ988, CP988,CV988,DB988,DH988)</f>
        <v>30.246999999999996</v>
      </c>
      <c r="DO988" s="14">
        <f ca="1">SUM(BS988,BY988,CE988,CK988, CQ988,CW988,DC988,DI988)</f>
        <v>53.145399999999974</v>
      </c>
      <c r="DP988" s="25">
        <f ca="1">SUM(DM988:DO988)</f>
        <v>385.86239999999998</v>
      </c>
      <c r="DQ988" s="47">
        <f ca="1">SUM(DP988/EG988)</f>
        <v>1.9008000000000001E-2</v>
      </c>
      <c r="DR988" s="14">
        <f>40+10+200</f>
        <v>250</v>
      </c>
      <c r="DS988" s="32">
        <f>COUNTIF(AO988, "*")+COUNTIF(AJ988, "*")+COUNTIF(AA988, "*")+COUNTIF(EU988, "*")+COUNTIF(FA988, "*")+COUNTIF(FG988, "*")+COUNTIF(FK988, "*")+COUNTIF(FR988, "*")+COUNTIF(AT988, "*")+COUNTIF(GA988, "*")+COUNTIF(GL988, "*")+COUNTIF(GW988, "*")+COUNTIF(HE988, "*")+COUNTIF(HM988, "*")+COUNTIF(HU988, "*")</f>
        <v>3</v>
      </c>
      <c r="DT988" s="14">
        <f>DS988*0.64+DS988*8</f>
        <v>25.92</v>
      </c>
      <c r="DU988" s="4">
        <v>0</v>
      </c>
      <c r="DV988" s="4">
        <v>27.96</v>
      </c>
      <c r="DW988" s="4"/>
      <c r="DX988" s="4"/>
      <c r="DZ988" s="4"/>
      <c r="EA988" s="14">
        <f>SUM(DV988:DZ988)</f>
        <v>27.96</v>
      </c>
      <c r="EB988" s="14">
        <f ca="1">SUM(DP988,DR988,EA988, DU988, DT988,FX988)</f>
        <v>689.74239999999998</v>
      </c>
      <c r="EC988" s="24" t="s">
        <v>4944</v>
      </c>
      <c r="ED988" s="130">
        <v>2.99</v>
      </c>
      <c r="EE988" s="14">
        <v>20300</v>
      </c>
      <c r="EF988" s="14">
        <v>0</v>
      </c>
      <c r="EG988" s="14">
        <f>SUM(EE988+EF988)</f>
        <v>20300</v>
      </c>
      <c r="EH988" s="14">
        <v>20300</v>
      </c>
      <c r="EI988" s="14">
        <v>0</v>
      </c>
      <c r="EJ988" s="14">
        <f>SUM(EH988+EI988)</f>
        <v>20300</v>
      </c>
      <c r="EK988" s="10" t="s">
        <v>5323</v>
      </c>
      <c r="EL988" s="10" t="s">
        <v>5324</v>
      </c>
      <c r="EM988" s="10"/>
      <c r="EN988" s="10"/>
      <c r="EO988" s="10"/>
      <c r="EP988" s="10"/>
      <c r="EQ988" s="10"/>
      <c r="ER988" s="10"/>
      <c r="ES988" t="s">
        <v>5320</v>
      </c>
      <c r="EU988" t="s">
        <v>5321</v>
      </c>
      <c r="EW988" t="s">
        <v>5322</v>
      </c>
      <c r="FX988" s="4"/>
      <c r="HY988" s="9"/>
      <c r="IJ988" s="4"/>
      <c r="IK988" s="4"/>
      <c r="IL988" s="4"/>
      <c r="IM988" s="9"/>
      <c r="IN988" s="9"/>
      <c r="IO988" s="9"/>
      <c r="IP988" s="9"/>
      <c r="IQ988" s="9"/>
    </row>
    <row r="989" spans="1:263" s="18" customFormat="1" ht="15" customHeight="1">
      <c r="A989" s="2">
        <v>102023003</v>
      </c>
      <c r="B989" t="s">
        <v>4036</v>
      </c>
      <c r="C989"/>
      <c r="D989"/>
      <c r="E989"/>
      <c r="F989"/>
      <c r="G989"/>
      <c r="H989"/>
      <c r="I989"/>
      <c r="J989"/>
      <c r="K989" t="s">
        <v>4070</v>
      </c>
      <c r="L989"/>
      <c r="M989"/>
      <c r="N989"/>
      <c r="O989" s="3"/>
      <c r="P989"/>
      <c r="Q989"/>
      <c r="R989"/>
      <c r="S989"/>
      <c r="T989"/>
      <c r="U989"/>
      <c r="V989"/>
      <c r="W989"/>
      <c r="X989"/>
      <c r="Y989"/>
      <c r="Z989"/>
      <c r="AA989"/>
      <c r="AB989"/>
      <c r="AC989"/>
      <c r="AD989"/>
      <c r="AE989"/>
      <c r="AF989"/>
      <c r="AG989"/>
      <c r="AH989"/>
      <c r="AI989"/>
      <c r="AJ989" s="18" t="s">
        <v>4079</v>
      </c>
      <c r="AK989" t="s">
        <v>258</v>
      </c>
      <c r="AL989" t="s">
        <v>329</v>
      </c>
      <c r="AM989" t="s">
        <v>260</v>
      </c>
      <c r="AN989"/>
      <c r="AO989" t="s">
        <v>4080</v>
      </c>
      <c r="AP989" s="3"/>
      <c r="AQ989" t="s">
        <v>3290</v>
      </c>
      <c r="AR989"/>
      <c r="AS989"/>
      <c r="AT989"/>
      <c r="AU989"/>
      <c r="AV989"/>
      <c r="AW989"/>
      <c r="AX989" s="1"/>
      <c r="AY989" s="1"/>
      <c r="AZ989" s="1"/>
      <c r="BA989" s="1"/>
      <c r="BB989" s="1"/>
      <c r="BC989" s="2"/>
      <c r="BD989" s="116"/>
      <c r="BE989" s="115"/>
      <c r="BF989" s="2"/>
      <c r="BG989" s="2"/>
      <c r="BH989" s="2"/>
      <c r="BI989" s="2"/>
      <c r="BJ989" s="2"/>
      <c r="BK989" s="2"/>
      <c r="BL989" s="20">
        <f ca="1">SUM(DP989)+220</f>
        <v>503.89099999999996</v>
      </c>
      <c r="BM989" s="22">
        <f ca="1">PMT(10%/12,12,BL989,0,0)</f>
        <v>-44.300024332216758</v>
      </c>
      <c r="BN989" s="22">
        <f ca="1">SUM(BM989*-1)</f>
        <v>44.300024332216758</v>
      </c>
      <c r="BO989" s="14">
        <f>SUM(DX989*0.0052)/12</f>
        <v>55.033333333333331</v>
      </c>
      <c r="BP989" s="22">
        <f ca="1">SUM(BN989+BO989)</f>
        <v>99.333357665550096</v>
      </c>
      <c r="BQ989" s="14"/>
      <c r="BR989" s="14">
        <f>SUM(BQ989*0.1)</f>
        <v>0</v>
      </c>
      <c r="BS989" s="14">
        <f ca="1">SUM(BT989*BU989)</f>
        <v>0</v>
      </c>
      <c r="BT989" s="17">
        <f>SUM((BQ989+BR989)*0.00833333333333333)</f>
        <v>0</v>
      </c>
      <c r="BU989" s="23">
        <f ca="1">MONTH(TODAY())+49</f>
        <v>53</v>
      </c>
      <c r="BV989" s="14">
        <f ca="1">SUM(BQ989,BR989,BS989)</f>
        <v>0</v>
      </c>
      <c r="BW989" s="14"/>
      <c r="BX989" s="14">
        <f>SUM(BW989*0.1)</f>
        <v>0</v>
      </c>
      <c r="BY989" s="14">
        <f ca="1">SUM(BZ989*CA989)</f>
        <v>0</v>
      </c>
      <c r="BZ989" s="17">
        <f>SUM((BW989+BX989)*0.00833333333333333)</f>
        <v>0</v>
      </c>
      <c r="CA989" s="23">
        <f ca="1">MONTH(TODAY())+37</f>
        <v>41</v>
      </c>
      <c r="CB989" s="14">
        <f ca="1">SUM(BW989,BX989,BY989)</f>
        <v>0</v>
      </c>
      <c r="CC989" s="14">
        <v>0</v>
      </c>
      <c r="CD989" s="14">
        <f>SUM(CC989*0.1)</f>
        <v>0</v>
      </c>
      <c r="CE989" s="14">
        <f ca="1">SUM(CF989*CG989)</f>
        <v>0</v>
      </c>
      <c r="CF989" s="17">
        <f>SUM((CC989+CD989)*0.00833333333333333)</f>
        <v>0</v>
      </c>
      <c r="CG989" s="23">
        <f ca="1">MONTH(TODAY())+25</f>
        <v>29</v>
      </c>
      <c r="CH989" s="14">
        <f ca="1">SUM(CC989,CD989,CE989)</f>
        <v>0</v>
      </c>
      <c r="CI989" s="14">
        <f>SUM(DU989*0.0052)</f>
        <v>108.55</v>
      </c>
      <c r="CJ989" s="14">
        <f>SUM(CI989*0.1)</f>
        <v>10.855</v>
      </c>
      <c r="CK989" s="14">
        <f ca="1">SUM(CL989*CM989)</f>
        <v>16.915708333333328</v>
      </c>
      <c r="CL989" s="17">
        <f>SUM((CI989+CJ989)*0.00833333333333333)</f>
        <v>0.99504166666666627</v>
      </c>
      <c r="CM989" s="23">
        <f ca="1">MONTH(TODAY())+13</f>
        <v>17</v>
      </c>
      <c r="CN989" s="14">
        <f ca="1">SUM(CI989,CJ989,CK989)</f>
        <v>136.32070833333333</v>
      </c>
      <c r="CO989" s="14">
        <f>SUM(DU989*0.0052)/2</f>
        <v>54.274999999999999</v>
      </c>
      <c r="CP989" s="14">
        <f>SUM(CO989*0.1)</f>
        <v>5.4275000000000002</v>
      </c>
      <c r="CQ989" s="14">
        <f ca="1">SUM(CR989*CS989)</f>
        <v>4.4776874999999983</v>
      </c>
      <c r="CR989" s="17">
        <f>SUM((CO989+CP989)*0.00833333333333333)</f>
        <v>0.49752083333333313</v>
      </c>
      <c r="CS989" s="23">
        <f ca="1">MONTH(TODAY())+5</f>
        <v>9</v>
      </c>
      <c r="CT989" s="23">
        <f ca="1">SUM(CO989,CP989,CQ989)</f>
        <v>64.180187500000002</v>
      </c>
      <c r="CU989" s="14">
        <f>SUM(DU989*0.0052)/2</f>
        <v>54.274999999999999</v>
      </c>
      <c r="CV989" s="14">
        <f>SUM(CU989*0.1)</f>
        <v>5.4275000000000002</v>
      </c>
      <c r="CW989" s="14">
        <f ca="1">SUM(CX989*CY989)</f>
        <v>2.4876041666666655</v>
      </c>
      <c r="CX989" s="17">
        <f>SUM((CU989+CV989)*0.00833333333333333)</f>
        <v>0.49752083333333313</v>
      </c>
      <c r="CY989" s="23">
        <f ca="1">MONTH(TODAY())+1</f>
        <v>5</v>
      </c>
      <c r="CZ989" s="23">
        <f ca="1">SUM(CU989,CV989,CW989)</f>
        <v>62.190104166666664</v>
      </c>
      <c r="DA989" s="14">
        <f>SUM( BQ989, BW989, CC989, CI989, CO989,CU989)</f>
        <v>217.1</v>
      </c>
      <c r="DB989" s="14">
        <f>SUM(BR989,BX989,CD989,CJ989, CP989,CV989)</f>
        <v>21.71</v>
      </c>
      <c r="DC989" s="14">
        <f ca="1">SUM(BS989,BY989,CE989,CK989, CQ989,CW989)</f>
        <v>23.880999999999993</v>
      </c>
      <c r="DD989" s="25">
        <f ca="1">SUM(DA989:DC989)</f>
        <v>262.69099999999997</v>
      </c>
      <c r="DE989" s="47">
        <f ca="1">SUM(DD989/DU989)</f>
        <v>1.2583999999999998E-2</v>
      </c>
      <c r="DF989" s="14">
        <v>20</v>
      </c>
      <c r="DG989" s="32">
        <f>COUNTIF(DL989, "*")+COUNTIF(AO989, "*")+COUNTIF(AJ989, "*")+COUNTIF(AA989, "*")+COUNTIF(EM989, "*")+COUNTIF(ES989, "*")+COUNTIF(EY989, "*")+COUNTIF(FC989, "*")+COUNTIF(FJ989, "*")+COUNTIF(AT989, "*")+COUNTIF(FS989, "*")+COUNTIF(GD989, "*")+COUNTIF(GO989, "*")+COUNTIF(GW989, "*")+COUNTIF(HE989, "*")+COUNTIF(HM989, "*")+COUNTIF(HU989, "*")</f>
        <v>2</v>
      </c>
      <c r="DH989" s="14">
        <f>DG989*0.6</f>
        <v>1.2</v>
      </c>
      <c r="DI989" s="4"/>
      <c r="DJ989" s="4"/>
      <c r="DK989" s="4"/>
      <c r="DL989" s="4"/>
      <c r="DM989"/>
      <c r="DN989" s="4"/>
      <c r="DO989" s="14">
        <f>SUM(DJ989:DN989)</f>
        <v>0</v>
      </c>
      <c r="DP989" s="14">
        <f ca="1">SUM(DD989,DF989,DO989, DI989, DH989,FP989)</f>
        <v>283.89099999999996</v>
      </c>
      <c r="DQ989" s="24" t="s">
        <v>3974</v>
      </c>
      <c r="DR989" s="7">
        <v>41.75</v>
      </c>
      <c r="DS989" s="4">
        <v>85400</v>
      </c>
      <c r="DT989" s="4">
        <v>1000</v>
      </c>
      <c r="DU989" s="14">
        <v>20875</v>
      </c>
      <c r="DV989" s="14">
        <v>126000</v>
      </c>
      <c r="DW989" s="14">
        <v>1000</v>
      </c>
      <c r="DX989" s="14">
        <f>SUM(DV989+DW989)</f>
        <v>127000</v>
      </c>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s="9"/>
      <c r="IB989"/>
      <c r="IC989"/>
      <c r="ID989"/>
      <c r="IE989"/>
      <c r="IF989"/>
      <c r="IG989"/>
      <c r="IH989"/>
      <c r="II989"/>
      <c r="IJ989"/>
      <c r="IK989"/>
      <c r="IL989" s="14">
        <f ca="1">SUM(IB989-DP989-FP989-IJ989)</f>
        <v>-283.89099999999996</v>
      </c>
      <c r="IM989" s="9"/>
      <c r="IN989" s="9"/>
      <c r="IO989" s="9"/>
      <c r="IP989" s="9"/>
      <c r="IQ989" s="9"/>
      <c r="IR989"/>
      <c r="IS989"/>
      <c r="IT989"/>
      <c r="IU989"/>
      <c r="IV989"/>
      <c r="IW989"/>
      <c r="IX989"/>
      <c r="IY989"/>
      <c r="IZ989"/>
      <c r="JA989"/>
      <c r="JB989"/>
      <c r="JC989"/>
    </row>
    <row r="990" spans="1:263" ht="15" customHeight="1">
      <c r="A990" s="2">
        <v>102018058</v>
      </c>
      <c r="B990" s="4" t="s">
        <v>432</v>
      </c>
      <c r="C990" s="4"/>
      <c r="D990" s="4"/>
      <c r="E990" s="3" t="s">
        <v>433</v>
      </c>
      <c r="F990" s="2">
        <v>190000742</v>
      </c>
      <c r="G990">
        <v>190000902</v>
      </c>
      <c r="J990" t="s">
        <v>434</v>
      </c>
      <c r="K990" t="s">
        <v>435</v>
      </c>
      <c r="L990" t="s">
        <v>436</v>
      </c>
      <c r="M990" t="s">
        <v>392</v>
      </c>
      <c r="O990" s="1"/>
      <c r="P990" t="s">
        <v>435</v>
      </c>
      <c r="Q990" t="s">
        <v>437</v>
      </c>
      <c r="R990" t="s">
        <v>357</v>
      </c>
      <c r="T990" s="1"/>
      <c r="AG990" s="248"/>
      <c r="AJ990" s="4"/>
      <c r="AK990" s="4"/>
      <c r="AO990" s="4"/>
      <c r="AP990" s="5"/>
      <c r="AQ990" s="34"/>
      <c r="AS990" s="1"/>
      <c r="AT990" s="1"/>
      <c r="AU990" s="29"/>
      <c r="AV990" s="1"/>
      <c r="AW990" s="1"/>
      <c r="AX990" s="15"/>
      <c r="AY990" s="15"/>
      <c r="AZ990" s="15"/>
      <c r="BA990" s="15"/>
      <c r="BB990" s="1"/>
      <c r="BC990" s="15"/>
      <c r="BD990" s="15"/>
      <c r="BE990" s="1"/>
      <c r="BF990" s="1"/>
      <c r="BG990" s="5"/>
      <c r="BH990" s="16"/>
      <c r="BI990" s="16"/>
      <c r="BJ990" s="4"/>
      <c r="BK990" s="4"/>
      <c r="BL990" s="4"/>
      <c r="BM990" s="6"/>
      <c r="BN990" s="7"/>
      <c r="BO990" s="4"/>
      <c r="BP990" s="4"/>
      <c r="BQ990" s="4"/>
      <c r="BR990" s="4"/>
      <c r="BS990" s="6"/>
      <c r="BT990" s="7"/>
      <c r="BU990" s="4"/>
      <c r="BV990" s="4"/>
      <c r="BW990" s="4"/>
      <c r="BX990" s="4"/>
      <c r="BY990" s="6"/>
      <c r="BZ990" s="7"/>
      <c r="CA990" s="4"/>
      <c r="CB990" s="4"/>
      <c r="CC990" s="4"/>
      <c r="CD990" s="4"/>
      <c r="CE990" s="6"/>
      <c r="CF990" s="7"/>
      <c r="CG990" s="4"/>
      <c r="CH990" s="4"/>
      <c r="CI990" s="4"/>
      <c r="CJ990" s="4"/>
      <c r="CK990" s="6"/>
      <c r="CL990" s="7"/>
      <c r="CM990" s="4"/>
      <c r="CN990" s="4"/>
      <c r="CO990" s="4"/>
      <c r="CP990" s="4"/>
      <c r="CQ990" s="6"/>
      <c r="CR990" s="7"/>
      <c r="CS990" s="4"/>
      <c r="CT990" s="4"/>
      <c r="CU990" s="4"/>
      <c r="CV990" s="4"/>
      <c r="CW990" s="6"/>
      <c r="CX990" s="7"/>
      <c r="CY990" s="4"/>
      <c r="CZ990" s="4"/>
      <c r="DA990" s="4"/>
      <c r="DB990" s="4"/>
      <c r="DC990" s="4"/>
      <c r="DE990" s="4"/>
      <c r="DF990" s="234"/>
      <c r="DG990" s="4"/>
      <c r="DH990" s="4"/>
      <c r="DI990" s="4"/>
      <c r="DJ990" s="7"/>
      <c r="DK990" s="7"/>
      <c r="DL990" s="4"/>
      <c r="DM990" s="4"/>
      <c r="DN990" s="8"/>
      <c r="DO990" s="4"/>
      <c r="DP990" s="8"/>
      <c r="DQ990" s="8"/>
      <c r="DR990" s="8"/>
      <c r="DS990" s="35"/>
      <c r="DZ990" s="11"/>
      <c r="EF990" s="11"/>
      <c r="EG990" s="4"/>
      <c r="EH990" s="4"/>
      <c r="EI990" s="4"/>
      <c r="EJ990" s="4"/>
      <c r="EK990" s="4"/>
      <c r="EL990" s="4"/>
      <c r="EM990" s="4"/>
      <c r="EN990" s="4"/>
      <c r="EO990" s="4"/>
      <c r="EP990" s="4"/>
      <c r="EQ990" s="4"/>
      <c r="ER990" s="4"/>
      <c r="ES990" s="4"/>
      <c r="ET990" s="4"/>
      <c r="EU990" s="4"/>
      <c r="EV990" s="4"/>
      <c r="FB990" s="9"/>
      <c r="FK990" s="9"/>
      <c r="FQ990" s="4"/>
      <c r="FT990" s="10"/>
      <c r="FX990" s="9"/>
      <c r="GI990" s="9"/>
      <c r="GT990" s="9"/>
      <c r="HB990" s="9"/>
      <c r="HJ990" s="9"/>
      <c r="IC990" s="4"/>
      <c r="ID990" s="4"/>
      <c r="IE990" s="9"/>
    </row>
    <row r="991" spans="1:263" ht="15" customHeight="1">
      <c r="A991" s="2">
        <v>102017013</v>
      </c>
      <c r="B991" t="s">
        <v>795</v>
      </c>
      <c r="G991">
        <v>180000144</v>
      </c>
      <c r="J991" t="s">
        <v>796</v>
      </c>
      <c r="K991" t="s">
        <v>780</v>
      </c>
      <c r="L991" t="s">
        <v>574</v>
      </c>
      <c r="M991" t="s">
        <v>537</v>
      </c>
      <c r="N991" t="s">
        <v>470</v>
      </c>
      <c r="O991" s="1"/>
      <c r="P991" t="s">
        <v>780</v>
      </c>
      <c r="Q991" t="s">
        <v>797</v>
      </c>
      <c r="T991" s="1"/>
      <c r="AE991" s="1"/>
      <c r="AJ991" s="4"/>
      <c r="AK991" s="4"/>
      <c r="AL991" s="4"/>
      <c r="AQ991" s="34"/>
      <c r="AR991" s="34"/>
      <c r="AS991" s="5"/>
      <c r="AT991" s="1"/>
      <c r="AU991" s="1"/>
      <c r="AV991" s="1"/>
      <c r="AW991" s="1"/>
      <c r="AX991" s="1"/>
      <c r="AY991" s="1"/>
      <c r="AZ991" s="1"/>
      <c r="BA991" s="1"/>
      <c r="BB991" s="1"/>
      <c r="BC991" s="1"/>
      <c r="BD991" s="1"/>
      <c r="BE991" s="1"/>
      <c r="BF991" s="1"/>
      <c r="BG991" s="5"/>
      <c r="BH991" s="16"/>
      <c r="BI991" s="16"/>
      <c r="BJ991" s="4"/>
      <c r="BK991" s="4"/>
      <c r="BL991" s="4"/>
      <c r="BM991" s="6"/>
      <c r="BN991" s="7"/>
      <c r="BO991" s="4"/>
      <c r="BQ991" s="4"/>
      <c r="BR991" s="4"/>
      <c r="BS991" s="6"/>
      <c r="BT991" s="7"/>
      <c r="BU991" s="4"/>
      <c r="BV991" s="4"/>
      <c r="BW991" s="4"/>
      <c r="BX991" s="4"/>
      <c r="BY991" s="6"/>
      <c r="BZ991" s="7"/>
      <c r="CA991" s="4"/>
      <c r="CB991" s="4"/>
      <c r="CC991" s="4"/>
      <c r="CD991" s="4"/>
      <c r="CE991" s="6"/>
      <c r="CF991" s="7"/>
      <c r="CG991" s="4"/>
      <c r="CH991" s="4"/>
      <c r="CI991" s="4"/>
      <c r="CJ991" s="4"/>
      <c r="CK991" s="6"/>
      <c r="CL991" s="7"/>
      <c r="CM991" s="4"/>
      <c r="CN991" s="4"/>
      <c r="CO991" s="4"/>
      <c r="CP991" s="4"/>
      <c r="CQ991" s="6"/>
      <c r="CR991" s="7"/>
      <c r="CS991" s="4"/>
      <c r="CT991" s="4"/>
      <c r="CU991" s="4"/>
      <c r="CV991" s="4"/>
      <c r="CW991" s="6"/>
      <c r="CX991" s="7"/>
      <c r="CY991" s="4"/>
      <c r="CZ991" s="4"/>
      <c r="DA991" s="4"/>
      <c r="DB991" s="4"/>
      <c r="DC991" s="6"/>
      <c r="DD991" s="7"/>
      <c r="DE991" s="4"/>
      <c r="DF991" s="4"/>
      <c r="DG991" s="14"/>
      <c r="DH991" s="14"/>
      <c r="DI991" s="4"/>
      <c r="DJ991" s="3"/>
      <c r="DK991" s="4"/>
      <c r="DL991" s="4"/>
      <c r="DM991" s="4"/>
      <c r="DN991" s="4"/>
      <c r="DO991" s="4"/>
      <c r="DP991" s="4"/>
      <c r="DQ991" s="4"/>
      <c r="DR991" s="4"/>
      <c r="DS991" s="4"/>
      <c r="DT991" s="4"/>
      <c r="DU991" s="4"/>
      <c r="DV991" s="4"/>
      <c r="DW991" s="4"/>
      <c r="DX991" s="232"/>
      <c r="DY991" s="232"/>
      <c r="DZ991" s="232"/>
      <c r="EA991" s="232"/>
      <c r="EB991" s="232"/>
      <c r="EC991" s="232"/>
      <c r="ED991" s="232"/>
      <c r="EE991" s="232"/>
      <c r="EF991" s="232"/>
      <c r="EG991" s="232"/>
      <c r="EH991" s="232"/>
      <c r="EI991" s="232"/>
      <c r="FF991" s="9"/>
      <c r="FG991" s="10"/>
      <c r="FN991" s="10"/>
      <c r="FO991" s="9"/>
      <c r="FV991" s="233"/>
      <c r="GA991" s="9"/>
      <c r="IJ991" s="4"/>
      <c r="IL991" s="12"/>
      <c r="IM991" s="12"/>
      <c r="IN991" s="12"/>
      <c r="IO991" s="12"/>
      <c r="IP991" s="12"/>
      <c r="IQ991" s="12"/>
      <c r="IR991" s="12"/>
      <c r="IS991" s="12"/>
      <c r="IT991" s="12"/>
      <c r="IU991" s="12"/>
      <c r="IV991" s="12"/>
      <c r="IW991" s="12"/>
      <c r="IX991" s="12"/>
      <c r="IY991" s="12"/>
    </row>
    <row r="992" spans="1:263" ht="15" customHeight="1">
      <c r="A992" s="19">
        <v>102022041</v>
      </c>
      <c r="B992" t="s">
        <v>795</v>
      </c>
      <c r="D992" s="1"/>
      <c r="E992" s="3" t="s">
        <v>3871</v>
      </c>
      <c r="F992" s="3">
        <v>220003541</v>
      </c>
      <c r="G992" s="3">
        <v>220004906</v>
      </c>
      <c r="J992" t="s">
        <v>554</v>
      </c>
      <c r="K992" t="s">
        <v>780</v>
      </c>
      <c r="L992" t="s">
        <v>574</v>
      </c>
      <c r="M992" t="s">
        <v>537</v>
      </c>
      <c r="N992" t="s">
        <v>470</v>
      </c>
      <c r="O992" s="3"/>
      <c r="AD992" t="s">
        <v>3900</v>
      </c>
      <c r="AE992" t="s">
        <v>311</v>
      </c>
      <c r="AF992" t="s">
        <v>780</v>
      </c>
      <c r="AG992" s="43" t="s">
        <v>3901</v>
      </c>
      <c r="AH992" t="s">
        <v>789</v>
      </c>
      <c r="AI992" t="s">
        <v>329</v>
      </c>
      <c r="AM992"/>
      <c r="AN992"/>
      <c r="AO992" t="s">
        <v>789</v>
      </c>
      <c r="AP992" s="3" t="s">
        <v>258</v>
      </c>
      <c r="AQ992" t="s">
        <v>329</v>
      </c>
      <c r="AR992" t="s">
        <v>260</v>
      </c>
      <c r="AX992" s="1"/>
      <c r="AY992" s="1"/>
      <c r="AZ992" s="1" t="s">
        <v>258</v>
      </c>
      <c r="BA992" s="1" t="s">
        <v>258</v>
      </c>
      <c r="BB992" s="1" t="s">
        <v>258</v>
      </c>
      <c r="BC992" s="70">
        <v>44686</v>
      </c>
      <c r="BD992" s="115">
        <v>44654</v>
      </c>
      <c r="BE992" s="115">
        <v>44643</v>
      </c>
      <c r="BF992" s="70">
        <v>44722</v>
      </c>
      <c r="BG992" s="2" t="s">
        <v>318</v>
      </c>
      <c r="BH992" s="70">
        <v>44708</v>
      </c>
      <c r="BI992" s="70">
        <v>44715</v>
      </c>
      <c r="BJ992" s="70"/>
      <c r="BK992" s="2"/>
      <c r="BL992" s="20">
        <f ca="1">SUM(EB992)+220</f>
        <v>2424.5129226190475</v>
      </c>
      <c r="BM992" s="22">
        <f ca="1">PMT(10%/12,12,BL992,0,0)</f>
        <v>-213.15320469267718</v>
      </c>
      <c r="BN992" s="22">
        <f ca="1">SUM(BM992*-1)</f>
        <v>213.15320469267718</v>
      </c>
      <c r="BO992" s="14">
        <f>SUM(EJ992*0.0052)/12</f>
        <v>22.966666666666665</v>
      </c>
      <c r="BP992" s="22">
        <f ca="1">SUM(BN992+BO992)</f>
        <v>236.11987135934385</v>
      </c>
      <c r="BQ992" s="14"/>
      <c r="BR992" s="14">
        <f>SUM(BQ992*0.1)</f>
        <v>0</v>
      </c>
      <c r="BS992" s="14">
        <f ca="1">SUM(BT992*BU992)</f>
        <v>0</v>
      </c>
      <c r="BT992" s="17">
        <f>SUM((BQ992+BR992)*0.00833333333333333)</f>
        <v>0</v>
      </c>
      <c r="BU992" s="23">
        <f ca="1">MONTH(TODAY())+49</f>
        <v>53</v>
      </c>
      <c r="BV992" s="14">
        <f ca="1">SUM(BQ992,BR992,BS992)</f>
        <v>0</v>
      </c>
      <c r="BW992" s="14"/>
      <c r="BX992" s="14">
        <f>SUM(BW992*0.1)</f>
        <v>0</v>
      </c>
      <c r="BY992" s="14">
        <f ca="1">SUM(BZ992*CA992)</f>
        <v>0</v>
      </c>
      <c r="BZ992" s="17">
        <f>SUM((BW992+BX992)*0.00833333333333333)</f>
        <v>0</v>
      </c>
      <c r="CA992" s="23">
        <f ca="1">MONTH(TODAY())+37</f>
        <v>41</v>
      </c>
      <c r="CB992" s="14">
        <f ca="1">SUM(BW992,BX992,BY992)</f>
        <v>0</v>
      </c>
      <c r="CC992" s="14">
        <f>SUM(EG992*0.0052)</f>
        <v>228.79999999999998</v>
      </c>
      <c r="CD992" s="14">
        <f>SUM(CC992*0.1)</f>
        <v>22.88</v>
      </c>
      <c r="CE992" s="14">
        <f ca="1">SUM(CF992*CG992)</f>
        <v>60.822666666666642</v>
      </c>
      <c r="CF992" s="17">
        <f>SUM((CC992+CD992)*0.00833333333333333)</f>
        <v>2.0973333333333324</v>
      </c>
      <c r="CG992" s="23">
        <f ca="1">MONTH(TODAY())+25</f>
        <v>29</v>
      </c>
      <c r="CH992" s="14">
        <f ca="1">SUM(CC992,CD992,CE992)</f>
        <v>312.50266666666664</v>
      </c>
      <c r="CI992" s="14">
        <f>SUM(EG992*0.0052)</f>
        <v>228.79999999999998</v>
      </c>
      <c r="CJ992" s="14">
        <f>SUM(CI992*0.1)</f>
        <v>22.88</v>
      </c>
      <c r="CK992" s="14">
        <f ca="1">SUM(CL992*CM992)</f>
        <v>35.65466666666665</v>
      </c>
      <c r="CL992" s="17">
        <f>SUM((CI992+CJ992)*0.00833333333333333)</f>
        <v>2.0973333333333324</v>
      </c>
      <c r="CM992" s="23">
        <f ca="1">MONTH(TODAY())+13</f>
        <v>17</v>
      </c>
      <c r="CN992" s="14">
        <f ca="1">SUM(CI992,CJ992,CK992)</f>
        <v>287.33466666666664</v>
      </c>
      <c r="CO992" s="14">
        <f>SUM(EG992*0.0052)/2</f>
        <v>114.39999999999999</v>
      </c>
      <c r="CP992" s="14">
        <f>SUM(CO992*0.1)</f>
        <v>11.44</v>
      </c>
      <c r="CQ992" s="14">
        <f ca="1">SUM(CR992*CS992)</f>
        <v>9.4379999999999953</v>
      </c>
      <c r="CR992" s="17">
        <f>SUM((CO992+CP992)*0.00833333333333333)</f>
        <v>1.0486666666666662</v>
      </c>
      <c r="CS992" s="23">
        <f ca="1">MONTH(TODAY())+5</f>
        <v>9</v>
      </c>
      <c r="CT992" s="23">
        <f ca="1">SUM(CO992,CP992,CQ992)</f>
        <v>135.27799999999999</v>
      </c>
      <c r="CU992" s="14">
        <f>SUM(EG992*0.0052)/2</f>
        <v>114.39999999999999</v>
      </c>
      <c r="CV992" s="14">
        <f>SUM(CU992*0.1)</f>
        <v>11.44</v>
      </c>
      <c r="CW992" s="14">
        <f ca="1">SUM(CX992*CY992)</f>
        <v>5.2433333333333305</v>
      </c>
      <c r="CX992" s="17">
        <f>SUM((CU992+CV992)*0.00833333333333333)</f>
        <v>1.0486666666666662</v>
      </c>
      <c r="CY992" s="23">
        <f ca="1">MONTH(TODAY())+1</f>
        <v>5</v>
      </c>
      <c r="CZ992" s="23">
        <f ca="1">SUM(CU992,CV992,CW992)</f>
        <v>131.08333333333331</v>
      </c>
      <c r="DA992" s="14">
        <f>SUM(EJ992*0.0045)/2</f>
        <v>119.24999999999999</v>
      </c>
      <c r="DB992" s="14">
        <f>SUM(DA992*0.1)</f>
        <v>11.924999999999999</v>
      </c>
      <c r="DC992" s="14">
        <f ca="1">SUM(DD992*DE992)</f>
        <v>-1.0931249999999995</v>
      </c>
      <c r="DD992" s="17">
        <f>SUM((DA992+DB992)*0.00833333333333333)</f>
        <v>1.0931249999999995</v>
      </c>
      <c r="DE992" s="23">
        <f ca="1">MONTH(TODAY())-5</f>
        <v>-1</v>
      </c>
      <c r="DF992" s="23">
        <f ca="1">SUM(DA992,DB992,DC992)</f>
        <v>130.081875</v>
      </c>
      <c r="DG992" s="14">
        <v>0</v>
      </c>
      <c r="DH992" s="14">
        <v>0</v>
      </c>
      <c r="DI992" s="14">
        <v>0</v>
      </c>
      <c r="DJ992" s="17">
        <f>SUM((DG992+DH992)*0.00833333333333333)</f>
        <v>0</v>
      </c>
      <c r="DK992" s="23">
        <f ca="1">MONTH(TODAY())+1</f>
        <v>5</v>
      </c>
      <c r="DL992" s="23">
        <f>SUM(DG992,DH992,DI992)</f>
        <v>0</v>
      </c>
      <c r="DM992" s="14">
        <f>SUM( BQ992, BW992, CC992, CI992, CO992,CU992,DA992,DG992)</f>
        <v>805.65</v>
      </c>
      <c r="DN992" s="14">
        <f>SUM(BR992,BX992,CD992,CJ992, CP992,CV992,DB992,DH992)</f>
        <v>80.564999999999998</v>
      </c>
      <c r="DO992" s="14">
        <f ca="1">SUM(BS992,BY992,CE992,CK992, CQ992,CW992,DC992,DI992)</f>
        <v>110.0655416666666</v>
      </c>
      <c r="DP992" s="25">
        <f ca="1">SUM(DM992:DO992)</f>
        <v>996.28054166666652</v>
      </c>
      <c r="DQ992" s="47">
        <f ca="1">SUM(DP992/EG992)</f>
        <v>2.2642739583333332E-2</v>
      </c>
      <c r="DR992" s="14">
        <f>19.5+195+19.5+195+39+39+58.5+39+40</f>
        <v>644.5</v>
      </c>
      <c r="DS992" s="32">
        <f>COUNTIF(DX992, "*")+COUNTIF(AO992, "*")+COUNTIF(AJ992, "*")+COUNTIF(AA992, "*")+COUNTIF(EY992, "*")+COUNTIF(FE992, "*")+COUNTIF(FK992, "*")+COUNTIF(FO992, "*")+COUNTIF(FV992, "*")+COUNTIF(AT992, "*")+COUNTIF(GE992, "*")+COUNTIF(GP992, "*")+COUNTIF(HA992, "*")+COUNTIF(HI992, "*")+COUNTIF(HQ992, "*")+COUNTIF(HY992, "*")+COUNTIF(IG992, "*")</f>
        <v>7</v>
      </c>
      <c r="DT992" s="14">
        <f>DS992*0.5+DS992*6.66</f>
        <v>50.120000000000005</v>
      </c>
      <c r="DU992" s="4">
        <v>150</v>
      </c>
      <c r="DV992" s="14">
        <v>27.362380952380899</v>
      </c>
      <c r="DW992" s="14">
        <f>93.75+142.5</f>
        <v>236.25</v>
      </c>
      <c r="DX992" s="4"/>
      <c r="DZ992" s="4">
        <v>100</v>
      </c>
      <c r="EA992" s="14">
        <f>SUM(DV992:DZ992)</f>
        <v>363.61238095238087</v>
      </c>
      <c r="EB992" s="14">
        <f ca="1">SUM(DP992,DR992,EA992, DU992, DT992,GB992)</f>
        <v>2204.5129226190475</v>
      </c>
      <c r="EC992" s="24" t="s">
        <v>2773</v>
      </c>
      <c r="ED992" s="7">
        <v>1</v>
      </c>
      <c r="EE992" s="4">
        <v>16000</v>
      </c>
      <c r="EF992" s="4">
        <v>28000</v>
      </c>
      <c r="EG992" s="14">
        <f>SUM(EE992+EF992)</f>
        <v>44000</v>
      </c>
      <c r="EH992" s="14">
        <v>18000</v>
      </c>
      <c r="EI992" s="14">
        <v>35000</v>
      </c>
      <c r="EJ992" s="14">
        <f>SUM(EH992+EI992)</f>
        <v>53000</v>
      </c>
      <c r="EK992" t="s">
        <v>3566</v>
      </c>
      <c r="EL992" t="s">
        <v>3567</v>
      </c>
      <c r="EM992" t="s">
        <v>3568</v>
      </c>
      <c r="EW992" t="s">
        <v>3565</v>
      </c>
      <c r="EY992" t="s">
        <v>789</v>
      </c>
      <c r="FA992" t="s">
        <v>329</v>
      </c>
      <c r="FB992" t="s">
        <v>260</v>
      </c>
      <c r="GC992" t="s">
        <v>3590</v>
      </c>
      <c r="GD992" t="s">
        <v>3591</v>
      </c>
      <c r="GE992" t="s">
        <v>3592</v>
      </c>
      <c r="GF992" t="s">
        <v>1123</v>
      </c>
      <c r="GG992" t="s">
        <v>290</v>
      </c>
      <c r="GH992" t="s">
        <v>3593</v>
      </c>
      <c r="GI992" s="9">
        <v>38110</v>
      </c>
      <c r="GJ992" t="s">
        <v>3594</v>
      </c>
      <c r="GN992" t="s">
        <v>3595</v>
      </c>
      <c r="GO992" t="s">
        <v>1813</v>
      </c>
      <c r="GP992" t="s">
        <v>1812</v>
      </c>
      <c r="GQ992" t="s">
        <v>799</v>
      </c>
      <c r="GR992" t="s">
        <v>800</v>
      </c>
      <c r="GS992" t="s">
        <v>285</v>
      </c>
      <c r="GT992" s="9">
        <v>41389</v>
      </c>
      <c r="GU992" t="s">
        <v>3596</v>
      </c>
      <c r="GV992" t="s">
        <v>3597</v>
      </c>
      <c r="GW992" t="s">
        <v>3598</v>
      </c>
      <c r="GX992" t="s">
        <v>2318</v>
      </c>
      <c r="GY992" t="s">
        <v>3599</v>
      </c>
      <c r="GZ992" t="s">
        <v>3600</v>
      </c>
      <c r="HA992" t="s">
        <v>3601</v>
      </c>
      <c r="HC992" t="s">
        <v>3602</v>
      </c>
      <c r="HD992" t="s">
        <v>3603</v>
      </c>
      <c r="HE992" s="9">
        <v>41514</v>
      </c>
      <c r="HF992" t="s">
        <v>3604</v>
      </c>
      <c r="HG992" t="s">
        <v>3605</v>
      </c>
      <c r="HH992" t="s">
        <v>3606</v>
      </c>
      <c r="HI992" t="s">
        <v>748</v>
      </c>
      <c r="HK992" t="s">
        <v>749</v>
      </c>
      <c r="HL992" t="s">
        <v>750</v>
      </c>
      <c r="HM992" s="9">
        <v>42695</v>
      </c>
      <c r="HN992" t="s">
        <v>3607</v>
      </c>
      <c r="HO992" t="s">
        <v>3608</v>
      </c>
      <c r="HP992" t="s">
        <v>3609</v>
      </c>
      <c r="HQ992" t="s">
        <v>3610</v>
      </c>
      <c r="HS992" t="s">
        <v>300</v>
      </c>
      <c r="HT992" t="s">
        <v>301</v>
      </c>
      <c r="HU992" s="9">
        <v>42867</v>
      </c>
      <c r="HV992" t="s">
        <v>3611</v>
      </c>
      <c r="IM992" s="9"/>
      <c r="IX992" s="14">
        <f ca="1">SUM(IN992-EB992-GB992-IV992)</f>
        <v>-2204.5129226190475</v>
      </c>
      <c r="IY992" s="9"/>
      <c r="IZ992" s="9"/>
      <c r="JA992" s="9"/>
      <c r="JB992" s="9"/>
      <c r="JC992" s="9"/>
    </row>
    <row r="993" spans="1:263" ht="15" customHeight="1">
      <c r="A993" s="2">
        <v>102018005</v>
      </c>
      <c r="B993" t="s">
        <v>1103</v>
      </c>
      <c r="J993" t="s">
        <v>253</v>
      </c>
      <c r="K993" t="s">
        <v>974</v>
      </c>
      <c r="L993" t="s">
        <v>975</v>
      </c>
      <c r="M993" t="s">
        <v>976</v>
      </c>
      <c r="O993" s="1"/>
      <c r="T993" s="1"/>
      <c r="AJ993" s="11"/>
      <c r="AK993" s="11"/>
      <c r="AO993" s="4"/>
      <c r="AP993" s="5"/>
      <c r="AQ993" s="34"/>
      <c r="AR993" s="34"/>
      <c r="AS993" s="29"/>
      <c r="AT993" s="1"/>
      <c r="AU993" s="1"/>
      <c r="AV993" s="1"/>
      <c r="AW993" s="1"/>
      <c r="AX993" s="1"/>
      <c r="AY993" s="1"/>
      <c r="AZ993" s="1"/>
      <c r="BA993" s="1"/>
      <c r="BB993" s="1"/>
      <c r="BC993" s="1"/>
      <c r="BD993" s="1"/>
      <c r="BE993" s="5"/>
      <c r="BF993" s="16"/>
      <c r="BG993" s="16"/>
      <c r="BI993" s="4"/>
      <c r="BJ993" s="4"/>
      <c r="BK993" s="6"/>
      <c r="BL993" s="7"/>
      <c r="BM993" s="4"/>
      <c r="BO993" s="4"/>
      <c r="BP993" s="4"/>
      <c r="BQ993" s="6"/>
      <c r="BR993" s="7"/>
      <c r="BS993" s="4"/>
      <c r="BT993" s="4"/>
      <c r="BU993" s="4"/>
      <c r="BV993" s="4"/>
      <c r="BW993" s="6"/>
      <c r="BX993" s="7"/>
      <c r="BY993" s="4"/>
      <c r="CA993" s="4"/>
      <c r="CB993" s="4"/>
      <c r="CC993" s="6"/>
      <c r="CD993" s="7"/>
      <c r="CE993" s="4"/>
      <c r="CF993" s="4"/>
      <c r="CG993" s="4"/>
      <c r="CH993" s="4"/>
      <c r="CI993" s="6"/>
      <c r="CJ993" s="7"/>
      <c r="CK993" s="4"/>
      <c r="CL993" s="4"/>
      <c r="CM993" s="4"/>
      <c r="CN993" s="4"/>
      <c r="CO993" s="6"/>
      <c r="CP993" s="7"/>
      <c r="CQ993" s="4"/>
      <c r="CR993" s="4"/>
      <c r="CS993" s="4"/>
      <c r="CT993" s="4"/>
      <c r="CU993" s="6"/>
      <c r="CV993" s="7"/>
      <c r="CW993" s="4"/>
      <c r="CX993" s="4"/>
      <c r="CY993" s="4"/>
      <c r="CZ993" s="4"/>
      <c r="DA993" s="6"/>
      <c r="DB993" s="7"/>
      <c r="DC993" s="4"/>
      <c r="DD993" s="4"/>
      <c r="DE993" s="4"/>
      <c r="DF993" s="4"/>
      <c r="DG993" s="6"/>
      <c r="DH993" s="7"/>
      <c r="DI993" s="4"/>
      <c r="DJ993" s="4"/>
      <c r="DK993" s="4"/>
      <c r="DL993" s="4"/>
      <c r="DM993" s="4"/>
      <c r="DO993" s="4"/>
      <c r="DQ993" s="4"/>
      <c r="DR993" s="4"/>
      <c r="DS993" s="4"/>
      <c r="DT993" s="4"/>
      <c r="DU993" s="4"/>
      <c r="DV993" s="4"/>
      <c r="DW993" s="4"/>
      <c r="DX993" s="4"/>
      <c r="DY993" s="3"/>
      <c r="DZ993" s="3"/>
      <c r="EA993" s="3"/>
      <c r="EB993" s="3"/>
      <c r="EC993" s="3"/>
      <c r="ED993" s="4"/>
      <c r="EH993" s="4"/>
      <c r="EI993" s="4"/>
      <c r="EJ993" s="4"/>
      <c r="EK993" s="4"/>
      <c r="EL993" s="4"/>
      <c r="EM993" s="4"/>
      <c r="EN993" s="4"/>
      <c r="EO993" s="4"/>
      <c r="EP993" s="4"/>
      <c r="EQ993" s="4"/>
      <c r="ER993" s="4"/>
      <c r="ES993" s="4"/>
      <c r="FN993" s="9"/>
      <c r="FO993" s="10"/>
      <c r="FV993" s="10"/>
      <c r="GH993" s="9"/>
    </row>
    <row r="994" spans="1:263" ht="15" customHeight="1">
      <c r="A994" s="2">
        <v>102017067</v>
      </c>
      <c r="B994" t="s">
        <v>973</v>
      </c>
      <c r="J994" t="s">
        <v>253</v>
      </c>
      <c r="K994" t="s">
        <v>974</v>
      </c>
      <c r="L994" t="s">
        <v>975</v>
      </c>
      <c r="M994" t="s">
        <v>976</v>
      </c>
      <c r="O994" s="1"/>
      <c r="T994" s="1"/>
      <c r="X994" s="18"/>
      <c r="AE994" s="1"/>
      <c r="AS994" s="5"/>
      <c r="AT994" s="16"/>
      <c r="AU994" s="16"/>
      <c r="AW994" s="4"/>
      <c r="AX994" s="4"/>
      <c r="AY994" s="6"/>
      <c r="AZ994" s="7"/>
      <c r="BA994" s="4"/>
      <c r="BC994" s="4"/>
      <c r="BD994" s="4"/>
      <c r="BE994" s="6"/>
      <c r="BF994" s="7"/>
      <c r="BG994" s="4"/>
      <c r="BH994" s="4"/>
      <c r="BI994" s="4"/>
      <c r="BJ994" s="4"/>
      <c r="BK994" s="6"/>
      <c r="BL994" s="7"/>
      <c r="BM994" s="4"/>
      <c r="BO994" s="4"/>
      <c r="BP994" s="4"/>
      <c r="BQ994" s="6"/>
      <c r="BR994" s="7"/>
      <c r="BS994" s="4"/>
      <c r="BT994" s="4"/>
      <c r="BU994" s="4"/>
      <c r="BV994" s="4"/>
      <c r="BW994" s="6"/>
      <c r="BX994" s="7"/>
      <c r="BY994" s="4"/>
      <c r="BZ994" s="4"/>
      <c r="CA994" s="4"/>
      <c r="CB994" s="4"/>
      <c r="CC994" s="6"/>
      <c r="CD994" s="7"/>
      <c r="CE994" s="4"/>
      <c r="CF994" s="4"/>
      <c r="CG994" s="4"/>
      <c r="CH994" s="4"/>
      <c r="CI994" s="6"/>
      <c r="CJ994" s="7"/>
      <c r="CK994" s="4"/>
      <c r="CL994" s="4"/>
      <c r="CM994" s="4"/>
      <c r="CN994" s="4"/>
      <c r="CO994" s="6"/>
      <c r="CP994" s="7"/>
      <c r="CQ994" s="4"/>
      <c r="CS994" s="4"/>
      <c r="CT994" s="4"/>
      <c r="CU994" s="6"/>
      <c r="CV994" s="7"/>
      <c r="CW994" s="4"/>
      <c r="CX994" s="4"/>
      <c r="CY994" s="4"/>
      <c r="CZ994" s="4"/>
      <c r="DA994" s="4"/>
      <c r="DC994" s="4"/>
      <c r="DD994" s="4"/>
      <c r="DE994" s="4"/>
      <c r="DF994" s="4"/>
      <c r="DG994" s="4"/>
      <c r="DH994" s="4"/>
      <c r="DI994" s="4"/>
      <c r="DJ994" s="4"/>
      <c r="DK994" s="4"/>
      <c r="DL994" s="4"/>
      <c r="DM994" s="4"/>
      <c r="DN994" s="4"/>
      <c r="DO994" s="4"/>
      <c r="DP994" s="4"/>
      <c r="DQ994" s="4"/>
      <c r="DR994" s="4"/>
      <c r="DS994" s="4"/>
      <c r="DW994" s="4"/>
      <c r="DX994" s="18"/>
      <c r="DY994" s="4"/>
      <c r="DZ994" s="4"/>
      <c r="EB994" s="4"/>
      <c r="EC994" s="4"/>
      <c r="ED994" s="18"/>
      <c r="EF994" s="4"/>
      <c r="EG994" s="4"/>
      <c r="EH994" s="4"/>
      <c r="FQ994" s="10"/>
      <c r="FX994" s="10"/>
      <c r="GJ994" s="9"/>
      <c r="IP994" s="4"/>
      <c r="IV994" s="18"/>
    </row>
    <row r="995" spans="1:263" ht="15" customHeight="1">
      <c r="A995" s="2">
        <v>102018004</v>
      </c>
      <c r="B995" t="s">
        <v>1102</v>
      </c>
      <c r="J995" t="s">
        <v>253</v>
      </c>
      <c r="K995" t="s">
        <v>974</v>
      </c>
      <c r="L995" t="s">
        <v>975</v>
      </c>
      <c r="M995" t="s">
        <v>976</v>
      </c>
      <c r="O995" s="1"/>
      <c r="T995" s="1"/>
      <c r="AJ995" s="11"/>
      <c r="AK995" s="11"/>
      <c r="AL995" s="4"/>
      <c r="AO995" s="4"/>
      <c r="AP995" s="5"/>
      <c r="AQ995" s="34"/>
      <c r="AR995" s="34"/>
      <c r="AS995" s="29"/>
      <c r="AT995" s="1"/>
      <c r="AU995" s="1"/>
      <c r="AV995" s="1"/>
      <c r="AW995" s="1"/>
      <c r="AX995" s="1"/>
      <c r="AY995" s="1"/>
      <c r="AZ995" s="1"/>
      <c r="BA995" s="1"/>
      <c r="BB995" s="1"/>
      <c r="BC995" s="1"/>
      <c r="BD995" s="1"/>
      <c r="BE995" s="5"/>
      <c r="BF995" s="16"/>
      <c r="BG995" s="16"/>
      <c r="BI995" s="4"/>
      <c r="BJ995" s="4"/>
      <c r="BK995" s="6"/>
      <c r="BL995" s="7"/>
      <c r="BM995" s="4"/>
      <c r="BO995" s="4"/>
      <c r="BP995" s="4"/>
      <c r="BQ995" s="6"/>
      <c r="BR995" s="7"/>
      <c r="BS995" s="4"/>
      <c r="BT995" s="4"/>
      <c r="BU995" s="4"/>
      <c r="BV995" s="4"/>
      <c r="BW995" s="6"/>
      <c r="BX995" s="7"/>
      <c r="BY995" s="4"/>
      <c r="CA995" s="4"/>
      <c r="CB995" s="4"/>
      <c r="CC995" s="6"/>
      <c r="CD995" s="7"/>
      <c r="CE995" s="4"/>
      <c r="CF995" s="4"/>
      <c r="CG995" s="4"/>
      <c r="CH995" s="4"/>
      <c r="CI995" s="6"/>
      <c r="CJ995" s="7"/>
      <c r="CK995" s="4"/>
      <c r="CL995" s="4"/>
      <c r="CM995" s="4"/>
      <c r="CN995" s="4"/>
      <c r="CO995" s="6"/>
      <c r="CP995" s="7"/>
      <c r="CQ995" s="4"/>
      <c r="CR995" s="4"/>
      <c r="CS995" s="4"/>
      <c r="CT995" s="4"/>
      <c r="CU995" s="6"/>
      <c r="CV995" s="7"/>
      <c r="CW995" s="4"/>
      <c r="CX995" s="4"/>
      <c r="CY995" s="4"/>
      <c r="CZ995" s="4"/>
      <c r="DA995" s="6"/>
      <c r="DB995" s="7"/>
      <c r="DC995" s="4"/>
      <c r="DD995" s="4"/>
      <c r="DE995" s="4"/>
      <c r="DF995" s="4"/>
      <c r="DG995" s="6"/>
      <c r="DH995" s="7"/>
      <c r="DI995" s="4"/>
      <c r="DJ995" s="4"/>
      <c r="DK995" s="4"/>
      <c r="DL995" s="4"/>
      <c r="DM995" s="4"/>
      <c r="DO995" s="4"/>
      <c r="DQ995" s="4"/>
      <c r="DR995" s="4"/>
      <c r="DS995" s="4"/>
      <c r="DT995" s="4"/>
      <c r="DU995" s="4"/>
      <c r="DV995" s="4"/>
      <c r="DW995" s="4"/>
      <c r="DX995" s="4"/>
      <c r="DY995" s="3"/>
      <c r="DZ995" s="3"/>
      <c r="EA995" s="3"/>
      <c r="EB995" s="3"/>
      <c r="EC995" s="3"/>
      <c r="ED995" s="4"/>
      <c r="EH995" s="4"/>
      <c r="EI995" s="4"/>
      <c r="EJ995" s="4"/>
      <c r="EK995" s="4"/>
      <c r="EL995" s="4"/>
      <c r="EM995" s="4"/>
      <c r="EN995" s="4"/>
      <c r="EO995" s="4"/>
      <c r="EP995" s="4"/>
      <c r="EQ995" s="4"/>
      <c r="ER995" s="4"/>
      <c r="ES995" s="4"/>
      <c r="FN995" s="9"/>
      <c r="FO995" s="10"/>
      <c r="FV995" s="10"/>
      <c r="GH995" s="9"/>
      <c r="IZ995" s="18"/>
      <c r="JA995" s="18"/>
      <c r="JB995" s="18"/>
      <c r="JC995" s="18"/>
    </row>
    <row r="996" spans="1:263" ht="15" customHeight="1">
      <c r="A996" s="2">
        <v>102018006</v>
      </c>
      <c r="B996" t="s">
        <v>1104</v>
      </c>
      <c r="J996" t="s">
        <v>253</v>
      </c>
      <c r="K996" t="s">
        <v>974</v>
      </c>
      <c r="L996" t="s">
        <v>975</v>
      </c>
      <c r="M996" t="s">
        <v>976</v>
      </c>
      <c r="O996" s="1"/>
      <c r="T996" s="1"/>
      <c r="AJ996" s="11"/>
      <c r="AK996" s="11"/>
      <c r="AO996" s="4"/>
      <c r="AP996" s="5"/>
      <c r="AQ996" s="34"/>
      <c r="AR996" s="34"/>
      <c r="AS996" s="29"/>
      <c r="AT996" s="1"/>
      <c r="AU996" s="1"/>
      <c r="AV996" s="1"/>
      <c r="AW996" s="1"/>
      <c r="AX996" s="1"/>
      <c r="AY996" s="1"/>
      <c r="AZ996" s="1"/>
      <c r="BA996" s="1"/>
      <c r="BB996" s="1"/>
      <c r="BC996" s="1"/>
      <c r="BD996" s="1"/>
      <c r="BE996" s="5"/>
      <c r="BF996" s="16"/>
      <c r="BG996" s="16"/>
      <c r="BI996" s="4"/>
      <c r="BJ996" s="4"/>
      <c r="BK996" s="6"/>
      <c r="BL996" s="7"/>
      <c r="BM996" s="4"/>
      <c r="BO996" s="4"/>
      <c r="BP996" s="4"/>
      <c r="BQ996" s="6"/>
      <c r="BR996" s="7"/>
      <c r="BS996" s="4"/>
      <c r="BT996" s="4"/>
      <c r="BU996" s="4"/>
      <c r="BV996" s="4"/>
      <c r="BW996" s="6"/>
      <c r="BX996" s="7"/>
      <c r="BY996" s="4"/>
      <c r="CA996" s="4"/>
      <c r="CB996" s="4"/>
      <c r="CC996" s="6"/>
      <c r="CD996" s="7"/>
      <c r="CE996" s="4"/>
      <c r="CF996" s="4"/>
      <c r="CG996" s="4"/>
      <c r="CH996" s="4"/>
      <c r="CI996" s="6"/>
      <c r="CJ996" s="7"/>
      <c r="CK996" s="4"/>
      <c r="CL996" s="4"/>
      <c r="CM996" s="4"/>
      <c r="CN996" s="4"/>
      <c r="CO996" s="6"/>
      <c r="CP996" s="7"/>
      <c r="CQ996" s="4"/>
      <c r="CR996" s="4"/>
      <c r="CS996" s="4"/>
      <c r="CT996" s="4"/>
      <c r="CU996" s="6"/>
      <c r="CV996" s="7"/>
      <c r="CW996" s="4"/>
      <c r="CX996" s="4"/>
      <c r="CY996" s="4"/>
      <c r="CZ996" s="4"/>
      <c r="DA996" s="6"/>
      <c r="DB996" s="7"/>
      <c r="DC996" s="4"/>
      <c r="DD996" s="4"/>
      <c r="DE996" s="4"/>
      <c r="DF996" s="4"/>
      <c r="DG996" s="6"/>
      <c r="DH996" s="7"/>
      <c r="DI996" s="4"/>
      <c r="DJ996" s="4"/>
      <c r="DK996" s="4"/>
      <c r="DL996" s="4"/>
      <c r="DM996" s="4"/>
      <c r="DO996" s="4"/>
      <c r="DQ996" s="4"/>
      <c r="DS996" s="4"/>
      <c r="DT996" s="4"/>
      <c r="DU996" s="4"/>
      <c r="DV996" s="4"/>
      <c r="DW996" s="4"/>
      <c r="DX996" s="4"/>
      <c r="DY996" s="3"/>
      <c r="DZ996" s="3"/>
      <c r="EA996" s="3"/>
      <c r="EB996" s="3"/>
      <c r="EC996" s="3"/>
      <c r="ED996" s="4"/>
      <c r="EH996" s="4"/>
      <c r="EI996" s="4"/>
      <c r="EJ996" s="4"/>
      <c r="EK996" s="4"/>
      <c r="EL996" s="4"/>
      <c r="EM996" s="4"/>
      <c r="EN996" s="4"/>
      <c r="EO996" s="4"/>
      <c r="EP996" s="4"/>
      <c r="EQ996" s="4"/>
      <c r="ER996" s="4"/>
      <c r="ES996" s="4"/>
      <c r="FN996" s="9"/>
      <c r="FO996" s="10"/>
      <c r="FV996" s="10"/>
      <c r="GH996" s="9"/>
      <c r="IZ996" s="247"/>
      <c r="JA996" s="247"/>
      <c r="JB996" s="247"/>
      <c r="JC996" s="247"/>
    </row>
    <row r="997" spans="1:263" ht="15" customHeight="1">
      <c r="A997" s="19">
        <v>102023045</v>
      </c>
      <c r="B997" s="18" t="s">
        <v>4246</v>
      </c>
      <c r="D997" s="1"/>
      <c r="E997" s="3"/>
      <c r="F997" s="3"/>
      <c r="G997" t="s">
        <v>4598</v>
      </c>
      <c r="J997" s="18" t="s">
        <v>311</v>
      </c>
      <c r="K997" s="18" t="s">
        <v>3345</v>
      </c>
      <c r="L997" s="130" t="s">
        <v>4245</v>
      </c>
      <c r="M997" s="130" t="s">
        <v>469</v>
      </c>
      <c r="N997" s="18"/>
      <c r="O997" s="252"/>
      <c r="P997" s="130"/>
      <c r="Q997" s="130"/>
      <c r="R997" s="130"/>
      <c r="S997" s="130"/>
      <c r="AG997" s="43"/>
      <c r="AJ997" s="18"/>
      <c r="AK997" s="18"/>
      <c r="AL997" s="18"/>
      <c r="AM997" s="18"/>
      <c r="AN997" s="18"/>
      <c r="AO997" s="18" t="s">
        <v>4244</v>
      </c>
      <c r="AP997" s="18" t="s">
        <v>258</v>
      </c>
      <c r="AQ997" s="18" t="s">
        <v>438</v>
      </c>
      <c r="AR997" s="18" t="s">
        <v>260</v>
      </c>
      <c r="AX997" s="1"/>
      <c r="AY997" s="1"/>
      <c r="AZ997" s="1"/>
      <c r="BA997" s="1"/>
      <c r="BB997" s="1"/>
      <c r="BC997" s="2"/>
      <c r="BD997" s="116"/>
      <c r="BE997" s="115"/>
      <c r="BF997" s="2"/>
      <c r="BG997" s="2"/>
      <c r="BH997" s="2"/>
      <c r="BI997" s="2"/>
      <c r="BJ997" s="2"/>
      <c r="BK997" s="2"/>
      <c r="BL997" s="20">
        <f ca="1">SUM(DP997)+220</f>
        <v>951.08926666666673</v>
      </c>
      <c r="BM997" s="22">
        <f ca="1">PMT(10%/12,12,BL997,0,0)</f>
        <v>-83.615856713939195</v>
      </c>
      <c r="BN997" s="22">
        <f ca="1">SUM(BM997*-1)</f>
        <v>83.615856713939195</v>
      </c>
      <c r="BO997" s="25">
        <f>SUM(DX997*0.0052)/12</f>
        <v>39.736666666666665</v>
      </c>
      <c r="BP997" s="22">
        <f ca="1">SUM(BN997+BO997)</f>
        <v>123.35252338060586</v>
      </c>
      <c r="BQ997" s="14"/>
      <c r="BR997" s="14">
        <f>SUM(BQ997*0.1)</f>
        <v>0</v>
      </c>
      <c r="BS997" s="14">
        <f ca="1">SUM(BT997*BU997)</f>
        <v>0</v>
      </c>
      <c r="BT997" s="17">
        <f>SUM((BQ997+BR997)*0.00833333333333333)</f>
        <v>0</v>
      </c>
      <c r="BU997" s="23">
        <f ca="1">MONTH(TODAY())+49</f>
        <v>53</v>
      </c>
      <c r="BV997" s="14">
        <f ca="1">SUM(BQ997,BR997,BS997)</f>
        <v>0</v>
      </c>
      <c r="BW997" s="14"/>
      <c r="BX997" s="14">
        <f>SUM(BW997*0.1)</f>
        <v>0</v>
      </c>
      <c r="BY997" s="14">
        <f ca="1">SUM(BZ997*CA997)</f>
        <v>0</v>
      </c>
      <c r="BZ997" s="17">
        <f>SUM((BW997+BX997)*0.00833333333333333)</f>
        <v>0</v>
      </c>
      <c r="CA997" s="23">
        <f ca="1">MONTH(TODAY())+37</f>
        <v>41</v>
      </c>
      <c r="CB997" s="14">
        <f ca="1">SUM(BW997,BX997,BY997)</f>
        <v>0</v>
      </c>
      <c r="CC997" s="14">
        <v>0</v>
      </c>
      <c r="CD997" s="14">
        <f>SUM(CC997*0.1)</f>
        <v>0</v>
      </c>
      <c r="CE997" s="14">
        <f ca="1">SUM(CF997*CG997)</f>
        <v>0</v>
      </c>
      <c r="CF997" s="17">
        <f>SUM((CC997+CD997)*0.00833333333333333)</f>
        <v>0</v>
      </c>
      <c r="CG997" s="23">
        <f ca="1">MONTH(TODAY())+25</f>
        <v>29</v>
      </c>
      <c r="CH997" s="14">
        <f ca="1">SUM(CC997,CD997,CE997)</f>
        <v>0</v>
      </c>
      <c r="CI997" s="14">
        <f>SUM(DU997*0.0052)-194.8</f>
        <v>199.88</v>
      </c>
      <c r="CJ997" s="14">
        <f>SUM(CI997*0.1)</f>
        <v>19.988</v>
      </c>
      <c r="CK997" s="14">
        <f ca="1">SUM(CL997*CM997)</f>
        <v>31.147966666666651</v>
      </c>
      <c r="CL997" s="17">
        <f>SUM((CI997+CJ997)*0.00833333333333333)</f>
        <v>1.8322333333333325</v>
      </c>
      <c r="CM997" s="23">
        <f ca="1">MONTH(TODAY())+13</f>
        <v>17</v>
      </c>
      <c r="CN997" s="14">
        <f ca="1">SUM(CI997,CJ997,CK997)</f>
        <v>251.01596666666666</v>
      </c>
      <c r="CO997" s="14">
        <f>SUM(DU997*0.0052)/2</f>
        <v>197.34</v>
      </c>
      <c r="CP997" s="14">
        <f>SUM(CO997*0.1)</f>
        <v>19.734000000000002</v>
      </c>
      <c r="CQ997" s="14">
        <f ca="1">SUM(CR997*CS997)</f>
        <v>16.280549999999995</v>
      </c>
      <c r="CR997" s="17">
        <f>SUM((CO997+CP997)*0.00833333333333333)</f>
        <v>1.8089499999999994</v>
      </c>
      <c r="CS997" s="23">
        <f ca="1">MONTH(TODAY())+5</f>
        <v>9</v>
      </c>
      <c r="CT997" s="23">
        <f ca="1">SUM(CO997,CP997,CQ997)</f>
        <v>233.35455000000002</v>
      </c>
      <c r="CU997" s="14">
        <f>SUM(DU997*0.0052)/2</f>
        <v>197.34</v>
      </c>
      <c r="CV997" s="14">
        <f>SUM(CU997*0.1)</f>
        <v>19.734000000000002</v>
      </c>
      <c r="CW997" s="14">
        <f ca="1">SUM(CX997*CY997)</f>
        <v>9.044749999999997</v>
      </c>
      <c r="CX997" s="17">
        <f>SUM((CU997+CV997)*0.00833333333333333)</f>
        <v>1.8089499999999994</v>
      </c>
      <c r="CY997" s="23">
        <f ca="1">MONTH(TODAY())+1</f>
        <v>5</v>
      </c>
      <c r="CZ997" s="23">
        <f ca="1">SUM(CU997,CV997,CW997)</f>
        <v>226.11875000000001</v>
      </c>
      <c r="DA997" s="14">
        <f>SUM( BQ997, BW997, CC997, CI997, CO997,CU997)</f>
        <v>594.56000000000006</v>
      </c>
      <c r="DB997" s="14">
        <f>SUM(BR997,BX997,CD997,CJ997, CP997,CV997)</f>
        <v>59.456000000000003</v>
      </c>
      <c r="DC997" s="14">
        <f ca="1">SUM(BS997,BY997,CE997,CK997, CQ997,CW997)</f>
        <v>56.473266666666646</v>
      </c>
      <c r="DD997" s="25">
        <f ca="1">SUM(DA997:DC997)</f>
        <v>710.48926666666671</v>
      </c>
      <c r="DE997" s="47">
        <f ca="1">SUM(DD997/DU997)</f>
        <v>9.3608599033816429E-3</v>
      </c>
      <c r="DF997" s="14">
        <v>20</v>
      </c>
      <c r="DG997" s="32">
        <f>COUNTIF(DL997, "*")+COUNTIF(AO997, "*")+COUNTIF(AJ997, "*")+COUNTIF(AA997, "*")+COUNTIF(EM997, "*")+COUNTIF(ES997, "*")+COUNTIF(EY997, "*")+COUNTIF(FC997, "*")+COUNTIF(FJ997, "*")+COUNTIF(AT997, "*")+COUNTIF(FS997, "*")+COUNTIF(GD997, "*")+COUNTIF(GO997, "*")+COUNTIF(GW997, "*")+COUNTIF(HE997, "*")+COUNTIF(HM997, "*")+COUNTIF(HU997, "*")</f>
        <v>1</v>
      </c>
      <c r="DH997" s="14">
        <f>DG997*0.6</f>
        <v>0.6</v>
      </c>
      <c r="DI997" s="4"/>
      <c r="DJ997" s="4"/>
      <c r="DK997" s="4"/>
      <c r="DL997" s="4"/>
      <c r="DN997" s="4"/>
      <c r="DO997" s="14">
        <f>SUM(DJ997:DN997)</f>
        <v>0</v>
      </c>
      <c r="DP997" s="14">
        <f ca="1">SUM(DD997,DF997,DO997, DI997, DH997,FP997)</f>
        <v>731.08926666666673</v>
      </c>
      <c r="DQ997" s="18" t="s">
        <v>3879</v>
      </c>
      <c r="DR997" s="130">
        <v>1</v>
      </c>
      <c r="DS997" s="14">
        <v>16000</v>
      </c>
      <c r="DT997" s="14">
        <v>59900</v>
      </c>
      <c r="DU997" s="14">
        <v>75900</v>
      </c>
      <c r="DV997" s="14">
        <v>18000</v>
      </c>
      <c r="DW997" s="14">
        <v>73700</v>
      </c>
      <c r="DX997" s="14">
        <f>SUM(DV997+DW997)</f>
        <v>91700</v>
      </c>
      <c r="IA997" s="9"/>
      <c r="IL997" s="14">
        <f ca="1">SUM(IB997-DP997-FP997-IJ997)</f>
        <v>-731.08926666666673</v>
      </c>
      <c r="IM997" s="9"/>
      <c r="IN997" s="9"/>
      <c r="IO997" s="9"/>
      <c r="IP997" s="9"/>
      <c r="IQ997" s="9"/>
    </row>
    <row r="998" spans="1:263" ht="15" customHeight="1">
      <c r="A998" s="19">
        <v>102022211</v>
      </c>
      <c r="B998" t="s">
        <v>2924</v>
      </c>
      <c r="D998" s="1"/>
      <c r="J998" t="s">
        <v>554</v>
      </c>
      <c r="K998" t="s">
        <v>545</v>
      </c>
      <c r="L998" t="s">
        <v>3232</v>
      </c>
      <c r="M998" t="s">
        <v>426</v>
      </c>
      <c r="P998" t="s">
        <v>545</v>
      </c>
      <c r="Q998" t="s">
        <v>2948</v>
      </c>
      <c r="R998" t="s">
        <v>850</v>
      </c>
      <c r="AJ998" t="s">
        <v>3285</v>
      </c>
      <c r="AK998" t="s">
        <v>258</v>
      </c>
      <c r="AL998" t="s">
        <v>438</v>
      </c>
      <c r="AM998" t="s">
        <v>260</v>
      </c>
      <c r="AN998"/>
      <c r="AO998" s="3" t="s">
        <v>3286</v>
      </c>
      <c r="AP998" s="3"/>
      <c r="AQ998" s="3" t="s">
        <v>3287</v>
      </c>
      <c r="AR998"/>
      <c r="AS998" s="1"/>
      <c r="AT998" s="1"/>
      <c r="AU998" s="1"/>
      <c r="AV998" s="1"/>
      <c r="AW998" s="1"/>
      <c r="AX998" s="2"/>
      <c r="AY998" s="48"/>
      <c r="AZ998" s="70"/>
      <c r="BA998" s="2"/>
      <c r="BB998" s="2"/>
      <c r="BC998" s="2"/>
      <c r="BD998" s="2"/>
      <c r="BE998" s="2"/>
      <c r="BF998" s="2"/>
      <c r="BG998" s="20"/>
      <c r="BH998" s="22"/>
      <c r="BI998" s="22"/>
      <c r="BJ998" s="14"/>
      <c r="BK998" s="22"/>
      <c r="BL998" s="14"/>
      <c r="BM998" s="14"/>
      <c r="BN998" s="14"/>
      <c r="BO998" s="17"/>
      <c r="BP998" s="23"/>
      <c r="BQ998" s="14"/>
      <c r="BR998" s="14"/>
      <c r="BS998" s="14"/>
      <c r="BT998" s="14"/>
      <c r="BU998" s="17"/>
      <c r="BV998" s="23"/>
      <c r="BW998" s="14"/>
      <c r="BX998" s="14"/>
      <c r="BY998" s="14"/>
      <c r="BZ998" s="14"/>
      <c r="CA998" s="17"/>
      <c r="CB998" s="23"/>
      <c r="CC998" s="14"/>
      <c r="CD998" s="14"/>
      <c r="CE998" s="14"/>
      <c r="CF998" s="14"/>
      <c r="CG998" s="17"/>
      <c r="CH998" s="23"/>
      <c r="CI998" s="14"/>
      <c r="CJ998" s="14"/>
      <c r="CK998" s="14"/>
      <c r="CL998" s="14"/>
      <c r="CM998" s="17"/>
      <c r="CN998" s="23"/>
      <c r="CO998" s="14"/>
      <c r="CP998" s="14"/>
      <c r="CQ998" s="14"/>
      <c r="CR998" s="14"/>
      <c r="CS998" s="14"/>
      <c r="CT998" s="47"/>
      <c r="CU998" s="14"/>
      <c r="CV998" s="32"/>
      <c r="CW998" s="14"/>
      <c r="CY998" s="14"/>
      <c r="DE998" s="14"/>
      <c r="DF998" s="24"/>
      <c r="DG998" s="4"/>
      <c r="DH998" s="4"/>
      <c r="DI998" s="25"/>
      <c r="DJ998" s="35">
        <v>22.08</v>
      </c>
      <c r="IC998" s="4"/>
    </row>
    <row r="999" spans="1:263" ht="15" customHeight="1">
      <c r="A999" s="19">
        <v>102022181</v>
      </c>
      <c r="B999" t="s">
        <v>2906</v>
      </c>
      <c r="D999" s="1"/>
      <c r="J999" t="s">
        <v>434</v>
      </c>
      <c r="K999" t="s">
        <v>3230</v>
      </c>
      <c r="L999" t="s">
        <v>3231</v>
      </c>
      <c r="M999" t="s">
        <v>403</v>
      </c>
      <c r="N999" t="s">
        <v>579</v>
      </c>
      <c r="P999" t="s">
        <v>545</v>
      </c>
      <c r="Q999" t="s">
        <v>3232</v>
      </c>
      <c r="R999" t="s">
        <v>426</v>
      </c>
      <c r="S999" t="s">
        <v>341</v>
      </c>
      <c r="AG999" s="248"/>
      <c r="AJ999" s="18" t="s">
        <v>328</v>
      </c>
      <c r="AL999" t="s">
        <v>438</v>
      </c>
      <c r="AO999" t="s">
        <v>3233</v>
      </c>
      <c r="AQ999" s="3" t="s">
        <v>438</v>
      </c>
      <c r="AS999" s="1"/>
      <c r="AT999" s="1"/>
      <c r="AU999" s="1"/>
      <c r="AV999" s="1"/>
      <c r="AW999" s="1"/>
      <c r="AX999" s="2"/>
      <c r="AY999" s="116"/>
      <c r="AZ999" s="115"/>
      <c r="BA999" s="2"/>
      <c r="BB999" s="2"/>
      <c r="BC999" s="2"/>
      <c r="BD999" s="2"/>
      <c r="BE999" s="2"/>
      <c r="BF999" s="2"/>
      <c r="BG999" s="20"/>
      <c r="BH999" s="22"/>
      <c r="BI999" s="22"/>
      <c r="BJ999" s="14"/>
      <c r="BK999" s="22"/>
      <c r="BL999" s="14"/>
      <c r="BM999" s="14"/>
      <c r="BN999" s="14"/>
      <c r="BO999" s="17"/>
      <c r="BP999" s="23"/>
      <c r="BQ999" s="14"/>
      <c r="BR999" s="14"/>
      <c r="BS999" s="14"/>
      <c r="BT999" s="14"/>
      <c r="BU999" s="17"/>
      <c r="BV999" s="23"/>
      <c r="BW999" s="14"/>
      <c r="BX999" s="14"/>
      <c r="BY999" s="14"/>
      <c r="BZ999" s="14"/>
      <c r="CA999" s="17"/>
      <c r="CB999" s="23"/>
      <c r="CC999" s="14"/>
      <c r="CD999" s="14"/>
      <c r="CE999" s="14"/>
      <c r="CF999" s="14"/>
      <c r="CG999" s="17"/>
      <c r="CH999" s="23"/>
      <c r="CI999" s="14"/>
      <c r="CJ999" s="14"/>
      <c r="CK999" s="14"/>
      <c r="CL999" s="14"/>
      <c r="CM999" s="17"/>
      <c r="CN999" s="23"/>
      <c r="CO999" s="14"/>
      <c r="CP999" s="14"/>
      <c r="CQ999" s="14"/>
      <c r="CR999" s="14"/>
      <c r="CS999" s="14"/>
      <c r="CT999" s="47"/>
      <c r="CU999" s="14"/>
      <c r="CV999" s="32"/>
      <c r="CW999" s="14"/>
      <c r="CX999" s="4"/>
      <c r="CY999" s="14"/>
      <c r="CZ999" s="4"/>
      <c r="DE999" s="14"/>
      <c r="DF999" s="24"/>
      <c r="DG999" s="4"/>
      <c r="DH999" s="4"/>
      <c r="DI999" s="25"/>
      <c r="DJ999" s="35">
        <v>22.09</v>
      </c>
      <c r="IC999" s="4"/>
    </row>
    <row r="1000" spans="1:263" ht="15" customHeight="1">
      <c r="A1000" s="2">
        <v>102024127</v>
      </c>
      <c r="B1000" t="s">
        <v>5445</v>
      </c>
      <c r="D1000" s="1"/>
      <c r="E1000" s="3"/>
      <c r="G1000" s="3"/>
      <c r="J1000" t="s">
        <v>554</v>
      </c>
      <c r="K1000" t="s">
        <v>639</v>
      </c>
      <c r="L1000" t="s">
        <v>574</v>
      </c>
      <c r="M1000" t="s">
        <v>256</v>
      </c>
      <c r="O1000" s="3"/>
      <c r="P1000" t="s">
        <v>639</v>
      </c>
      <c r="Q1000" t="s">
        <v>754</v>
      </c>
      <c r="R1000" t="s">
        <v>448</v>
      </c>
      <c r="AG1000" s="43"/>
      <c r="AJ1000" s="18" t="s">
        <v>328</v>
      </c>
      <c r="AK1000" s="1"/>
      <c r="AL1000" s="18" t="s">
        <v>438</v>
      </c>
      <c r="AM1000"/>
      <c r="AN1000"/>
      <c r="AO1000" t="s">
        <v>5446</v>
      </c>
      <c r="AP1000" s="1" t="s">
        <v>258</v>
      </c>
      <c r="AQ1000" s="18" t="s">
        <v>5447</v>
      </c>
      <c r="AR1000"/>
      <c r="AS1000" s="10"/>
      <c r="AT1000" s="10"/>
      <c r="AU1000" s="10"/>
      <c r="AV1000" s="10"/>
      <c r="AW1000" s="1"/>
      <c r="AY1000" s="1"/>
      <c r="AZ1000" s="1"/>
      <c r="BA1000" s="1"/>
      <c r="BB1000" s="1"/>
      <c r="BC1000" s="2"/>
      <c r="BD1000" s="115">
        <v>45408</v>
      </c>
      <c r="BE1000" s="144"/>
      <c r="BF1000" s="2"/>
      <c r="BG1000" s="2"/>
      <c r="BH1000" s="2"/>
      <c r="BI1000" s="2"/>
      <c r="BJ1000" s="2"/>
      <c r="BK1000" s="2"/>
      <c r="BL1000" s="20">
        <f ca="1">SUM(EN1000)+220</f>
        <v>1051.9255999999998</v>
      </c>
      <c r="BM1000" s="22">
        <f ca="1">PMT(10%/12,12,BL1000,0,0)</f>
        <v>-92.480972423960168</v>
      </c>
      <c r="BN1000" s="22">
        <f ca="1">SUM(BM1000*-1)</f>
        <v>92.480972423960168</v>
      </c>
      <c r="BO1000" s="14">
        <f>SUM(EV1000*0.0052)/12</f>
        <v>26.13</v>
      </c>
      <c r="BP1000" s="22">
        <f ca="1">SUM(BN1000+BO1000)</f>
        <v>118.61097242396016</v>
      </c>
      <c r="BQ1000" s="14"/>
      <c r="BR1000" s="14">
        <f>SUM(BQ1000*0.1)</f>
        <v>0</v>
      </c>
      <c r="BS1000" s="14">
        <f ca="1">SUM(BT1000*BU1000)</f>
        <v>0</v>
      </c>
      <c r="BT1000" s="17">
        <f>SUM((BQ1000+BR1000)*0.00833333333333333)</f>
        <v>0</v>
      </c>
      <c r="BU1000" s="23">
        <f ca="1">MONTH(TODAY())+61</f>
        <v>65</v>
      </c>
      <c r="BV1000" s="14">
        <f ca="1">SUM(BQ1000,BR1000,BS1000)</f>
        <v>0</v>
      </c>
      <c r="BW1000" s="14"/>
      <c r="BX1000" s="14">
        <f>SUM(BW1000*0.1)</f>
        <v>0</v>
      </c>
      <c r="BY1000" s="14">
        <f ca="1">SUM(BZ1000*CA1000)</f>
        <v>0</v>
      </c>
      <c r="BZ1000" s="17">
        <f>SUM((BW1000+BX1000)*0.00833333333333333)</f>
        <v>0</v>
      </c>
      <c r="CA1000" s="23">
        <f ca="1">MONTH(TODAY())+49</f>
        <v>53</v>
      </c>
      <c r="CB1000" s="14">
        <f ca="1">SUM(BW1000,BX1000,BY1000)</f>
        <v>0</v>
      </c>
      <c r="CC1000" s="14">
        <v>0</v>
      </c>
      <c r="CD1000" s="14">
        <f>SUM(CC1000*0.1)</f>
        <v>0</v>
      </c>
      <c r="CE1000" s="14">
        <f ca="1">SUM(CF1000*CG1000)</f>
        <v>0</v>
      </c>
      <c r="CF1000" s="17">
        <f>SUM((CC1000+CD1000)*0.00833333333333333)</f>
        <v>0</v>
      </c>
      <c r="CG1000" s="23">
        <f ca="1">MONTH(TODAY())+37</f>
        <v>41</v>
      </c>
      <c r="CH1000" s="14">
        <f ca="1">SUM(CC1000,CD1000,CE1000)</f>
        <v>0</v>
      </c>
      <c r="CI1000" s="14">
        <v>0</v>
      </c>
      <c r="CJ1000" s="14">
        <f>SUM(CI1000*0.1)</f>
        <v>0</v>
      </c>
      <c r="CK1000" s="14">
        <f ca="1">SUM(CL1000*CM1000)</f>
        <v>0</v>
      </c>
      <c r="CL1000" s="17">
        <f>SUM((CI1000+CJ1000)*0.00833333333333333)</f>
        <v>0</v>
      </c>
      <c r="CM1000" s="23">
        <f ca="1">MONTH(TODAY())+25</f>
        <v>29</v>
      </c>
      <c r="CN1000" s="14">
        <f ca="1">SUM(CI1000,CJ1000,CK1000)</f>
        <v>0</v>
      </c>
      <c r="CO1000" s="14">
        <f>SUM(ES1000*0.0052)/2</f>
        <v>123.24</v>
      </c>
      <c r="CP1000" s="14">
        <f>SUM(CO1000*0.1)</f>
        <v>12.324</v>
      </c>
      <c r="CQ1000" s="14">
        <f ca="1">SUM(CR1000*CS1000)</f>
        <v>23.72369999999999</v>
      </c>
      <c r="CR1000" s="17">
        <f>SUM((CO1000+CP1000)*0.00833333333333333)</f>
        <v>1.1296999999999995</v>
      </c>
      <c r="CS1000" s="23">
        <f ca="1">MONTH(TODAY())+17</f>
        <v>21</v>
      </c>
      <c r="CT1000" s="23">
        <f ca="1">SUM(CO1000,CP1000,CQ1000)</f>
        <v>159.28769999999997</v>
      </c>
      <c r="CU1000" s="14">
        <f>SUM(ES1000*0.0052)/2</f>
        <v>123.24</v>
      </c>
      <c r="CV1000" s="14">
        <f>SUM(CU1000*0.1)</f>
        <v>12.324</v>
      </c>
      <c r="CW1000" s="14">
        <f ca="1">SUM(CX1000*CY1000)</f>
        <v>19.204899999999991</v>
      </c>
      <c r="CX1000" s="17">
        <f>SUM((CU1000+CV1000)*0.00833333333333333)</f>
        <v>1.1296999999999995</v>
      </c>
      <c r="CY1000" s="23">
        <f ca="1">MONTH(TODAY())+13</f>
        <v>17</v>
      </c>
      <c r="CZ1000" s="23">
        <f ca="1">SUM(CU1000,CV1000,CW1000)</f>
        <v>154.76889999999997</v>
      </c>
      <c r="DA1000" s="14">
        <f>SUM(EV1000*0.0045)/2</f>
        <v>135.67499999999998</v>
      </c>
      <c r="DB1000" s="14">
        <f>SUM(DA1000*0.1)</f>
        <v>13.567499999999999</v>
      </c>
      <c r="DC1000" s="14">
        <f ca="1">SUM(DD1000*DE1000)</f>
        <v>13.680562499999994</v>
      </c>
      <c r="DD1000" s="17">
        <f>SUM((DA1000+DB1000)*0.00833333333333333)</f>
        <v>1.2436874999999994</v>
      </c>
      <c r="DE1000" s="23">
        <f ca="1">MONTH(TODAY())+7</f>
        <v>11</v>
      </c>
      <c r="DF1000" s="23">
        <f ca="1">SUM(DA1000,DB1000,DC1000)</f>
        <v>162.92306249999996</v>
      </c>
      <c r="DG1000" s="14">
        <f>SUM(EV1000*0.0045)/2</f>
        <v>135.67499999999998</v>
      </c>
      <c r="DH1000" s="14">
        <f>SUM(DG1000*0.1)</f>
        <v>13.567499999999999</v>
      </c>
      <c r="DI1000" s="14">
        <f ca="1">SUM(DJ1000*DK1000)</f>
        <v>6.2184374999999967</v>
      </c>
      <c r="DJ1000" s="17">
        <f>SUM((DG1000+DH1000)*0.00833333333333333)</f>
        <v>1.2436874999999994</v>
      </c>
      <c r="DK1000" s="23">
        <f ca="1">MONTH(TODAY())+1</f>
        <v>5</v>
      </c>
      <c r="DL1000" s="14">
        <f ca="1">SUM(DG1000,DH1000,DI1000)</f>
        <v>155.46093749999997</v>
      </c>
      <c r="DM1000" s="14">
        <f>SUM(EV1000*0.0045)/2</f>
        <v>135.67499999999998</v>
      </c>
      <c r="DN1000" s="14">
        <f>0</f>
        <v>0</v>
      </c>
      <c r="DO1000" s="14">
        <f>0</f>
        <v>0</v>
      </c>
      <c r="DP1000" s="17">
        <f>SUM((DM1000+DN1000)*0.00833333333333333)</f>
        <v>1.1306249999999993</v>
      </c>
      <c r="DQ1000" s="23">
        <f ca="1">MONTH(TODAY())+7</f>
        <v>11</v>
      </c>
      <c r="DR1000" s="23">
        <f>SUM(DM1000,DN1000,DO1000)</f>
        <v>135.67499999999998</v>
      </c>
      <c r="DS1000" s="14">
        <f>0</f>
        <v>0</v>
      </c>
      <c r="DT1000" s="14">
        <f>0</f>
        <v>0</v>
      </c>
      <c r="DU1000" s="14">
        <f ca="1">SUM(DV1000*DW1000)</f>
        <v>0</v>
      </c>
      <c r="DV1000" s="17">
        <f>SUM((DS1000+DT1000)*0.00833333333333333)</f>
        <v>0</v>
      </c>
      <c r="DW1000" s="23">
        <f ca="1">MONTH(TODAY())+1</f>
        <v>5</v>
      </c>
      <c r="DX1000" s="14">
        <f ca="1">SUM(DS1000,DT1000,DU1000)</f>
        <v>0</v>
      </c>
      <c r="DY1000" s="14">
        <f>SUM( BQ1000, BW1000, CC1000, CI1000, CO1000,CU1000,DA1000,DG1000,DM1000,DS1000)</f>
        <v>653.50499999999988</v>
      </c>
      <c r="DZ1000" s="14">
        <f>SUM(BR1000,BX1000,CD1000,CJ1000, CP1000,CV1000,DB1000,DH1000,DN1000,DT1000)</f>
        <v>51.783000000000001</v>
      </c>
      <c r="EA1000" s="14">
        <f ca="1">SUM(BS1000,BY1000,CE1000,CK1000, CQ1000,CW1000,DC1000,DI1000,DO1000,DU1000)</f>
        <v>62.827599999999975</v>
      </c>
      <c r="EB1000" s="25">
        <f ca="1">SUM(DY1000:EA1000)</f>
        <v>768.11559999999986</v>
      </c>
      <c r="EC1000" s="47">
        <f ca="1">SUM(EB1000/ES1000)</f>
        <v>1.6204970464135018E-2</v>
      </c>
      <c r="ED1000" s="14">
        <f>20+10</f>
        <v>30</v>
      </c>
      <c r="EE1000" s="32">
        <f>COUNTIF(AO1000, "*")+COUNTIF(AJ1000, "*")+COUNTIF(AA1000, "*")+COUNTIF(FG1000, "*")+COUNTIF(FM1000, "*")+COUNTIF(FS1000, "*")+COUNTIF(FW1000, "*")+COUNTIF(GD1000, "*")+COUNTIF(AS1000, "*")+COUNTIF(GM1000, "*")+COUNTIF(GX1000, "*")+COUNTIF(HI1000, "*")+COUNTIF(HQ1000, "*")+COUNTIF(HY1000, "*")+COUNTIF(IG1000, "*")</f>
        <v>2</v>
      </c>
      <c r="EF1000" s="14">
        <f>EE1000*0.64</f>
        <v>1.28</v>
      </c>
      <c r="EG1000" s="4"/>
      <c r="EH1000" s="4">
        <v>32.53</v>
      </c>
      <c r="EI1000" s="4"/>
      <c r="EJ1000" s="4"/>
      <c r="EL1000" s="4"/>
      <c r="EM1000" s="14">
        <f>SUM(EH1000:EL1000)</f>
        <v>32.53</v>
      </c>
      <c r="EN1000" s="14">
        <f ca="1">SUM(EB1000,ED1000,EM1000, EG1000, EF1000,GJ1000)</f>
        <v>831.9255999999998</v>
      </c>
      <c r="EO1000" s="24" t="s">
        <v>4935</v>
      </c>
      <c r="EP1000" s="23">
        <v>18</v>
      </c>
      <c r="EQ1000" s="14">
        <v>46900</v>
      </c>
      <c r="ER1000" s="14">
        <v>500</v>
      </c>
      <c r="ES1000" s="14">
        <f>SUM(EQ1000+ER1000)</f>
        <v>47400</v>
      </c>
      <c r="ET1000" s="14">
        <v>59800</v>
      </c>
      <c r="EU1000" s="14">
        <v>500</v>
      </c>
      <c r="EV1000" s="14">
        <f>SUM(ET1000+EU1000)</f>
        <v>60300</v>
      </c>
      <c r="EW1000" s="10"/>
      <c r="EX1000" s="10"/>
      <c r="EY1000" s="10"/>
      <c r="EZ1000" s="10"/>
      <c r="FA1000" s="10"/>
      <c r="FB1000" s="10"/>
      <c r="FC1000" s="10"/>
      <c r="FD1000" s="10"/>
      <c r="GJ1000" s="4"/>
      <c r="IK1000" s="9"/>
      <c r="IV1000" s="4"/>
      <c r="IW1000" s="4"/>
      <c r="IX1000" s="4"/>
      <c r="IY1000" s="9"/>
      <c r="IZ1000" s="9"/>
      <c r="JA1000" s="9"/>
      <c r="JB1000" s="9"/>
      <c r="JC1000" s="9"/>
    </row>
    <row r="1001" spans="1:263" ht="15" customHeight="1">
      <c r="A1001" s="19">
        <v>102022139</v>
      </c>
      <c r="B1001" t="s">
        <v>2874</v>
      </c>
      <c r="D1001" s="1"/>
      <c r="J1001" t="s">
        <v>554</v>
      </c>
      <c r="K1001" t="s">
        <v>956</v>
      </c>
      <c r="L1001" t="s">
        <v>3156</v>
      </c>
      <c r="P1001" t="s">
        <v>956</v>
      </c>
      <c r="Q1001" t="s">
        <v>817</v>
      </c>
      <c r="AG1001" s="248"/>
      <c r="AJ1001" t="s">
        <v>3143</v>
      </c>
      <c r="AK1001" t="s">
        <v>258</v>
      </c>
      <c r="AL1001" t="s">
        <v>600</v>
      </c>
      <c r="AM1001" t="s">
        <v>260</v>
      </c>
      <c r="AN1001"/>
      <c r="AO1001" s="3" t="s">
        <v>3144</v>
      </c>
      <c r="AP1001" s="3" t="s">
        <v>258</v>
      </c>
      <c r="AQ1001" s="3" t="s">
        <v>267</v>
      </c>
      <c r="AR1001" t="s">
        <v>301</v>
      </c>
      <c r="AS1001" s="1"/>
      <c r="AT1001" s="1"/>
      <c r="AU1001" s="1"/>
      <c r="AV1001" s="1"/>
      <c r="AW1001" s="1"/>
      <c r="AX1001" s="2"/>
      <c r="AY1001" s="116"/>
      <c r="AZ1001" s="115"/>
      <c r="BA1001" s="2"/>
      <c r="BB1001" s="2"/>
      <c r="BC1001" s="2"/>
      <c r="BD1001" s="2"/>
      <c r="BE1001" s="2"/>
      <c r="BF1001" s="2"/>
      <c r="BG1001" s="20"/>
      <c r="BH1001" s="22"/>
      <c r="BI1001" s="22"/>
      <c r="BJ1001" s="14"/>
      <c r="BK1001" s="22"/>
      <c r="BL1001" s="14"/>
      <c r="BM1001" s="14"/>
      <c r="BN1001" s="14"/>
      <c r="BO1001" s="17"/>
      <c r="BP1001" s="23"/>
      <c r="BQ1001" s="14"/>
      <c r="BR1001" s="14"/>
      <c r="BS1001" s="14"/>
      <c r="BT1001" s="14"/>
      <c r="BU1001" s="17"/>
      <c r="BV1001" s="23"/>
      <c r="BW1001" s="14"/>
      <c r="BX1001" s="14"/>
      <c r="BY1001" s="14"/>
      <c r="BZ1001" s="14"/>
      <c r="CA1001" s="17"/>
      <c r="CB1001" s="23"/>
      <c r="CC1001" s="14"/>
      <c r="CD1001" s="14"/>
      <c r="CE1001" s="14"/>
      <c r="CF1001" s="14"/>
      <c r="CG1001" s="17"/>
      <c r="CH1001" s="23"/>
      <c r="CI1001" s="14"/>
      <c r="CJ1001" s="14"/>
      <c r="CK1001" s="14"/>
      <c r="CL1001" s="14"/>
      <c r="CM1001" s="17"/>
      <c r="CN1001" s="23"/>
      <c r="CO1001" s="14"/>
      <c r="CP1001" s="14"/>
      <c r="CQ1001" s="14"/>
      <c r="CR1001" s="14"/>
      <c r="CS1001" s="14"/>
      <c r="CT1001" s="47"/>
      <c r="CU1001" s="14"/>
      <c r="CV1001" s="32"/>
      <c r="CW1001" s="14"/>
      <c r="CX1001" s="4"/>
      <c r="CY1001" s="14"/>
      <c r="CZ1001" s="4"/>
      <c r="DE1001" s="14"/>
      <c r="DF1001" s="24"/>
      <c r="DG1001" s="4"/>
      <c r="DH1001" s="4"/>
      <c r="DI1001" s="25"/>
      <c r="DJ1001" s="35">
        <v>0.99</v>
      </c>
      <c r="IC1001" s="4"/>
    </row>
    <row r="1002" spans="1:263" ht="15" customHeight="1">
      <c r="A1002" s="2">
        <v>102017071</v>
      </c>
      <c r="B1002" t="s">
        <v>983</v>
      </c>
      <c r="D1002" s="1"/>
      <c r="E1002" s="3"/>
      <c r="F1002" s="3"/>
      <c r="G1002" s="2">
        <v>210008269</v>
      </c>
      <c r="H1002" s="2"/>
      <c r="J1002" t="s">
        <v>311</v>
      </c>
      <c r="K1002" t="s">
        <v>862</v>
      </c>
      <c r="L1002" t="s">
        <v>857</v>
      </c>
      <c r="M1002" t="s">
        <v>598</v>
      </c>
      <c r="O1002" s="1"/>
      <c r="T1002" s="1"/>
      <c r="AE1002" s="1"/>
      <c r="AG1002" s="43"/>
      <c r="AH1002" s="4"/>
      <c r="AI1002" s="4"/>
      <c r="AJ1002" s="18" t="s">
        <v>328</v>
      </c>
      <c r="AK1002" s="18"/>
      <c r="AL1002" s="4" t="s">
        <v>344</v>
      </c>
      <c r="AM1002" s="4"/>
      <c r="AN1002"/>
      <c r="AO1002" s="4" t="s">
        <v>2597</v>
      </c>
      <c r="AP1002" s="5" t="s">
        <v>258</v>
      </c>
      <c r="AQ1002" s="4" t="s">
        <v>290</v>
      </c>
      <c r="AR1002" s="4" t="s">
        <v>260</v>
      </c>
      <c r="AS1002" s="13"/>
      <c r="AT1002" s="5"/>
      <c r="AU1002" s="1"/>
      <c r="AV1002" s="1"/>
      <c r="AW1002" s="1"/>
      <c r="AX1002" s="2"/>
      <c r="AY1002" s="116"/>
      <c r="AZ1002" s="116"/>
      <c r="BA1002" s="1"/>
      <c r="BB1002" s="1"/>
      <c r="BC1002" s="1"/>
      <c r="BD1002" s="1"/>
      <c r="BE1002" s="1"/>
      <c r="BF1002" s="1"/>
      <c r="BG1002" s="20">
        <f ca="1">SUM(DK1002)+214.5</f>
        <v>1162.6236666666668</v>
      </c>
      <c r="BH1002" s="22">
        <f ca="1">PMT(10%/12,12,BG1002,0,0)</f>
        <v>-102.21309116960695</v>
      </c>
      <c r="BI1002" s="22">
        <f ca="1">SUM(BH1002*-1)</f>
        <v>102.21309116960695</v>
      </c>
      <c r="BJ1002" s="14">
        <f>SUM(DU1002*0.0052)/12</f>
        <v>16.076666666666664</v>
      </c>
      <c r="BK1002" s="22">
        <f ca="1">SUM(BI1002+BJ1002)</f>
        <v>118.28975783627362</v>
      </c>
      <c r="BL1002" s="14"/>
      <c r="BM1002" s="14">
        <f>SUM(BL1002*0.1)</f>
        <v>0</v>
      </c>
      <c r="BN1002" s="14">
        <f ca="1">SUM(BO1002*BP1002)</f>
        <v>0</v>
      </c>
      <c r="BO1002" s="17">
        <f>SUM((BL1002+BM1002)*0.00833333333333333)</f>
        <v>0</v>
      </c>
      <c r="BP1002" s="23">
        <f ca="1">MONTH(TODAY())+49</f>
        <v>53</v>
      </c>
      <c r="BQ1002" s="14">
        <f ca="1">SUM(BL1002,BM1002,BN1002)</f>
        <v>0</v>
      </c>
      <c r="BR1002" s="14"/>
      <c r="BS1002" s="14">
        <f>SUM(BR1002*0.1)</f>
        <v>0</v>
      </c>
      <c r="BT1002" s="14">
        <f ca="1">SUM(BU1002*BV1002)</f>
        <v>0</v>
      </c>
      <c r="BU1002" s="17">
        <f>SUM((BR1002+BS1002)*0.00833333333333333)</f>
        <v>0</v>
      </c>
      <c r="BV1002" s="23">
        <f ca="1">MONTH(TODAY())+37</f>
        <v>41</v>
      </c>
      <c r="BW1002" s="14">
        <f ca="1">SUM(BR1002,BS1002,BT1002)</f>
        <v>0</v>
      </c>
      <c r="BX1002" s="14">
        <f>SUM(DU1002*0.0052)</f>
        <v>192.92</v>
      </c>
      <c r="BY1002" s="14">
        <f>SUM(BX1002*0.1)</f>
        <v>19.292000000000002</v>
      </c>
      <c r="BZ1002" s="14">
        <f ca="1">SUM(CA1002*CB1002)</f>
        <v>51.284566666666642</v>
      </c>
      <c r="CA1002" s="17">
        <f>SUM((BX1002+BY1002)*0.00833333333333333)</f>
        <v>1.7684333333333324</v>
      </c>
      <c r="CB1002" s="23">
        <f ca="1">MONTH(TODAY())+25</f>
        <v>29</v>
      </c>
      <c r="CC1002" s="14">
        <f ca="1">SUM(BX1002,BY1002,BZ1002)</f>
        <v>263.49656666666664</v>
      </c>
      <c r="CD1002" s="14">
        <f>SUM(DU1002*0.0052)</f>
        <v>192.92</v>
      </c>
      <c r="CE1002" s="14">
        <f>SUM(CD1002*0.1)</f>
        <v>19.292000000000002</v>
      </c>
      <c r="CF1002" s="14">
        <f ca="1">SUM(CG1002*CH1002)</f>
        <v>30.063366666666653</v>
      </c>
      <c r="CG1002" s="17">
        <f>SUM((CD1002+CE1002)*0.00833333333333333)</f>
        <v>1.7684333333333324</v>
      </c>
      <c r="CH1002" s="23">
        <f ca="1">MONTH(TODAY())+13</f>
        <v>17</v>
      </c>
      <c r="CI1002" s="14">
        <f ca="1">SUM(CD1002,CE1002,CF1002)</f>
        <v>242.27536666666663</v>
      </c>
      <c r="CJ1002" s="14">
        <f>SUM(DU1002*0.0052)</f>
        <v>192.92</v>
      </c>
      <c r="CK1002" s="14">
        <f>SUM(CJ1002*0.1)</f>
        <v>19.292000000000002</v>
      </c>
      <c r="CL1002" s="14">
        <f ca="1">SUM(CM1002*CN1002)</f>
        <v>8.8421666666666621</v>
      </c>
      <c r="CM1002" s="17">
        <f>SUM((CJ1002+CK1002)*0.00833333333333333)</f>
        <v>1.7684333333333324</v>
      </c>
      <c r="CN1002" s="23">
        <f ca="1">MONTH(TODAY())+1</f>
        <v>5</v>
      </c>
      <c r="CO1002" s="14">
        <f ca="1">SUM(CJ1002,CK1002,CL1002)</f>
        <v>221.05416666666665</v>
      </c>
      <c r="CP1002" s="14">
        <f>SUM(DU1002*0.0052)/2</f>
        <v>96.46</v>
      </c>
      <c r="CQ1002" s="14">
        <f>SUM(CP1002*0.1)</f>
        <v>9.6460000000000008</v>
      </c>
      <c r="CR1002" s="14">
        <f ca="1">SUM(CS1002*CT1002)</f>
        <v>-1.7684333333333324</v>
      </c>
      <c r="CS1002" s="17">
        <f>SUM((CP1002+CQ1002)*0.00833333333333333)</f>
        <v>0.88421666666666621</v>
      </c>
      <c r="CT1002" s="23">
        <f ca="1">MONTH(TODAY())-6</f>
        <v>-2</v>
      </c>
      <c r="CU1002" s="23">
        <f ca="1">SUM(CP1002,CQ1002,CR1002)</f>
        <v>104.33756666666666</v>
      </c>
      <c r="CV1002" s="14">
        <f>SUM(DU1002*0.0052)/2</f>
        <v>96.46</v>
      </c>
      <c r="CW1002" s="14">
        <v>0</v>
      </c>
      <c r="CX1002" s="14">
        <v>0</v>
      </c>
      <c r="CY1002" s="17">
        <f>SUM((CV1002+CW1002)*0.00833333333333333)</f>
        <v>0.80383333333333296</v>
      </c>
      <c r="CZ1002" s="23">
        <f ca="1">MONTH(TODAY())-6</f>
        <v>-2</v>
      </c>
      <c r="DA1002" s="23">
        <f>SUM(CV1002,CW1002,CX1002)</f>
        <v>96.46</v>
      </c>
      <c r="DB1002" s="14">
        <f>SUM(BL1002, BR1002, BX1002, CD1002, CJ1002, CP1002,CV1002)</f>
        <v>771.68000000000006</v>
      </c>
      <c r="DC1002" s="14">
        <f>SUM(BM1002, BS1002,BY1002,CE1002,CK1002, CQ1002,CW1002)</f>
        <v>67.522000000000006</v>
      </c>
      <c r="DD1002" s="14">
        <f ca="1">SUM(BN1002, BT1002,BZ1002,CF1002,CL1002, CR1002,CX1002)</f>
        <v>88.42166666666661</v>
      </c>
      <c r="DE1002" s="14">
        <f ca="1">SUM(DB1002:DD1002)</f>
        <v>927.62366666666674</v>
      </c>
      <c r="DF1002" s="47">
        <f ca="1">SUM(DE1002/DU1002)</f>
        <v>2.5003333333333336E-2</v>
      </c>
      <c r="DG1002" s="14">
        <v>19.5</v>
      </c>
      <c r="DH1002" s="32">
        <f>COUNTIF(DN1002, "*")+COUNTIF(AO1002, "*")+COUNTIF(AJ1002, "*")+COUNTIF(AA1002, "*")+COUNTIF(EK1002, "*")+COUNTIF(EQ1002, "*")+COUNTIF(EW1002, "*")+COUNTIF(FA1002, "*")+COUNTIF(FH1002, "*")+COUNTIF(FO1002, "*")+COUNTIF(FV1002, "*")+COUNTIF(GG1002, "*")+COUNTIF(GR1002, "*")+COUNTIF(GZ1002, "*")+COUNTIF(HH1002, "*")+COUNTIF(HP1002, "*")+COUNTIF(HX1002, "*")</f>
        <v>2</v>
      </c>
      <c r="DI1002" s="14">
        <f>DH1002*0.5</f>
        <v>1</v>
      </c>
      <c r="DJ1002" s="4"/>
      <c r="DK1002" s="14">
        <f ca="1">SUM(DE1002,DG1002,DQ1002, DJ1002, DI1002,FS1002)</f>
        <v>948.12366666666674</v>
      </c>
      <c r="DL1002" s="4"/>
      <c r="DM1002" s="4"/>
      <c r="DN1002" s="4"/>
      <c r="DP1002" s="4"/>
      <c r="DQ1002" s="14">
        <f>SUM(DL1002:DP1002)</f>
        <v>0</v>
      </c>
      <c r="DR1002" s="24" t="s">
        <v>1944</v>
      </c>
      <c r="DS1002" s="4">
        <v>37100</v>
      </c>
      <c r="DT1002" s="4">
        <v>0</v>
      </c>
      <c r="DU1002" s="25">
        <f>SUM(DS1002+DT1002)</f>
        <v>37100</v>
      </c>
      <c r="DV1002" s="35">
        <v>5.22</v>
      </c>
      <c r="FR1002" s="9"/>
      <c r="FX1002" s="4"/>
      <c r="IJ1002" s="4"/>
      <c r="IK1002" s="4"/>
      <c r="IL1002" s="9"/>
      <c r="IS1002" s="4"/>
      <c r="IT1002" s="4"/>
    </row>
    <row r="1003" spans="1:263" ht="15" customHeight="1">
      <c r="A1003" s="2">
        <v>102024152</v>
      </c>
      <c r="B1003" t="s">
        <v>5525</v>
      </c>
      <c r="D1003" s="1"/>
      <c r="E1003" s="3"/>
      <c r="G1003" s="3"/>
      <c r="J1003" t="s">
        <v>253</v>
      </c>
      <c r="K1003" t="s">
        <v>1516</v>
      </c>
      <c r="L1003" t="s">
        <v>557</v>
      </c>
      <c r="M1003" t="s">
        <v>448</v>
      </c>
      <c r="O1003" s="3"/>
      <c r="AG1003" s="43"/>
      <c r="AK1003" s="1"/>
      <c r="AM1003"/>
      <c r="AN1003"/>
      <c r="AO1003" t="s">
        <v>5526</v>
      </c>
      <c r="AP1003" s="1" t="s">
        <v>258</v>
      </c>
      <c r="AQ1003" s="18" t="s">
        <v>344</v>
      </c>
      <c r="AR1003" t="s">
        <v>260</v>
      </c>
      <c r="AS1003" s="10"/>
      <c r="AT1003" s="10"/>
      <c r="AU1003" s="10"/>
      <c r="AV1003" s="10"/>
      <c r="AW1003" s="10"/>
      <c r="AX1003" s="1"/>
      <c r="AY1003" s="1"/>
      <c r="AZ1003" s="1"/>
      <c r="BA1003" s="1"/>
      <c r="BB1003" s="1"/>
      <c r="BC1003" s="2"/>
      <c r="BD1003" s="115">
        <v>45408</v>
      </c>
      <c r="BE1003" s="115"/>
      <c r="BF1003" s="2"/>
      <c r="BG1003" s="2"/>
      <c r="BH1003" s="2"/>
      <c r="BI1003" s="2"/>
      <c r="BJ1003" s="2"/>
      <c r="BK1003" s="2"/>
      <c r="BL1003" s="20">
        <f ca="1">SUM(EN1003)+220</f>
        <v>963.94084166666664</v>
      </c>
      <c r="BM1003" s="22">
        <f ca="1">PMT(10%/12,12,BL1003,0,0)</f>
        <v>-84.7457143323672</v>
      </c>
      <c r="BN1003" s="22">
        <f ca="1">SUM(BM1003*-1)</f>
        <v>84.7457143323672</v>
      </c>
      <c r="BO1003" s="14">
        <f>SUM(EV1003*0.0052)/12</f>
        <v>26.216666666666665</v>
      </c>
      <c r="BP1003" s="22">
        <f ca="1">SUM(BN1003+BO1003)</f>
        <v>110.96238099903387</v>
      </c>
      <c r="BQ1003" s="14"/>
      <c r="BR1003" s="14">
        <f>SUM(BQ1003*0.1)</f>
        <v>0</v>
      </c>
      <c r="BS1003" s="14">
        <f ca="1">SUM(BT1003*BU1003)</f>
        <v>0</v>
      </c>
      <c r="BT1003" s="17">
        <f>SUM((BQ1003+BR1003)*0.00833333333333333)</f>
        <v>0</v>
      </c>
      <c r="BU1003" s="23">
        <f ca="1">MONTH(TODAY())+61</f>
        <v>65</v>
      </c>
      <c r="BV1003" s="14">
        <f ca="1">SUM(BQ1003,BR1003,BS1003)</f>
        <v>0</v>
      </c>
      <c r="BW1003" s="14"/>
      <c r="BX1003" s="14">
        <f>SUM(BW1003*0.1)</f>
        <v>0</v>
      </c>
      <c r="BY1003" s="14">
        <f ca="1">SUM(BZ1003*CA1003)</f>
        <v>0</v>
      </c>
      <c r="BZ1003" s="17">
        <f>SUM((BW1003+BX1003)*0.00833333333333333)</f>
        <v>0</v>
      </c>
      <c r="CA1003" s="23">
        <f ca="1">MONTH(TODAY())+49</f>
        <v>53</v>
      </c>
      <c r="CB1003" s="14">
        <f ca="1">SUM(BW1003,BX1003,BY1003)</f>
        <v>0</v>
      </c>
      <c r="CC1003" s="14">
        <v>0</v>
      </c>
      <c r="CD1003" s="14">
        <f>SUM(CC1003*0.1)</f>
        <v>0</v>
      </c>
      <c r="CE1003" s="14">
        <f ca="1">SUM(CF1003*CG1003)</f>
        <v>0</v>
      </c>
      <c r="CF1003" s="17">
        <f>SUM((CC1003+CD1003)*0.00833333333333333)</f>
        <v>0</v>
      </c>
      <c r="CG1003" s="23">
        <f ca="1">MONTH(TODAY())+37</f>
        <v>41</v>
      </c>
      <c r="CH1003" s="14">
        <f ca="1">SUM(CC1003,CD1003,CE1003)</f>
        <v>0</v>
      </c>
      <c r="CI1003" s="14">
        <v>0</v>
      </c>
      <c r="CJ1003" s="14">
        <f>SUM(CI1003*0.1)</f>
        <v>0</v>
      </c>
      <c r="CK1003" s="14">
        <f ca="1">SUM(CL1003*CM1003)</f>
        <v>0</v>
      </c>
      <c r="CL1003" s="17">
        <f>SUM((CI1003+CJ1003)*0.00833333333333333)</f>
        <v>0</v>
      </c>
      <c r="CM1003" s="23">
        <f ca="1">MONTH(TODAY())+25</f>
        <v>29</v>
      </c>
      <c r="CN1003" s="14">
        <f ca="1">SUM(CI1003,CJ1003,CK1003)</f>
        <v>0</v>
      </c>
      <c r="CO1003" s="14">
        <f>SUM(ES1003*0.0052)/2-116.93</f>
        <v>30.75</v>
      </c>
      <c r="CP1003" s="14">
        <f>SUM(CO1003*0.1)</f>
        <v>3.0750000000000002</v>
      </c>
      <c r="CQ1003" s="14">
        <f ca="1">SUM(CR1003*CS1003)</f>
        <v>5.9193749999999969</v>
      </c>
      <c r="CR1003" s="17">
        <f>SUM((CO1003+CP1003)*0.00833333333333333)</f>
        <v>0.28187499999999988</v>
      </c>
      <c r="CS1003" s="23">
        <f ca="1">MONTH(TODAY())+17</f>
        <v>21</v>
      </c>
      <c r="CT1003" s="23">
        <f ca="1">SUM(CO1003,CP1003,CQ1003)</f>
        <v>39.744374999999998</v>
      </c>
      <c r="CU1003" s="14">
        <f>SUM(ES1003*0.0052)/2</f>
        <v>147.68</v>
      </c>
      <c r="CV1003" s="14">
        <f>SUM(CU1003*0.1)</f>
        <v>14.768000000000001</v>
      </c>
      <c r="CW1003" s="14">
        <f ca="1">SUM(CX1003*CY1003)</f>
        <v>23.013466666666659</v>
      </c>
      <c r="CX1003" s="17">
        <f>SUM((CU1003+CV1003)*0.00833333333333333)</f>
        <v>1.3537333333333328</v>
      </c>
      <c r="CY1003" s="23">
        <f ca="1">MONTH(TODAY())+13</f>
        <v>17</v>
      </c>
      <c r="CZ1003" s="23">
        <f ca="1">SUM(CU1003,CV1003,CW1003)</f>
        <v>185.46146666666667</v>
      </c>
      <c r="DA1003" s="14">
        <f>SUM(EV1003*0.0045)/2</f>
        <v>136.125</v>
      </c>
      <c r="DB1003" s="14">
        <f>SUM(DA1003*0.1)</f>
        <v>13.612500000000001</v>
      </c>
      <c r="DC1003" s="14">
        <f ca="1">SUM(DD1003*DE1003)</f>
        <v>13.725937499999995</v>
      </c>
      <c r="DD1003" s="17">
        <f>SUM((DA1003+DB1003)*0.00833333333333333)</f>
        <v>1.2478124999999995</v>
      </c>
      <c r="DE1003" s="23">
        <f ca="1">MONTH(TODAY())+7</f>
        <v>11</v>
      </c>
      <c r="DF1003" s="23">
        <f ca="1">SUM(DA1003,DB1003,DC1003)</f>
        <v>163.4634375</v>
      </c>
      <c r="DG1003" s="14">
        <f>SUM(EV1003*0.0045)/2</f>
        <v>136.125</v>
      </c>
      <c r="DH1003" s="14">
        <f>SUM(DG1003*0.1)</f>
        <v>13.612500000000001</v>
      </c>
      <c r="DI1003" s="14">
        <f ca="1">SUM(DJ1003*DK1003)</f>
        <v>6.2390624999999975</v>
      </c>
      <c r="DJ1003" s="17">
        <f>SUM((DG1003+DH1003)*0.00833333333333333)</f>
        <v>1.2478124999999995</v>
      </c>
      <c r="DK1003" s="23">
        <f ca="1">MONTH(TODAY())+1</f>
        <v>5</v>
      </c>
      <c r="DL1003" s="14">
        <f ca="1">SUM(DG1003,DH1003,DI1003)</f>
        <v>155.9765625</v>
      </c>
      <c r="DM1003" s="14">
        <f>SUM(EV1003*0.0045)/2</f>
        <v>136.125</v>
      </c>
      <c r="DN1003" s="14">
        <f>0</f>
        <v>0</v>
      </c>
      <c r="DO1003" s="14">
        <f>0</f>
        <v>0</v>
      </c>
      <c r="DP1003" s="17">
        <f>SUM((DM1003+DN1003)*0.00833333333333333)</f>
        <v>1.1343749999999995</v>
      </c>
      <c r="DQ1003" s="23">
        <f ca="1">MONTH(TODAY())+7</f>
        <v>11</v>
      </c>
      <c r="DR1003" s="23">
        <f>SUM(DM1003,DN1003,DO1003)</f>
        <v>136.125</v>
      </c>
      <c r="DS1003" s="14">
        <f>0</f>
        <v>0</v>
      </c>
      <c r="DT1003" s="14">
        <f>0</f>
        <v>0</v>
      </c>
      <c r="DU1003" s="14">
        <f ca="1">SUM(DV1003*DW1003)</f>
        <v>0</v>
      </c>
      <c r="DV1003" s="17">
        <f>SUM((DS1003+DT1003)*0.00833333333333333)</f>
        <v>0</v>
      </c>
      <c r="DW1003" s="23">
        <f ca="1">MONTH(TODAY())+1</f>
        <v>5</v>
      </c>
      <c r="DX1003" s="14">
        <f ca="1">SUM(DS1003,DT1003,DU1003)</f>
        <v>0</v>
      </c>
      <c r="DY1003" s="14">
        <f>SUM( BQ1003, BW1003, CC1003, CI1003, CO1003,CU1003,DA1003,DG1003,DM1003,DS1003)</f>
        <v>586.80500000000006</v>
      </c>
      <c r="DZ1003" s="14">
        <f>SUM(BR1003,BX1003,CD1003,CJ1003, CP1003,CV1003,DB1003,DH1003,DN1003,DT1003)</f>
        <v>45.067999999999998</v>
      </c>
      <c r="EA1003" s="14">
        <f ca="1">SUM(BS1003,BY1003,CE1003,CK1003, CQ1003,CW1003,DC1003,DI1003,DO1003,DU1003)</f>
        <v>48.897841666666643</v>
      </c>
      <c r="EB1003" s="25">
        <f ca="1">SUM(DY1003:EA1003)</f>
        <v>680.77084166666668</v>
      </c>
      <c r="EC1003" s="47">
        <f ca="1">SUM(EB1003/ES1003)</f>
        <v>1.198540214201878E-2</v>
      </c>
      <c r="ED1003" s="14">
        <f>20+10</f>
        <v>30</v>
      </c>
      <c r="EE1003" s="32">
        <f>COUNTIF(AO1003, "*")+COUNTIF(AJ1003, "*")+COUNTIF(AA1003, "*")+COUNTIF(FG1003, "*")+COUNTIF(FM1003, "*")+COUNTIF(FS1003, "*")+COUNTIF(FW1003, "*")+COUNTIF(GD1003, "*")+COUNTIF(AT1003, "*")+COUNTIF(GM1003, "*")+COUNTIF(GX1003, "*")+COUNTIF(HI1003, "*")+COUNTIF(HQ1003, "*")+COUNTIF(HY1003, "*")+COUNTIF(IG1003, "*")</f>
        <v>1</v>
      </c>
      <c r="EF1003" s="14">
        <f>EE1003*0.64</f>
        <v>0.64</v>
      </c>
      <c r="EG1003" s="4"/>
      <c r="EH1003" s="4">
        <v>32.53</v>
      </c>
      <c r="EI1003" s="4"/>
      <c r="EJ1003" s="4"/>
      <c r="EL1003" s="4"/>
      <c r="EM1003" s="14">
        <f>SUM(EH1003:EL1003)</f>
        <v>32.53</v>
      </c>
      <c r="EN1003" s="14">
        <f ca="1">SUM(EB1003,ED1003,EM1003, EG1003, EF1003,GJ1003)</f>
        <v>743.94084166666664</v>
      </c>
      <c r="EO1003" s="24" t="s">
        <v>4935</v>
      </c>
      <c r="EP1003" s="23">
        <v>2</v>
      </c>
      <c r="EQ1003" s="14">
        <v>21000</v>
      </c>
      <c r="ER1003" s="14">
        <v>35800</v>
      </c>
      <c r="ES1003" s="14">
        <f>SUM(EQ1003+ER1003)</f>
        <v>56800</v>
      </c>
      <c r="ET1003" s="14">
        <v>22000</v>
      </c>
      <c r="EU1003" s="14">
        <v>38500</v>
      </c>
      <c r="EV1003" s="14">
        <f>SUM(ET1003+EU1003)</f>
        <v>60500</v>
      </c>
      <c r="EW1003" s="10"/>
      <c r="EX1003" s="10"/>
      <c r="EY1003" s="10"/>
      <c r="EZ1003" s="10"/>
      <c r="FA1003" s="10"/>
      <c r="FB1003" s="10"/>
      <c r="FC1003" s="10"/>
      <c r="FD1003" s="10"/>
      <c r="GJ1003" s="4"/>
      <c r="IK1003" s="9"/>
      <c r="IV1003" s="4"/>
      <c r="IW1003" s="4"/>
      <c r="IX1003" s="4"/>
      <c r="IY1003" s="9"/>
      <c r="IZ1003" s="9"/>
      <c r="JA1003" s="9"/>
      <c r="JB1003" s="9"/>
      <c r="JC1003" s="9"/>
    </row>
    <row r="1004" spans="1:263" ht="15" customHeight="1">
      <c r="A1004" s="2">
        <v>102020076</v>
      </c>
      <c r="B1004" t="s">
        <v>1736</v>
      </c>
      <c r="J1004" t="s">
        <v>253</v>
      </c>
      <c r="K1004" t="s">
        <v>1737</v>
      </c>
      <c r="L1004" t="s">
        <v>764</v>
      </c>
      <c r="AG1004" s="248"/>
      <c r="AX1004" s="9"/>
      <c r="AY1004" s="15"/>
      <c r="AZ1004" s="15"/>
      <c r="BA1004" s="15"/>
      <c r="BB1004" s="1"/>
      <c r="BC1004" s="15"/>
      <c r="BD1004" s="15"/>
      <c r="BG1004" s="5"/>
      <c r="BH1004" s="16"/>
      <c r="BI1004" s="16"/>
      <c r="BJ1004" s="4"/>
      <c r="BK1004" s="4"/>
      <c r="BL1004" s="4"/>
      <c r="BM1004" s="6"/>
      <c r="BN1004" s="7"/>
      <c r="BO1004" s="4"/>
      <c r="BP1004" s="4"/>
      <c r="BQ1004" s="4"/>
      <c r="BR1004" s="4"/>
      <c r="BS1004" s="6"/>
      <c r="BT1004" s="7"/>
      <c r="BU1004" s="4"/>
      <c r="BV1004" s="4"/>
      <c r="BW1004" s="4"/>
      <c r="BX1004" s="4"/>
      <c r="BY1004" s="6"/>
      <c r="BZ1004" s="7"/>
      <c r="CA1004" s="4"/>
      <c r="CB1004" s="4"/>
      <c r="CC1004" s="4"/>
      <c r="CD1004" s="4"/>
      <c r="CE1004" s="6"/>
      <c r="CF1004" s="7"/>
      <c r="CG1004" s="4"/>
      <c r="CH1004" s="4"/>
      <c r="CI1004" s="4"/>
      <c r="CJ1004" s="4"/>
      <c r="CK1004" s="6"/>
      <c r="CL1004" s="7"/>
      <c r="CM1004" s="4"/>
      <c r="CN1004" s="4"/>
      <c r="CO1004" s="4"/>
      <c r="CP1004" s="4"/>
      <c r="CQ1004" s="6"/>
      <c r="CR1004" s="7"/>
      <c r="CS1004" s="4"/>
      <c r="CT1004" s="4"/>
      <c r="CU1004" s="4"/>
      <c r="CV1004" s="4"/>
      <c r="CW1004" s="6"/>
      <c r="CX1004" s="7"/>
      <c r="CY1004" s="4"/>
      <c r="CZ1004" s="4"/>
      <c r="DA1004" s="4"/>
      <c r="DB1004" s="4"/>
      <c r="DC1004" s="4"/>
      <c r="DD1004" s="3"/>
      <c r="DE1004" s="4"/>
      <c r="DF1004" s="234"/>
      <c r="DG1004" s="4"/>
      <c r="DH1004" s="4"/>
      <c r="DI1004" s="4"/>
      <c r="DJ1004" s="4"/>
      <c r="DK1004" s="4"/>
      <c r="DL1004" s="4"/>
      <c r="DM1004" s="7"/>
      <c r="DN1004" s="8"/>
      <c r="DO1004" s="4"/>
      <c r="DP1004" s="8"/>
      <c r="DQ1004" s="8"/>
      <c r="DR1004" s="8"/>
      <c r="DS1004" s="35"/>
      <c r="DT1004" s="43"/>
      <c r="DU1004" s="43"/>
    </row>
    <row r="1005" spans="1:263" ht="15" customHeight="1">
      <c r="A1005">
        <v>102024072</v>
      </c>
      <c r="B1005" t="s">
        <v>5353</v>
      </c>
      <c r="C1005" s="10"/>
      <c r="D1005" s="161"/>
      <c r="E1005" s="147" t="s">
        <v>5918</v>
      </c>
      <c r="F1005" s="160" t="s">
        <v>5917</v>
      </c>
      <c r="G1005" s="147"/>
      <c r="H1005" s="10"/>
      <c r="I1005" s="10"/>
      <c r="J1005" s="10" t="s">
        <v>253</v>
      </c>
      <c r="K1005" s="28" t="s">
        <v>5354</v>
      </c>
      <c r="L1005" s="28" t="s">
        <v>5355</v>
      </c>
      <c r="M1005" s="10" t="s">
        <v>5356</v>
      </c>
      <c r="N1005" s="10"/>
      <c r="O1005" s="147"/>
      <c r="P1005" s="10" t="s">
        <v>5354</v>
      </c>
      <c r="Q1005" s="10" t="s">
        <v>5864</v>
      </c>
      <c r="R1005" s="10" t="s">
        <v>5865</v>
      </c>
      <c r="S1005" s="10"/>
      <c r="T1005" s="10"/>
      <c r="U1005" s="10"/>
      <c r="V1005" s="10"/>
      <c r="W1005" s="10"/>
      <c r="X1005" s="10"/>
      <c r="Y1005" s="10"/>
      <c r="Z1005" s="10"/>
      <c r="AA1005" s="10"/>
      <c r="AB1005" s="10"/>
      <c r="AC1005" s="10"/>
      <c r="AD1005" s="10"/>
      <c r="AE1005" s="10"/>
      <c r="AF1005" s="10"/>
      <c r="AG1005" s="141" t="s">
        <v>5866</v>
      </c>
      <c r="AH1005" s="10"/>
      <c r="AI1005" s="10"/>
      <c r="AJ1005" s="18" t="s">
        <v>328</v>
      </c>
      <c r="AK1005" s="1"/>
      <c r="AL1005" s="18" t="s">
        <v>344</v>
      </c>
      <c r="AM1005"/>
      <c r="AN1005"/>
      <c r="AO1005" t="s">
        <v>5867</v>
      </c>
      <c r="AP1005" s="1" t="s">
        <v>258</v>
      </c>
      <c r="AQ1005" s="18" t="s">
        <v>344</v>
      </c>
      <c r="AR1005" t="s">
        <v>260</v>
      </c>
      <c r="AW1005" s="1"/>
      <c r="AY1005" s="1" t="s">
        <v>258</v>
      </c>
      <c r="AZ1005" s="1"/>
      <c r="BA1005" s="1"/>
      <c r="BB1005" s="1"/>
      <c r="BC1005" s="70">
        <v>45530</v>
      </c>
      <c r="BD1005" s="115">
        <v>45408</v>
      </c>
      <c r="BE1005" s="144">
        <v>45476</v>
      </c>
      <c r="BF1005" s="70"/>
      <c r="BG1005" s="2"/>
      <c r="BH1005" s="70"/>
      <c r="BI1005" s="70"/>
      <c r="BJ1005" s="70"/>
      <c r="BK1005" s="70"/>
      <c r="BL1005" s="20">
        <f ca="1">SUM(EH1005)+220</f>
        <v>2258.5897999999997</v>
      </c>
      <c r="BM1005" s="22">
        <f ca="1">PMT(10%/12,12,BL1005,0,0)</f>
        <v>-198.56592615564989</v>
      </c>
      <c r="BN1005" s="22">
        <f ca="1">SUM(BM1005*-1)</f>
        <v>198.56592615564989</v>
      </c>
      <c r="BO1005" s="14">
        <f>SUM(EP1005*0.0052)/12</f>
        <v>26</v>
      </c>
      <c r="BP1005" s="22">
        <f ca="1">SUM(BN1005+BO1005)</f>
        <v>224.56592615564989</v>
      </c>
      <c r="BQ1005" s="14"/>
      <c r="BR1005" s="14">
        <f>SUM(BQ1005*0.1)</f>
        <v>0</v>
      </c>
      <c r="BS1005" s="14">
        <f ca="1">SUM(BT1005*BU1005)</f>
        <v>0</v>
      </c>
      <c r="BT1005" s="17">
        <f>SUM((BQ1005+BR1005)*0.00833333333333333)</f>
        <v>0</v>
      </c>
      <c r="BU1005" s="23">
        <f ca="1">MONTH(TODAY())+49</f>
        <v>53</v>
      </c>
      <c r="BV1005" s="14">
        <f ca="1">SUM(BQ1005,BR1005,BS1005)</f>
        <v>0</v>
      </c>
      <c r="BW1005" s="14">
        <v>0</v>
      </c>
      <c r="BX1005" s="14">
        <f>SUM(BW1005*0.1)</f>
        <v>0</v>
      </c>
      <c r="BY1005" s="14">
        <f ca="1">SUM(BZ1005*CA1005)</f>
        <v>0</v>
      </c>
      <c r="BZ1005" s="17">
        <f>SUM((BW1005+BX1005)*0.00833333333333333)</f>
        <v>0</v>
      </c>
      <c r="CA1005" s="23">
        <f ca="1">MONTH(TODAY())+37</f>
        <v>41</v>
      </c>
      <c r="CB1005" s="14">
        <f ca="1">SUM(BW1005,BX1005,BY1005)</f>
        <v>0</v>
      </c>
      <c r="CC1005" s="14">
        <v>0</v>
      </c>
      <c r="CD1005" s="14">
        <f>SUM(CC1005*0.1)</f>
        <v>0</v>
      </c>
      <c r="CE1005" s="14">
        <f ca="1">SUM(CF1005*CG1005)</f>
        <v>0</v>
      </c>
      <c r="CF1005" s="17">
        <f>SUM((CC1005+CD1005)*0.00833333333333333)</f>
        <v>0</v>
      </c>
      <c r="CG1005" s="23">
        <f ca="1">MONTH(TODAY())+25</f>
        <v>29</v>
      </c>
      <c r="CH1005" s="14">
        <f ca="1">SUM(CC1005,CD1005,CE1005)</f>
        <v>0</v>
      </c>
      <c r="CI1005" s="14">
        <f>SUM(EM1005*0.0052)/2-88.24</f>
        <v>126.26</v>
      </c>
      <c r="CJ1005" s="14">
        <f>SUM(CI1005*0.1)</f>
        <v>12.626000000000001</v>
      </c>
      <c r="CK1005" s="14">
        <f ca="1">SUM(CL1005*CM1005)</f>
        <v>24.305049999999987</v>
      </c>
      <c r="CL1005" s="17">
        <f>SUM((CI1005+CJ1005)*0.00833333333333333)</f>
        <v>1.1573833333333328</v>
      </c>
      <c r="CM1005" s="23">
        <f ca="1">MONTH(TODAY())+17</f>
        <v>21</v>
      </c>
      <c r="CN1005" s="23">
        <f ca="1">SUM(CI1005,CJ1005,CK1005)</f>
        <v>163.19104999999999</v>
      </c>
      <c r="CO1005" s="14">
        <f>SUM(EM1005*0.0052)/2</f>
        <v>214.5</v>
      </c>
      <c r="CP1005" s="14">
        <f>SUM(CO1005*0.1)</f>
        <v>21.450000000000003</v>
      </c>
      <c r="CQ1005" s="14">
        <f ca="1">SUM(CR1005*CS1005)</f>
        <v>33.426249999999989</v>
      </c>
      <c r="CR1005" s="17">
        <f>SUM((CO1005+CP1005)*0.00833333333333333)</f>
        <v>1.9662499999999992</v>
      </c>
      <c r="CS1005" s="23">
        <f ca="1">MONTH(TODAY())+13</f>
        <v>17</v>
      </c>
      <c r="CT1005" s="14">
        <f ca="1">SUM(CO1005,CP1005,CQ1005)</f>
        <v>269.37624999999997</v>
      </c>
      <c r="CU1005" s="14">
        <f>SUM(EP1005*0.0045)/2</f>
        <v>135</v>
      </c>
      <c r="CV1005" s="14">
        <f>SUM(CU1005*0.1)</f>
        <v>13.5</v>
      </c>
      <c r="CW1005" s="14">
        <f ca="1">SUM(CX1005*CY1005)</f>
        <v>13.612499999999994</v>
      </c>
      <c r="CX1005" s="17">
        <f>SUM((CU1005+CV1005)*0.00833333333333333)</f>
        <v>1.2374999999999994</v>
      </c>
      <c r="CY1005" s="23">
        <f ca="1">MONTH(TODAY())+7</f>
        <v>11</v>
      </c>
      <c r="CZ1005" s="14">
        <f ca="1">SUM(CU1005,CV1005,CW1005)</f>
        <v>162.11249999999998</v>
      </c>
      <c r="DA1005" s="14">
        <f>SUM(EP1005*0.0045)/2</f>
        <v>135</v>
      </c>
      <c r="DB1005" s="14">
        <f>SUM(DA1005*0.1)</f>
        <v>13.5</v>
      </c>
      <c r="DC1005" s="14">
        <f ca="1">SUM(DD1005*DE1005)</f>
        <v>6.1874999999999964</v>
      </c>
      <c r="DD1005" s="17">
        <f>SUM((DA1005+DB1005)*0.00833333333333333)</f>
        <v>1.2374999999999994</v>
      </c>
      <c r="DE1005" s="23">
        <f ca="1">MONTH(TODAY())+1</f>
        <v>5</v>
      </c>
      <c r="DF1005" s="14">
        <f ca="1">SUM(DA1005,DB1005,DC1005)</f>
        <v>154.6875</v>
      </c>
      <c r="DG1005" s="14">
        <f>SUM(EP1005*0.0045)/2</f>
        <v>135</v>
      </c>
      <c r="DH1005" s="14">
        <f>SUM(DG1005*0.1)</f>
        <v>13.5</v>
      </c>
      <c r="DI1005" s="14">
        <f ca="1">SUM(DJ1005*DK1005)</f>
        <v>-3.7124999999999981</v>
      </c>
      <c r="DJ1005" s="17">
        <f>SUM((DG1005+DH1005)*0.00833333333333333)</f>
        <v>1.2374999999999994</v>
      </c>
      <c r="DK1005" s="23">
        <f ca="1">MONTH(TODAY())-7</f>
        <v>-3</v>
      </c>
      <c r="DL1005" s="14">
        <f ca="1">SUM(DG1005,DH1005,DI1005)</f>
        <v>144.78749999999999</v>
      </c>
      <c r="DM1005" s="14">
        <f>SUM(EP1005*0.0045)/2</f>
        <v>135</v>
      </c>
      <c r="DN1005" s="14">
        <f>0</f>
        <v>0</v>
      </c>
      <c r="DO1005" s="14">
        <f ca="1">SUM(DP1005*DQ1005)</f>
        <v>5.6249999999999982</v>
      </c>
      <c r="DP1005" s="17">
        <f>SUM((DM1005+DN1005)*0.00833333333333333)</f>
        <v>1.1249999999999996</v>
      </c>
      <c r="DQ1005" s="23">
        <f ca="1">MONTH(TODAY())+1</f>
        <v>5</v>
      </c>
      <c r="DR1005" s="14">
        <f ca="1">SUM(DM1005,DN1005,DO1005)</f>
        <v>140.625</v>
      </c>
      <c r="DS1005" s="14">
        <f>SUM(BQ1005, BW1005, CC1005, CI1005,CO1005,CU1005,DA1005,DG1005,DM1005)</f>
        <v>880.76</v>
      </c>
      <c r="DT1005" s="14">
        <f>SUM(BR1005,BX1005,CD1005, CJ1005,CP1005,CV1005,DB1005,DH1005,DN1005)</f>
        <v>74.576000000000008</v>
      </c>
      <c r="DU1005" s="14">
        <f ca="1">SUM(BS1005,BY1005,CE1005, CK1005,CQ1005,CW1005,DC1005,DI1005,DO1005)</f>
        <v>79.443799999999982</v>
      </c>
      <c r="DV1005" s="25">
        <f ca="1">SUM(DS1005:DU1005)</f>
        <v>1034.7798</v>
      </c>
      <c r="DW1005" s="47">
        <f ca="1">SUM(DV1005/EM1005)</f>
        <v>1.2542785454545454E-2</v>
      </c>
      <c r="DX1005" s="14">
        <f>20+10+40+60+200+200</f>
        <v>530</v>
      </c>
      <c r="DY1005" s="32">
        <f>COUNTIF(AO1005, "*")+COUNTIF(AJ1005, "*")+COUNTIF(AA1005, "*")+COUNTIF(FA1005, "*")+COUNTIF(FG1005, "*")+COUNTIF(FM1005, "*")+COUNTIF(FQ1005, "*")+COUNTIF(FX1005, "*")+COUNTIF(AT1005, "*")+COUNTIF(GG1005, "*")+COUNTIF(GR1005, "*")+COUNTIF(HC1005, "*")+COUNTIF(HK1005, "*")+COUNTIF(HS1005, "*")+COUNTIF(IA1005, "*")</f>
        <v>5</v>
      </c>
      <c r="DZ1005" s="14">
        <f>1.28+DY1005*8</f>
        <v>41.28</v>
      </c>
      <c r="EA1005" s="4">
        <v>32.53</v>
      </c>
      <c r="EB1005" s="4">
        <v>200</v>
      </c>
      <c r="EC1005" s="4"/>
      <c r="ED1005" s="4"/>
      <c r="EE1005" s="4"/>
      <c r="EF1005" s="4"/>
      <c r="EG1005" s="14">
        <f>SUM(EA1005:EF1005)</f>
        <v>232.53</v>
      </c>
      <c r="EH1005" s="14">
        <f ca="1">SUM(DV1005,DX1005,EG1005, EB1005, DZ1005,GD1005)</f>
        <v>2038.5898</v>
      </c>
      <c r="EI1005" s="24" t="s">
        <v>4935</v>
      </c>
      <c r="EJ1005" s="23">
        <v>1.51</v>
      </c>
      <c r="EK1005" s="14">
        <v>82500</v>
      </c>
      <c r="EL1005" s="14">
        <v>0</v>
      </c>
      <c r="EM1005" s="14">
        <f>SUM(EK1005+EL1005)</f>
        <v>82500</v>
      </c>
      <c r="EN1005" s="14">
        <v>60000</v>
      </c>
      <c r="EO1005" s="14">
        <v>0</v>
      </c>
      <c r="EP1005" s="14">
        <f>SUM(EN1005+EO1005)</f>
        <v>60000</v>
      </c>
      <c r="EQ1005" s="10" t="s">
        <v>5868</v>
      </c>
      <c r="ER1005" s="10" t="s">
        <v>5869</v>
      </c>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9"/>
      <c r="FV1005" s="10"/>
      <c r="FW1005" s="10"/>
      <c r="FX1005" s="10"/>
      <c r="FY1005" s="10"/>
      <c r="FZ1005" s="10"/>
      <c r="GA1005" s="10"/>
      <c r="GB1005" s="9"/>
      <c r="GC1005" s="10"/>
      <c r="GD1005" s="10"/>
      <c r="GE1005" s="10" t="s">
        <v>5872</v>
      </c>
      <c r="GF1005" s="10" t="s">
        <v>5873</v>
      </c>
      <c r="GG1005" s="10" t="s">
        <v>5050</v>
      </c>
      <c r="GH1005" s="10"/>
      <c r="GI1005" s="10" t="s">
        <v>543</v>
      </c>
      <c r="GJ1005" s="10" t="s">
        <v>544</v>
      </c>
      <c r="GK1005" s="9">
        <v>45019</v>
      </c>
      <c r="GL1005" s="10" t="s">
        <v>5871</v>
      </c>
      <c r="GM1005" s="10"/>
      <c r="GN1005" s="10"/>
      <c r="GO1005" s="10"/>
      <c r="GP1005" s="10" t="s">
        <v>4631</v>
      </c>
      <c r="GQ1005" s="10" t="s">
        <v>4632</v>
      </c>
      <c r="GR1005" s="10" t="s">
        <v>4633</v>
      </c>
      <c r="GS1005" s="10"/>
      <c r="GT1005" s="10" t="s">
        <v>3476</v>
      </c>
      <c r="GU1005" s="10" t="s">
        <v>496</v>
      </c>
      <c r="GV1005" s="9">
        <v>45369</v>
      </c>
      <c r="GW1005" s="10" t="s">
        <v>5870</v>
      </c>
      <c r="GX1005" s="10"/>
      <c r="GY1005" s="10"/>
      <c r="GZ1005" s="10"/>
      <c r="HA1005" s="10" t="s">
        <v>5872</v>
      </c>
      <c r="HB1005" s="10" t="s">
        <v>5874</v>
      </c>
      <c r="HC1005" s="10" t="s">
        <v>5050</v>
      </c>
      <c r="HD1005" s="10"/>
      <c r="HE1005" s="10" t="s">
        <v>543</v>
      </c>
      <c r="HF1005" s="10" t="s">
        <v>544</v>
      </c>
      <c r="HG1005" s="9">
        <v>45355</v>
      </c>
      <c r="HH1005" s="10" t="s">
        <v>5875</v>
      </c>
      <c r="HI1005" s="10"/>
      <c r="HJ1005" s="10"/>
      <c r="HK1005" s="10"/>
      <c r="HL1005" s="10"/>
      <c r="HM1005" s="10"/>
      <c r="HN1005" s="10"/>
      <c r="HO1005" s="9"/>
      <c r="HP1005" s="10"/>
      <c r="HQ1005" s="10"/>
      <c r="HR1005" s="10"/>
      <c r="HS1005" s="10"/>
      <c r="HT1005" s="10"/>
      <c r="HU1005" s="10"/>
      <c r="HV1005" s="10"/>
      <c r="HW1005" s="9"/>
      <c r="HX1005" s="10"/>
      <c r="HY1005" s="10"/>
      <c r="HZ1005" s="10"/>
      <c r="IA1005" s="10"/>
      <c r="IB1005" s="10"/>
      <c r="IC1005" s="10"/>
      <c r="ID1005" s="10"/>
      <c r="IE1005" s="9"/>
      <c r="IF1005" s="4"/>
      <c r="IG1005" s="4"/>
      <c r="IH1005" s="10"/>
      <c r="II1005" s="10"/>
      <c r="IJ1005" s="10"/>
      <c r="IK1005" s="10"/>
      <c r="IL1005" s="4"/>
      <c r="IM1005" s="4"/>
      <c r="IN1005" s="4"/>
      <c r="IO1005" s="4"/>
      <c r="IP1005" s="4"/>
      <c r="IQ1005" s="9"/>
      <c r="IR1005" s="9"/>
      <c r="IS1005" s="9"/>
      <c r="IT1005" s="9"/>
      <c r="IU1005" s="9"/>
      <c r="IV1005" s="27" t="s">
        <v>5913</v>
      </c>
    </row>
    <row r="1006" spans="1:263" ht="15" customHeight="1">
      <c r="A1006" s="19">
        <v>102020033</v>
      </c>
      <c r="B1006" t="s">
        <v>1625</v>
      </c>
      <c r="D1006" s="13"/>
      <c r="E1006" s="3" t="s">
        <v>3882</v>
      </c>
      <c r="F1006">
        <v>220003482</v>
      </c>
      <c r="G1006" s="3"/>
      <c r="J1006" t="s">
        <v>554</v>
      </c>
      <c r="K1006" t="s">
        <v>1626</v>
      </c>
      <c r="L1006" t="s">
        <v>1627</v>
      </c>
      <c r="M1006" t="s">
        <v>598</v>
      </c>
      <c r="O1006" s="3"/>
      <c r="P1006" t="s">
        <v>1626</v>
      </c>
      <c r="Q1006" t="s">
        <v>1628</v>
      </c>
      <c r="R1006" t="s">
        <v>326</v>
      </c>
      <c r="AG1006" s="43"/>
      <c r="AJ1006" s="18" t="s">
        <v>328</v>
      </c>
      <c r="AL1006" s="18" t="s">
        <v>344</v>
      </c>
      <c r="AM1006"/>
      <c r="AN1006"/>
      <c r="AO1006" t="s">
        <v>1629</v>
      </c>
      <c r="AP1006" s="3" t="s">
        <v>258</v>
      </c>
      <c r="AQ1006" t="s">
        <v>1630</v>
      </c>
      <c r="AR1006" t="s">
        <v>876</v>
      </c>
      <c r="AX1006" s="1"/>
      <c r="AY1006" s="1" t="s">
        <v>258</v>
      </c>
      <c r="AZ1006" s="1"/>
      <c r="BA1006" s="1" t="s">
        <v>258</v>
      </c>
      <c r="BB1006" s="1"/>
      <c r="BC1006" s="70">
        <v>44686</v>
      </c>
      <c r="BD1006" s="115">
        <v>44654</v>
      </c>
      <c r="BE1006" s="115">
        <v>44642</v>
      </c>
      <c r="BF1006" s="70">
        <v>44988</v>
      </c>
      <c r="BG1006" s="2" t="s">
        <v>319</v>
      </c>
      <c r="BH1006" s="70">
        <v>44974</v>
      </c>
      <c r="BI1006" s="70">
        <v>44981</v>
      </c>
      <c r="BJ1006" s="21">
        <v>45181</v>
      </c>
      <c r="BK1006" s="19" t="s">
        <v>319</v>
      </c>
      <c r="BL1006" s="20">
        <f ca="1">SUM(EB1006)+220</f>
        <v>4344.1094999999996</v>
      </c>
      <c r="BM1006" s="22">
        <f ca="1">PMT(10%/12,12,BL1006,0,0)</f>
        <v>-381.91624091681331</v>
      </c>
      <c r="BN1006" s="22">
        <f ca="1">SUM(BM1006*-1)</f>
        <v>381.91624091681331</v>
      </c>
      <c r="BO1006" s="14">
        <f>SUM(EJ1006*0.0052)/12</f>
        <v>16.293333333333333</v>
      </c>
      <c r="BP1006" s="22">
        <f ca="1">SUM(BN1006+BO1006)</f>
        <v>398.20957425014666</v>
      </c>
      <c r="BQ1006" s="14"/>
      <c r="BR1006" s="14">
        <f>SUM(BQ1006*0.1)</f>
        <v>0</v>
      </c>
      <c r="BS1006" s="14">
        <f ca="1">SUM(BT1006*BU1006)</f>
        <v>0</v>
      </c>
      <c r="BT1006" s="17">
        <f>SUM((BQ1006+BR1006)*0.00833333333333333)</f>
        <v>0</v>
      </c>
      <c r="BU1006" s="23">
        <f ca="1">MONTH(TODAY())+49</f>
        <v>53</v>
      </c>
      <c r="BV1006" s="14">
        <f ca="1">SUM(BQ1006,BR1006,BS1006)</f>
        <v>0</v>
      </c>
      <c r="BW1006" s="14"/>
      <c r="BX1006" s="14">
        <f>SUM(BW1006*0.1)</f>
        <v>0</v>
      </c>
      <c r="BY1006" s="14">
        <f ca="1">SUM(BZ1006*CA1006)</f>
        <v>0</v>
      </c>
      <c r="BZ1006" s="17">
        <f>SUM((BW1006+BX1006)*0.00833333333333333)</f>
        <v>0</v>
      </c>
      <c r="CA1006" s="23">
        <f ca="1">MONTH(TODAY())+37</f>
        <v>41</v>
      </c>
      <c r="CB1006" s="14">
        <f ca="1">SUM(BW1006,BX1006,BY1006)</f>
        <v>0</v>
      </c>
      <c r="CC1006" s="14">
        <f>SUM(EG1006*0.0052)</f>
        <v>234</v>
      </c>
      <c r="CD1006" s="14">
        <f>SUM(CC1006*0.1)</f>
        <v>23.400000000000002</v>
      </c>
      <c r="CE1006" s="14">
        <f ca="1">SUM(CF1006*CG1006)</f>
        <v>62.204999999999963</v>
      </c>
      <c r="CF1006" s="17">
        <f>SUM((CC1006+CD1006)*0.00833333333333333)</f>
        <v>2.1449999999999987</v>
      </c>
      <c r="CG1006" s="23">
        <f ca="1">MONTH(TODAY())+25</f>
        <v>29</v>
      </c>
      <c r="CH1006" s="14">
        <f ca="1">SUM(CC1006,CD1006,CE1006)</f>
        <v>319.60499999999996</v>
      </c>
      <c r="CI1006" s="14">
        <f>SUM(EG1006*0.0052)</f>
        <v>234</v>
      </c>
      <c r="CJ1006" s="14">
        <f>SUM(CI1006*0.1)</f>
        <v>23.400000000000002</v>
      </c>
      <c r="CK1006" s="14">
        <f ca="1">SUM(CL1006*CM1006)</f>
        <v>36.464999999999975</v>
      </c>
      <c r="CL1006" s="17">
        <f>SUM((CI1006+CJ1006)*0.00833333333333333)</f>
        <v>2.1449999999999987</v>
      </c>
      <c r="CM1006" s="23">
        <f ca="1">MONTH(TODAY())+13</f>
        <v>17</v>
      </c>
      <c r="CN1006" s="14">
        <f ca="1">SUM(CI1006,CJ1006,CK1006)</f>
        <v>293.86499999999995</v>
      </c>
      <c r="CO1006" s="14">
        <f>SUM(EG1006*0.0052)/2</f>
        <v>117</v>
      </c>
      <c r="CP1006" s="14">
        <f>SUM(CO1006*0.1)</f>
        <v>11.700000000000001</v>
      </c>
      <c r="CQ1006" s="14">
        <f ca="1">SUM(CR1006*CS1006)</f>
        <v>9.6524999999999945</v>
      </c>
      <c r="CR1006" s="17">
        <f>SUM((CO1006+CP1006)*0.00833333333333333)</f>
        <v>1.0724999999999993</v>
      </c>
      <c r="CS1006" s="23">
        <f ca="1">MONTH(TODAY())+5</f>
        <v>9</v>
      </c>
      <c r="CT1006" s="23">
        <f ca="1">SUM(CO1006,CP1006,CQ1006)</f>
        <v>138.35249999999999</v>
      </c>
      <c r="CU1006" s="14">
        <f>SUM(EG1006*0.0052)/2</f>
        <v>117</v>
      </c>
      <c r="CV1006" s="14">
        <f>SUM(CU1006*0.1)</f>
        <v>11.700000000000001</v>
      </c>
      <c r="CW1006" s="14">
        <f ca="1">SUM(CX1006*CY1006)</f>
        <v>5.3624999999999972</v>
      </c>
      <c r="CX1006" s="17">
        <f>SUM((CU1006+CV1006)*0.00833333333333333)</f>
        <v>1.0724999999999993</v>
      </c>
      <c r="CY1006" s="23">
        <f ca="1">MONTH(TODAY())+1</f>
        <v>5</v>
      </c>
      <c r="CZ1006" s="23">
        <f ca="1">SUM(CU1006,CV1006,CW1006)</f>
        <v>134.0625</v>
      </c>
      <c r="DA1006" s="14">
        <f>SUM(EJ1006*0.0045)/2</f>
        <v>84.6</v>
      </c>
      <c r="DB1006" s="14">
        <f>SUM(DA1006*0.1)</f>
        <v>8.4599999999999991</v>
      </c>
      <c r="DC1006" s="14">
        <f ca="1">SUM(DD1006*DE1006)</f>
        <v>-0.77549999999999952</v>
      </c>
      <c r="DD1006" s="17">
        <f>SUM((DA1006+DB1006)*0.00833333333333333)</f>
        <v>0.77549999999999952</v>
      </c>
      <c r="DE1006" s="23">
        <f ca="1">MONTH(TODAY())-5</f>
        <v>-1</v>
      </c>
      <c r="DF1006" s="23">
        <f ca="1">SUM(DA1006,DB1006,DC1006)</f>
        <v>92.284499999999994</v>
      </c>
      <c r="DG1006" s="14">
        <f>SUM(EJ1006*0.0045)/2</f>
        <v>84.6</v>
      </c>
      <c r="DH1006" s="14">
        <v>0</v>
      </c>
      <c r="DI1006" s="14">
        <v>0</v>
      </c>
      <c r="DJ1006" s="17">
        <f>SUM((DG1006+DH1006)*0.00833333333333333)</f>
        <v>0.70499999999999963</v>
      </c>
      <c r="DK1006" s="23">
        <f ca="1">MONTH(TODAY())+1</f>
        <v>5</v>
      </c>
      <c r="DL1006" s="14">
        <f>SUM(DG1006,DH1006,DI1006)</f>
        <v>84.6</v>
      </c>
      <c r="DM1006" s="14">
        <f>SUM( BQ1006, BW1006, CC1006, CI1006, CO1006,CU1006,DA1006,DG1006)</f>
        <v>871.2</v>
      </c>
      <c r="DN1006" s="14">
        <f>SUM(BR1006,BX1006,CD1006,CJ1006, CP1006,CV1006,DB1006,DH1006)</f>
        <v>78.66</v>
      </c>
      <c r="DO1006" s="14">
        <f ca="1">SUM(BS1006,BY1006,CE1006,CK1006, CQ1006,CW1006,DC1006,DI1006)</f>
        <v>112.90949999999992</v>
      </c>
      <c r="DP1006" s="25">
        <f ca="1">SUM(DM1006:DO1006)</f>
        <v>1062.7694999999999</v>
      </c>
      <c r="DQ1006" s="47">
        <f ca="1">SUM(DP1006/EG1006)</f>
        <v>2.3617099999999999E-2</v>
      </c>
      <c r="DR1006" s="14">
        <f>19.5+195+19.5+195+39+39+97.5+97.5+160+40+60+60+40+40+40+60+100+40+40</f>
        <v>1382</v>
      </c>
      <c r="DS1006" s="32">
        <f>COUNTIF(DX1006, "*")+COUNTIF(AO1006, "*")+COUNTIF(AJ1006, "*")+COUNTIF(AA1006, "*")+COUNTIF(EY1006, "*")+COUNTIF(FE1006, "*")+COUNTIF(FK1006, "*")+COUNTIF(FO1006, "*")+COUNTIF(FV1006, "*")+COUNTIF(AT1006, "*")+COUNTIF(GE1006, "*")+COUNTIF(GP1006, "*")+COUNTIF(HA1006, "*")+COUNTIF(HI1006, "*")+COUNTIF(HQ1006, "*")+COUNTIF(HY1006, "*")</f>
        <v>3</v>
      </c>
      <c r="DT1006" s="14">
        <f>1.06+19.98+2.74</f>
        <v>23.78</v>
      </c>
      <c r="DU1006" s="4">
        <v>250</v>
      </c>
      <c r="DV1006" s="14">
        <f>27.36+778.2</f>
        <v>805.56000000000006</v>
      </c>
      <c r="DW1006" s="4">
        <f>93.75+150</f>
        <v>243.75</v>
      </c>
      <c r="DX1006" s="4">
        <v>46.25</v>
      </c>
      <c r="DZ1006" s="4">
        <f>160+150</f>
        <v>310</v>
      </c>
      <c r="EA1006" s="14">
        <f>SUM(DV1006:DZ1006)</f>
        <v>1405.56</v>
      </c>
      <c r="EB1006" s="14">
        <f ca="1">SUM(DP1006,DR1006,EA1006, DU1006, DT1006,GB1006)</f>
        <v>4124.1094999999996</v>
      </c>
      <c r="EC1006" s="24" t="s">
        <v>4920</v>
      </c>
      <c r="ED1006" s="7">
        <v>8.64</v>
      </c>
      <c r="EE1006" s="4">
        <v>45000</v>
      </c>
      <c r="EF1006" s="4">
        <v>0</v>
      </c>
      <c r="EG1006" s="14">
        <f>SUM(EE1006+EF1006)</f>
        <v>45000</v>
      </c>
      <c r="EH1006" s="14">
        <v>37600</v>
      </c>
      <c r="EI1006" s="14">
        <v>0</v>
      </c>
      <c r="EJ1006" s="14">
        <f>SUM(EH1006+EI1006)</f>
        <v>37600</v>
      </c>
      <c r="EK1006" t="s">
        <v>3556</v>
      </c>
      <c r="EL1006" t="s">
        <v>3562</v>
      </c>
      <c r="GB1006" s="4"/>
      <c r="GC1006" t="s">
        <v>3557</v>
      </c>
      <c r="GD1006" t="s">
        <v>411</v>
      </c>
      <c r="GE1006" t="s">
        <v>3558</v>
      </c>
      <c r="GG1006" t="s">
        <v>259</v>
      </c>
      <c r="GH1006" t="s">
        <v>260</v>
      </c>
      <c r="GI1006" s="9">
        <v>43682</v>
      </c>
      <c r="GJ1006" t="s">
        <v>3559</v>
      </c>
      <c r="IE1006" s="9"/>
      <c r="IP1006" s="14">
        <f ca="1">SUM(IF1006-EB1006-GB1006-IN1006)</f>
        <v>-4124.1094999999996</v>
      </c>
      <c r="IQ1006" s="9"/>
      <c r="IR1006" s="9"/>
      <c r="IS1006" s="9"/>
      <c r="IT1006" s="9"/>
      <c r="IU1006" s="9"/>
    </row>
    <row r="1007" spans="1:263" ht="15" customHeight="1">
      <c r="A1007" s="2">
        <v>102024087</v>
      </c>
      <c r="B1007" t="s">
        <v>5388</v>
      </c>
      <c r="C1007" s="10"/>
      <c r="D1007" s="161"/>
      <c r="E1007" s="147" t="s">
        <v>5880</v>
      </c>
      <c r="F1007" s="160">
        <v>240003196</v>
      </c>
      <c r="G1007" s="147"/>
      <c r="H1007" s="10"/>
      <c r="I1007" s="10"/>
      <c r="J1007" s="10" t="s">
        <v>554</v>
      </c>
      <c r="K1007" s="10" t="s">
        <v>5389</v>
      </c>
      <c r="L1007" s="10" t="s">
        <v>420</v>
      </c>
      <c r="M1007" s="10" t="s">
        <v>357</v>
      </c>
      <c r="N1007" s="10"/>
      <c r="O1007" s="147"/>
      <c r="P1007" s="10" t="s">
        <v>5390</v>
      </c>
      <c r="Q1007" s="10" t="s">
        <v>5391</v>
      </c>
      <c r="R1007" s="10" t="s">
        <v>426</v>
      </c>
      <c r="S1007" s="10"/>
      <c r="T1007" s="10"/>
      <c r="U1007" s="10"/>
      <c r="V1007" s="10"/>
      <c r="W1007" s="10"/>
      <c r="X1007" s="10"/>
      <c r="Y1007" s="10"/>
      <c r="Z1007" s="10"/>
      <c r="AA1007" s="10"/>
      <c r="AB1007" s="10"/>
      <c r="AC1007" s="10"/>
      <c r="AD1007" s="10"/>
      <c r="AE1007" s="10"/>
      <c r="AF1007" s="10"/>
      <c r="AG1007" s="141"/>
      <c r="AH1007" s="10"/>
      <c r="AI1007" s="10"/>
      <c r="AJ1007" s="18" t="s">
        <v>328</v>
      </c>
      <c r="AK1007" s="1"/>
      <c r="AL1007" s="18" t="s">
        <v>344</v>
      </c>
      <c r="AM1007"/>
      <c r="AN1007"/>
      <c r="AO1007" t="s">
        <v>5392</v>
      </c>
      <c r="AQ1007" s="18" t="s">
        <v>5393</v>
      </c>
      <c r="AR1007"/>
      <c r="AW1007" s="1"/>
      <c r="AY1007" s="1" t="s">
        <v>258</v>
      </c>
      <c r="AZ1007" s="1" t="s">
        <v>258</v>
      </c>
      <c r="BA1007" s="1" t="s">
        <v>258</v>
      </c>
      <c r="BB1007" s="1" t="s">
        <v>258</v>
      </c>
      <c r="BC1007" s="70">
        <v>45475</v>
      </c>
      <c r="BD1007" s="115">
        <v>45415</v>
      </c>
      <c r="BE1007" s="144">
        <v>45434</v>
      </c>
      <c r="BF1007" s="70">
        <v>45534</v>
      </c>
      <c r="BG1007" s="20" t="s">
        <v>319</v>
      </c>
      <c r="BH1007" s="21">
        <v>45520</v>
      </c>
      <c r="BI1007" s="21">
        <v>45527</v>
      </c>
      <c r="BJ1007" s="70">
        <v>45548</v>
      </c>
      <c r="BK1007" s="70" t="s">
        <v>319</v>
      </c>
      <c r="BL1007" s="20">
        <f ca="1">SUM(EB1007)+220</f>
        <v>3620.4855000000002</v>
      </c>
      <c r="BM1007" s="22">
        <f ca="1">PMT(10%/12,12,BL1007,0,0)</f>
        <v>-318.29819493588491</v>
      </c>
      <c r="BN1007" s="22">
        <f ca="1">SUM(BM1007*-1)</f>
        <v>318.29819493588491</v>
      </c>
      <c r="BO1007" s="14">
        <f>SUM(EJ1007*0.0052)/12</f>
        <v>14.993333333333332</v>
      </c>
      <c r="BP1007" s="22">
        <f ca="1">SUM(BN1007+BO1007)</f>
        <v>333.29152826921825</v>
      </c>
      <c r="BQ1007" s="14">
        <v>0</v>
      </c>
      <c r="BR1007" s="14">
        <f>SUM(BQ1007*0.1)</f>
        <v>0</v>
      </c>
      <c r="BS1007" s="14">
        <f ca="1">SUM(BT1007*BU1007)</f>
        <v>0</v>
      </c>
      <c r="BT1007" s="17">
        <f>SUM((BQ1007+BR1007)*0.00833333333333333)</f>
        <v>0</v>
      </c>
      <c r="BU1007" s="23">
        <f ca="1">MONTH(TODAY())+37</f>
        <v>41</v>
      </c>
      <c r="BV1007" s="14">
        <f ca="1">SUM(BQ1007,BR1007,BS1007)</f>
        <v>0</v>
      </c>
      <c r="BW1007" s="14">
        <v>0</v>
      </c>
      <c r="BX1007" s="14">
        <f>SUM(BW1007*0.1)</f>
        <v>0</v>
      </c>
      <c r="BY1007" s="14">
        <f ca="1">SUM(BZ1007*CA1007)</f>
        <v>0</v>
      </c>
      <c r="BZ1007" s="17">
        <f>SUM((BW1007+BX1007)*0.00833333333333333)</f>
        <v>0</v>
      </c>
      <c r="CA1007" s="23">
        <f ca="1">MONTH(TODAY())+37</f>
        <v>41</v>
      </c>
      <c r="CB1007" s="14">
        <f ca="1">SUM(BW1007,BX1007,BY1007)</f>
        <v>0</v>
      </c>
      <c r="CC1007" s="14">
        <v>0</v>
      </c>
      <c r="CD1007" s="14">
        <f>SUM(CC1007*0.1)</f>
        <v>0</v>
      </c>
      <c r="CE1007" s="14">
        <f ca="1">SUM(CF1007*CG1007)</f>
        <v>0</v>
      </c>
      <c r="CF1007" s="17">
        <f>SUM((CC1007+CD1007)*0.00833333333333333)</f>
        <v>0</v>
      </c>
      <c r="CG1007" s="23">
        <f ca="1">MONTH(TODAY())+29</f>
        <v>33</v>
      </c>
      <c r="CH1007" s="23">
        <f ca="1">SUM(CC1007,CD1007,CE1007)</f>
        <v>0</v>
      </c>
      <c r="CI1007" s="14">
        <f>SUM(EG1007*0.0052)/2</f>
        <v>117</v>
      </c>
      <c r="CJ1007" s="14">
        <f>SUM(CI1007*0.1)</f>
        <v>11.700000000000001</v>
      </c>
      <c r="CK1007" s="14">
        <f ca="1">SUM(CL1007*CM1007)</f>
        <v>31.102499999999981</v>
      </c>
      <c r="CL1007" s="17">
        <f>SUM((CI1007+CJ1007)*0.00833333333333333)</f>
        <v>1.0724999999999993</v>
      </c>
      <c r="CM1007" s="23">
        <f ca="1">MONTH(TODAY())+25</f>
        <v>29</v>
      </c>
      <c r="CN1007" s="14">
        <f ca="1">SUM(CI1007,CJ1007,CK1007)</f>
        <v>159.80249999999998</v>
      </c>
      <c r="CO1007" s="14">
        <f>SUM(EJ1007*0.0045)/2</f>
        <v>77.849999999999994</v>
      </c>
      <c r="CP1007" s="14">
        <f>SUM(CO1007*0.1)</f>
        <v>7.7850000000000001</v>
      </c>
      <c r="CQ1007" s="14">
        <f ca="1">SUM(CR1007*CS1007)</f>
        <v>16.413374999999991</v>
      </c>
      <c r="CR1007" s="17">
        <f>SUM((CO1007+CP1007)*0.00833333333333333)</f>
        <v>0.71362499999999962</v>
      </c>
      <c r="CS1007" s="23">
        <f ca="1">MONTH(TODAY())+19</f>
        <v>23</v>
      </c>
      <c r="CT1007" s="14">
        <f ca="1">SUM(CO1007,CP1007,CQ1007)</f>
        <v>102.04837499999998</v>
      </c>
      <c r="CU1007" s="14">
        <f>SUM(EJ1007*0.0045)/2</f>
        <v>77.849999999999994</v>
      </c>
      <c r="CV1007" s="14">
        <f>SUM(CU1007*0.1)</f>
        <v>7.7850000000000001</v>
      </c>
      <c r="CW1007" s="14">
        <f ca="1">SUM(CX1007*CY1007)</f>
        <v>12.131624999999994</v>
      </c>
      <c r="CX1007" s="17">
        <f>SUM((CU1007+CV1007)*0.00833333333333333)</f>
        <v>0.71362499999999962</v>
      </c>
      <c r="CY1007" s="23">
        <f ca="1">MONTH(TODAY())+13</f>
        <v>17</v>
      </c>
      <c r="CZ1007" s="14">
        <f ca="1">SUM(CU1007,CV1007,CW1007)</f>
        <v>97.766624999999991</v>
      </c>
      <c r="DA1007" s="14">
        <f>SUM(EJ1007*0.0045)/2</f>
        <v>77.849999999999994</v>
      </c>
      <c r="DB1007" s="14">
        <f>SUM(DA1007*0.1)</f>
        <v>7.7850000000000001</v>
      </c>
      <c r="DC1007" s="14">
        <f ca="1">SUM(DD1007*DE1007)</f>
        <v>7.8498749999999955</v>
      </c>
      <c r="DD1007" s="17">
        <f>SUM((DA1007+DB1007)*0.00833333333333333)</f>
        <v>0.71362499999999962</v>
      </c>
      <c r="DE1007" s="23">
        <f ca="1">MONTH(TODAY())+7</f>
        <v>11</v>
      </c>
      <c r="DF1007" s="14">
        <f ca="1">SUM(DA1007,DB1007,DC1007)</f>
        <v>93.484874999999988</v>
      </c>
      <c r="DG1007" s="14">
        <f>SUM(EJ1007*0.0045)/2</f>
        <v>77.849999999999994</v>
      </c>
      <c r="DH1007" s="14">
        <f>SUM(DG1007*0.1)</f>
        <v>7.7850000000000001</v>
      </c>
      <c r="DI1007" s="14">
        <f ca="1">SUM(DJ1007*DK1007)</f>
        <v>3.568124999999998</v>
      </c>
      <c r="DJ1007" s="17">
        <f>SUM((DG1007+DH1007)*0.00833333333333333)</f>
        <v>0.71362499999999962</v>
      </c>
      <c r="DK1007" s="23">
        <f ca="1">MONTH(TODAY())+1</f>
        <v>5</v>
      </c>
      <c r="DL1007" s="14">
        <f ca="1">SUM(DG1007,DH1007,DI1007)</f>
        <v>89.203124999999986</v>
      </c>
      <c r="DM1007" s="14">
        <f>SUM(BQ1007, BW1007, CC1007,CI1007,CO1007,CU1007,DA1007,DG1007)</f>
        <v>428.4</v>
      </c>
      <c r="DN1007" s="14">
        <f>SUM(BR1007,BX1007, CD1007,CJ1007,CP1007,CV1007,DB1007,DH1007)</f>
        <v>42.84</v>
      </c>
      <c r="DO1007" s="14">
        <f ca="1">SUM(BS1007,BY1007, CE1007,CK1007,CQ1007,CW1007,DC1007,DI1007)</f>
        <v>71.065499999999957</v>
      </c>
      <c r="DP1007" s="25">
        <f ca="1">SUM(DM1007:DO1007)</f>
        <v>542.30549999999994</v>
      </c>
      <c r="DQ1007" s="47">
        <f ca="1">SUM(DP1007/EG1007)</f>
        <v>1.2051233333333331E-2</v>
      </c>
      <c r="DR1007" s="14">
        <f>20+10+200+200+40+40+100+40</f>
        <v>650</v>
      </c>
      <c r="DS1007" s="32">
        <f>COUNTIF(AO1007, "*")+COUNTIF(AJ1007, "*")+COUNTIF(AA1007, "*")+COUNTIF(EU1007, "*")+COUNTIF(FA1007, "*")+COUNTIF(FG1007, "*")+COUNTIF(FK1007, "*")+COUNTIF(FR1007, "*")+COUNTIF(AS1007, "*")+COUNTIF(GA1007, "*")+COUNTIF(GL1007, "*")+COUNTIF(GW1007, "*")+COUNTIF(HE1007, "*")+COUNTIF(HM1007, "*")+COUNTIF(HU1007, "*")</f>
        <v>4</v>
      </c>
      <c r="DT1007" s="14">
        <f>1.28+DS1007*8</f>
        <v>33.28</v>
      </c>
      <c r="DU1007" s="4">
        <f>26.67+847.48</f>
        <v>874.15</v>
      </c>
      <c r="DV1007" s="25">
        <v>259</v>
      </c>
      <c r="DW1007" s="4">
        <f>93.75+160</f>
        <v>253.75</v>
      </c>
      <c r="DX1007" s="4">
        <v>148</v>
      </c>
      <c r="DY1007" s="14">
        <f>IF(SUM(EE1007*0.004)&lt;100, 100, SUM(EE1007*0.004))</f>
        <v>180</v>
      </c>
      <c r="DZ1007" s="4">
        <v>460</v>
      </c>
      <c r="EA1007" s="14">
        <f>SUM(DU1007:DZ1007)</f>
        <v>2174.9</v>
      </c>
      <c r="EB1007" s="14">
        <f ca="1">SUM(DP1007,DR1007,EA1007,DT1007,FX1007)</f>
        <v>3400.4855000000002</v>
      </c>
      <c r="EC1007" s="24" t="s">
        <v>5914</v>
      </c>
      <c r="ED1007" s="23">
        <v>7.47</v>
      </c>
      <c r="EE1007" s="14">
        <v>45000</v>
      </c>
      <c r="EF1007" s="14">
        <v>0</v>
      </c>
      <c r="EG1007" s="14">
        <f>SUM(EE1007+EF1007)</f>
        <v>45000</v>
      </c>
      <c r="EH1007" s="14">
        <v>34600</v>
      </c>
      <c r="EI1007" s="14">
        <v>0</v>
      </c>
      <c r="EJ1007" s="14">
        <f>SUM(EH1007+EI1007)</f>
        <v>34600</v>
      </c>
      <c r="EK1007" s="10" t="s">
        <v>5750</v>
      </c>
      <c r="EL1007" s="28" t="s">
        <v>5751</v>
      </c>
      <c r="EM1007" s="10"/>
      <c r="EN1007" s="10"/>
      <c r="EO1007" s="10"/>
      <c r="EP1007" s="10"/>
      <c r="EQ1007" s="10"/>
      <c r="ER1007" s="10"/>
      <c r="ES1007" s="10" t="s">
        <v>5752</v>
      </c>
      <c r="ET1007" s="10"/>
      <c r="EU1007" s="10" t="s">
        <v>5753</v>
      </c>
      <c r="EV1007" s="10"/>
      <c r="EW1007" s="10" t="s">
        <v>5393</v>
      </c>
      <c r="EX1007" s="10"/>
      <c r="EY1007" s="10"/>
      <c r="EZ1007" s="10"/>
      <c r="FA1007" s="10"/>
      <c r="FB1007" s="10"/>
      <c r="FC1007" s="10"/>
      <c r="FD1007" s="10"/>
      <c r="FE1007" s="10"/>
      <c r="FF1007" s="10"/>
      <c r="FG1007" s="10"/>
      <c r="FH1007" s="10"/>
      <c r="FI1007" s="10"/>
      <c r="FJ1007" s="10"/>
      <c r="FK1007" s="10"/>
      <c r="FL1007" s="10"/>
      <c r="FM1007" s="10"/>
      <c r="FN1007" s="10"/>
      <c r="FO1007" s="9"/>
      <c r="FP1007" s="10"/>
      <c r="FQ1007" s="10"/>
      <c r="FR1007" s="10"/>
      <c r="FS1007" s="10"/>
      <c r="FT1007" s="10"/>
      <c r="FU1007" s="10"/>
      <c r="FV1007" s="9"/>
      <c r="FW1007" s="10"/>
      <c r="FX1007" s="10"/>
      <c r="FY1007" s="10" t="s">
        <v>3557</v>
      </c>
      <c r="FZ1007" s="10" t="s">
        <v>411</v>
      </c>
      <c r="GA1007" s="10" t="s">
        <v>3558</v>
      </c>
      <c r="GB1007" s="10"/>
      <c r="GC1007" s="10" t="s">
        <v>259</v>
      </c>
      <c r="GD1007" s="10" t="s">
        <v>260</v>
      </c>
      <c r="GE1007" s="9">
        <v>45113</v>
      </c>
      <c r="GF1007" s="10" t="s">
        <v>5749</v>
      </c>
      <c r="GG1007" s="10"/>
      <c r="GH1007" s="10"/>
      <c r="GI1007" s="10"/>
      <c r="GJ1007" s="10"/>
      <c r="GK1007" s="10"/>
      <c r="GL1007" s="10"/>
      <c r="GM1007" s="10"/>
      <c r="GN1007" s="10"/>
      <c r="GO1007" s="10"/>
      <c r="GP1007" s="9"/>
      <c r="GQ1007" s="10"/>
      <c r="GR1007" s="10"/>
      <c r="GS1007" s="10"/>
      <c r="GT1007" s="10"/>
      <c r="GU1007" s="10"/>
      <c r="GV1007" s="10"/>
      <c r="GW1007" s="10"/>
      <c r="GX1007" s="10"/>
      <c r="GY1007" s="10"/>
      <c r="GZ1007" s="10"/>
      <c r="HA1007" s="9"/>
      <c r="HB1007" s="10"/>
      <c r="HC1007" s="10"/>
      <c r="HD1007" s="10"/>
      <c r="HE1007" s="10"/>
      <c r="HF1007" s="10"/>
      <c r="HG1007" s="10"/>
      <c r="HH1007" s="10"/>
      <c r="HI1007" s="9"/>
      <c r="HJ1007" s="10"/>
      <c r="HK1007" s="10"/>
      <c r="HL1007" s="10"/>
      <c r="HM1007" s="10"/>
      <c r="HN1007" s="10"/>
      <c r="HO1007" s="10"/>
      <c r="HP1007" s="10"/>
      <c r="HQ1007" s="9"/>
      <c r="HR1007" s="10"/>
      <c r="HS1007" s="10"/>
      <c r="HT1007" s="10"/>
      <c r="HU1007" s="10"/>
      <c r="HV1007" s="10"/>
      <c r="HW1007" s="10"/>
      <c r="HX1007" s="10"/>
      <c r="HY1007" s="9"/>
      <c r="HZ1007" s="4"/>
      <c r="IA1007" s="4"/>
      <c r="IB1007" s="10"/>
      <c r="IC1007" s="10"/>
      <c r="ID1007" s="10"/>
      <c r="IE1007" s="10"/>
      <c r="IF1007" s="4"/>
      <c r="IG1007" s="4"/>
      <c r="IH1007" s="4"/>
      <c r="II1007" s="4"/>
      <c r="IJ1007" s="4"/>
      <c r="IK1007" s="9"/>
      <c r="IL1007" s="9"/>
      <c r="IM1007" s="9"/>
      <c r="IN1007" s="9"/>
      <c r="IO1007" s="9"/>
      <c r="IP1007" s="27" t="s">
        <v>5913</v>
      </c>
    </row>
    <row r="1008" spans="1:263" ht="15" customHeight="1">
      <c r="A1008" s="2">
        <v>102023019</v>
      </c>
      <c r="B1008" t="s">
        <v>4038</v>
      </c>
      <c r="J1008" t="s">
        <v>554</v>
      </c>
      <c r="K1008" t="s">
        <v>4039</v>
      </c>
      <c r="L1008" t="s">
        <v>1006</v>
      </c>
      <c r="M1008" t="s">
        <v>396</v>
      </c>
      <c r="O1008" s="3"/>
      <c r="P1008" t="s">
        <v>4039</v>
      </c>
      <c r="Q1008" t="s">
        <v>551</v>
      </c>
      <c r="R1008" t="s">
        <v>326</v>
      </c>
      <c r="AG1008"/>
      <c r="AJ1008" s="18" t="s">
        <v>328</v>
      </c>
      <c r="AL1008" t="s">
        <v>344</v>
      </c>
      <c r="AM1008"/>
      <c r="AN1008"/>
      <c r="AO1008" t="s">
        <v>4097</v>
      </c>
      <c r="AP1008" s="3" t="s">
        <v>258</v>
      </c>
      <c r="AQ1008" t="s">
        <v>4098</v>
      </c>
      <c r="AR1008" t="s">
        <v>471</v>
      </c>
      <c r="AX1008" s="1"/>
      <c r="AY1008" s="1"/>
      <c r="AZ1008" s="1"/>
      <c r="BA1008" s="1"/>
      <c r="BB1008" s="1"/>
      <c r="BC1008" s="2"/>
      <c r="BD1008" s="116"/>
      <c r="BE1008" s="115">
        <v>45013</v>
      </c>
      <c r="BF1008" s="2"/>
      <c r="BG1008" s="2"/>
      <c r="BH1008" s="2"/>
      <c r="BI1008" s="2"/>
      <c r="BJ1008" s="2"/>
      <c r="BK1008" s="2"/>
      <c r="BL1008" s="20">
        <f ca="1">SUM(DP1008)+220</f>
        <v>3784.0005999999994</v>
      </c>
      <c r="BM1008" s="22">
        <f ca="1">PMT(10%/12,12,BL1008,0,0)</f>
        <v>-332.67377002788857</v>
      </c>
      <c r="BN1008" s="22">
        <f ca="1">SUM(BM1008*-1)</f>
        <v>332.67377002788857</v>
      </c>
      <c r="BO1008" s="14">
        <f>SUM(DX1008*0.0052)/12</f>
        <v>45.5</v>
      </c>
      <c r="BP1008" s="22">
        <f ca="1">SUM(BN1008+BO1008)</f>
        <v>378.17377002788857</v>
      </c>
      <c r="BQ1008" s="14"/>
      <c r="BR1008" s="14">
        <f>SUM(BQ1008*0.1)</f>
        <v>0</v>
      </c>
      <c r="BS1008" s="14">
        <f ca="1">SUM(BT1008*BU1008)</f>
        <v>0</v>
      </c>
      <c r="BT1008" s="17">
        <f>SUM((BQ1008+BR1008)*0.00833333333333333)</f>
        <v>0</v>
      </c>
      <c r="BU1008" s="23">
        <f ca="1">MONTH(TODAY())+49</f>
        <v>53</v>
      </c>
      <c r="BV1008" s="14">
        <f ca="1">SUM(BQ1008,BR1008,BS1008)</f>
        <v>0</v>
      </c>
      <c r="BW1008" s="14"/>
      <c r="BX1008" s="14">
        <f>SUM(BW1008*0.1)</f>
        <v>0</v>
      </c>
      <c r="BY1008" s="14">
        <f ca="1">SUM(BZ1008*CA1008)</f>
        <v>0</v>
      </c>
      <c r="BZ1008" s="17">
        <f>SUM((BW1008+BX1008)*0.00833333333333333)</f>
        <v>0</v>
      </c>
      <c r="CA1008" s="23">
        <f ca="1">MONTH(TODAY())+37</f>
        <v>41</v>
      </c>
      <c r="CB1008" s="14">
        <f ca="1">SUM(BW1008,BX1008,BY1008)</f>
        <v>0</v>
      </c>
      <c r="CC1008" s="14">
        <f>SUM(DU1008*0.0052)</f>
        <v>833.04</v>
      </c>
      <c r="CD1008" s="14">
        <f>SUM(CC1008*0.1)</f>
        <v>83.304000000000002</v>
      </c>
      <c r="CE1008" s="14">
        <f ca="1">SUM(CF1008*CG1008)</f>
        <v>221.4497999999999</v>
      </c>
      <c r="CF1008" s="17">
        <f>SUM((CC1008+CD1008)*0.00833333333333333)</f>
        <v>7.6361999999999961</v>
      </c>
      <c r="CG1008" s="23">
        <f ca="1">MONTH(TODAY())+25</f>
        <v>29</v>
      </c>
      <c r="CH1008" s="14">
        <f ca="1">SUM(CC1008,CD1008,CE1008)</f>
        <v>1137.7937999999999</v>
      </c>
      <c r="CI1008" s="14">
        <f>SUM(DU1008*0.0052)</f>
        <v>833.04</v>
      </c>
      <c r="CJ1008" s="14">
        <f>SUM(CI1008*0.1)</f>
        <v>83.304000000000002</v>
      </c>
      <c r="CK1008" s="14">
        <f ca="1">SUM(CL1008*CM1008)</f>
        <v>129.81539999999993</v>
      </c>
      <c r="CL1008" s="17">
        <f>SUM((CI1008+CJ1008)*0.00833333333333333)</f>
        <v>7.6361999999999961</v>
      </c>
      <c r="CM1008" s="23">
        <f ca="1">MONTH(TODAY())+13</f>
        <v>17</v>
      </c>
      <c r="CN1008" s="14">
        <f ca="1">SUM(CI1008,CJ1008,CK1008)</f>
        <v>1046.1593999999998</v>
      </c>
      <c r="CO1008" s="14">
        <f>SUM(DU1008*0.0052)/2</f>
        <v>416.52</v>
      </c>
      <c r="CP1008" s="14">
        <f>SUM(CO1008*0.1)</f>
        <v>41.652000000000001</v>
      </c>
      <c r="CQ1008" s="14">
        <f ca="1">SUM(CR1008*CS1008)</f>
        <v>34.362899999999982</v>
      </c>
      <c r="CR1008" s="17">
        <f>SUM((CO1008+CP1008)*0.00833333333333333)</f>
        <v>3.8180999999999981</v>
      </c>
      <c r="CS1008" s="23">
        <f ca="1">MONTH(TODAY())+5</f>
        <v>9</v>
      </c>
      <c r="CT1008" s="23">
        <f ca="1">SUM(CO1008,CP1008,CQ1008)</f>
        <v>492.53489999999994</v>
      </c>
      <c r="CU1008" s="14">
        <f>SUM(DU1008*0.0052)/2</f>
        <v>416.52</v>
      </c>
      <c r="CV1008" s="14">
        <f>SUM(CU1008*0.1)</f>
        <v>41.652000000000001</v>
      </c>
      <c r="CW1008" s="14">
        <f ca="1">SUM(CX1008*CY1008)</f>
        <v>19.090499999999992</v>
      </c>
      <c r="CX1008" s="17">
        <f>SUM((CU1008+CV1008)*0.00833333333333333)</f>
        <v>3.8180999999999981</v>
      </c>
      <c r="CY1008" s="23">
        <f ca="1">MONTH(TODAY())+1</f>
        <v>5</v>
      </c>
      <c r="CZ1008" s="23">
        <f ca="1">SUM(CU1008,CV1008,CW1008)</f>
        <v>477.26249999999993</v>
      </c>
      <c r="DA1008" s="14">
        <f>SUM( BQ1008, BW1008, CC1008, CI1008, CO1008,CU1008)</f>
        <v>2499.12</v>
      </c>
      <c r="DB1008" s="14">
        <f>SUM(BR1008,BX1008,CD1008,CJ1008, CP1008,CV1008)</f>
        <v>249.91199999999998</v>
      </c>
      <c r="DC1008" s="14">
        <f ca="1">SUM(BS1008,BY1008,CE1008,CK1008, CQ1008,CW1008)</f>
        <v>404.71859999999981</v>
      </c>
      <c r="DD1008" s="25">
        <f ca="1">SUM(DA1008:DC1008)</f>
        <v>3153.7505999999994</v>
      </c>
      <c r="DE1008" s="47">
        <f ca="1">SUM(DD1008/DU1008)</f>
        <v>1.968633333333333E-2</v>
      </c>
      <c r="DF1008" s="14">
        <f>20+200</f>
        <v>220</v>
      </c>
      <c r="DG1008" s="32">
        <f>COUNTIF(DL1008, "*")+COUNTIF(AO1008, "*")+COUNTIF(AJ1008, "*")+COUNTIF(AA1008, "*")+COUNTIF(EM1008, "*")+COUNTIF(ES1008, "*")+COUNTIF(EY1008, "*")+COUNTIF(FC1008, "*")+COUNTIF(FJ1008, "*")+COUNTIF(AT1008, "*")+COUNTIF(FS1008, "*")+COUNTIF(GD1008, "*")+COUNTIF(GO1008, "*")+COUNTIF(GW1008, "*")+COUNTIF(HE1008, "*")+COUNTIF(HM1008, "*")+COUNTIF(HU1008, "*")</f>
        <v>5</v>
      </c>
      <c r="DH1008" s="14">
        <f>DG1008*0.6+DG1008*7.45</f>
        <v>40.25</v>
      </c>
      <c r="DI1008" s="4">
        <v>150</v>
      </c>
      <c r="DJ1008" s="4"/>
      <c r="DK1008" s="4"/>
      <c r="DL1008" s="4"/>
      <c r="DN1008" s="4"/>
      <c r="DO1008" s="14">
        <f>SUM(DJ1008:DN1008)</f>
        <v>0</v>
      </c>
      <c r="DP1008" s="14">
        <f ca="1">SUM(DD1008,DF1008,DO1008, DI1008, DH1008,FP1008)</f>
        <v>3564.0005999999994</v>
      </c>
      <c r="DQ1008" s="24" t="s">
        <v>3974</v>
      </c>
      <c r="DR1008" s="7">
        <v>1.73</v>
      </c>
      <c r="DS1008" s="4">
        <v>160200</v>
      </c>
      <c r="DT1008" s="4">
        <v>0</v>
      </c>
      <c r="DU1008" s="14">
        <f>SUM(DS1008+DT1008)</f>
        <v>160200</v>
      </c>
      <c r="DV1008" s="14">
        <v>105000</v>
      </c>
      <c r="DW1008" s="14">
        <v>0</v>
      </c>
      <c r="DX1008" s="14">
        <f>SUM(DV1008+DW1008)</f>
        <v>105000</v>
      </c>
      <c r="DY1008" s="43" t="s">
        <v>4595</v>
      </c>
      <c r="DZ1008" s="43" t="s">
        <v>4596</v>
      </c>
      <c r="EA1008" t="s">
        <v>4597</v>
      </c>
      <c r="EK1008" t="s">
        <v>4587</v>
      </c>
      <c r="EM1008" t="s">
        <v>4588</v>
      </c>
      <c r="EO1008" t="s">
        <v>4589</v>
      </c>
      <c r="EP1008" t="s">
        <v>471</v>
      </c>
      <c r="EQ1008" t="s">
        <v>4590</v>
      </c>
      <c r="ES1008" t="s">
        <v>4591</v>
      </c>
      <c r="EU1008" t="s">
        <v>4592</v>
      </c>
      <c r="EV1008" t="s">
        <v>4593</v>
      </c>
      <c r="FQ1008" t="s">
        <v>3557</v>
      </c>
      <c r="FR1008" t="s">
        <v>411</v>
      </c>
      <c r="FS1008" t="s">
        <v>3558</v>
      </c>
      <c r="FU1008" t="s">
        <v>259</v>
      </c>
      <c r="FV1008" t="s">
        <v>260</v>
      </c>
      <c r="FW1008" s="9">
        <v>43680</v>
      </c>
      <c r="FX1008" t="s">
        <v>4594</v>
      </c>
      <c r="IA1008" s="9"/>
      <c r="IL1008" s="14">
        <f ca="1">SUM(IB1008-DP1008-FP1008-IJ1008)</f>
        <v>-3564.0005999999994</v>
      </c>
      <c r="IM1008" s="9"/>
      <c r="IN1008" s="9"/>
      <c r="IO1008" s="9"/>
      <c r="IP1008" s="9"/>
      <c r="IQ1008" s="9"/>
    </row>
    <row r="1009" spans="1:263" ht="15" customHeight="1">
      <c r="A1009" s="2">
        <v>102024145</v>
      </c>
      <c r="B1009" t="s">
        <v>5503</v>
      </c>
      <c r="C1009" s="10"/>
      <c r="D1009" s="161"/>
      <c r="E1009" s="147" t="s">
        <v>5904</v>
      </c>
      <c r="F1009" s="160">
        <v>240003250</v>
      </c>
      <c r="G1009" s="147"/>
      <c r="H1009" s="10"/>
      <c r="I1009" s="10"/>
      <c r="J1009" s="10" t="s">
        <v>253</v>
      </c>
      <c r="K1009" s="10" t="s">
        <v>5504</v>
      </c>
      <c r="L1009" s="10" t="s">
        <v>5505</v>
      </c>
      <c r="M1009" s="10" t="s">
        <v>403</v>
      </c>
      <c r="N1009" s="10"/>
      <c r="O1009" s="147"/>
      <c r="P1009" s="10"/>
      <c r="Q1009" s="10"/>
      <c r="R1009" s="10"/>
      <c r="S1009" s="10"/>
      <c r="T1009" s="10"/>
      <c r="U1009" s="10"/>
      <c r="V1009" s="10"/>
      <c r="W1009" s="10"/>
      <c r="X1009" s="10"/>
      <c r="Y1009" s="10"/>
      <c r="Z1009" s="10"/>
      <c r="AA1009" s="10"/>
      <c r="AB1009" s="10"/>
      <c r="AC1009" s="10"/>
      <c r="AD1009" s="10"/>
      <c r="AE1009" s="10"/>
      <c r="AF1009" s="10"/>
      <c r="AG1009" s="141"/>
      <c r="AH1009" s="10"/>
      <c r="AI1009" s="10"/>
      <c r="AJ1009" s="18" t="s">
        <v>328</v>
      </c>
      <c r="AK1009" s="1"/>
      <c r="AL1009" s="18" t="s">
        <v>344</v>
      </c>
      <c r="AM1009"/>
      <c r="AN1009" t="s">
        <v>5598</v>
      </c>
      <c r="AO1009" t="s">
        <v>5506</v>
      </c>
      <c r="AQ1009" s="18" t="s">
        <v>5507</v>
      </c>
      <c r="AR1009"/>
      <c r="AX1009" s="1"/>
      <c r="AY1009" s="1" t="s">
        <v>258</v>
      </c>
      <c r="AZ1009" s="1"/>
      <c r="BA1009" s="1"/>
      <c r="BB1009" s="1"/>
      <c r="BC1009" s="70">
        <v>45476</v>
      </c>
      <c r="BD1009" s="115">
        <v>45415</v>
      </c>
      <c r="BE1009" s="144">
        <v>45434</v>
      </c>
      <c r="BF1009" s="70"/>
      <c r="BG1009" s="2"/>
      <c r="BH1009" s="70"/>
      <c r="BI1009" s="70"/>
      <c r="BJ1009" s="70">
        <v>45548</v>
      </c>
      <c r="BK1009" s="70" t="s">
        <v>319</v>
      </c>
      <c r="BL1009" s="20">
        <f ca="1">SUM(EB1009)+220</f>
        <v>2339.1476000000002</v>
      </c>
      <c r="BM1009" s="22">
        <f ca="1">PMT(10%/12,12,BL1009,0,0)</f>
        <v>-205.64823661594761</v>
      </c>
      <c r="BN1009" s="22">
        <f ca="1">SUM(BM1009*-1)</f>
        <v>205.64823661594761</v>
      </c>
      <c r="BO1009" s="14">
        <f>SUM(EJ1009*0.0052)/12</f>
        <v>6.0666666666666664</v>
      </c>
      <c r="BP1009" s="22">
        <f ca="1">SUM(BN1009+BO1009)</f>
        <v>211.71490328261427</v>
      </c>
      <c r="BQ1009" s="14">
        <v>0</v>
      </c>
      <c r="BR1009" s="14">
        <f>SUM(BQ1009*0.1)</f>
        <v>0</v>
      </c>
      <c r="BS1009" s="14">
        <f ca="1">SUM(BT1009*BU1009)</f>
        <v>0</v>
      </c>
      <c r="BT1009" s="17">
        <f>SUM((BQ1009+BR1009)*0.00833333333333333)</f>
        <v>0</v>
      </c>
      <c r="BU1009" s="23">
        <f ca="1">MONTH(TODAY())+37</f>
        <v>41</v>
      </c>
      <c r="BV1009" s="14">
        <f ca="1">SUM(BQ1009,BR1009,BS1009)</f>
        <v>0</v>
      </c>
      <c r="BW1009" s="14">
        <v>0</v>
      </c>
      <c r="BX1009" s="14">
        <f>SUM(BW1009*0.1)</f>
        <v>0</v>
      </c>
      <c r="BY1009" s="14">
        <f ca="1">SUM(BZ1009*CA1009)</f>
        <v>0</v>
      </c>
      <c r="BZ1009" s="17">
        <f>SUM((BW1009+BX1009)*0.00833333333333333)</f>
        <v>0</v>
      </c>
      <c r="CA1009" s="23">
        <f ca="1">MONTH(TODAY())+37</f>
        <v>41</v>
      </c>
      <c r="CB1009" s="14">
        <f ca="1">SUM(BW1009,BX1009,BY1009)</f>
        <v>0</v>
      </c>
      <c r="CC1009" s="14">
        <f>SUM(EG1009*0.0052)/2</f>
        <v>102.96</v>
      </c>
      <c r="CD1009" s="14">
        <f>SUM(CC1009*0.1)</f>
        <v>10.295999999999999</v>
      </c>
      <c r="CE1009" s="14">
        <f ca="1">SUM(CF1009*CG1009)</f>
        <v>31.145399999999988</v>
      </c>
      <c r="CF1009" s="17">
        <f>SUM((CC1009+CD1009)*0.00833333333333333)</f>
        <v>0.94379999999999964</v>
      </c>
      <c r="CG1009" s="23">
        <f ca="1">MONTH(TODAY())+29</f>
        <v>33</v>
      </c>
      <c r="CH1009" s="23">
        <f ca="1">SUM(CC1009,CD1009,CE1009)</f>
        <v>144.4014</v>
      </c>
      <c r="CI1009" s="14">
        <f>SUM(EG1009*0.0052)/2</f>
        <v>102.96</v>
      </c>
      <c r="CJ1009" s="14">
        <f>SUM(CI1009*0.1)</f>
        <v>10.295999999999999</v>
      </c>
      <c r="CK1009" s="14">
        <f ca="1">SUM(CL1009*CM1009)</f>
        <v>27.37019999999999</v>
      </c>
      <c r="CL1009" s="17">
        <f>SUM((CI1009+CJ1009)*0.00833333333333333)</f>
        <v>0.94379999999999964</v>
      </c>
      <c r="CM1009" s="23">
        <f ca="1">MONTH(TODAY())+25</f>
        <v>29</v>
      </c>
      <c r="CN1009" s="14">
        <f ca="1">SUM(CI1009,CJ1009,CK1009)</f>
        <v>140.62619999999998</v>
      </c>
      <c r="CO1009" s="14">
        <f>SUM(EJ1009*0.0045)/2</f>
        <v>31.499999999999996</v>
      </c>
      <c r="CP1009" s="14">
        <f>SUM(CO1009*0.1)</f>
        <v>3.15</v>
      </c>
      <c r="CQ1009" s="14">
        <f ca="1">SUM(CR1009*CS1009)</f>
        <v>6.6412499999999959</v>
      </c>
      <c r="CR1009" s="17">
        <f>SUM((CO1009+CP1009)*0.00833333333333333)</f>
        <v>0.28874999999999984</v>
      </c>
      <c r="CS1009" s="23">
        <f ca="1">MONTH(TODAY())+19</f>
        <v>23</v>
      </c>
      <c r="CT1009" s="14">
        <f ca="1">SUM(CO1009,CP1009,CQ1009)</f>
        <v>41.291249999999991</v>
      </c>
      <c r="CU1009" s="14">
        <f>SUM(EJ1009*0.0045)/2</f>
        <v>31.499999999999996</v>
      </c>
      <c r="CV1009" s="14">
        <f>SUM(CU1009*0.1)</f>
        <v>3.15</v>
      </c>
      <c r="CW1009" s="14">
        <f ca="1">SUM(CX1009*CY1009)</f>
        <v>4.9087499999999977</v>
      </c>
      <c r="CX1009" s="17">
        <f>SUM((CU1009+CV1009)*0.00833333333333333)</f>
        <v>0.28874999999999984</v>
      </c>
      <c r="CY1009" s="23">
        <f ca="1">MONTH(TODAY())+13</f>
        <v>17</v>
      </c>
      <c r="CZ1009" s="14">
        <f ca="1">SUM(CU1009,CV1009,CW1009)</f>
        <v>39.558749999999996</v>
      </c>
      <c r="DA1009" s="14">
        <f>SUM(EJ1009*0.0045)/2</f>
        <v>31.499999999999996</v>
      </c>
      <c r="DB1009" s="14">
        <f>SUM(DA1009*0.1)</f>
        <v>3.15</v>
      </c>
      <c r="DC1009" s="14">
        <f ca="1">SUM(DD1009*DE1009)</f>
        <v>3.1762499999999982</v>
      </c>
      <c r="DD1009" s="17">
        <f>SUM((DA1009+DB1009)*0.00833333333333333)</f>
        <v>0.28874999999999984</v>
      </c>
      <c r="DE1009" s="23">
        <f ca="1">MONTH(TODAY())+7</f>
        <v>11</v>
      </c>
      <c r="DF1009" s="14">
        <f ca="1">SUM(DA1009,DB1009,DC1009)</f>
        <v>37.826249999999995</v>
      </c>
      <c r="DG1009" s="14">
        <f>SUM(EJ1009*0.0045)/2</f>
        <v>31.499999999999996</v>
      </c>
      <c r="DH1009" s="14">
        <f>SUM(DG1009*0.1)</f>
        <v>3.15</v>
      </c>
      <c r="DI1009" s="14">
        <f ca="1">SUM(DJ1009*DK1009)</f>
        <v>1.4437499999999992</v>
      </c>
      <c r="DJ1009" s="17">
        <f>SUM((DG1009+DH1009)*0.00833333333333333)</f>
        <v>0.28874999999999984</v>
      </c>
      <c r="DK1009" s="23">
        <f ca="1">MONTH(TODAY())+1</f>
        <v>5</v>
      </c>
      <c r="DL1009" s="14">
        <f ca="1">SUM(DG1009,DH1009,DI1009)</f>
        <v>36.09375</v>
      </c>
      <c r="DM1009" s="14">
        <f>SUM(BQ1009, BW1009, CC1009,CI1009,CO1009,CU1009,DA1009,DG1009)</f>
        <v>331.91999999999996</v>
      </c>
      <c r="DN1009" s="14">
        <f>SUM(BR1009,BX1009, CD1009,CJ1009,CP1009,CV1009,DB1009,DH1009)</f>
        <v>33.191999999999993</v>
      </c>
      <c r="DO1009" s="14">
        <f ca="1">SUM(BS1009,BY1009, CE1009,CK1009,CQ1009,CW1009,DC1009,DI1009)</f>
        <v>74.685599999999965</v>
      </c>
      <c r="DP1009" s="25">
        <f ca="1">SUM(DM1009:DO1009)</f>
        <v>439.79759999999993</v>
      </c>
      <c r="DQ1009" s="47">
        <f ca="1">SUM(DP1009/EG1009)</f>
        <v>1.1105999999999998E-2</v>
      </c>
      <c r="DR1009" s="14">
        <f>20+10+200+200+40+40+100</f>
        <v>610</v>
      </c>
      <c r="DS1009" s="32">
        <f>COUNTIF(AO1009, "*")+COUNTIF(AJ1009, "*")+COUNTIF(AA1009, "*")+COUNTIF(EU1009, "*")+COUNTIF(FA1009, "*")+COUNTIF(FG1009, "*")+COUNTIF(FK1009, "*")+COUNTIF(FR1009, "*")+COUNTIF(AS1009, "*")+COUNTIF(GA1009, "*")+COUNTIF(GL1009, "*")+COUNTIF(GW1009, "*")+COUNTIF(HE1009, "*")+COUNTIF(HM1009, "*")+COUNTIF(HU1009, "*")</f>
        <v>4</v>
      </c>
      <c r="DT1009" s="14">
        <f>1.28+DS1009*8</f>
        <v>33.28</v>
      </c>
      <c r="DU1009" s="4">
        <v>26.67</v>
      </c>
      <c r="DV1009" s="25">
        <v>250</v>
      </c>
      <c r="DW1009" s="4"/>
      <c r="DX1009" s="4">
        <v>141</v>
      </c>
      <c r="DY1009" s="14">
        <f>IF(SUM(EE1009*0.004)&lt;100, 100, SUM(EE1009*0.004))</f>
        <v>158.4</v>
      </c>
      <c r="DZ1009" s="4">
        <v>460</v>
      </c>
      <c r="EA1009" s="14">
        <f>SUM(DU1009:DZ1009)</f>
        <v>1036.0700000000002</v>
      </c>
      <c r="EB1009" s="14">
        <f ca="1">SUM(DP1009,DR1009,EA1009,DT1009,FX1009)</f>
        <v>2119.1476000000002</v>
      </c>
      <c r="EC1009" s="24" t="s">
        <v>5914</v>
      </c>
      <c r="ED1009" s="23">
        <v>1.48</v>
      </c>
      <c r="EE1009" s="14">
        <v>39600</v>
      </c>
      <c r="EF1009" s="14">
        <v>0</v>
      </c>
      <c r="EG1009" s="14">
        <f>SUM(EE1009+EF1009)</f>
        <v>39600</v>
      </c>
      <c r="EH1009" s="14">
        <v>14000</v>
      </c>
      <c r="EI1009" s="14">
        <v>0</v>
      </c>
      <c r="EJ1009" s="14">
        <f>SUM(EH1009+EI1009)</f>
        <v>14000</v>
      </c>
      <c r="EK1009" s="10" t="s">
        <v>5759</v>
      </c>
      <c r="EL1009" s="28" t="s">
        <v>5760</v>
      </c>
      <c r="EM1009" s="10"/>
      <c r="EN1009" s="10"/>
      <c r="EO1009" s="10"/>
      <c r="EP1009" s="10"/>
      <c r="EQ1009" s="10"/>
      <c r="ER1009" s="10"/>
      <c r="ES1009" s="10"/>
      <c r="ET1009" s="10"/>
      <c r="EU1009" s="10"/>
      <c r="EV1009" s="10"/>
      <c r="EW1009" s="10"/>
      <c r="EX1009" s="10"/>
      <c r="EY1009" s="10"/>
      <c r="EZ1009" s="10"/>
      <c r="FA1009" s="10"/>
      <c r="FB1009" s="10"/>
      <c r="FC1009" s="10"/>
      <c r="FD1009" s="10"/>
      <c r="FE1009" s="10"/>
      <c r="FF1009" s="10"/>
      <c r="FG1009" s="10"/>
      <c r="FH1009" s="10"/>
      <c r="FI1009" s="10"/>
      <c r="FJ1009" s="10" t="s">
        <v>5761</v>
      </c>
      <c r="FK1009" s="10" t="s">
        <v>5762</v>
      </c>
      <c r="FL1009" s="10"/>
      <c r="FM1009" s="10" t="s">
        <v>5763</v>
      </c>
      <c r="FN1009" s="10" t="s">
        <v>1668</v>
      </c>
      <c r="FO1009" s="9">
        <v>39772</v>
      </c>
      <c r="FP1009" s="10" t="s">
        <v>5764</v>
      </c>
      <c r="FQ1009" s="10"/>
      <c r="FR1009" s="10"/>
      <c r="FS1009" s="10"/>
      <c r="FT1009" s="10"/>
      <c r="FU1009" s="10"/>
      <c r="FV1009" s="9"/>
      <c r="FW1009" s="10"/>
      <c r="FX1009" s="10"/>
      <c r="FY1009" s="10" t="s">
        <v>3557</v>
      </c>
      <c r="FZ1009" s="10" t="s">
        <v>411</v>
      </c>
      <c r="GA1009" s="10" t="s">
        <v>3558</v>
      </c>
      <c r="GB1009" s="10"/>
      <c r="GC1009" s="10" t="s">
        <v>259</v>
      </c>
      <c r="GD1009" s="10" t="s">
        <v>260</v>
      </c>
      <c r="GE1009" s="9">
        <v>44417</v>
      </c>
      <c r="GF1009" s="10" t="s">
        <v>5765</v>
      </c>
      <c r="GG1009" s="10"/>
      <c r="GH1009" s="10"/>
      <c r="GI1009" s="10"/>
      <c r="GJ1009" s="10"/>
      <c r="GK1009" s="10"/>
      <c r="GL1009" s="10"/>
      <c r="GM1009" s="10"/>
      <c r="GN1009" s="10"/>
      <c r="GO1009" s="10"/>
      <c r="GP1009" s="9"/>
      <c r="GQ1009" s="10"/>
      <c r="GR1009" s="10"/>
      <c r="GS1009" s="10"/>
      <c r="GT1009" s="10"/>
      <c r="GU1009" s="10"/>
      <c r="GV1009" s="10"/>
      <c r="GW1009" s="10"/>
      <c r="GX1009" s="10"/>
      <c r="GY1009" s="10"/>
      <c r="GZ1009" s="10"/>
      <c r="HA1009" s="9"/>
      <c r="HB1009" s="10"/>
      <c r="HC1009" s="10"/>
      <c r="HD1009" s="10"/>
      <c r="HE1009" s="10"/>
      <c r="HF1009" s="10"/>
      <c r="HG1009" s="10"/>
      <c r="HH1009" s="10"/>
      <c r="HI1009" s="9"/>
      <c r="HJ1009" s="10"/>
      <c r="HK1009" s="10"/>
      <c r="HL1009" s="10"/>
      <c r="HM1009" s="10"/>
      <c r="HN1009" s="10"/>
      <c r="HO1009" s="10"/>
      <c r="HP1009" s="10"/>
      <c r="HQ1009" s="9"/>
      <c r="HR1009" s="10"/>
      <c r="HS1009" s="10"/>
      <c r="HT1009" s="10"/>
      <c r="HU1009" s="10"/>
      <c r="HV1009" s="10"/>
      <c r="HW1009" s="10"/>
      <c r="HX1009" s="10"/>
      <c r="HY1009" s="9"/>
      <c r="HZ1009" s="4"/>
      <c r="IA1009" s="4"/>
      <c r="IB1009" s="10"/>
      <c r="IC1009" s="10"/>
      <c r="ID1009" s="10"/>
      <c r="IE1009" s="10"/>
      <c r="IF1009" s="4"/>
      <c r="IG1009" s="4"/>
      <c r="IH1009" s="4"/>
      <c r="II1009" s="4"/>
      <c r="IJ1009" s="4"/>
      <c r="IK1009" s="9"/>
      <c r="IL1009" s="9"/>
      <c r="IM1009" s="9"/>
      <c r="IN1009" s="9"/>
      <c r="IO1009" s="9"/>
      <c r="IP1009" s="27" t="s">
        <v>5913</v>
      </c>
    </row>
    <row r="1010" spans="1:263" s="18" customFormat="1" ht="15" customHeight="1">
      <c r="A1010" s="19">
        <v>102018024</v>
      </c>
      <c r="B1010" s="14" t="s">
        <v>397</v>
      </c>
      <c r="C1010" s="20"/>
      <c r="D1010" s="20"/>
      <c r="E1010" s="18" t="s">
        <v>398</v>
      </c>
      <c r="F1010" s="19">
        <v>180003672</v>
      </c>
      <c r="G1010" s="18">
        <v>180005607</v>
      </c>
      <c r="J1010" s="18" t="s">
        <v>305</v>
      </c>
      <c r="K1010" s="18" t="s">
        <v>399</v>
      </c>
      <c r="L1010" s="18" t="s">
        <v>400</v>
      </c>
      <c r="M1010" s="18" t="s">
        <v>401</v>
      </c>
      <c r="O1010" s="13"/>
      <c r="P1010" s="18" t="s">
        <v>399</v>
      </c>
      <c r="Q1010" s="18" t="s">
        <v>402</v>
      </c>
      <c r="R1010" s="18" t="s">
        <v>403</v>
      </c>
      <c r="T1010" s="13"/>
      <c r="AG1010" s="231"/>
      <c r="AJ1010" s="30"/>
      <c r="AK1010" s="30"/>
      <c r="AM1010" s="24"/>
      <c r="AN1010" s="24"/>
      <c r="AO1010" s="14"/>
      <c r="AP1010" s="20"/>
      <c r="AQ1010" s="63"/>
      <c r="AR1010" s="24"/>
      <c r="AS1010" s="45"/>
      <c r="AT1010" s="13"/>
      <c r="AU1010" s="13"/>
      <c r="AV1010" s="13"/>
      <c r="AW1010" s="13"/>
      <c r="AX1010" s="19"/>
      <c r="AY1010" s="48"/>
      <c r="AZ1010" s="48"/>
      <c r="BA1010" s="19"/>
      <c r="BB1010" s="19"/>
      <c r="BC1010" s="19"/>
      <c r="BD1010" s="19"/>
      <c r="BE1010" s="48"/>
      <c r="BF1010" s="48"/>
      <c r="BG1010" s="20"/>
      <c r="BH1010" s="22"/>
      <c r="BI1010" s="22"/>
      <c r="BJ1010" s="14"/>
      <c r="BK1010" s="14"/>
      <c r="BL1010" s="14"/>
      <c r="BM1010" s="17"/>
      <c r="BN1010" s="23"/>
      <c r="BO1010" s="14"/>
      <c r="BP1010" s="14"/>
      <c r="BQ1010" s="14"/>
      <c r="BR1010" s="14"/>
      <c r="BS1010" s="17"/>
      <c r="BT1010" s="23"/>
      <c r="BU1010" s="14"/>
      <c r="BV1010" s="14"/>
      <c r="BW1010" s="14"/>
      <c r="BX1010" s="14"/>
      <c r="BY1010" s="17"/>
      <c r="BZ1010" s="23"/>
      <c r="CA1010" s="14"/>
      <c r="CB1010" s="14"/>
      <c r="CC1010" s="14"/>
      <c r="CD1010" s="14"/>
      <c r="CE1010" s="17"/>
      <c r="CF1010" s="23"/>
      <c r="CG1010" s="14"/>
      <c r="CH1010" s="14"/>
      <c r="CI1010" s="14"/>
      <c r="CJ1010" s="14"/>
      <c r="CK1010" s="17"/>
      <c r="CL1010" s="23"/>
      <c r="CM1010" s="14"/>
      <c r="CN1010" s="14"/>
      <c r="CO1010" s="14"/>
      <c r="CP1010" s="14"/>
      <c r="CQ1010" s="17"/>
      <c r="CR1010" s="23"/>
      <c r="CS1010" s="14"/>
      <c r="CT1010" s="14"/>
      <c r="CU1010" s="14"/>
      <c r="CV1010" s="14"/>
      <c r="CW1010" s="17"/>
      <c r="CX1010" s="23"/>
      <c r="CY1010" s="14"/>
      <c r="CZ1010" s="14"/>
      <c r="DA1010" s="14"/>
      <c r="DB1010" s="14"/>
      <c r="DC1010" s="14"/>
      <c r="DD1010" s="14"/>
      <c r="DE1010" s="47"/>
      <c r="DG1010" s="14"/>
      <c r="DH1010" s="32"/>
      <c r="DI1010" s="14"/>
      <c r="DJ1010" s="14"/>
      <c r="DK1010" s="14"/>
      <c r="DL1010" s="24"/>
      <c r="DM1010" s="25"/>
      <c r="DN1010" s="25"/>
      <c r="DO1010" s="25"/>
      <c r="DP1010" s="25"/>
      <c r="DQ1010" s="14"/>
      <c r="DR1010" s="25"/>
      <c r="DS1010" s="25"/>
      <c r="DT1010" s="25"/>
      <c r="DU1010" s="36"/>
      <c r="DV1010" s="14"/>
      <c r="DW1010" s="14"/>
      <c r="DX1010" s="14"/>
      <c r="DY1010" s="14"/>
      <c r="DZ1010" s="14"/>
      <c r="EA1010" s="14"/>
      <c r="EB1010" s="14"/>
      <c r="EC1010" s="14"/>
      <c r="ED1010" s="14"/>
      <c r="EE1010" s="14"/>
      <c r="EF1010" s="14"/>
      <c r="EG1010" s="14"/>
      <c r="FD1010" s="27"/>
      <c r="FE1010" s="28"/>
      <c r="FL1010" s="28"/>
      <c r="FM1010" s="27"/>
      <c r="FS1010" s="14"/>
      <c r="FZ1010" s="27"/>
      <c r="GA1010" s="27"/>
      <c r="ID1010" s="27"/>
      <c r="IE1010" s="14"/>
      <c r="IF1010" s="14"/>
      <c r="IG1010" s="27"/>
      <c r="IL1010"/>
      <c r="IM1010"/>
      <c r="IN1010"/>
      <c r="IO1010"/>
      <c r="IP1010" s="4"/>
      <c r="IQ1010"/>
      <c r="IR1010"/>
      <c r="IS1010"/>
      <c r="IT1010"/>
      <c r="IU1010"/>
      <c r="IV1010"/>
      <c r="IW1010"/>
      <c r="IX1010"/>
      <c r="IY1010"/>
      <c r="IZ1010"/>
      <c r="JA1010"/>
      <c r="JB1010"/>
      <c r="JC1010"/>
    </row>
    <row r="1011" spans="1:263" ht="15" customHeight="1">
      <c r="A1011" s="2">
        <v>102024169</v>
      </c>
      <c r="B1011" t="s">
        <v>5743</v>
      </c>
      <c r="D1011" s="1"/>
      <c r="E1011" s="3"/>
      <c r="G1011" s="3"/>
      <c r="J1011" t="s">
        <v>554</v>
      </c>
      <c r="K1011" t="s">
        <v>5560</v>
      </c>
      <c r="L1011" t="s">
        <v>5561</v>
      </c>
      <c r="M1011" t="s">
        <v>537</v>
      </c>
      <c r="N1011" t="s">
        <v>341</v>
      </c>
      <c r="O1011" s="3"/>
      <c r="P1011" t="s">
        <v>5560</v>
      </c>
      <c r="Q1011" t="s">
        <v>797</v>
      </c>
      <c r="AG1011" s="43"/>
      <c r="AJ1011" s="18" t="s">
        <v>328</v>
      </c>
      <c r="AK1011" s="1"/>
      <c r="AL1011" s="18" t="s">
        <v>344</v>
      </c>
      <c r="AM1011"/>
      <c r="AN1011"/>
      <c r="AO1011" t="s">
        <v>5562</v>
      </c>
      <c r="AP1011" s="1" t="s">
        <v>258</v>
      </c>
      <c r="AQ1011" s="18" t="s">
        <v>5563</v>
      </c>
      <c r="AR1011" t="s">
        <v>301</v>
      </c>
      <c r="AS1011" s="10"/>
      <c r="AT1011" s="10"/>
      <c r="AU1011" s="10"/>
      <c r="AV1011" s="10"/>
      <c r="AW1011" s="10"/>
      <c r="AX1011" s="1"/>
      <c r="AY1011" s="1"/>
      <c r="AZ1011" s="1"/>
      <c r="BA1011" s="1"/>
      <c r="BB1011" s="1"/>
      <c r="BC1011" s="2"/>
      <c r="BD1011" s="115">
        <v>45415</v>
      </c>
      <c r="BE1011" s="144">
        <v>45434</v>
      </c>
      <c r="BF1011" s="2"/>
      <c r="BG1011" s="2"/>
      <c r="BH1011" s="2"/>
      <c r="BI1011" s="2"/>
      <c r="BJ1011" s="2"/>
      <c r="BK1011" s="2"/>
      <c r="BL1011" s="20">
        <f ca="1">SUM(EH1011)+220</f>
        <v>1478.5234666666665</v>
      </c>
      <c r="BM1011" s="22">
        <f ca="1">PMT(10%/12,12,BL1011,0,0)</f>
        <v>-129.9857023623895</v>
      </c>
      <c r="BN1011" s="22">
        <f ca="1">SUM(BM1011*-1)</f>
        <v>129.9857023623895</v>
      </c>
      <c r="BO1011" s="14">
        <f>SUM(EP1011*0.0052)/12</f>
        <v>30.723333333333333</v>
      </c>
      <c r="BP1011" s="22">
        <f ca="1">SUM(BN1011+BO1011)</f>
        <v>160.70903569572283</v>
      </c>
      <c r="BQ1011" s="14"/>
      <c r="BR1011" s="14">
        <f>SUM(BQ1011*0.1)</f>
        <v>0</v>
      </c>
      <c r="BS1011" s="14">
        <f ca="1">SUM(BT1011*BU1011)</f>
        <v>0</v>
      </c>
      <c r="BT1011" s="17">
        <f>SUM((BQ1011+BR1011)*0.00833333333333333)</f>
        <v>0</v>
      </c>
      <c r="BU1011" s="23">
        <f ca="1">MONTH(TODAY())+49</f>
        <v>53</v>
      </c>
      <c r="BV1011" s="14">
        <f ca="1">SUM(BQ1011,BR1011,BS1011)</f>
        <v>0</v>
      </c>
      <c r="BW1011" s="14">
        <v>0</v>
      </c>
      <c r="BX1011" s="14">
        <f>SUM(BW1011*0.1)</f>
        <v>0</v>
      </c>
      <c r="BY1011" s="14">
        <f ca="1">SUM(BZ1011*CA1011)</f>
        <v>0</v>
      </c>
      <c r="BZ1011" s="17">
        <f>SUM((BW1011+BX1011)*0.00833333333333333)</f>
        <v>0</v>
      </c>
      <c r="CA1011" s="23">
        <f ca="1">MONTH(TODAY())+37</f>
        <v>41</v>
      </c>
      <c r="CB1011" s="14">
        <f ca="1">SUM(BW1011,BX1011,BY1011)</f>
        <v>0</v>
      </c>
      <c r="CC1011" s="14">
        <v>0</v>
      </c>
      <c r="CD1011" s="14">
        <f>SUM(CC1011*0.1)</f>
        <v>0</v>
      </c>
      <c r="CE1011" s="14">
        <f ca="1">SUM(CF1011*CG1011)</f>
        <v>0</v>
      </c>
      <c r="CF1011" s="17">
        <f>SUM((CC1011+CD1011)*0.00833333333333333)</f>
        <v>0</v>
      </c>
      <c r="CG1011" s="23">
        <f ca="1">MONTH(TODAY())+25</f>
        <v>29</v>
      </c>
      <c r="CH1011" s="14">
        <f ca="1">SUM(CC1011,CD1011,CE1011)</f>
        <v>0</v>
      </c>
      <c r="CI1011" s="14">
        <v>0</v>
      </c>
      <c r="CJ1011" s="14">
        <f>SUM(CI1011*0.1)</f>
        <v>0</v>
      </c>
      <c r="CK1011" s="14">
        <f ca="1">SUM(CL1011*CM1011)</f>
        <v>0</v>
      </c>
      <c r="CL1011" s="17">
        <f>SUM((CI1011+CJ1011)*0.00833333333333333)</f>
        <v>0</v>
      </c>
      <c r="CM1011" s="23">
        <f ca="1">MONTH(TODAY())+17</f>
        <v>21</v>
      </c>
      <c r="CN1011" s="23">
        <f ca="1">SUM(CI1011,CJ1011,CK1011)</f>
        <v>0</v>
      </c>
      <c r="CO1011" s="14">
        <f>SUM(EM1011*0.0052)/2</f>
        <v>225.67999999999998</v>
      </c>
      <c r="CP1011" s="14">
        <f>SUM(CO1011*0.1)</f>
        <v>22.567999999999998</v>
      </c>
      <c r="CQ1011" s="14">
        <f ca="1">SUM(CR1011*CS1011)</f>
        <v>35.168466666666653</v>
      </c>
      <c r="CR1011" s="17">
        <f>SUM((CO1011+CP1011)*0.00833333333333333)</f>
        <v>2.0687333333333324</v>
      </c>
      <c r="CS1011" s="23">
        <f ca="1">MONTH(TODAY())+13</f>
        <v>17</v>
      </c>
      <c r="CT1011" s="23">
        <f ca="1">SUM(CO1011,CP1011,CQ1011)</f>
        <v>283.41646666666662</v>
      </c>
      <c r="CU1011" s="14">
        <f>SUM(EP1011*0.0045)/2</f>
        <v>159.52499999999998</v>
      </c>
      <c r="CV1011" s="14">
        <f>SUM(CU1011*0.1)</f>
        <v>15.952499999999999</v>
      </c>
      <c r="CW1011" s="14">
        <f ca="1">SUM(CX1011*CY1011)</f>
        <v>16.085437499999991</v>
      </c>
      <c r="CX1011" s="17">
        <f>SUM((CU1011+CV1011)*0.00833333333333333)</f>
        <v>1.462312499999999</v>
      </c>
      <c r="CY1011" s="23">
        <f ca="1">MONTH(TODAY())+7</f>
        <v>11</v>
      </c>
      <c r="CZ1011" s="23">
        <f ca="1">SUM(CU1011,CV1011,CW1011)</f>
        <v>191.56293749999995</v>
      </c>
      <c r="DA1011" s="14">
        <f>SUM(EP1011*0.0045)/2</f>
        <v>159.52499999999998</v>
      </c>
      <c r="DB1011" s="14">
        <f>SUM(DA1011*0.1)</f>
        <v>15.952499999999999</v>
      </c>
      <c r="DC1011" s="14">
        <f ca="1">SUM(DD1011*DE1011)</f>
        <v>7.3115624999999955</v>
      </c>
      <c r="DD1011" s="17">
        <f>SUM((DA1011+DB1011)*0.00833333333333333)</f>
        <v>1.462312499999999</v>
      </c>
      <c r="DE1011" s="23">
        <f ca="1">MONTH(TODAY())+1</f>
        <v>5</v>
      </c>
      <c r="DF1011" s="14">
        <f ca="1">SUM(DA1011,DB1011,DC1011)</f>
        <v>182.78906249999997</v>
      </c>
      <c r="DG1011" s="14">
        <f>SUM(EP1011*0.0045)/2</f>
        <v>159.52499999999998</v>
      </c>
      <c r="DH1011" s="14">
        <f>0</f>
        <v>0</v>
      </c>
      <c r="DI1011" s="14">
        <f>0</f>
        <v>0</v>
      </c>
      <c r="DJ1011" s="17">
        <f>SUM((DG1011+DH1011)*0.00833333333333333)</f>
        <v>1.3293749999999993</v>
      </c>
      <c r="DK1011" s="23">
        <f ca="1">MONTH(TODAY())+7</f>
        <v>11</v>
      </c>
      <c r="DL1011" s="23">
        <f>SUM(DG1011,DH1011,DI1011)</f>
        <v>159.52499999999998</v>
      </c>
      <c r="DM1011" s="14">
        <f>0</f>
        <v>0</v>
      </c>
      <c r="DN1011" s="14">
        <f>0</f>
        <v>0</v>
      </c>
      <c r="DO1011" s="14">
        <f ca="1">SUM(DP1011*DQ1011)</f>
        <v>0</v>
      </c>
      <c r="DP1011" s="17">
        <f>SUM((DM1011+DN1011)*0.00833333333333333)</f>
        <v>0</v>
      </c>
      <c r="DQ1011" s="23">
        <f ca="1">MONTH(TODAY())+1</f>
        <v>5</v>
      </c>
      <c r="DR1011" s="14">
        <f ca="1">SUM(DM1011,DN1011,DO1011)</f>
        <v>0</v>
      </c>
      <c r="DS1011" s="14">
        <f>SUM(BQ1011, BW1011, CC1011, CI1011,CO1011,CU1011,DA1011,DG1011,DM1011)</f>
        <v>704.25499999999988</v>
      </c>
      <c r="DT1011" s="14">
        <f>SUM(BR1011,BX1011,CD1011, CJ1011,CP1011,CV1011,DB1011,DH1011,DN1011)</f>
        <v>54.472999999999999</v>
      </c>
      <c r="DU1011" s="14">
        <f ca="1">SUM(BS1011,BY1011,CE1011, CK1011,CQ1011,CW1011,DC1011,DI1011,DO1011)</f>
        <v>58.565466666666637</v>
      </c>
      <c r="DV1011" s="25">
        <f ca="1">SUM(DS1011:DU1011)</f>
        <v>817.29346666666652</v>
      </c>
      <c r="DW1011" s="47">
        <f ca="1">SUM(DV1011/EN1011)</f>
        <v>1.1527411377527032E-2</v>
      </c>
      <c r="DX1011" s="14">
        <f>20+10+200</f>
        <v>230</v>
      </c>
      <c r="DY1011" s="32">
        <f>COUNTIF(AO1011, "*")+COUNTIF(AJ1011, "*")+COUNTIF(AA1011, "*")+COUNTIF(FA1011, "*")+COUNTIF(FG1011, "*")+COUNTIF(FM1011, "*")+COUNTIF(FQ1011, "*")+COUNTIF(FX1011, "*")+COUNTIF(AS1011, "*")+COUNTIF(GG1011, "*")+COUNTIF(GR1011, "*")+COUNTIF(HC1011, "*")+COUNTIF(HK1011, "*")+COUNTIF(HS1011, "*")+COUNTIF(IA1011, "*")</f>
        <v>4</v>
      </c>
      <c r="DZ1011" s="14">
        <f>2.56+DY1011*8</f>
        <v>34.56</v>
      </c>
      <c r="EA1011" s="25">
        <v>150</v>
      </c>
      <c r="EB1011" s="4">
        <v>26.67</v>
      </c>
      <c r="EC1011" s="4"/>
      <c r="ED1011" s="4"/>
      <c r="EF1011" s="4"/>
      <c r="EG1011" s="14">
        <f>SUM(EB1011:EF1011)</f>
        <v>26.67</v>
      </c>
      <c r="EH1011" s="14">
        <f ca="1">SUM(DV1011,DX1011,EG1011, EA1011, DZ1011,GD1011)</f>
        <v>1258.5234666666665</v>
      </c>
      <c r="EI1011" s="24" t="s">
        <v>4935</v>
      </c>
      <c r="EJ1011" s="23">
        <v>8.8000000000000007</v>
      </c>
      <c r="EK1011" s="14">
        <f>39600+47200</f>
        <v>86800</v>
      </c>
      <c r="EL1011" s="14">
        <v>0</v>
      </c>
      <c r="EM1011" s="4">
        <f>SUM(EK1011+EL1011)</f>
        <v>86800</v>
      </c>
      <c r="EN1011" s="14">
        <f>32900+38000</f>
        <v>70900</v>
      </c>
      <c r="EO1011" s="14">
        <v>0</v>
      </c>
      <c r="EP1011" s="4">
        <f>SUM(EN1011+EO1011)</f>
        <v>70900</v>
      </c>
      <c r="EQ1011" s="10" t="s">
        <v>5744</v>
      </c>
      <c r="ER1011" s="10" t="s">
        <v>5745</v>
      </c>
      <c r="ES1011" s="10"/>
      <c r="ET1011" s="10"/>
      <c r="EU1011" s="10"/>
      <c r="EV1011" s="10"/>
      <c r="EW1011" s="10"/>
      <c r="EX1011" s="10"/>
      <c r="FP1011" t="s">
        <v>4560</v>
      </c>
      <c r="FQ1011" t="s">
        <v>1900</v>
      </c>
      <c r="FS1011" t="s">
        <v>749</v>
      </c>
      <c r="FT1011" t="s">
        <v>750</v>
      </c>
      <c r="FU1011" s="9">
        <v>43923</v>
      </c>
      <c r="FV1011" t="s">
        <v>5746</v>
      </c>
      <c r="FW1011" t="s">
        <v>5747</v>
      </c>
      <c r="FX1011" t="s">
        <v>5748</v>
      </c>
      <c r="FZ1011" t="s">
        <v>1331</v>
      </c>
      <c r="GA1011" t="s">
        <v>301</v>
      </c>
      <c r="GB1011" s="9">
        <v>43923</v>
      </c>
      <c r="GC1011" t="s">
        <v>5746</v>
      </c>
      <c r="GD1011" s="4"/>
      <c r="IE1011" s="9"/>
      <c r="IN1011" s="4"/>
      <c r="IO1011" s="4"/>
      <c r="IP1011" s="4"/>
      <c r="IQ1011" s="9"/>
      <c r="IR1011" s="9"/>
      <c r="IS1011" s="9"/>
      <c r="IT1011" s="9"/>
      <c r="IU1011" s="9"/>
      <c r="IV1011" s="18"/>
      <c r="IW1011" s="18"/>
    </row>
    <row r="1012" spans="1:263" ht="15" customHeight="1">
      <c r="A1012" s="2">
        <v>102019100</v>
      </c>
      <c r="B1012" t="s">
        <v>1496</v>
      </c>
      <c r="F1012" s="9"/>
      <c r="G1012" s="9"/>
      <c r="H1012" s="9"/>
      <c r="I1012" s="9"/>
      <c r="K1012" t="s">
        <v>1497</v>
      </c>
      <c r="L1012" t="s">
        <v>1498</v>
      </c>
      <c r="O1012" s="1"/>
      <c r="T1012" s="1"/>
      <c r="AC1012" s="3"/>
      <c r="AG1012" s="272"/>
      <c r="AO1012" s="4"/>
      <c r="BG1012" s="5"/>
      <c r="BH1012" s="16"/>
      <c r="BI1012" s="16"/>
      <c r="BJ1012" s="4"/>
      <c r="BK1012" s="4"/>
      <c r="BL1012" s="4"/>
      <c r="BM1012" s="6"/>
      <c r="BN1012" s="7"/>
      <c r="BO1012" s="4"/>
      <c r="BP1012" s="4"/>
      <c r="BQ1012" s="4"/>
      <c r="BR1012" s="4"/>
      <c r="BS1012" s="6"/>
      <c r="BT1012" s="7"/>
      <c r="BU1012" s="4"/>
      <c r="BV1012" s="4"/>
      <c r="BW1012" s="4"/>
      <c r="BX1012" s="4"/>
      <c r="BY1012" s="6"/>
      <c r="BZ1012" s="7"/>
      <c r="CA1012" s="4"/>
      <c r="CB1012" s="4"/>
      <c r="CC1012" s="4"/>
      <c r="CD1012" s="4"/>
      <c r="CE1012" s="6"/>
      <c r="CF1012" s="7"/>
      <c r="CG1012" s="4"/>
      <c r="CH1012" s="4"/>
      <c r="CI1012" s="4"/>
      <c r="CJ1012" s="4"/>
      <c r="CK1012" s="6"/>
      <c r="CL1012" s="7"/>
      <c r="CM1012" s="4"/>
      <c r="CN1012" s="4"/>
      <c r="CO1012" s="4"/>
      <c r="CP1012" s="4"/>
      <c r="CQ1012" s="6"/>
      <c r="CR1012" s="7"/>
      <c r="CS1012" s="4"/>
      <c r="CT1012" s="4"/>
      <c r="CU1012" s="4"/>
      <c r="CV1012" s="4"/>
      <c r="CW1012" s="6"/>
      <c r="CX1012" s="7"/>
      <c r="CY1012" s="4"/>
      <c r="CZ1012" s="4"/>
      <c r="DA1012" s="4"/>
      <c r="DB1012" s="4"/>
      <c r="DC1012" s="4"/>
      <c r="DD1012" s="3"/>
      <c r="DE1012" s="4"/>
      <c r="DF1012" s="234"/>
      <c r="DG1012" s="4"/>
      <c r="DH1012" s="4"/>
      <c r="DI1012" s="4"/>
      <c r="DJ1012" s="4"/>
      <c r="DK1012" s="4"/>
      <c r="DL1012" s="4"/>
      <c r="DM1012" s="7"/>
      <c r="DN1012" s="8"/>
      <c r="DO1012" s="4"/>
      <c r="DP1012" s="8"/>
      <c r="DQ1012" s="8"/>
      <c r="DR1012" s="8"/>
      <c r="DS1012" s="2"/>
      <c r="IL1012" s="4"/>
      <c r="IM1012" s="4"/>
      <c r="IW1012" s="240"/>
      <c r="IX1012" s="240"/>
      <c r="IY1012" s="240"/>
    </row>
    <row r="1013" spans="1:263" s="18" customFormat="1" ht="15" customHeight="1">
      <c r="A1013" s="19">
        <v>102023070</v>
      </c>
      <c r="B1013" s="18" t="s">
        <v>4171</v>
      </c>
      <c r="C1013"/>
      <c r="D1013" s="1"/>
      <c r="E1013" s="3"/>
      <c r="F1013" s="3"/>
      <c r="G1013"/>
      <c r="H1013"/>
      <c r="I1013"/>
      <c r="J1013" s="18" t="s">
        <v>554</v>
      </c>
      <c r="K1013" s="18" t="s">
        <v>4170</v>
      </c>
      <c r="L1013" s="130" t="s">
        <v>3050</v>
      </c>
      <c r="M1013" s="130" t="s">
        <v>392</v>
      </c>
      <c r="O1013" s="252"/>
      <c r="P1013" s="130" t="s">
        <v>4170</v>
      </c>
      <c r="Q1013" s="130" t="s">
        <v>4149</v>
      </c>
      <c r="R1013" s="130" t="s">
        <v>357</v>
      </c>
      <c r="S1013" s="130"/>
      <c r="T1013"/>
      <c r="U1013"/>
      <c r="V1013"/>
      <c r="W1013"/>
      <c r="X1013"/>
      <c r="Y1013"/>
      <c r="Z1013"/>
      <c r="AA1013"/>
      <c r="AB1013"/>
      <c r="AC1013"/>
      <c r="AD1013"/>
      <c r="AE1013"/>
      <c r="AF1013"/>
      <c r="AG1013" s="43"/>
      <c r="AH1013" s="3"/>
      <c r="AI1013" s="3"/>
      <c r="AJ1013" s="18" t="s">
        <v>328</v>
      </c>
      <c r="AL1013" s="18" t="s">
        <v>344</v>
      </c>
      <c r="AO1013" s="18" t="s">
        <v>4169</v>
      </c>
      <c r="AP1013" s="18" t="s">
        <v>258</v>
      </c>
      <c r="AQ1013" s="18" t="s">
        <v>4168</v>
      </c>
      <c r="AS1013"/>
      <c r="AT1013"/>
      <c r="AU1013"/>
      <c r="AV1013"/>
      <c r="AW1013"/>
      <c r="AX1013"/>
      <c r="AY1013" s="1"/>
      <c r="AZ1013" s="1"/>
      <c r="BA1013" s="1"/>
      <c r="BB1013" s="1"/>
      <c r="BC1013" s="2"/>
      <c r="BD1013" s="116"/>
      <c r="BE1013" s="115"/>
      <c r="BF1013" s="2"/>
      <c r="BG1013" s="2"/>
      <c r="BH1013" s="2"/>
      <c r="BI1013" s="2"/>
      <c r="BJ1013" s="2"/>
      <c r="BK1013" s="2"/>
      <c r="BL1013" s="20">
        <f ca="1">SUM(DP1013)+220</f>
        <v>893.05119999999999</v>
      </c>
      <c r="BM1013" s="22">
        <f ca="1">PMT(10%/12,12,BL1013,0,0)</f>
        <v>-78.513388589824743</v>
      </c>
      <c r="BN1013" s="22">
        <f ca="1">SUM(BM1013*-1)</f>
        <v>78.513388589824743</v>
      </c>
      <c r="BO1013" s="14">
        <f>SUM(DX1013*0.0052)/12</f>
        <v>10.053333333333333</v>
      </c>
      <c r="BP1013" s="22">
        <f ca="1">SUM(BN1013+BO1013)</f>
        <v>88.56672192315807</v>
      </c>
      <c r="BQ1013" s="14"/>
      <c r="BR1013" s="14">
        <f>SUM(BQ1013*0.1)</f>
        <v>0</v>
      </c>
      <c r="BS1013" s="14">
        <f ca="1">SUM(BT1013*BU1013)</f>
        <v>0</v>
      </c>
      <c r="BT1013" s="17">
        <f>SUM((BQ1013+BR1013)*0.00833333333333333)</f>
        <v>0</v>
      </c>
      <c r="BU1013" s="23">
        <f ca="1">MONTH(TODAY())+49</f>
        <v>53</v>
      </c>
      <c r="BV1013" s="14">
        <f ca="1">SUM(BQ1013,BR1013,BS1013)</f>
        <v>0</v>
      </c>
      <c r="BW1013" s="14"/>
      <c r="BX1013" s="14">
        <f>SUM(BW1013*0.1)</f>
        <v>0</v>
      </c>
      <c r="BY1013" s="14">
        <f ca="1">SUM(BZ1013*CA1013)</f>
        <v>0</v>
      </c>
      <c r="BZ1013" s="17">
        <f>SUM((BW1013+BX1013)*0.00833333333333333)</f>
        <v>0</v>
      </c>
      <c r="CA1013" s="23">
        <f ca="1">MONTH(TODAY())+37</f>
        <v>41</v>
      </c>
      <c r="CB1013" s="14">
        <f ca="1">SUM(BW1013,BX1013,BY1013)</f>
        <v>0</v>
      </c>
      <c r="CC1013" s="14">
        <v>0</v>
      </c>
      <c r="CD1013" s="14">
        <f>SUM(CC1013*0.1)</f>
        <v>0</v>
      </c>
      <c r="CE1013" s="14">
        <f ca="1">SUM(CF1013*CG1013)</f>
        <v>0</v>
      </c>
      <c r="CF1013" s="17">
        <f>SUM((CC1013+CD1013)*0.00833333333333333)</f>
        <v>0</v>
      </c>
      <c r="CG1013" s="23">
        <f ca="1">MONTH(TODAY())+25</f>
        <v>29</v>
      </c>
      <c r="CH1013" s="14">
        <f ca="1">SUM(CC1013,CD1013,CE1013)</f>
        <v>0</v>
      </c>
      <c r="CI1013" s="14">
        <f>SUM(DU1013*0.0052)</f>
        <v>269.36</v>
      </c>
      <c r="CJ1013" s="14">
        <f>SUM(CI1013*0.1)</f>
        <v>26.936000000000003</v>
      </c>
      <c r="CK1013" s="14">
        <f ca="1">SUM(CL1013*CM1013)</f>
        <v>41.975266666666649</v>
      </c>
      <c r="CL1013" s="17">
        <f>SUM((CI1013+CJ1013)*0.00833333333333333)</f>
        <v>2.4691333333333323</v>
      </c>
      <c r="CM1013" s="23">
        <f ca="1">MONTH(TODAY())+13</f>
        <v>17</v>
      </c>
      <c r="CN1013" s="14">
        <f ca="1">SUM(CI1013,CJ1013,CK1013)</f>
        <v>338.27126666666663</v>
      </c>
      <c r="CO1013" s="14">
        <f>SUM(DU1013*0.0052)/2</f>
        <v>134.68</v>
      </c>
      <c r="CP1013" s="14">
        <f>SUM(CO1013*0.1)</f>
        <v>13.468000000000002</v>
      </c>
      <c r="CQ1013" s="14">
        <f ca="1">SUM(CR1013*CS1013)</f>
        <v>11.111099999999995</v>
      </c>
      <c r="CR1013" s="17">
        <f>SUM((CO1013+CP1013)*0.00833333333333333)</f>
        <v>1.2345666666666661</v>
      </c>
      <c r="CS1013" s="23">
        <f ca="1">MONTH(TODAY())+5</f>
        <v>9</v>
      </c>
      <c r="CT1013" s="23">
        <f ca="1">SUM(CO1013,CP1013,CQ1013)</f>
        <v>159.25909999999999</v>
      </c>
      <c r="CU1013" s="14">
        <f>SUM(DU1013*0.0052)/2</f>
        <v>134.68</v>
      </c>
      <c r="CV1013" s="14">
        <f>SUM(CU1013*0.1)</f>
        <v>13.468000000000002</v>
      </c>
      <c r="CW1013" s="14">
        <f ca="1">SUM(CX1013*CY1013)</f>
        <v>6.1728333333333305</v>
      </c>
      <c r="CX1013" s="17">
        <f>SUM((CU1013+CV1013)*0.00833333333333333)</f>
        <v>1.2345666666666661</v>
      </c>
      <c r="CY1013" s="23">
        <f ca="1">MONTH(TODAY())+1</f>
        <v>5</v>
      </c>
      <c r="CZ1013" s="23">
        <f ca="1">SUM(CU1013,CV1013,CW1013)</f>
        <v>154.32083333333333</v>
      </c>
      <c r="DA1013" s="14">
        <f>SUM( BQ1013, BW1013, CC1013, CI1013, CO1013,CU1013)</f>
        <v>538.72</v>
      </c>
      <c r="DB1013" s="14">
        <f>SUM(BR1013,BX1013,CD1013,CJ1013, CP1013,CV1013)</f>
        <v>53.872000000000007</v>
      </c>
      <c r="DC1013" s="14">
        <f ca="1">SUM(BS1013,BY1013,CE1013,CK1013, CQ1013,CW1013)</f>
        <v>59.259199999999971</v>
      </c>
      <c r="DD1013" s="25">
        <f ca="1">SUM(DA1013:DC1013)</f>
        <v>651.85119999999995</v>
      </c>
      <c r="DE1013" s="47">
        <f ca="1">SUM(DD1013/DU1013)</f>
        <v>1.2584E-2</v>
      </c>
      <c r="DF1013" s="14">
        <v>20</v>
      </c>
      <c r="DG1013" s="32">
        <f>COUNTIF(DL1013, "*")+COUNTIF(AO1013, "*")+COUNTIF(AJ1013, "*")+COUNTIF(AA1013, "*")+COUNTIF(EM1013, "*")+COUNTIF(ES1013, "*")+COUNTIF(EY1013, "*")+COUNTIF(FC1013, "*")+COUNTIF(FJ1013, "*")+COUNTIF(AT1013, "*")+COUNTIF(FS1013, "*")+COUNTIF(GD1013, "*")+COUNTIF(GO1013, "*")+COUNTIF(GW1013, "*")+COUNTIF(HE1013, "*")+COUNTIF(HM1013, "*")+COUNTIF(HU1013, "*")</f>
        <v>2</v>
      </c>
      <c r="DH1013" s="14">
        <f>DG1013*0.6</f>
        <v>1.2</v>
      </c>
      <c r="DI1013" s="4"/>
      <c r="DJ1013" s="4"/>
      <c r="DK1013" s="4"/>
      <c r="DL1013" s="4"/>
      <c r="DM1013"/>
      <c r="DN1013" s="4"/>
      <c r="DO1013" s="14">
        <f>SUM(DJ1013:DN1013)</f>
        <v>0</v>
      </c>
      <c r="DP1013" s="14">
        <f ca="1">SUM(DD1013,DF1013,DO1013, DI1013, DH1013,FP1013)</f>
        <v>673.05119999999999</v>
      </c>
      <c r="DQ1013" s="24" t="s">
        <v>3879</v>
      </c>
      <c r="DR1013" s="130">
        <v>2.08</v>
      </c>
      <c r="DS1013" s="14">
        <v>51800</v>
      </c>
      <c r="DT1013" s="14">
        <v>0</v>
      </c>
      <c r="DU1013" s="14">
        <v>51800</v>
      </c>
      <c r="DV1013" s="14">
        <v>23200</v>
      </c>
      <c r="DW1013" s="14">
        <v>0</v>
      </c>
      <c r="DX1013" s="14">
        <f>SUM(DV1013+DW1013)</f>
        <v>23200</v>
      </c>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s="9"/>
      <c r="IB1013"/>
      <c r="IC1013"/>
      <c r="ID1013"/>
      <c r="IE1013"/>
      <c r="IF1013"/>
      <c r="IG1013"/>
      <c r="IH1013"/>
      <c r="II1013"/>
      <c r="IJ1013"/>
      <c r="IK1013"/>
      <c r="IL1013" s="14">
        <f ca="1">SUM(IB1013-DP1013-FP1013-IJ1013)</f>
        <v>-673.05119999999999</v>
      </c>
      <c r="IM1013" s="9"/>
      <c r="IN1013" s="9"/>
      <c r="IO1013" s="9"/>
      <c r="IP1013" s="9"/>
      <c r="IQ1013" s="9"/>
      <c r="IR1013"/>
      <c r="IS1013"/>
      <c r="IT1013"/>
      <c r="IU1013"/>
      <c r="IV1013"/>
      <c r="IW1013"/>
      <c r="IX1013"/>
      <c r="IY1013"/>
      <c r="IZ1013"/>
      <c r="JA1013"/>
      <c r="JB1013"/>
      <c r="JC1013"/>
    </row>
    <row r="1014" spans="1:263" ht="15" customHeight="1">
      <c r="A1014" s="19">
        <v>102023104</v>
      </c>
      <c r="B1014" s="18" t="s">
        <v>4313</v>
      </c>
      <c r="D1014" s="1"/>
      <c r="E1014" s="3"/>
      <c r="F1014" s="3"/>
      <c r="G1014" s="18"/>
      <c r="J1014" s="18" t="s">
        <v>554</v>
      </c>
      <c r="K1014" s="18" t="s">
        <v>4407</v>
      </c>
      <c r="L1014" s="130" t="s">
        <v>2015</v>
      </c>
      <c r="M1014" s="130" t="s">
        <v>403</v>
      </c>
      <c r="N1014" s="130"/>
      <c r="O1014" s="288"/>
      <c r="P1014" s="130" t="s">
        <v>4407</v>
      </c>
      <c r="Q1014" s="130" t="s">
        <v>4408</v>
      </c>
      <c r="R1014" s="130" t="s">
        <v>357</v>
      </c>
      <c r="S1014" s="130"/>
      <c r="AG1014" s="43"/>
      <c r="AJ1014" s="18" t="s">
        <v>328</v>
      </c>
      <c r="AL1014" s="18" t="s">
        <v>344</v>
      </c>
      <c r="AM1014"/>
      <c r="AN1014"/>
      <c r="AO1014" s="18" t="s">
        <v>4409</v>
      </c>
      <c r="AP1014" s="3" t="s">
        <v>258</v>
      </c>
      <c r="AQ1014" s="18" t="s">
        <v>4410</v>
      </c>
      <c r="AR1014" s="18" t="s">
        <v>471</v>
      </c>
      <c r="AX1014" s="1"/>
      <c r="AY1014" s="1"/>
      <c r="AZ1014" s="1"/>
      <c r="BA1014" s="1"/>
      <c r="BB1014" s="1"/>
      <c r="BC1014" s="2"/>
      <c r="BD1014" s="116"/>
      <c r="BE1014" s="115"/>
      <c r="BF1014" s="2"/>
      <c r="BG1014" s="2"/>
      <c r="BH1014" s="2"/>
      <c r="BI1014" s="2"/>
      <c r="BJ1014" s="2"/>
      <c r="BK1014" s="2"/>
      <c r="BL1014" s="20">
        <f ca="1">SUM(DP1014)+220</f>
        <v>1232.8191999999999</v>
      </c>
      <c r="BM1014" s="22">
        <f ca="1">PMT(10%/12,12,BL1014,0,0)</f>
        <v>-108.38439376219064</v>
      </c>
      <c r="BN1014" s="22">
        <f ca="1">SUM(BM1014*-1)</f>
        <v>108.38439376219064</v>
      </c>
      <c r="BO1014" s="14">
        <f>SUM(DX1014*0.0052)/12</f>
        <v>27.646666666666665</v>
      </c>
      <c r="BP1014" s="22">
        <f ca="1">SUM(BN1014+BO1014)</f>
        <v>136.0310604288573</v>
      </c>
      <c r="BQ1014" s="14"/>
      <c r="BR1014" s="14">
        <f>SUM(BQ1014*0.1)</f>
        <v>0</v>
      </c>
      <c r="BS1014" s="14">
        <f ca="1">SUM(BT1014*BU1014)</f>
        <v>0</v>
      </c>
      <c r="BT1014" s="17">
        <f>SUM((BQ1014+BR1014)*0.00833333333333333)</f>
        <v>0</v>
      </c>
      <c r="BU1014" s="23">
        <f ca="1">MONTH(TODAY())+49</f>
        <v>53</v>
      </c>
      <c r="BV1014" s="14">
        <f ca="1">SUM(BQ1014,BR1014,BS1014)</f>
        <v>0</v>
      </c>
      <c r="BW1014" s="14"/>
      <c r="BX1014" s="14">
        <f>SUM(BW1014*0.1)</f>
        <v>0</v>
      </c>
      <c r="BY1014" s="14">
        <f ca="1">SUM(BZ1014*CA1014)</f>
        <v>0</v>
      </c>
      <c r="BZ1014" s="17">
        <f>SUM((BW1014+BX1014)*0.00833333333333333)</f>
        <v>0</v>
      </c>
      <c r="CA1014" s="23">
        <f ca="1">MONTH(TODAY())+37</f>
        <v>41</v>
      </c>
      <c r="CB1014" s="14">
        <f ca="1">SUM(BW1014,BX1014,BY1014)</f>
        <v>0</v>
      </c>
      <c r="CC1014" s="14">
        <v>0</v>
      </c>
      <c r="CD1014" s="14">
        <f>SUM(CC1014*0.1)</f>
        <v>0</v>
      </c>
      <c r="CE1014" s="14">
        <f ca="1">SUM(CF1014*CG1014)</f>
        <v>0</v>
      </c>
      <c r="CF1014" s="17">
        <f>SUM((CC1014+CD1014)*0.00833333333333333)</f>
        <v>0</v>
      </c>
      <c r="CG1014" s="23">
        <f ca="1">MONTH(TODAY())+25</f>
        <v>29</v>
      </c>
      <c r="CH1014" s="14">
        <f ca="1">SUM(CC1014,CD1014,CE1014)</f>
        <v>0</v>
      </c>
      <c r="CI1014" s="14">
        <f>SUM(DU1014*0.0052)</f>
        <v>409.76</v>
      </c>
      <c r="CJ1014" s="14">
        <f>SUM(CI1014*0.1)</f>
        <v>40.975999999999999</v>
      </c>
      <c r="CK1014" s="14">
        <f ca="1">SUM(CL1014*CM1014)</f>
        <v>63.854266666666639</v>
      </c>
      <c r="CL1014" s="17">
        <f>SUM((CI1014+CJ1014)*0.00833333333333333)</f>
        <v>3.7561333333333318</v>
      </c>
      <c r="CM1014" s="23">
        <f ca="1">MONTH(TODAY())+13</f>
        <v>17</v>
      </c>
      <c r="CN1014" s="14">
        <f ca="1">SUM(CI1014,CJ1014,CK1014)</f>
        <v>514.59026666666659</v>
      </c>
      <c r="CO1014" s="14">
        <f>SUM(DU1014*0.0052)/2</f>
        <v>204.88</v>
      </c>
      <c r="CP1014" s="14">
        <f>SUM(CO1014*0.1)</f>
        <v>20.488</v>
      </c>
      <c r="CQ1014" s="14">
        <f ca="1">SUM(CR1014*CS1014)</f>
        <v>16.902599999999993</v>
      </c>
      <c r="CR1014" s="17">
        <f>SUM((CO1014+CP1014)*0.00833333333333333)</f>
        <v>1.8780666666666659</v>
      </c>
      <c r="CS1014" s="23">
        <f ca="1">MONTH(TODAY())+5</f>
        <v>9</v>
      </c>
      <c r="CT1014" s="23">
        <f ca="1">SUM(CO1014,CP1014,CQ1014)</f>
        <v>242.2706</v>
      </c>
      <c r="CU1014" s="14">
        <f>SUM(DU1014*0.0052)/2</f>
        <v>204.88</v>
      </c>
      <c r="CV1014" s="14">
        <f>SUM(CU1014*0.1)</f>
        <v>20.488</v>
      </c>
      <c r="CW1014" s="14">
        <f ca="1">SUM(CX1014*CY1014)</f>
        <v>9.390333333333329</v>
      </c>
      <c r="CX1014" s="17">
        <f>SUM((CU1014+CV1014)*0.00833333333333333)</f>
        <v>1.8780666666666659</v>
      </c>
      <c r="CY1014" s="23">
        <f ca="1">MONTH(TODAY())+1</f>
        <v>5</v>
      </c>
      <c r="CZ1014" s="23">
        <f ca="1">SUM(CU1014,CV1014,CW1014)</f>
        <v>234.75833333333333</v>
      </c>
      <c r="DA1014" s="14">
        <f>SUM( BQ1014, BW1014, CC1014, CI1014, CO1014,CU1014)</f>
        <v>819.52</v>
      </c>
      <c r="DB1014" s="14">
        <f>SUM(BR1014,BX1014,CD1014,CJ1014, CP1014,CV1014)</f>
        <v>81.951999999999998</v>
      </c>
      <c r="DC1014" s="14">
        <f ca="1">SUM(BS1014,BY1014,CE1014,CK1014, CQ1014,CW1014)</f>
        <v>90.14719999999997</v>
      </c>
      <c r="DD1014" s="25">
        <f ca="1">SUM(DA1014:DC1014)</f>
        <v>991.61919999999998</v>
      </c>
      <c r="DE1014" s="47">
        <f ca="1">SUM(DD1014/DU1014)</f>
        <v>1.2584E-2</v>
      </c>
      <c r="DF1014" s="14">
        <v>20</v>
      </c>
      <c r="DG1014" s="32">
        <f>COUNTIF(DL1014, "*")+COUNTIF(AO1014, "*")+COUNTIF(AJ1014, "*")+COUNTIF(AA1014, "*")+COUNTIF(EM1014, "*")+COUNTIF(ES1014, "*")+COUNTIF(EY1014, "*")+COUNTIF(FC1014, "*")+COUNTIF(FJ1014, "*")+COUNTIF(AT1014, "*")+COUNTIF(FS1014, "*")+COUNTIF(GD1014, "*")+COUNTIF(GO1014, "*")+COUNTIF(GW1014, "*")+COUNTIF(HE1014, "*")+COUNTIF(HM1014, "*")+COUNTIF(HU1014, "*")</f>
        <v>2</v>
      </c>
      <c r="DH1014" s="14">
        <f>DG1014*0.6</f>
        <v>1.2</v>
      </c>
      <c r="DI1014" s="4"/>
      <c r="DJ1014" s="4"/>
      <c r="DK1014" s="4"/>
      <c r="DL1014" s="4"/>
      <c r="DN1014" s="4"/>
      <c r="DO1014" s="14">
        <f>SUM(DJ1014:DN1014)</f>
        <v>0</v>
      </c>
      <c r="DP1014" s="14">
        <f ca="1">SUM(DD1014,DF1014,DO1014, DI1014, DH1014,FP1014)</f>
        <v>1012.8192</v>
      </c>
      <c r="DQ1014" s="24" t="s">
        <v>3879</v>
      </c>
      <c r="DR1014" s="130">
        <v>1.89</v>
      </c>
      <c r="DS1014" s="14">
        <v>78800</v>
      </c>
      <c r="DT1014" s="14">
        <v>0</v>
      </c>
      <c r="DU1014" s="14">
        <v>78800</v>
      </c>
      <c r="DV1014" s="14">
        <v>63800</v>
      </c>
      <c r="DW1014" s="14">
        <v>0</v>
      </c>
      <c r="DX1014" s="14">
        <f>SUM(DV1014+DW1014)</f>
        <v>63800</v>
      </c>
      <c r="IA1014" s="9"/>
      <c r="IL1014" s="14">
        <f ca="1">SUM(IB1014-DP1014-FP1014-IJ1014)</f>
        <v>-1012.8192</v>
      </c>
      <c r="IM1014" s="9"/>
      <c r="IN1014" s="9"/>
      <c r="IO1014" s="9"/>
      <c r="IP1014" s="9"/>
      <c r="IQ1014" s="9"/>
    </row>
    <row r="1015" spans="1:263" ht="15" customHeight="1">
      <c r="A1015" s="19">
        <v>102020026</v>
      </c>
      <c r="B1015" s="18" t="s">
        <v>1610</v>
      </c>
      <c r="C1015" s="18"/>
      <c r="D1015" s="13"/>
      <c r="E1015" s="18" t="s">
        <v>1865</v>
      </c>
      <c r="F1015" s="18">
        <v>200002915</v>
      </c>
      <c r="G1015" s="18"/>
      <c r="H1015" s="18"/>
      <c r="I1015" s="18"/>
      <c r="J1015" s="18" t="s">
        <v>554</v>
      </c>
      <c r="K1015" s="18" t="s">
        <v>1611</v>
      </c>
      <c r="L1015" s="18" t="s">
        <v>1216</v>
      </c>
      <c r="M1015" s="18" t="s">
        <v>469</v>
      </c>
      <c r="N1015" s="18"/>
      <c r="O1015" s="18"/>
      <c r="P1015" s="18" t="s">
        <v>1611</v>
      </c>
      <c r="Q1015" s="18" t="s">
        <v>657</v>
      </c>
      <c r="R1015" s="18" t="s">
        <v>426</v>
      </c>
      <c r="S1015" s="18"/>
      <c r="T1015" s="18"/>
      <c r="U1015" s="18"/>
      <c r="V1015" s="18"/>
      <c r="W1015" s="18"/>
      <c r="X1015" s="18"/>
      <c r="Y1015" s="18"/>
      <c r="Z1015" s="18"/>
      <c r="AA1015" s="18"/>
      <c r="AB1015" s="18"/>
      <c r="AC1015" s="18"/>
      <c r="AD1015" s="18"/>
      <c r="AE1015" s="18"/>
      <c r="AF1015" s="18"/>
      <c r="AG1015" s="231"/>
      <c r="AH1015" s="18"/>
      <c r="AI1015" s="18"/>
      <c r="AJ1015" s="18"/>
      <c r="AK1015" s="18"/>
      <c r="AL1015" s="18"/>
      <c r="AM1015" s="24"/>
      <c r="AN1015" s="24"/>
      <c r="AO1015" s="14"/>
      <c r="AP1015" s="13"/>
      <c r="AQ1015" s="24"/>
      <c r="AR1015" s="24"/>
      <c r="AS1015" s="18"/>
      <c r="AT1015" s="18"/>
      <c r="AU1015" s="18"/>
      <c r="AV1015" s="18"/>
      <c r="AW1015" s="18"/>
      <c r="AX1015" s="48"/>
      <c r="AY1015" s="48"/>
      <c r="AZ1015" s="48"/>
      <c r="BA1015" s="48"/>
      <c r="BB1015" s="19"/>
      <c r="BC1015" s="48"/>
      <c r="BD1015" s="48"/>
      <c r="BE1015" s="48"/>
      <c r="BF1015" s="19"/>
      <c r="BG1015" s="20"/>
      <c r="BH1015" s="22"/>
      <c r="BI1015" s="22"/>
      <c r="BJ1015" s="14"/>
      <c r="BK1015" s="14"/>
      <c r="BL1015" s="14"/>
      <c r="BM1015" s="17"/>
      <c r="BN1015" s="23"/>
      <c r="BO1015" s="14"/>
      <c r="BP1015" s="14"/>
      <c r="BQ1015" s="14"/>
      <c r="BR1015" s="14"/>
      <c r="BS1015" s="17"/>
      <c r="BT1015" s="23"/>
      <c r="BU1015" s="14"/>
      <c r="BV1015" s="14"/>
      <c r="BW1015" s="14"/>
      <c r="BX1015" s="14"/>
      <c r="BY1015" s="17"/>
      <c r="BZ1015" s="23"/>
      <c r="CA1015" s="14"/>
      <c r="CB1015" s="14"/>
      <c r="CC1015" s="14"/>
      <c r="CD1015" s="14"/>
      <c r="CE1015" s="17"/>
      <c r="CF1015" s="23"/>
      <c r="CG1015" s="14"/>
      <c r="CH1015" s="14"/>
      <c r="CI1015" s="14"/>
      <c r="CJ1015" s="14"/>
      <c r="CK1015" s="17"/>
      <c r="CL1015" s="23"/>
      <c r="CM1015" s="14"/>
      <c r="CN1015" s="14"/>
      <c r="CO1015" s="14"/>
      <c r="CP1015" s="14"/>
      <c r="CQ1015" s="17"/>
      <c r="CR1015" s="23"/>
      <c r="CS1015" s="14"/>
      <c r="CT1015" s="14"/>
      <c r="CU1015" s="14"/>
      <c r="CV1015" s="14"/>
      <c r="CW1015" s="17"/>
      <c r="CX1015" s="23"/>
      <c r="CY1015" s="14"/>
      <c r="CZ1015" s="14"/>
      <c r="DA1015" s="14"/>
      <c r="DB1015" s="14"/>
      <c r="DC1015" s="14"/>
      <c r="DD1015" s="14"/>
      <c r="DE1015" s="47"/>
      <c r="DF1015" s="24"/>
      <c r="DG1015" s="14"/>
      <c r="DH1015" s="32"/>
      <c r="DI1015" s="14"/>
      <c r="DJ1015" s="14"/>
      <c r="DK1015" s="14"/>
      <c r="DL1015" s="14"/>
      <c r="DM1015" s="14"/>
      <c r="DN1015" s="14"/>
      <c r="DO1015" s="23"/>
      <c r="DP1015" s="25"/>
      <c r="DQ1015" s="14"/>
      <c r="DR1015" s="25"/>
      <c r="DS1015" s="25"/>
      <c r="DT1015" s="25"/>
      <c r="DU1015" s="36"/>
      <c r="DV1015" s="26"/>
      <c r="DW1015" s="26"/>
      <c r="DX1015" s="26"/>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27"/>
      <c r="GA1015" s="18"/>
      <c r="GB1015" s="18"/>
      <c r="GC1015" s="18"/>
      <c r="GD1015" s="18"/>
      <c r="GE1015" s="18"/>
      <c r="GF1015" s="18"/>
      <c r="GG1015" s="18"/>
      <c r="GH1015" s="18"/>
      <c r="GI1015" s="18"/>
      <c r="GJ1015" s="18"/>
      <c r="GK1015" s="27"/>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27"/>
      <c r="IE1015" s="18"/>
      <c r="IF1015" s="18"/>
      <c r="IG1015" s="18"/>
      <c r="IH1015" s="18"/>
      <c r="II1015" s="18"/>
      <c r="IJ1015" s="18"/>
      <c r="IK1015" s="18"/>
      <c r="IW1015" s="18"/>
      <c r="IX1015" s="18"/>
      <c r="IY1015" s="18"/>
    </row>
    <row r="1016" spans="1:263" ht="15" customHeight="1">
      <c r="A1016" s="19">
        <v>102020026</v>
      </c>
      <c r="B1016" s="18" t="s">
        <v>1610</v>
      </c>
      <c r="C1016" s="18"/>
      <c r="D1016" s="18"/>
      <c r="E1016" s="18" t="s">
        <v>1865</v>
      </c>
      <c r="F1016" s="18">
        <v>200002915</v>
      </c>
      <c r="G1016" s="18"/>
      <c r="H1016" s="18"/>
      <c r="I1016" s="18"/>
      <c r="J1016" s="18" t="s">
        <v>554</v>
      </c>
      <c r="K1016" s="18" t="s">
        <v>1611</v>
      </c>
      <c r="L1016" s="18" t="s">
        <v>1216</v>
      </c>
      <c r="M1016" s="18" t="s">
        <v>469</v>
      </c>
      <c r="N1016" s="18"/>
      <c r="O1016" s="18"/>
      <c r="P1016" s="18" t="s">
        <v>1611</v>
      </c>
      <c r="Q1016" s="18" t="s">
        <v>657</v>
      </c>
      <c r="R1016" s="18" t="s">
        <v>426</v>
      </c>
      <c r="S1016" s="18"/>
      <c r="T1016" s="18"/>
      <c r="U1016" s="18"/>
      <c r="V1016" s="18"/>
      <c r="W1016" s="18"/>
      <c r="X1016" s="18"/>
      <c r="Y1016" s="18"/>
      <c r="Z1016" s="18"/>
      <c r="AA1016" s="18"/>
      <c r="AB1016" s="18"/>
      <c r="AC1016" s="18"/>
      <c r="AD1016" s="18"/>
      <c r="AE1016" s="18"/>
      <c r="AF1016" s="18"/>
      <c r="AG1016" s="37"/>
      <c r="AH1016" s="18"/>
      <c r="AI1016" s="18"/>
      <c r="AJ1016" s="18" t="s">
        <v>328</v>
      </c>
      <c r="AK1016" s="18"/>
      <c r="AL1016" s="18" t="s">
        <v>344</v>
      </c>
      <c r="AM1016" s="18"/>
      <c r="AN1016" s="18"/>
      <c r="AO1016" s="14" t="s">
        <v>1612</v>
      </c>
      <c r="AP1016" s="18" t="s">
        <v>258</v>
      </c>
      <c r="AQ1016" s="18" t="s">
        <v>1613</v>
      </c>
      <c r="AR1016" s="18"/>
      <c r="AS1016" s="18"/>
      <c r="AT1016" s="18"/>
      <c r="AU1016" s="18" t="s">
        <v>258</v>
      </c>
      <c r="AV1016" s="18" t="s">
        <v>258</v>
      </c>
      <c r="AW1016" s="18" t="s">
        <v>258</v>
      </c>
      <c r="AX1016" s="27">
        <v>43978</v>
      </c>
      <c r="AY1016" s="21">
        <v>43947</v>
      </c>
      <c r="AZ1016" s="21">
        <v>43937</v>
      </c>
      <c r="BA1016" s="21">
        <v>44022</v>
      </c>
      <c r="BB1016" s="13" t="s">
        <v>1833</v>
      </c>
      <c r="BC1016" s="21">
        <v>44008</v>
      </c>
      <c r="BD1016" s="21">
        <v>44015</v>
      </c>
      <c r="BE1016" s="27">
        <v>44057</v>
      </c>
      <c r="BF1016" s="18" t="s">
        <v>319</v>
      </c>
      <c r="BG1016" s="20">
        <v>2900.0819999999994</v>
      </c>
      <c r="BH1016" s="22">
        <v>-254.96328206978063</v>
      </c>
      <c r="BI1016" s="22">
        <v>254.96328206978063</v>
      </c>
      <c r="BJ1016" s="14"/>
      <c r="BK1016" s="14">
        <v>0</v>
      </c>
      <c r="BL1016" s="14">
        <v>0</v>
      </c>
      <c r="BM1016" s="17">
        <v>0</v>
      </c>
      <c r="BN1016" s="23">
        <v>81</v>
      </c>
      <c r="BO1016" s="14">
        <v>0</v>
      </c>
      <c r="BP1016" s="14"/>
      <c r="BQ1016" s="14">
        <v>0</v>
      </c>
      <c r="BR1016" s="14">
        <v>0</v>
      </c>
      <c r="BS1016" s="17">
        <v>0</v>
      </c>
      <c r="BT1016" s="23">
        <v>69</v>
      </c>
      <c r="BU1016" s="14">
        <v>0</v>
      </c>
      <c r="BV1016" s="14"/>
      <c r="BW1016" s="14">
        <v>0</v>
      </c>
      <c r="BX1016" s="14">
        <v>0</v>
      </c>
      <c r="BY1016" s="17">
        <v>0</v>
      </c>
      <c r="BZ1016" s="23">
        <v>61</v>
      </c>
      <c r="CA1016" s="14">
        <v>0</v>
      </c>
      <c r="CB1016" s="14"/>
      <c r="CC1016" s="14">
        <v>0</v>
      </c>
      <c r="CD1016" s="14">
        <v>0</v>
      </c>
      <c r="CE1016" s="17">
        <v>0</v>
      </c>
      <c r="CF1016" s="23">
        <v>49</v>
      </c>
      <c r="CG1016" s="14">
        <v>0</v>
      </c>
      <c r="CH1016" s="14">
        <v>187.2</v>
      </c>
      <c r="CI1016" s="14">
        <v>18.72</v>
      </c>
      <c r="CJ1016" s="14">
        <v>63.491999999999969</v>
      </c>
      <c r="CK1016" s="17">
        <v>1.7159999999999991</v>
      </c>
      <c r="CL1016" s="23">
        <v>37</v>
      </c>
      <c r="CM1016" s="14">
        <v>269.41199999999998</v>
      </c>
      <c r="CN1016" s="14">
        <v>187.2</v>
      </c>
      <c r="CO1016" s="14">
        <v>18.72</v>
      </c>
      <c r="CP1016" s="14">
        <v>42.899999999999977</v>
      </c>
      <c r="CQ1016" s="17">
        <v>1.7159999999999991</v>
      </c>
      <c r="CR1016" s="23">
        <v>25</v>
      </c>
      <c r="CS1016" s="14">
        <v>248.81999999999996</v>
      </c>
      <c r="CT1016" s="14">
        <v>187.2</v>
      </c>
      <c r="CU1016" s="14">
        <v>18.72</v>
      </c>
      <c r="CV1016" s="14">
        <v>22.307999999999989</v>
      </c>
      <c r="CW1016" s="17">
        <v>1.7159999999999991</v>
      </c>
      <c r="CX1016" s="23">
        <v>13</v>
      </c>
      <c r="CY1016" s="14">
        <v>228.22799999999998</v>
      </c>
      <c r="CZ1016" s="14">
        <v>187.2</v>
      </c>
      <c r="DA1016" s="14">
        <v>748.8</v>
      </c>
      <c r="DB1016" s="14">
        <v>56.16</v>
      </c>
      <c r="DC1016" s="14">
        <v>128.69999999999993</v>
      </c>
      <c r="DD1016" s="14">
        <v>933.65999999999985</v>
      </c>
      <c r="DE1016" s="24" t="s">
        <v>418</v>
      </c>
      <c r="DF1016" s="14">
        <v>1579.5</v>
      </c>
      <c r="DG1016" s="32">
        <v>4</v>
      </c>
      <c r="DH1016" s="14">
        <v>139.05000000000001</v>
      </c>
      <c r="DI1016" s="14">
        <v>150</v>
      </c>
      <c r="DJ1016" s="14">
        <v>4789.03</v>
      </c>
      <c r="DK1016" s="14">
        <v>253.75</v>
      </c>
      <c r="DL1016" s="14">
        <v>904.81999999999994</v>
      </c>
      <c r="DM1016" s="14">
        <v>74.25</v>
      </c>
      <c r="DN1016" s="14">
        <v>144</v>
      </c>
      <c r="DO1016" s="25">
        <v>610</v>
      </c>
      <c r="DP1016" s="14">
        <v>1986.82</v>
      </c>
      <c r="DQ1016" s="25">
        <v>36000</v>
      </c>
      <c r="DR1016" s="25">
        <v>0</v>
      </c>
      <c r="DS1016" s="25">
        <v>36000</v>
      </c>
      <c r="DT1016" s="36">
        <v>2.02</v>
      </c>
      <c r="DU1016" s="18" t="s">
        <v>1790</v>
      </c>
      <c r="DV1016" s="18" t="s">
        <v>1791</v>
      </c>
      <c r="DW1016" s="18" t="s">
        <v>1792</v>
      </c>
      <c r="DX1016" s="18" t="s">
        <v>1793</v>
      </c>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t="s">
        <v>1772</v>
      </c>
      <c r="FS1016" s="18" t="s">
        <v>411</v>
      </c>
      <c r="FT1016" s="18" t="s">
        <v>412</v>
      </c>
      <c r="FU1016" s="18"/>
      <c r="FV1016" s="18" t="s">
        <v>344</v>
      </c>
      <c r="FW1016" s="18" t="s">
        <v>260</v>
      </c>
      <c r="FX1016" s="27">
        <v>43320</v>
      </c>
      <c r="FY1016" s="18" t="s">
        <v>1794</v>
      </c>
      <c r="FZ1016" s="18"/>
      <c r="GA1016" s="18"/>
      <c r="GB1016" s="18"/>
      <c r="GC1016" s="18" t="s">
        <v>1772</v>
      </c>
      <c r="GD1016" s="18" t="s">
        <v>411</v>
      </c>
      <c r="GE1016" s="18" t="s">
        <v>412</v>
      </c>
      <c r="GF1016" s="18"/>
      <c r="GG1016" s="18" t="s">
        <v>344</v>
      </c>
      <c r="GH1016" s="18" t="s">
        <v>260</v>
      </c>
      <c r="GI1016" s="27">
        <v>43682</v>
      </c>
      <c r="GJ1016" s="18" t="s">
        <v>1795</v>
      </c>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27">
        <v>44128</v>
      </c>
      <c r="IC1016" s="14">
        <v>36000</v>
      </c>
      <c r="ID1016" s="27">
        <v>44128</v>
      </c>
      <c r="IE1016" s="14">
        <v>9500</v>
      </c>
      <c r="IF1016" s="14">
        <v>950</v>
      </c>
      <c r="IG1016" s="18"/>
      <c r="IH1016" s="18" t="s">
        <v>1949</v>
      </c>
      <c r="II1016" s="18" t="s">
        <v>1948</v>
      </c>
      <c r="IJ1016" s="18" t="s">
        <v>290</v>
      </c>
      <c r="IK1016" s="18" t="s">
        <v>1977</v>
      </c>
      <c r="IL1016" s="14">
        <v>1771.07</v>
      </c>
      <c r="IM1016" s="14" t="s">
        <v>258</v>
      </c>
      <c r="IN1016" s="14">
        <v>203</v>
      </c>
      <c r="IO1016" s="14">
        <v>2939.9000000000005</v>
      </c>
      <c r="IP1016" s="27">
        <v>44068</v>
      </c>
      <c r="IQ1016" s="27">
        <v>44085</v>
      </c>
      <c r="IR1016" s="27">
        <v>44131</v>
      </c>
      <c r="IS1016" s="27">
        <v>44137</v>
      </c>
      <c r="IT1016" s="27">
        <v>44897</v>
      </c>
      <c r="IU1016" s="18"/>
      <c r="IV1016" s="18"/>
      <c r="IW1016" s="18"/>
      <c r="IX1016" s="18"/>
      <c r="IY1016" s="18"/>
    </row>
    <row r="1017" spans="1:263" ht="15" customHeight="1">
      <c r="A1017" s="19">
        <v>102022044</v>
      </c>
      <c r="B1017" t="s">
        <v>2796</v>
      </c>
      <c r="D1017" s="1"/>
      <c r="E1017" s="3" t="s">
        <v>3904</v>
      </c>
      <c r="F1017" s="3">
        <v>220003481</v>
      </c>
      <c r="J1017" t="s">
        <v>311</v>
      </c>
      <c r="K1017" t="s">
        <v>1567</v>
      </c>
      <c r="L1017" t="s">
        <v>900</v>
      </c>
      <c r="M1017" t="s">
        <v>357</v>
      </c>
      <c r="AG1017" s="43"/>
      <c r="AJ1017" t="s">
        <v>328</v>
      </c>
      <c r="AL1017" s="18" t="s">
        <v>344</v>
      </c>
      <c r="AM1017"/>
      <c r="AN1017"/>
      <c r="AO1017" s="3" t="s">
        <v>3013</v>
      </c>
      <c r="AP1017" s="3" t="s">
        <v>258</v>
      </c>
      <c r="AQ1017" t="s">
        <v>3014</v>
      </c>
      <c r="AR1017"/>
      <c r="AS1017" s="1"/>
      <c r="AT1017" s="1" t="s">
        <v>258</v>
      </c>
      <c r="AU1017" s="1"/>
      <c r="AV1017" s="1"/>
      <c r="AW1017" s="1"/>
      <c r="AX1017" s="70">
        <v>44693</v>
      </c>
      <c r="AY1017" s="115">
        <v>44661</v>
      </c>
      <c r="AZ1017" s="115">
        <v>44649</v>
      </c>
      <c r="BA1017" s="70"/>
      <c r="BB1017" s="2"/>
      <c r="BC1017" s="2"/>
      <c r="BD1017" s="2"/>
      <c r="BE1017" s="70">
        <v>44813</v>
      </c>
      <c r="BF1017" s="2" t="s">
        <v>319</v>
      </c>
      <c r="BG1017" s="20">
        <f ca="1">SUM(DK1017)+214.5</f>
        <v>2733.1979999999999</v>
      </c>
      <c r="BH1017" s="22">
        <f ca="1">PMT(10%/12,12,BG1017,0,0)</f>
        <v>-240.29152714528774</v>
      </c>
      <c r="BI1017" s="22">
        <f ca="1">SUM(BH1017*-1)</f>
        <v>240.29152714528774</v>
      </c>
      <c r="BJ1017" s="14">
        <f>SUM(DU1017*0.0052)/12</f>
        <v>15.6</v>
      </c>
      <c r="BK1017" s="22">
        <f ca="1">SUM(BI1017+BJ1017)</f>
        <v>255.89152714528774</v>
      </c>
      <c r="BL1017" s="14"/>
      <c r="BM1017" s="14">
        <f>SUM(BL1017*0.1)</f>
        <v>0</v>
      </c>
      <c r="BN1017" s="14">
        <f ca="1">SUM(BO1017*BP1017)</f>
        <v>0</v>
      </c>
      <c r="BO1017" s="17">
        <f>SUM((BL1017+BM1017)*0.00833333333333333)</f>
        <v>0</v>
      </c>
      <c r="BP1017" s="23">
        <f ca="1">MONTH(TODAY())+49</f>
        <v>53</v>
      </c>
      <c r="BQ1017" s="14">
        <f ca="1">SUM(BL1017,BM1017,BN1017)</f>
        <v>0</v>
      </c>
      <c r="BR1017" s="14"/>
      <c r="BS1017" s="14">
        <f>SUM(BR1017*0.1)</f>
        <v>0</v>
      </c>
      <c r="BT1017" s="14">
        <f ca="1">SUM(BU1017*BV1017)</f>
        <v>0</v>
      </c>
      <c r="BU1017" s="17">
        <f>SUM((BR1017+BS1017)*0.00833333333333333)</f>
        <v>0</v>
      </c>
      <c r="BV1017" s="23">
        <f ca="1">MONTH(TODAY())+37</f>
        <v>41</v>
      </c>
      <c r="BW1017" s="14">
        <f ca="1">SUM(BR1017,BS1017,BT1017)</f>
        <v>0</v>
      </c>
      <c r="BX1017" s="14"/>
      <c r="BY1017" s="14">
        <f>SUM(BX1017*0.1)</f>
        <v>0</v>
      </c>
      <c r="BZ1017" s="14">
        <f ca="1">SUM(CA1017*CB1017)</f>
        <v>0</v>
      </c>
      <c r="CA1017" s="17">
        <f>SUM((BX1017+BY1017)*0.00833333333333333)</f>
        <v>0</v>
      </c>
      <c r="CB1017" s="23">
        <f ca="1">MONTH(TODAY())+25</f>
        <v>29</v>
      </c>
      <c r="CC1017" s="14">
        <f ca="1">SUM(BX1017,BY1017,BZ1017)</f>
        <v>0</v>
      </c>
      <c r="CD1017" s="14">
        <f>SUM(DU1017*0.0052)</f>
        <v>187.2</v>
      </c>
      <c r="CE1017" s="14">
        <f>SUM(CD1017*0.1)</f>
        <v>18.72</v>
      </c>
      <c r="CF1017" s="14">
        <f ca="1">SUM(CG1017*CH1017)</f>
        <v>29.171999999999983</v>
      </c>
      <c r="CG1017" s="17">
        <f>SUM((CD1017+CE1017)*0.00833333333333333)</f>
        <v>1.7159999999999991</v>
      </c>
      <c r="CH1017" s="23">
        <f ca="1">MONTH(TODAY())+13</f>
        <v>17</v>
      </c>
      <c r="CI1017" s="14">
        <f ca="1">SUM(CD1017,CE1017,CF1017)</f>
        <v>235.09199999999998</v>
      </c>
      <c r="CJ1017" s="14">
        <f>SUM(DU1017*0.0052)</f>
        <v>187.2</v>
      </c>
      <c r="CK1017" s="14">
        <f>SUM(CJ1017*0.1)</f>
        <v>18.72</v>
      </c>
      <c r="CL1017" s="14">
        <f ca="1">SUM(CM1017*CN1017)</f>
        <v>8.5799999999999947</v>
      </c>
      <c r="CM1017" s="17">
        <f>SUM((CJ1017+CK1017)*0.00833333333333333)</f>
        <v>1.7159999999999991</v>
      </c>
      <c r="CN1017" s="23">
        <f ca="1">MONTH(TODAY())+1</f>
        <v>5</v>
      </c>
      <c r="CO1017" s="14">
        <f ca="1">SUM(CJ1017,CK1017,CL1017)</f>
        <v>214.49999999999997</v>
      </c>
      <c r="CP1017" s="14">
        <f>SUM(DU1017*0.0052)/2</f>
        <v>93.6</v>
      </c>
      <c r="CQ1017" s="14">
        <f>SUM(CP1017*0.1)</f>
        <v>9.36</v>
      </c>
      <c r="CR1017" s="14">
        <f ca="1">SUM(CS1017*CT1017)</f>
        <v>-2.5739999999999985</v>
      </c>
      <c r="CS1017" s="17">
        <f>SUM((CP1017+CQ1017)*0.00833333333333333)</f>
        <v>0.85799999999999954</v>
      </c>
      <c r="CT1017" s="23">
        <f ca="1">MONTH(TODAY())-7</f>
        <v>-3</v>
      </c>
      <c r="CU1017" s="23">
        <f ca="1">SUM(CP1017,CQ1017,CR1017)</f>
        <v>100.386</v>
      </c>
      <c r="CV1017" s="14">
        <f>SUM(DU1017*0.0052)/2</f>
        <v>93.6</v>
      </c>
      <c r="CW1017" s="14">
        <v>0</v>
      </c>
      <c r="CX1017" s="14">
        <v>0</v>
      </c>
      <c r="CY1017" s="17">
        <f>SUM((CV1017+CW1017)*0.00833333333333333)</f>
        <v>0.77999999999999958</v>
      </c>
      <c r="CZ1017" s="23">
        <f ca="1">MONTH(TODAY())-7</f>
        <v>-3</v>
      </c>
      <c r="DA1017" s="23">
        <f>SUM(CV1017,CW1017,CX1017)</f>
        <v>93.6</v>
      </c>
      <c r="DB1017" s="14">
        <f>SUM(BL1017, BR1017, BX1017, CD1017, CJ1017, CP1017,CV1017)</f>
        <v>561.6</v>
      </c>
      <c r="DC1017" s="14">
        <f>SUM(BM1017, BS1017,BY1017,CE1017,CK1017, CQ1017,CW1017)</f>
        <v>46.8</v>
      </c>
      <c r="DD1017" s="14">
        <f ca="1">SUM(BN1017, BT1017,BZ1017,CF1017,CL1017, CR1017,CX1017)</f>
        <v>35.177999999999983</v>
      </c>
      <c r="DE1017" s="14">
        <f ca="1">SUM(DB1017:DD1017)</f>
        <v>643.57799999999997</v>
      </c>
      <c r="DF1017" s="47">
        <f ca="1">SUM(DE1017/DU1017)</f>
        <v>1.7877166666666666E-2</v>
      </c>
      <c r="DG1017" s="14">
        <f>19.5+19.5+195+195+39+39+58.5+39+97.5+97.5</f>
        <v>799.5</v>
      </c>
      <c r="DH1017" s="32">
        <f>COUNTIF(DN1017, "*")+COUNTIF(AO1017, "*")+COUNTIF(AJ1017, "*")+COUNTIF(AA1017, "*")+COUNTIF(EK1017, "*")+COUNTIF(EQ1017, "*")+COUNTIF(EW1017, "*")+COUNTIF(FA1017, "*")+COUNTIF(FH1017, "*")+COUNTIF(FO1017, "*")+COUNTIF(FV1017, "*")+COUNTIF(GG1017, "*")+COUNTIF(GR1017, "*")+COUNTIF(GZ1017, "*")+COUNTIF(HH1017, "*")+COUNTIF(HP1017, "*")+COUNTIF(HX1017, "*")</f>
        <v>3</v>
      </c>
      <c r="DI1017" s="14">
        <f>1.06+19.98+28</f>
        <v>49.04</v>
      </c>
      <c r="DJ1017" s="4">
        <v>250</v>
      </c>
      <c r="DK1017" s="14">
        <f ca="1">SUM(DE1017,DG1017,DQ1017, DJ1017, DI1017,FS1017)</f>
        <v>2518.6979999999999</v>
      </c>
      <c r="DL1017" s="14">
        <v>30.08</v>
      </c>
      <c r="DM1017" s="4"/>
      <c r="DN1017" s="4">
        <v>67.5</v>
      </c>
      <c r="DO1017" s="14">
        <f>SUM(DU1017*0.004)</f>
        <v>144</v>
      </c>
      <c r="DP1017" s="4">
        <v>535</v>
      </c>
      <c r="DQ1017" s="14">
        <f>SUM(DL1017:DP1017)</f>
        <v>776.57999999999993</v>
      </c>
      <c r="DR1017" s="24" t="s">
        <v>2773</v>
      </c>
      <c r="DS1017" s="4">
        <v>36000</v>
      </c>
      <c r="DT1017" s="4">
        <v>0</v>
      </c>
      <c r="DU1017" s="25">
        <f>SUM(DS1017+DT1017)</f>
        <v>36000</v>
      </c>
      <c r="DV1017" s="35">
        <v>1.85</v>
      </c>
      <c r="DW1017" t="s">
        <v>3660</v>
      </c>
      <c r="DX1017" t="s">
        <v>3661</v>
      </c>
      <c r="DY1017" t="s">
        <v>3662</v>
      </c>
      <c r="FT1017" t="s">
        <v>3557</v>
      </c>
      <c r="FU1017" t="s">
        <v>411</v>
      </c>
      <c r="FV1017" t="s">
        <v>3558</v>
      </c>
      <c r="FX1017" t="s">
        <v>259</v>
      </c>
      <c r="FY1017" t="s">
        <v>260</v>
      </c>
      <c r="FZ1017" s="9">
        <v>44008</v>
      </c>
      <c r="GA1017" t="s">
        <v>3717</v>
      </c>
      <c r="GK1017" s="9"/>
      <c r="ID1017" s="9">
        <v>44863</v>
      </c>
      <c r="IO1017" s="14">
        <f ca="1">SUM(IE1017-DK1017-FS1017-IM1017)</f>
        <v>-2518.6979999999999</v>
      </c>
      <c r="IP1017" s="9">
        <v>44823</v>
      </c>
      <c r="IQ1017" s="9"/>
      <c r="IR1017" s="9"/>
      <c r="IS1017" s="9"/>
      <c r="IT1017" s="9"/>
    </row>
    <row r="1018" spans="1:263" ht="15" customHeight="1">
      <c r="A1018" s="19">
        <v>102022044</v>
      </c>
      <c r="B1018" t="s">
        <v>2796</v>
      </c>
      <c r="D1018" s="1"/>
      <c r="E1018" s="3" t="s">
        <v>3904</v>
      </c>
      <c r="F1018" s="3">
        <v>220003481</v>
      </c>
      <c r="J1018" t="s">
        <v>311</v>
      </c>
      <c r="K1018" t="s">
        <v>1567</v>
      </c>
      <c r="L1018" t="s">
        <v>900</v>
      </c>
      <c r="M1018" t="s">
        <v>357</v>
      </c>
      <c r="AG1018" s="43"/>
      <c r="AJ1018" t="s">
        <v>328</v>
      </c>
      <c r="AL1018" s="18" t="s">
        <v>344</v>
      </c>
      <c r="AM1018"/>
      <c r="AN1018"/>
      <c r="AO1018" s="3" t="s">
        <v>3013</v>
      </c>
      <c r="AP1018" s="3" t="s">
        <v>258</v>
      </c>
      <c r="AQ1018" t="s">
        <v>3014</v>
      </c>
      <c r="AR1018"/>
      <c r="AS1018" s="1"/>
      <c r="AT1018" s="1" t="s">
        <v>258</v>
      </c>
      <c r="AU1018" s="1"/>
      <c r="AV1018" s="1"/>
      <c r="AW1018" s="1"/>
      <c r="AX1018" s="70">
        <v>44693</v>
      </c>
      <c r="AY1018" s="115">
        <v>44661</v>
      </c>
      <c r="AZ1018" s="115">
        <v>44649</v>
      </c>
      <c r="BA1018" s="70"/>
      <c r="BB1018" s="2"/>
      <c r="BC1018" s="2"/>
      <c r="BD1018" s="2"/>
      <c r="BE1018" s="70">
        <v>44813</v>
      </c>
      <c r="BF1018" s="2" t="s">
        <v>319</v>
      </c>
      <c r="BG1018" s="2"/>
      <c r="BH1018" s="2"/>
      <c r="BI1018" s="2"/>
      <c r="BJ1018" s="2"/>
      <c r="BK1018" s="2"/>
      <c r="BL1018" s="20">
        <f ca="1">SUM(DP1018)+214.5</f>
        <v>4166.6419999999998</v>
      </c>
      <c r="BM1018" s="22">
        <f ca="1">PMT(10%/12,12,BL1018,0,0)</f>
        <v>-366.31402819982162</v>
      </c>
      <c r="BN1018" s="22">
        <f ca="1">SUM(BM1018*-1)</f>
        <v>366.31402819982162</v>
      </c>
      <c r="BO1018" s="14">
        <f>SUM(EL1018*0.0052)/12</f>
        <v>15.6</v>
      </c>
      <c r="BP1018" s="22">
        <f ca="1">SUM(BN1018+BO1018)</f>
        <v>381.91402819982164</v>
      </c>
      <c r="BQ1018" s="14"/>
      <c r="BR1018" s="14">
        <f>SUM(BQ1018*0.1)</f>
        <v>0</v>
      </c>
      <c r="BS1018" s="14">
        <f ca="1">SUM(BT1018*BU1018)</f>
        <v>0</v>
      </c>
      <c r="BT1018" s="17">
        <f>SUM((BQ1018+BR1018)*0.00833333333333333)</f>
        <v>0</v>
      </c>
      <c r="BU1018" s="23">
        <f ca="1">MONTH(TODAY())+49</f>
        <v>53</v>
      </c>
      <c r="BV1018" s="14">
        <f ca="1">SUM(BQ1018,BR1018,BS1018)</f>
        <v>0</v>
      </c>
      <c r="BW1018" s="14"/>
      <c r="BX1018" s="14">
        <f>SUM(BW1018*0.1)</f>
        <v>0</v>
      </c>
      <c r="BY1018" s="14">
        <f ca="1">SUM(BZ1018*CA1018)</f>
        <v>0</v>
      </c>
      <c r="BZ1018" s="17">
        <f>SUM((BW1018+BX1018)*0.00833333333333333)</f>
        <v>0</v>
      </c>
      <c r="CA1018" s="23">
        <f ca="1">MONTH(TODAY())+37</f>
        <v>41</v>
      </c>
      <c r="CB1018" s="14">
        <f ca="1">SUM(BW1018,BX1018,BY1018)</f>
        <v>0</v>
      </c>
      <c r="CC1018" s="14"/>
      <c r="CD1018" s="14">
        <f>SUM(CC1018*0.1)</f>
        <v>0</v>
      </c>
      <c r="CE1018" s="14">
        <f>SUM(CF1018*CG1018)</f>
        <v>0</v>
      </c>
      <c r="CF1018" s="17">
        <f>SUM((CC1018+CD1018)*0.00833333333333333)</f>
        <v>0</v>
      </c>
      <c r="CG1018" s="23">
        <v>37</v>
      </c>
      <c r="CH1018" s="14">
        <f>SUM(CC1018,CD1018,CE1018)</f>
        <v>0</v>
      </c>
      <c r="CI1018" s="14">
        <f>SUM(EL1018*0.0052)</f>
        <v>187.2</v>
      </c>
      <c r="CJ1018" s="14">
        <f>SUM(CI1018*0.1)</f>
        <v>18.72</v>
      </c>
      <c r="CK1018" s="14">
        <f>SUM(CL1018*CM1018)</f>
        <v>44.615999999999978</v>
      </c>
      <c r="CL1018" s="17">
        <f>SUM((CI1018+CJ1018)*0.00833333333333333)</f>
        <v>1.7159999999999991</v>
      </c>
      <c r="CM1018" s="23">
        <v>26</v>
      </c>
      <c r="CN1018" s="14">
        <f>SUM(CI1018,CJ1018,CK1018)</f>
        <v>250.53599999999997</v>
      </c>
      <c r="CO1018" s="14">
        <f>SUM(EL1018*0.0052)</f>
        <v>187.2</v>
      </c>
      <c r="CP1018" s="14">
        <f>SUM(CO1018*0.1)</f>
        <v>18.72</v>
      </c>
      <c r="CQ1018" s="14">
        <f>SUM(CR1018*CS1018)</f>
        <v>22.307999999999989</v>
      </c>
      <c r="CR1018" s="17">
        <f>SUM((CO1018+CP1018)*0.00833333333333333)</f>
        <v>1.7159999999999991</v>
      </c>
      <c r="CS1018" s="23">
        <v>13</v>
      </c>
      <c r="CT1018" s="14">
        <f>SUM(CO1018,CP1018,CQ1018)</f>
        <v>228.22799999999998</v>
      </c>
      <c r="CU1018" s="14">
        <f>SUM(EL1018*0.0052)/2</f>
        <v>93.6</v>
      </c>
      <c r="CV1018" s="14">
        <f>SUM(CU1018*0.1)</f>
        <v>9.36</v>
      </c>
      <c r="CW1018" s="14">
        <f>SUM(CX1018*CY1018)</f>
        <v>5.147999999999997</v>
      </c>
      <c r="CX1018" s="17">
        <f>SUM((CU1018+CV1018)*0.00833333333333333)</f>
        <v>0.85799999999999954</v>
      </c>
      <c r="CY1018" s="23">
        <v>6</v>
      </c>
      <c r="CZ1018" s="23">
        <f>SUM(CU1018,CV1018,CW1018)</f>
        <v>108.10799999999999</v>
      </c>
      <c r="DA1018" s="14">
        <f>SUM(EL1018*0.0052)/2</f>
        <v>93.6</v>
      </c>
      <c r="DB1018" s="14">
        <v>0</v>
      </c>
      <c r="DC1018" s="14">
        <v>0</v>
      </c>
      <c r="DD1018" s="17">
        <f>SUM((DA1018+DB1018)*0.00833333333333333)</f>
        <v>0.77999999999999958</v>
      </c>
      <c r="DE1018" s="23">
        <f ca="1">MONTH(TODAY())-6</f>
        <v>-2</v>
      </c>
      <c r="DF1018" s="23">
        <f>SUM(DA1018,DB1018,DC1018)</f>
        <v>93.6</v>
      </c>
      <c r="DG1018" s="14">
        <f>SUM(BQ1018, BW1018, CC1018, CI1018, CO1018, CU1018,DA1018)</f>
        <v>561.6</v>
      </c>
      <c r="DH1018" s="14">
        <f>SUM(BR1018, BX1018,CD1018,CJ1018,CP1018, CV1018,DB1018)</f>
        <v>46.8</v>
      </c>
      <c r="DI1018" s="14">
        <f ca="1">SUM(BS1018, BY1018,CE1018,CK1018,CQ1018, CW1018,DC1018)</f>
        <v>72.07199999999996</v>
      </c>
      <c r="DJ1018" s="14">
        <f ca="1">SUM(DG1018:DI1018)</f>
        <v>680.47199999999998</v>
      </c>
      <c r="DK1018" s="47">
        <f ca="1">SUM(DJ1018/EL1018)</f>
        <v>1.8901999999999999E-2</v>
      </c>
      <c r="DL1018" s="14">
        <f>19.5+19.5+195+195+39+39+58.5+39+97.5+97.5+39+58.5+39+39+19.5+97.5+58.5+97.5+97.5+195+19.5</f>
        <v>1560</v>
      </c>
      <c r="DM1018" s="32" t="e">
        <f>COUNTIF(DS1018, "*")+COUNTIF(AO1018, "*")+COUNTIF(AJ1018, "*")+COUNTIF(AA1018, "*")+COUNTIF(FE1018, "*")+COUNTIF(FK1018, "*")+COUNTIF(FQ1018, "*")+COUNTIF(FU1018, "*")+COUNTIF(GB1018, "*")+COUNTIF(#REF!, "*")+COUNTIF(GP1018, "*")+COUNTIF(HA1018, "*")+COUNTIF(HL1018, "*")+COUNTIF(HT1018, "*")+COUNTIF(IB1018, "*")+COUNTIF(#REF!, "*")+COUNTIF(#REF!, "*")</f>
        <v>#REF!</v>
      </c>
      <c r="DN1018" s="14">
        <f>1.06+19.98+28+74.65</f>
        <v>123.69</v>
      </c>
      <c r="DO1018" s="4">
        <v>250</v>
      </c>
      <c r="DP1018" s="14">
        <f ca="1">SUM(DJ1018,DL1018,DV1018, DO1018, DN1018,GM1018)</f>
        <v>3952.1419999999998</v>
      </c>
      <c r="DQ1018" s="14">
        <f>30.08+211.4</f>
        <v>241.48000000000002</v>
      </c>
      <c r="DR1018" s="4"/>
      <c r="DS1018" s="4">
        <v>67.5</v>
      </c>
      <c r="DT1018" s="14">
        <f>SUM(EL1018*0.004)</f>
        <v>144</v>
      </c>
      <c r="DU1018" s="4">
        <v>535</v>
      </c>
      <c r="DV1018" s="14">
        <f>SUM(DQ1018:DU1018)</f>
        <v>987.98</v>
      </c>
      <c r="DW1018" s="14"/>
      <c r="DX1018" s="14"/>
      <c r="DY1018" s="14"/>
      <c r="DZ1018" s="14"/>
      <c r="EA1018" s="14"/>
      <c r="EB1018" s="14"/>
      <c r="EC1018" s="14"/>
      <c r="ED1018" s="14"/>
      <c r="EE1018" s="14"/>
      <c r="EF1018" s="14"/>
      <c r="EG1018" s="14"/>
      <c r="EH1018" s="14"/>
      <c r="EI1018" s="24" t="s">
        <v>2773</v>
      </c>
      <c r="EJ1018" s="4">
        <v>36000</v>
      </c>
      <c r="EK1018" s="4">
        <v>0</v>
      </c>
      <c r="EL1018" s="25">
        <f>SUM(EJ1018+EK1018)</f>
        <v>36000</v>
      </c>
      <c r="EM1018" s="35">
        <v>1.85</v>
      </c>
      <c r="EN1018" s="35"/>
      <c r="EO1018" s="35"/>
      <c r="EP1018" s="35"/>
      <c r="EQ1018" t="s">
        <v>3660</v>
      </c>
      <c r="ER1018" t="s">
        <v>3661</v>
      </c>
      <c r="ES1018" t="s">
        <v>3662</v>
      </c>
      <c r="GH1018" t="s">
        <v>3968</v>
      </c>
      <c r="GI1018" t="s">
        <v>3967</v>
      </c>
      <c r="GJ1018" t="s">
        <v>3969</v>
      </c>
      <c r="GK1018" t="s">
        <v>279</v>
      </c>
      <c r="GM1018">
        <v>350</v>
      </c>
      <c r="GN1018" t="s">
        <v>3557</v>
      </c>
      <c r="GO1018" t="s">
        <v>411</v>
      </c>
      <c r="GP1018" t="s">
        <v>3558</v>
      </c>
      <c r="GR1018" t="s">
        <v>259</v>
      </c>
      <c r="GS1018" t="s">
        <v>260</v>
      </c>
      <c r="GT1018" s="9">
        <v>44008</v>
      </c>
      <c r="GU1018" t="s">
        <v>3717</v>
      </c>
      <c r="HE1018" s="9"/>
      <c r="IE1018" s="9">
        <v>44863</v>
      </c>
      <c r="IF1018" s="284">
        <v>10000</v>
      </c>
      <c r="IG1018" s="124">
        <v>3000</v>
      </c>
      <c r="IH1018" s="18" t="s">
        <v>3954</v>
      </c>
      <c r="II1018" t="s">
        <v>3949</v>
      </c>
      <c r="IJ1018" t="s">
        <v>3950</v>
      </c>
      <c r="IK1018" t="s">
        <v>411</v>
      </c>
      <c r="IL1018" s="4">
        <v>1734.79</v>
      </c>
      <c r="IM1018" s="14">
        <v>203</v>
      </c>
      <c r="IN1018" s="14">
        <f ca="1">SUM(IF1018-DP1018-GM1018-IL1018)</f>
        <v>3963.0680000000002</v>
      </c>
      <c r="IO1018" s="4"/>
      <c r="IP1018" s="4"/>
      <c r="IQ1018" s="27"/>
      <c r="IR1018" s="9">
        <v>44837</v>
      </c>
      <c r="IT1018" s="9">
        <v>44869</v>
      </c>
    </row>
    <row r="1019" spans="1:263" ht="15" customHeight="1">
      <c r="A1019" s="19">
        <v>102023063</v>
      </c>
      <c r="B1019" s="18" t="s">
        <v>4196</v>
      </c>
      <c r="D1019" s="1"/>
      <c r="E1019" s="3"/>
      <c r="F1019" s="3"/>
      <c r="J1019" s="18" t="s">
        <v>434</v>
      </c>
      <c r="K1019" s="18" t="s">
        <v>4194</v>
      </c>
      <c r="L1019" s="18" t="s">
        <v>4195</v>
      </c>
      <c r="M1019" s="18" t="s">
        <v>426</v>
      </c>
      <c r="N1019" s="18"/>
      <c r="O1019" s="24"/>
      <c r="P1019" s="18" t="s">
        <v>4194</v>
      </c>
      <c r="Q1019" s="18" t="s">
        <v>4193</v>
      </c>
      <c r="R1019" s="18"/>
      <c r="S1019" s="18"/>
      <c r="U1019" t="s">
        <v>4194</v>
      </c>
      <c r="V1019" t="s">
        <v>577</v>
      </c>
      <c r="W1019" t="s">
        <v>326</v>
      </c>
      <c r="AG1019" s="43"/>
      <c r="AJ1019" s="18" t="s">
        <v>328</v>
      </c>
      <c r="AK1019" s="18"/>
      <c r="AL1019" s="18" t="s">
        <v>344</v>
      </c>
      <c r="AM1019" s="18"/>
      <c r="AN1019" s="18"/>
      <c r="AO1019" s="18" t="s">
        <v>4192</v>
      </c>
      <c r="AP1019" s="18" t="s">
        <v>258</v>
      </c>
      <c r="AQ1019" s="18" t="s">
        <v>4191</v>
      </c>
      <c r="AR1019" s="18"/>
      <c r="AX1019" s="1"/>
      <c r="AY1019" s="1"/>
      <c r="AZ1019" s="1"/>
      <c r="BA1019" s="1"/>
      <c r="BB1019" s="1"/>
      <c r="BC1019" s="2"/>
      <c r="BD1019" s="116"/>
      <c r="BE1019" s="115"/>
      <c r="BF1019" s="2"/>
      <c r="BG1019" s="2"/>
      <c r="BH1019" s="2"/>
      <c r="BI1019" s="2"/>
      <c r="BJ1019" s="2"/>
      <c r="BK1019" s="2"/>
      <c r="BL1019" s="20">
        <f ca="1">SUM(EB1019)+220</f>
        <v>730.22399999999993</v>
      </c>
      <c r="BM1019" s="22">
        <f ca="1">PMT(10%/12,12,BL1019,0,0)</f>
        <v>-64.198290836646521</v>
      </c>
      <c r="BN1019" s="22">
        <f ca="1">SUM(BM1019*-1)</f>
        <v>64.198290836646521</v>
      </c>
      <c r="BO1019" s="14">
        <f>SUM(EJ1019*0.0052)/12</f>
        <v>6.9333333333333336</v>
      </c>
      <c r="BP1019" s="22">
        <f ca="1">SUM(BN1019+BO1019)</f>
        <v>71.131624169979858</v>
      </c>
      <c r="BQ1019" s="14"/>
      <c r="BR1019" s="14">
        <f>SUM(BQ1019*0.1)</f>
        <v>0</v>
      </c>
      <c r="BS1019" s="14">
        <f ca="1">SUM(BT1019*BU1019)</f>
        <v>0</v>
      </c>
      <c r="BT1019" s="17">
        <f>SUM((BQ1019+BR1019)*0.00833333333333333)</f>
        <v>0</v>
      </c>
      <c r="BU1019" s="23">
        <f ca="1">MONTH(TODAY())+49</f>
        <v>53</v>
      </c>
      <c r="BV1019" s="14">
        <f ca="1">SUM(BQ1019,BR1019,BS1019)</f>
        <v>0</v>
      </c>
      <c r="BW1019" s="14"/>
      <c r="BX1019" s="14">
        <f>SUM(BW1019*0.1)</f>
        <v>0</v>
      </c>
      <c r="BY1019" s="14">
        <f ca="1">SUM(BZ1019*CA1019)</f>
        <v>0</v>
      </c>
      <c r="BZ1019" s="17">
        <f>SUM((BW1019+BX1019)*0.00833333333333333)</f>
        <v>0</v>
      </c>
      <c r="CA1019" s="23">
        <f ca="1">MONTH(TODAY())+37</f>
        <v>41</v>
      </c>
      <c r="CB1019" s="14">
        <f ca="1">SUM(BW1019,BX1019,BY1019)</f>
        <v>0</v>
      </c>
      <c r="CC1019" s="14">
        <v>0</v>
      </c>
      <c r="CD1019" s="14">
        <f>SUM(CC1019*0.1)</f>
        <v>0</v>
      </c>
      <c r="CE1019" s="14">
        <f ca="1">SUM(CF1019*CG1019)</f>
        <v>0</v>
      </c>
      <c r="CF1019" s="17">
        <f>SUM((CC1019+CD1019)*0.00833333333333333)</f>
        <v>0</v>
      </c>
      <c r="CG1019" s="23">
        <f ca="1">MONTH(TODAY())+25</f>
        <v>29</v>
      </c>
      <c r="CH1019" s="14">
        <f ca="1">SUM(CC1019,CD1019,CE1019)</f>
        <v>0</v>
      </c>
      <c r="CI1019" s="14">
        <f>SUM(EG1019*0.0052)</f>
        <v>187.2</v>
      </c>
      <c r="CJ1019" s="14">
        <f>SUM(CI1019*0.1)</f>
        <v>18.72</v>
      </c>
      <c r="CK1019" s="14">
        <f ca="1">SUM(CL1019*CM1019)</f>
        <v>29.171999999999983</v>
      </c>
      <c r="CL1019" s="17">
        <f>SUM((CI1019+CJ1019)*0.00833333333333333)</f>
        <v>1.7159999999999991</v>
      </c>
      <c r="CM1019" s="23">
        <f ca="1">MONTH(TODAY())+13</f>
        <v>17</v>
      </c>
      <c r="CN1019" s="14">
        <f ca="1">SUM(CI1019,CJ1019,CK1019)</f>
        <v>235.09199999999998</v>
      </c>
      <c r="CO1019" s="14">
        <f>SUM(EG1019*0.0052)/2</f>
        <v>93.6</v>
      </c>
      <c r="CP1019" s="14">
        <f>SUM(CO1019*0.1)</f>
        <v>9.36</v>
      </c>
      <c r="CQ1019" s="14">
        <f ca="1">SUM(CR1019*CS1019)</f>
        <v>7.721999999999996</v>
      </c>
      <c r="CR1019" s="17">
        <f>SUM((CO1019+CP1019)*0.00833333333333333)</f>
        <v>0.85799999999999954</v>
      </c>
      <c r="CS1019" s="23">
        <f ca="1">MONTH(TODAY())+5</f>
        <v>9</v>
      </c>
      <c r="CT1019" s="23">
        <f ca="1">SUM(CO1019,CP1019,CQ1019)</f>
        <v>110.68199999999999</v>
      </c>
      <c r="CU1019" s="14">
        <f>SUM(EG1019*0.0052)/2</f>
        <v>93.6</v>
      </c>
      <c r="CV1019" s="14">
        <f>SUM(CU1019*0.1)</f>
        <v>9.36</v>
      </c>
      <c r="CW1019" s="14">
        <f ca="1">SUM(CX1019*CY1019)</f>
        <v>4.2899999999999974</v>
      </c>
      <c r="CX1019" s="17">
        <f>SUM((CU1019+CV1019)*0.00833333333333333)</f>
        <v>0.85799999999999954</v>
      </c>
      <c r="CY1019" s="23">
        <f ca="1">MONTH(TODAY())+1</f>
        <v>5</v>
      </c>
      <c r="CZ1019" s="23">
        <f ca="1">SUM(CU1019,CV1019,CW1019)</f>
        <v>107.24999999999999</v>
      </c>
      <c r="DA1019" s="14">
        <f>SUM(EJ1019*0.0045)/2</f>
        <v>36</v>
      </c>
      <c r="DB1019" s="14">
        <v>0</v>
      </c>
      <c r="DC1019" s="14">
        <v>0</v>
      </c>
      <c r="DD1019" s="17">
        <f>SUM((DA1019+DB1019)*0.00833333333333333)</f>
        <v>0.29999999999999988</v>
      </c>
      <c r="DE1019" s="23">
        <f ca="1">MONTH(TODAY())-5</f>
        <v>-1</v>
      </c>
      <c r="DF1019" s="23">
        <f>SUM(DA1019,DB1019,DC1019)</f>
        <v>36</v>
      </c>
      <c r="DG1019" s="14">
        <v>0</v>
      </c>
      <c r="DH1019" s="14">
        <v>0</v>
      </c>
      <c r="DI1019" s="14">
        <v>0</v>
      </c>
      <c r="DJ1019" s="17">
        <f>SUM((DG1019+DH1019)*0.00833333333333333)</f>
        <v>0</v>
      </c>
      <c r="DK1019" s="23">
        <f ca="1">MONTH(TODAY())+1</f>
        <v>5</v>
      </c>
      <c r="DL1019" s="23">
        <f>SUM(DG1019,DH1019,DI1019)</f>
        <v>0</v>
      </c>
      <c r="DM1019" s="14">
        <f>SUM( BQ1019, BW1019, CC1019, CI1019, CO1019,CU1019,DA1019,DG1019)</f>
        <v>410.4</v>
      </c>
      <c r="DN1019" s="14">
        <f>SUM(BR1019,BX1019,CD1019,CJ1019, CP1019,CV1019,DB1019,DH1019)</f>
        <v>37.44</v>
      </c>
      <c r="DO1019" s="14">
        <f ca="1">SUM(BS1019,BY1019,CE1019,CK1019, CQ1019,CW1019,DC1019,DI1019)</f>
        <v>41.183999999999976</v>
      </c>
      <c r="DP1019" s="25">
        <f ca="1">SUM(DM1019:DO1019)</f>
        <v>489.02399999999994</v>
      </c>
      <c r="DQ1019" s="47">
        <f ca="1">SUM(DP1019/EG1019)</f>
        <v>1.3583999999999999E-2</v>
      </c>
      <c r="DR1019" s="14">
        <v>20</v>
      </c>
      <c r="DS1019" s="32">
        <f>COUNTIF(DX1019, "*")+COUNTIF(AO1019, "*")+COUNTIF(AJ1019, "*")+COUNTIF(AA1019, "*")+COUNTIF(EY1019, "*")+COUNTIF(FE1019, "*")+COUNTIF(FK1019, "*")+COUNTIF(FO1019, "*")+COUNTIF(FV1019, "*")+COUNTIF(AT1019, "*")+COUNTIF(GE1019, "*")+COUNTIF(GP1019, "*")+COUNTIF(HA1019, "*")+COUNTIF(HI1019, "*")+COUNTIF(HQ1019, "*")+COUNTIF(HY1019, "*")+COUNTIF(IG1019, "*")</f>
        <v>2</v>
      </c>
      <c r="DT1019" s="14">
        <f>DS1019*0.6</f>
        <v>1.2</v>
      </c>
      <c r="DU1019" s="4"/>
      <c r="DV1019" s="4"/>
      <c r="DW1019" s="4"/>
      <c r="DX1019" s="4"/>
      <c r="DZ1019" s="4"/>
      <c r="EA1019" s="14">
        <f>SUM(DV1019:DZ1019)</f>
        <v>0</v>
      </c>
      <c r="EB1019" s="14">
        <f ca="1">SUM(DP1019,DR1019,EA1019, DU1019, DT1019,GB1019)</f>
        <v>510.22399999999993</v>
      </c>
      <c r="EC1019" s="24" t="s">
        <v>3879</v>
      </c>
      <c r="ED1019" s="130">
        <v>1.77</v>
      </c>
      <c r="EE1019" s="14">
        <v>36000</v>
      </c>
      <c r="EF1019" s="14">
        <v>0</v>
      </c>
      <c r="EG1019" s="14">
        <v>36000</v>
      </c>
      <c r="EH1019" s="14">
        <v>16000</v>
      </c>
      <c r="EI1019" s="14">
        <v>0</v>
      </c>
      <c r="EJ1019" s="14">
        <f>SUM(EH1019+EI1019)</f>
        <v>16000</v>
      </c>
      <c r="IM1019" s="9"/>
      <c r="IX1019" s="14">
        <f ca="1">SUM(IN1019-EB1019-GB1019-IV1019)</f>
        <v>-510.22399999999993</v>
      </c>
      <c r="IY1019" s="9"/>
      <c r="IZ1019" s="9"/>
      <c r="JA1019" s="9"/>
      <c r="JB1019" s="9"/>
      <c r="JC1019" s="9"/>
    </row>
    <row r="1020" spans="1:263" ht="15" customHeight="1">
      <c r="A1020" s="2">
        <v>102017042</v>
      </c>
      <c r="B1020" t="s">
        <v>895</v>
      </c>
      <c r="J1020" t="s">
        <v>796</v>
      </c>
      <c r="K1020" t="s">
        <v>399</v>
      </c>
      <c r="L1020" t="s">
        <v>896</v>
      </c>
      <c r="O1020" s="1"/>
      <c r="T1020" s="1"/>
      <c r="AE1020" s="1"/>
      <c r="AJ1020" s="4"/>
      <c r="AK1020" s="4"/>
      <c r="AL1020" s="4"/>
      <c r="AM1020" s="34"/>
      <c r="AP1020" s="13"/>
      <c r="AS1020" s="5"/>
      <c r="AT1020" s="13"/>
      <c r="AU1020" s="1"/>
      <c r="AV1020" s="1"/>
      <c r="AW1020" s="1"/>
      <c r="AX1020" s="1"/>
      <c r="AY1020" s="15"/>
      <c r="AZ1020" s="15"/>
      <c r="BA1020" s="15"/>
      <c r="BB1020" s="1"/>
      <c r="BC1020" s="15"/>
      <c r="BD1020" s="15"/>
      <c r="BE1020" s="1"/>
      <c r="BF1020" s="1"/>
      <c r="BG1020" s="5"/>
      <c r="BH1020" s="16"/>
      <c r="BI1020" s="16"/>
      <c r="BK1020" s="4"/>
      <c r="BL1020" s="4"/>
      <c r="BM1020" s="6"/>
      <c r="BN1020" s="7"/>
      <c r="BO1020" s="4"/>
      <c r="BQ1020" s="4"/>
      <c r="BR1020" s="4"/>
      <c r="BS1020" s="6"/>
      <c r="BT1020" s="7"/>
      <c r="BU1020" s="4"/>
      <c r="BV1020" s="4"/>
      <c r="BW1020" s="4"/>
      <c r="BX1020" s="4"/>
      <c r="BY1020" s="6"/>
      <c r="BZ1020" s="7"/>
      <c r="CA1020" s="4"/>
      <c r="CC1020" s="4"/>
      <c r="CD1020" s="4"/>
      <c r="CE1020" s="6"/>
      <c r="CF1020" s="7"/>
      <c r="CG1020" s="4"/>
      <c r="CH1020" s="4"/>
      <c r="CI1020" s="4"/>
      <c r="CJ1020" s="4"/>
      <c r="CK1020" s="6"/>
      <c r="CL1020" s="7"/>
      <c r="CM1020" s="4"/>
      <c r="CN1020" s="4"/>
      <c r="CO1020" s="4"/>
      <c r="CP1020" s="4"/>
      <c r="CQ1020" s="6"/>
      <c r="CR1020" s="7"/>
      <c r="CS1020" s="4"/>
      <c r="CT1020" s="4"/>
      <c r="CU1020" s="4"/>
      <c r="CV1020" s="4"/>
      <c r="CW1020" s="6"/>
      <c r="CX1020" s="7"/>
      <c r="CY1020" s="4"/>
      <c r="CZ1020" s="4"/>
      <c r="DA1020" s="4"/>
      <c r="DB1020" s="4"/>
      <c r="DC1020" s="6"/>
      <c r="DD1020" s="7"/>
      <c r="DE1020" s="4"/>
      <c r="DF1020" s="4"/>
      <c r="DG1020" s="4"/>
      <c r="DH1020" s="4"/>
      <c r="DI1020" s="6"/>
      <c r="DJ1020" s="7"/>
      <c r="DK1020" s="4"/>
      <c r="DL1020" s="4"/>
      <c r="DM1020" s="4"/>
      <c r="DN1020" s="4"/>
      <c r="DO1020" s="4"/>
      <c r="DP1020" s="4"/>
      <c r="DQ1020" s="3"/>
      <c r="DR1020" s="4"/>
      <c r="DS1020" s="4"/>
      <c r="DT1020" s="4"/>
      <c r="DU1020" s="4"/>
      <c r="DV1020" s="4"/>
      <c r="DW1020" s="4"/>
      <c r="DX1020" s="4"/>
      <c r="DY1020" s="4"/>
      <c r="DZ1020" s="4"/>
      <c r="EA1020" s="4"/>
      <c r="EB1020" s="4"/>
      <c r="EC1020" s="4"/>
      <c r="ED1020" s="4"/>
      <c r="FL1020" s="9"/>
      <c r="FM1020" s="10"/>
      <c r="FT1020" s="10"/>
      <c r="FU1020" s="9"/>
      <c r="GG1020" s="9"/>
      <c r="IP1020" s="4"/>
    </row>
    <row r="1021" spans="1:263" ht="15" customHeight="1">
      <c r="A1021" s="19">
        <v>102023109</v>
      </c>
      <c r="B1021" s="18" t="s">
        <v>4364</v>
      </c>
      <c r="D1021" s="1"/>
      <c r="E1021" s="3"/>
      <c r="F1021" s="3"/>
      <c r="J1021" s="18" t="s">
        <v>311</v>
      </c>
      <c r="K1021" s="18" t="s">
        <v>4424</v>
      </c>
      <c r="L1021" s="18" t="s">
        <v>4425</v>
      </c>
      <c r="M1021" s="18" t="s">
        <v>403</v>
      </c>
      <c r="N1021" s="18"/>
      <c r="O1021" s="19"/>
      <c r="P1021" s="18"/>
      <c r="Q1021" s="18"/>
      <c r="R1021" s="18"/>
      <c r="S1021" s="18"/>
      <c r="AG1021" s="43"/>
      <c r="AJ1021" s="18" t="s">
        <v>328</v>
      </c>
      <c r="AL1021" s="18" t="s">
        <v>329</v>
      </c>
      <c r="AM1021"/>
      <c r="AN1021"/>
      <c r="AO1021" s="18" t="s">
        <v>4426</v>
      </c>
      <c r="AP1021" s="3" t="s">
        <v>258</v>
      </c>
      <c r="AQ1021" s="18" t="s">
        <v>329</v>
      </c>
      <c r="AR1021" s="18" t="s">
        <v>260</v>
      </c>
      <c r="AX1021" s="1"/>
      <c r="AY1021" s="1"/>
      <c r="AZ1021" s="1"/>
      <c r="BA1021" s="1"/>
      <c r="BB1021" s="1"/>
      <c r="BC1021" s="2"/>
      <c r="BD1021" s="116"/>
      <c r="BE1021" s="115"/>
      <c r="BF1021" s="2"/>
      <c r="BG1021" s="2"/>
      <c r="BH1021" s="2"/>
      <c r="BI1021" s="2"/>
      <c r="BJ1021" s="2"/>
      <c r="BK1021" s="2"/>
      <c r="BL1021" s="20">
        <f ca="1">SUM(EB1021)+220</f>
        <v>578.75620000000004</v>
      </c>
      <c r="BM1021" s="22">
        <f ca="1">PMT(10%/12,12,BL1021,0,0)</f>
        <v>-50.881864812868884</v>
      </c>
      <c r="BN1021" s="22">
        <f ca="1">SUM(BM1021*-1)</f>
        <v>50.881864812868884</v>
      </c>
      <c r="BO1021" s="14">
        <f>SUM(EJ1021*0.0052)/12</f>
        <v>12.176666666666668</v>
      </c>
      <c r="BP1021" s="22">
        <f ca="1">SUM(BN1021+BO1021)</f>
        <v>63.058531479535553</v>
      </c>
      <c r="BQ1021" s="14"/>
      <c r="BR1021" s="14">
        <f>SUM(BQ1021*0.1)</f>
        <v>0</v>
      </c>
      <c r="BS1021" s="14">
        <f ca="1">SUM(BT1021*BU1021)</f>
        <v>0</v>
      </c>
      <c r="BT1021" s="17">
        <f>SUM((BQ1021+BR1021)*0.00833333333333333)</f>
        <v>0</v>
      </c>
      <c r="BU1021" s="23">
        <f ca="1">MONTH(TODAY())+49</f>
        <v>53</v>
      </c>
      <c r="BV1021" s="14">
        <f ca="1">SUM(BQ1021,BR1021,BS1021)</f>
        <v>0</v>
      </c>
      <c r="BW1021" s="14"/>
      <c r="BX1021" s="14">
        <f>SUM(BW1021*0.1)</f>
        <v>0</v>
      </c>
      <c r="BY1021" s="14">
        <f ca="1">SUM(BZ1021*CA1021)</f>
        <v>0</v>
      </c>
      <c r="BZ1021" s="17">
        <f>SUM((BW1021+BX1021)*0.00833333333333333)</f>
        <v>0</v>
      </c>
      <c r="CA1021" s="23">
        <f ca="1">MONTH(TODAY())+37</f>
        <v>41</v>
      </c>
      <c r="CB1021" s="14">
        <f ca="1">SUM(BW1021,BX1021,BY1021)</f>
        <v>0</v>
      </c>
      <c r="CC1021" s="14">
        <v>0</v>
      </c>
      <c r="CD1021" s="14">
        <f>SUM(CC1021*0.1)</f>
        <v>0</v>
      </c>
      <c r="CE1021" s="14">
        <f ca="1">SUM(CF1021*CG1021)</f>
        <v>0</v>
      </c>
      <c r="CF1021" s="17">
        <f>SUM((CC1021+CD1021)*0.00833333333333333)</f>
        <v>0</v>
      </c>
      <c r="CG1021" s="23">
        <f ca="1">MONTH(TODAY())+25</f>
        <v>29</v>
      </c>
      <c r="CH1021" s="14">
        <f ca="1">SUM(CC1021,CD1021,CE1021)</f>
        <v>0</v>
      </c>
      <c r="CI1021" s="14">
        <f>SUM(EG1021*0.0052)</f>
        <v>113.36</v>
      </c>
      <c r="CJ1021" s="14">
        <f>SUM(CI1021*0.1)</f>
        <v>11.336</v>
      </c>
      <c r="CK1021" s="14">
        <f ca="1">SUM(CL1021*CM1021)</f>
        <v>17.665266666666657</v>
      </c>
      <c r="CL1021" s="17">
        <f>SUM((CI1021+CJ1021)*0.00833333333333333)</f>
        <v>1.0391333333333328</v>
      </c>
      <c r="CM1021" s="23">
        <f ca="1">MONTH(TODAY())+13</f>
        <v>17</v>
      </c>
      <c r="CN1021" s="14">
        <f ca="1">SUM(CI1021,CJ1021,CK1021)</f>
        <v>142.36126666666667</v>
      </c>
      <c r="CO1021" s="14">
        <f>SUM(EG1021*0.0052)/2</f>
        <v>56.68</v>
      </c>
      <c r="CP1021" s="14">
        <f>SUM(CO1021*0.1)</f>
        <v>5.6680000000000001</v>
      </c>
      <c r="CQ1021" s="14">
        <f ca="1">SUM(CR1021*CS1021)</f>
        <v>4.6760999999999973</v>
      </c>
      <c r="CR1021" s="17">
        <f>SUM((CO1021+CP1021)*0.00833333333333333)</f>
        <v>0.5195666666666664</v>
      </c>
      <c r="CS1021" s="23">
        <f ca="1">MONTH(TODAY())+5</f>
        <v>9</v>
      </c>
      <c r="CT1021" s="23">
        <f ca="1">SUM(CO1021,CP1021,CQ1021)</f>
        <v>67.02409999999999</v>
      </c>
      <c r="CU1021" s="14">
        <f>SUM(EG1021*0.0052)/2</f>
        <v>56.68</v>
      </c>
      <c r="CV1021" s="14">
        <f>SUM(CU1021*0.1)</f>
        <v>5.6680000000000001</v>
      </c>
      <c r="CW1021" s="14">
        <f ca="1">SUM(CX1021*CY1021)</f>
        <v>2.5978333333333321</v>
      </c>
      <c r="CX1021" s="17">
        <f>SUM((CU1021+CV1021)*0.00833333333333333)</f>
        <v>0.5195666666666664</v>
      </c>
      <c r="CY1021" s="23">
        <f ca="1">MONTH(TODAY())+1</f>
        <v>5</v>
      </c>
      <c r="CZ1021" s="23">
        <f ca="1">SUM(CU1021,CV1021,CW1021)</f>
        <v>64.945833333333326</v>
      </c>
      <c r="DA1021" s="14">
        <f>SUM(EJ1021*0.0045)/2</f>
        <v>63.224999999999994</v>
      </c>
      <c r="DB1021" s="14">
        <v>0</v>
      </c>
      <c r="DC1021" s="14">
        <v>0</v>
      </c>
      <c r="DD1021" s="17">
        <f>SUM((DA1021+DB1021)*0.00833333333333333)</f>
        <v>0.52687499999999976</v>
      </c>
      <c r="DE1021" s="23">
        <f ca="1">MONTH(TODAY())-5</f>
        <v>-1</v>
      </c>
      <c r="DF1021" s="23">
        <f>SUM(DA1021,DB1021,DC1021)</f>
        <v>63.224999999999994</v>
      </c>
      <c r="DG1021" s="14">
        <v>0</v>
      </c>
      <c r="DH1021" s="14">
        <v>0</v>
      </c>
      <c r="DI1021" s="14">
        <v>0</v>
      </c>
      <c r="DJ1021" s="17">
        <f>SUM((DG1021+DH1021)*0.00833333333333333)</f>
        <v>0</v>
      </c>
      <c r="DK1021" s="23">
        <f ca="1">MONTH(TODAY())+1</f>
        <v>5</v>
      </c>
      <c r="DL1021" s="23">
        <f>SUM(DG1021,DH1021,DI1021)</f>
        <v>0</v>
      </c>
      <c r="DM1021" s="14">
        <f>SUM( BQ1021, BW1021, CC1021, CI1021, CO1021,CU1021,DA1021,DG1021)</f>
        <v>289.94499999999999</v>
      </c>
      <c r="DN1021" s="14">
        <f>SUM(BR1021,BX1021,CD1021,CJ1021, CP1021,CV1021,DB1021,DH1021)</f>
        <v>22.672000000000001</v>
      </c>
      <c r="DO1021" s="14">
        <f ca="1">SUM(BS1021,BY1021,CE1021,CK1021, CQ1021,CW1021,DC1021,DI1021)</f>
        <v>24.939199999999985</v>
      </c>
      <c r="DP1021" s="25">
        <f ca="1">SUM(DM1021:DO1021)</f>
        <v>337.55619999999999</v>
      </c>
      <c r="DQ1021" s="47">
        <f ca="1">SUM(DP1021/EG1021)</f>
        <v>1.5484229357798165E-2</v>
      </c>
      <c r="DR1021" s="14">
        <v>20</v>
      </c>
      <c r="DS1021" s="32">
        <f>COUNTIF(DX1021, "*")+COUNTIF(AO1021, "*")+COUNTIF(AJ1021, "*")+COUNTIF(AA1021, "*")+COUNTIF(EY1021, "*")+COUNTIF(FE1021, "*")+COUNTIF(FK1021, "*")+COUNTIF(FO1021, "*")+COUNTIF(FV1021, "*")+COUNTIF(AT1021, "*")+COUNTIF(GE1021, "*")+COUNTIF(GP1021, "*")+COUNTIF(HA1021, "*")+COUNTIF(HI1021, "*")+COUNTIF(HQ1021, "*")+COUNTIF(HY1021, "*")+COUNTIF(IG1021, "*")</f>
        <v>2</v>
      </c>
      <c r="DT1021" s="14">
        <f>DS1021*0.6</f>
        <v>1.2</v>
      </c>
      <c r="DU1021" s="4"/>
      <c r="DV1021" s="4"/>
      <c r="DW1021" s="4"/>
      <c r="DX1021" s="4"/>
      <c r="DZ1021" s="4"/>
      <c r="EA1021" s="14">
        <f>SUM(DV1021:DZ1021)</f>
        <v>0</v>
      </c>
      <c r="EB1021" s="14">
        <f ca="1">SUM(DP1021,DR1021,EA1021, DU1021, DT1021,GB1021)</f>
        <v>358.75619999999998</v>
      </c>
      <c r="EC1021" s="24" t="s">
        <v>3879</v>
      </c>
      <c r="ED1021" s="130">
        <v>7.8</v>
      </c>
      <c r="EE1021" s="14">
        <v>21800</v>
      </c>
      <c r="EF1021" s="14">
        <v>0</v>
      </c>
      <c r="EG1021" s="14">
        <v>21800</v>
      </c>
      <c r="EH1021" s="14">
        <v>28100</v>
      </c>
      <c r="EI1021" s="14">
        <v>0</v>
      </c>
      <c r="EJ1021" s="14">
        <f>SUM(EH1021+EI1021)</f>
        <v>28100</v>
      </c>
      <c r="IM1021" s="9"/>
      <c r="IX1021" s="14">
        <f ca="1">SUM(IN1021-EB1021-GB1021-IV1021)</f>
        <v>-358.75619999999998</v>
      </c>
      <c r="IY1021" s="9"/>
      <c r="IZ1021" s="9"/>
      <c r="JA1021" s="9"/>
      <c r="JB1021" s="9"/>
      <c r="JC1021" s="9"/>
    </row>
    <row r="1022" spans="1:263" ht="15" customHeight="1">
      <c r="A1022" s="2">
        <v>102017106</v>
      </c>
      <c r="B1022" t="s">
        <v>1080</v>
      </c>
      <c r="I1022" s="2"/>
      <c r="J1022" t="s">
        <v>311</v>
      </c>
      <c r="K1022" t="s">
        <v>528</v>
      </c>
      <c r="L1022" t="s">
        <v>512</v>
      </c>
      <c r="M1022" t="s">
        <v>354</v>
      </c>
      <c r="O1022" s="1" t="s">
        <v>258</v>
      </c>
      <c r="AA1022" s="1"/>
      <c r="AB1022" s="1"/>
      <c r="AC1022" s="1"/>
      <c r="AD1022" s="1"/>
      <c r="AE1022" s="1"/>
      <c r="AJ1022" s="4"/>
      <c r="AK1022" s="4"/>
      <c r="AL1022" s="14"/>
      <c r="AM1022" s="34"/>
      <c r="AO1022" s="4"/>
      <c r="AP1022" s="13"/>
      <c r="AQ1022" s="34"/>
      <c r="AR1022" s="34"/>
      <c r="AS1022" s="5"/>
      <c r="AT1022" s="13"/>
      <c r="AU1022" s="1"/>
      <c r="AV1022" s="1"/>
      <c r="AW1022" s="1"/>
      <c r="AX1022" s="1"/>
      <c r="AY1022" s="1"/>
      <c r="AZ1022" s="1"/>
      <c r="BA1022" s="1"/>
      <c r="BB1022" s="1"/>
      <c r="BC1022" s="1"/>
      <c r="BD1022" s="1"/>
      <c r="BE1022" s="1"/>
      <c r="BF1022" s="1"/>
      <c r="BG1022" s="5"/>
      <c r="BH1022" s="16"/>
      <c r="BI1022" s="16"/>
      <c r="BJ1022" s="4"/>
      <c r="BK1022" s="4"/>
      <c r="BL1022" s="4"/>
      <c r="BM1022" s="6"/>
      <c r="BN1022" s="7"/>
      <c r="BO1022" s="4"/>
      <c r="BQ1022" s="4"/>
      <c r="BR1022" s="4"/>
      <c r="BS1022" s="6"/>
      <c r="BT1022" s="7"/>
      <c r="BU1022" s="4"/>
      <c r="BV1022" s="4"/>
      <c r="BW1022" s="4"/>
      <c r="BX1022" s="4"/>
      <c r="BY1022" s="6"/>
      <c r="BZ1022" s="7"/>
      <c r="CA1022" s="4"/>
      <c r="CB1022" s="4"/>
      <c r="CC1022" s="4"/>
      <c r="CD1022" s="4"/>
      <c r="CE1022" s="6"/>
      <c r="CF1022" s="7"/>
      <c r="CG1022" s="4"/>
      <c r="CH1022" s="4"/>
      <c r="CI1022" s="4"/>
      <c r="CJ1022" s="4"/>
      <c r="CK1022" s="6"/>
      <c r="CL1022" s="7"/>
      <c r="CM1022" s="4"/>
      <c r="CN1022" s="4"/>
      <c r="CO1022" s="4"/>
      <c r="CP1022" s="4"/>
      <c r="CQ1022" s="6"/>
      <c r="CR1022" s="7"/>
      <c r="CS1022" s="4"/>
      <c r="CT1022" s="4"/>
      <c r="CU1022" s="4"/>
      <c r="CV1022" s="4"/>
      <c r="CW1022" s="6"/>
      <c r="CX1022" s="7"/>
      <c r="CY1022" s="4"/>
      <c r="CZ1022" s="4"/>
      <c r="DA1022" s="4"/>
      <c r="DB1022" s="4"/>
      <c r="DC1022" s="6"/>
      <c r="DD1022" s="7"/>
      <c r="DE1022" s="4"/>
      <c r="DF1022" s="4"/>
      <c r="DG1022" s="14"/>
      <c r="DH1022" s="14"/>
      <c r="DI1022" s="4"/>
      <c r="DJ1022" s="3"/>
      <c r="DK1022" s="4"/>
      <c r="DL1022" s="234"/>
      <c r="DM1022" s="4"/>
      <c r="DN1022" s="4"/>
      <c r="DO1022" s="4"/>
      <c r="DP1022" s="4"/>
      <c r="DQ1022" s="4"/>
      <c r="DR1022" s="4"/>
      <c r="DS1022" s="4"/>
      <c r="DT1022" s="8"/>
      <c r="DU1022" s="4"/>
      <c r="DV1022" s="8"/>
      <c r="DW1022" s="4"/>
      <c r="DX1022" s="4"/>
      <c r="DY1022" s="7"/>
      <c r="DZ1022" s="7"/>
      <c r="EA1022" s="7"/>
      <c r="EB1022" s="7"/>
      <c r="EC1022" s="7"/>
      <c r="ED1022" s="7"/>
      <c r="EE1022" s="4"/>
      <c r="EI1022" s="4"/>
      <c r="EJ1022" s="4"/>
      <c r="EK1022" s="4"/>
      <c r="EL1022" s="4"/>
      <c r="EM1022" s="4"/>
      <c r="EN1022" s="4"/>
      <c r="EO1022" s="4"/>
      <c r="EP1022" s="4"/>
      <c r="FM1022" s="9"/>
      <c r="FN1022" s="10"/>
      <c r="FU1022" s="10"/>
      <c r="FV1022" s="9"/>
      <c r="GH1022" s="9"/>
      <c r="IM1022" s="4"/>
    </row>
    <row r="1023" spans="1:263" ht="15" customHeight="1">
      <c r="A1023" s="19">
        <v>102022017</v>
      </c>
      <c r="B1023" t="s">
        <v>2784</v>
      </c>
      <c r="D1023" s="1">
        <v>2026</v>
      </c>
      <c r="E1023" s="3"/>
      <c r="F1023" s="3"/>
      <c r="J1023" t="s">
        <v>554</v>
      </c>
      <c r="K1023" t="s">
        <v>306</v>
      </c>
      <c r="L1023" t="s">
        <v>2638</v>
      </c>
      <c r="M1023" t="s">
        <v>392</v>
      </c>
      <c r="P1023" t="s">
        <v>306</v>
      </c>
      <c r="Q1023" t="s">
        <v>2639</v>
      </c>
      <c r="R1023" t="s">
        <v>354</v>
      </c>
      <c r="AD1023" t="s">
        <v>4614</v>
      </c>
      <c r="AE1023" t="s">
        <v>311</v>
      </c>
      <c r="AF1023" t="s">
        <v>306</v>
      </c>
      <c r="AG1023" t="s">
        <v>4615</v>
      </c>
      <c r="AH1023" t="s">
        <v>5621</v>
      </c>
      <c r="AJ1023" t="s">
        <v>2951</v>
      </c>
      <c r="AK1023" t="s">
        <v>258</v>
      </c>
      <c r="AL1023" t="s">
        <v>316</v>
      </c>
      <c r="AM1023"/>
      <c r="AN1023"/>
      <c r="AO1023" s="3" t="s">
        <v>3134</v>
      </c>
      <c r="AP1023" s="3" t="s">
        <v>258</v>
      </c>
      <c r="AQ1023" t="s">
        <v>300</v>
      </c>
      <c r="AR1023" t="s">
        <v>301</v>
      </c>
      <c r="AS1023" s="1"/>
      <c r="AT1023" s="1"/>
      <c r="AU1023" s="1"/>
      <c r="AV1023" s="1"/>
      <c r="AW1023" s="2"/>
      <c r="AY1023" s="116"/>
      <c r="AZ1023" s="115"/>
      <c r="BA1023" s="2"/>
      <c r="BB1023" s="2"/>
      <c r="BC1023" s="2"/>
      <c r="BD1023" s="2"/>
      <c r="BF1023" s="2"/>
      <c r="BG1023" s="20"/>
      <c r="BH1023" s="22"/>
      <c r="BI1023" s="22"/>
      <c r="BJ1023" s="14"/>
      <c r="BK1023" s="22"/>
      <c r="BL1023" s="20">
        <f t="shared" ref="BL1023:BL1035" ca="1" si="344">SUM(EH1023)+220</f>
        <v>502.64979999999991</v>
      </c>
      <c r="BM1023" s="22">
        <f t="shared" ref="BM1023:BM1035" ca="1" si="345">PMT(10%/12,12,BL1023,0,0)</f>
        <v>-44.190903132986868</v>
      </c>
      <c r="BN1023" s="22">
        <f t="shared" ref="BN1023:BN1035" ca="1" si="346">SUM(BM1023*-1)</f>
        <v>44.190903132986868</v>
      </c>
      <c r="BO1023" s="14">
        <f t="shared" ref="BO1023:BO1035" si="347">SUM(EP1023*0.0052)/12</f>
        <v>7.7133333333333338</v>
      </c>
      <c r="BP1023" s="22">
        <f t="shared" ref="BP1023:BP1035" ca="1" si="348">SUM(BN1023+BO1023)</f>
        <v>51.904236466320199</v>
      </c>
      <c r="BQ1023" s="14"/>
      <c r="BR1023" s="14">
        <f t="shared" ref="BR1023:BR1035" si="349">SUM(BQ1023*0.1)</f>
        <v>0</v>
      </c>
      <c r="BS1023" s="14">
        <f t="shared" ref="BS1023:BS1035" ca="1" si="350">SUM(BT1023*BU1023)</f>
        <v>0</v>
      </c>
      <c r="BT1023" s="17">
        <f t="shared" ref="BT1023:BT1035" si="351">SUM((BQ1023+BR1023)*0.00833333333333333)</f>
        <v>0</v>
      </c>
      <c r="BU1023" s="23">
        <f t="shared" ref="BU1023:BU1035" ca="1" si="352">MONTH(TODAY())+49</f>
        <v>53</v>
      </c>
      <c r="BV1023" s="14">
        <f t="shared" ref="BV1023:BV1035" ca="1" si="353">SUM(BQ1023,BR1023,BS1023)</f>
        <v>0</v>
      </c>
      <c r="BW1023" s="14">
        <v>0</v>
      </c>
      <c r="BX1023" s="14">
        <f t="shared" ref="BX1023:BX1035" si="354">SUM(BW1023*0.1)</f>
        <v>0</v>
      </c>
      <c r="BY1023" s="14">
        <f t="shared" ref="BY1023:BY1035" ca="1" si="355">SUM(BZ1023*CA1023)</f>
        <v>0</v>
      </c>
      <c r="BZ1023" s="17">
        <f t="shared" ref="BZ1023:BZ1035" si="356">SUM((BW1023+BX1023)*0.00833333333333333)</f>
        <v>0</v>
      </c>
      <c r="CA1023" s="23">
        <f t="shared" ref="CA1023:CA1035" ca="1" si="357">MONTH(TODAY())+37</f>
        <v>41</v>
      </c>
      <c r="CB1023" s="14">
        <f t="shared" ref="CB1023:CB1035" ca="1" si="358">SUM(BW1023,BX1023,BY1023)</f>
        <v>0</v>
      </c>
      <c r="CC1023" s="14">
        <v>0</v>
      </c>
      <c r="CD1023" s="14">
        <f t="shared" ref="CD1023:CD1035" si="359">SUM(CC1023*0.1)</f>
        <v>0</v>
      </c>
      <c r="CE1023" s="14">
        <f t="shared" ref="CE1023:CE1035" ca="1" si="360">SUM(CF1023*CG1023)</f>
        <v>0</v>
      </c>
      <c r="CF1023" s="17">
        <f t="shared" ref="CF1023:CF1035" si="361">SUM((CC1023+CD1023)*0.00833333333333333)</f>
        <v>0</v>
      </c>
      <c r="CG1023" s="23">
        <f t="shared" ref="CG1023:CG1035" ca="1" si="362">MONTH(TODAY())+25</f>
        <v>29</v>
      </c>
      <c r="CH1023" s="14">
        <f t="shared" ref="CH1023:CH1035" ca="1" si="363">SUM(CC1023,CD1023,CE1023)</f>
        <v>0</v>
      </c>
      <c r="CI1023" s="14">
        <f t="shared" ref="CI1023:CI1035" si="364">SUM(EM1023*0.0052)/2</f>
        <v>42.12</v>
      </c>
      <c r="CJ1023" s="14">
        <f t="shared" ref="CJ1023:CJ1035" si="365">SUM(CI1023*0.1)</f>
        <v>4.2119999999999997</v>
      </c>
      <c r="CK1023" s="14">
        <f t="shared" ref="CK1023:CK1035" ca="1" si="366">SUM(CL1023*CM1023)</f>
        <v>8.108099999999995</v>
      </c>
      <c r="CL1023" s="17">
        <f t="shared" ref="CL1023:CL1035" si="367">SUM((CI1023+CJ1023)*0.00833333333333333)</f>
        <v>0.38609999999999978</v>
      </c>
      <c r="CM1023" s="23">
        <f t="shared" ref="CM1023:CM1035" ca="1" si="368">MONTH(TODAY())+17</f>
        <v>21</v>
      </c>
      <c r="CN1023" s="23">
        <f t="shared" ref="CN1023:CN1035" ca="1" si="369">SUM(CI1023,CJ1023,CK1023)</f>
        <v>54.440099999999987</v>
      </c>
      <c r="CO1023" s="14">
        <f t="shared" ref="CO1023:CO1035" si="370">SUM(EM1023*0.0052)/2</f>
        <v>42.12</v>
      </c>
      <c r="CP1023" s="14">
        <f t="shared" ref="CP1023:CP1035" si="371">SUM(CO1023*0.1)</f>
        <v>4.2119999999999997</v>
      </c>
      <c r="CQ1023" s="14">
        <f t="shared" ref="CQ1023:CQ1035" ca="1" si="372">SUM(CR1023*CS1023)</f>
        <v>6.5636999999999963</v>
      </c>
      <c r="CR1023" s="17">
        <f t="shared" ref="CR1023:CR1035" si="373">SUM((CO1023+CP1023)*0.00833333333333333)</f>
        <v>0.38609999999999978</v>
      </c>
      <c r="CS1023" s="23">
        <f t="shared" ref="CS1023:CS1035" ca="1" si="374">MONTH(TODAY())+13</f>
        <v>17</v>
      </c>
      <c r="CT1023" s="23">
        <f t="shared" ref="CT1023:CT1035" ca="1" si="375">SUM(CO1023,CP1023,CQ1023)</f>
        <v>52.895699999999991</v>
      </c>
      <c r="CU1023" s="14">
        <f t="shared" ref="CU1023:CU1035" si="376">SUM(EP1023*0.0045)/2</f>
        <v>40.049999999999997</v>
      </c>
      <c r="CV1023" s="14">
        <f t="shared" ref="CV1023:CV1035" si="377">SUM(CU1023*0.1)</f>
        <v>4.0049999999999999</v>
      </c>
      <c r="CW1023" s="14">
        <f t="shared" ref="CW1023:CW1035" ca="1" si="378">SUM(CX1023*CY1023)</f>
        <v>4.0383749999999976</v>
      </c>
      <c r="CX1023" s="17">
        <f t="shared" ref="CX1023:CX1035" si="379">SUM((CU1023+CV1023)*0.00833333333333333)</f>
        <v>0.36712499999999981</v>
      </c>
      <c r="CY1023" s="23">
        <f t="shared" ref="CY1023:CY1035" ca="1" si="380">MONTH(TODAY())+7</f>
        <v>11</v>
      </c>
      <c r="CZ1023" s="23">
        <f t="shared" ref="CZ1023:CZ1035" ca="1" si="381">SUM(CU1023,CV1023,CW1023)</f>
        <v>48.093374999999995</v>
      </c>
      <c r="DA1023" s="14">
        <f t="shared" ref="DA1023:DA1035" si="382">SUM(EP1023*0.0045)/2</f>
        <v>40.049999999999997</v>
      </c>
      <c r="DB1023" s="14">
        <f t="shared" ref="DB1023:DB1035" si="383">SUM(DA1023*0.1)</f>
        <v>4.0049999999999999</v>
      </c>
      <c r="DC1023" s="14">
        <f t="shared" ref="DC1023:DC1035" ca="1" si="384">SUM(DD1023*DE1023)</f>
        <v>1.835624999999999</v>
      </c>
      <c r="DD1023" s="17">
        <f t="shared" ref="DD1023:DD1035" si="385">SUM((DA1023+DB1023)*0.00833333333333333)</f>
        <v>0.36712499999999981</v>
      </c>
      <c r="DE1023" s="23">
        <f t="shared" ref="DE1023:DE1035" ca="1" si="386">MONTH(TODAY())+1</f>
        <v>5</v>
      </c>
      <c r="DF1023" s="14">
        <f t="shared" ref="DF1023:DF1035" ca="1" si="387">SUM(DA1023,DB1023,DC1023)</f>
        <v>45.890625</v>
      </c>
      <c r="DG1023" s="14">
        <f t="shared" ref="DG1023:DG1035" si="388">SUM(EP1023*0.0045)/2</f>
        <v>40.049999999999997</v>
      </c>
      <c r="DH1023" s="14">
        <f>0</f>
        <v>0</v>
      </c>
      <c r="DI1023" s="14">
        <f>0</f>
        <v>0</v>
      </c>
      <c r="DJ1023" s="17">
        <f t="shared" ref="DJ1023:DJ1035" si="389">SUM((DG1023+DH1023)*0.00833333333333333)</f>
        <v>0.33374999999999982</v>
      </c>
      <c r="DK1023" s="23">
        <f t="shared" ref="DK1023:DK1033" ca="1" si="390">MONTH(TODAY())+7</f>
        <v>11</v>
      </c>
      <c r="DL1023" s="23">
        <f t="shared" ref="DL1023:DL1035" si="391">SUM(DG1023,DH1023,DI1023)</f>
        <v>40.049999999999997</v>
      </c>
      <c r="DM1023" s="14">
        <f>0</f>
        <v>0</v>
      </c>
      <c r="DN1023" s="14">
        <f>0</f>
        <v>0</v>
      </c>
      <c r="DO1023" s="14">
        <f t="shared" ref="DO1023:DO1035" ca="1" si="392">SUM(DP1023*DQ1023)</f>
        <v>0</v>
      </c>
      <c r="DP1023" s="17">
        <f t="shared" ref="DP1023:DP1035" si="393">SUM((DM1023+DN1023)*0.00833333333333333)</f>
        <v>0</v>
      </c>
      <c r="DQ1023" s="23">
        <f t="shared" ref="DQ1023:DQ1035" ca="1" si="394">MONTH(TODAY())+1</f>
        <v>5</v>
      </c>
      <c r="DR1023" s="14">
        <f t="shared" ref="DR1023:DR1035" ca="1" si="395">SUM(DM1023,DN1023,DO1023)</f>
        <v>0</v>
      </c>
      <c r="DS1023" s="14">
        <f t="shared" ref="DS1023:DS1035" si="396">SUM(BQ1023, BW1023, CC1023, CI1023,CO1023,CU1023,DA1023,DG1023,DM1023)</f>
        <v>204.39</v>
      </c>
      <c r="DT1023" s="14">
        <f t="shared" ref="DT1023:DT1035" si="397">SUM(BR1023,BX1023,CD1023, CJ1023,CP1023,CV1023,DB1023,DH1023,DN1023)</f>
        <v>16.433999999999997</v>
      </c>
      <c r="DU1023" s="14">
        <f t="shared" ref="DU1023:DU1035" ca="1" si="398">SUM(BS1023,BY1023,CE1023, CK1023,CQ1023,CW1023,DC1023,DI1023,DO1023)</f>
        <v>20.545799999999989</v>
      </c>
      <c r="DV1023" s="25">
        <f t="shared" ref="DV1023:DV1035" ca="1" si="399">SUM(DS1023:DU1023)</f>
        <v>241.36979999999997</v>
      </c>
      <c r="DW1023" s="47">
        <f t="shared" ref="DW1023:DW1035" ca="1" si="400">SUM(DV1023/EM1023)</f>
        <v>1.4899370370370368E-2</v>
      </c>
      <c r="DX1023" s="14">
        <f>20+20</f>
        <v>40</v>
      </c>
      <c r="DY1023" s="32">
        <f t="shared" ref="DY1023:DY1033" si="401">COUNTIF(AO1023, "*")+COUNTIF(AJ1023, "*")+COUNTIF(AA1023, "*")+COUNTIF(FA1023, "*")+COUNTIF(FG1023, "*")+COUNTIF(FM1023, "*")+COUNTIF(FQ1023, "*")+COUNTIF(FX1023, "*")+COUNTIF(AS1023, "*")+COUNTIF(GG1023, "*")+COUNTIF(GR1023, "*")+COUNTIF(HC1023, "*")+COUNTIF(HK1023, "*")+COUNTIF(HS1023, "*")+COUNTIF(IA1023, "*")</f>
        <v>2</v>
      </c>
      <c r="DZ1023" s="14">
        <f t="shared" ref="DZ1023:DZ1033" si="402">DY1023*0.64</f>
        <v>1.28</v>
      </c>
      <c r="EA1023" s="4"/>
      <c r="EG1023" s="14">
        <f t="shared" ref="EG1023:EG1033" si="403">SUM(EB1023:EF1023)</f>
        <v>0</v>
      </c>
      <c r="EH1023" s="14">
        <f t="shared" ref="EH1023:EH1033" ca="1" si="404">SUM(DV1023,DX1023,EG1023, EA1023, DZ1023,GD1023)</f>
        <v>282.64979999999991</v>
      </c>
      <c r="EI1023" s="24" t="s">
        <v>4935</v>
      </c>
      <c r="EJ1023" s="35">
        <v>0.9</v>
      </c>
      <c r="EK1023" s="4">
        <v>12200</v>
      </c>
      <c r="EL1023" s="4">
        <v>4000</v>
      </c>
      <c r="EM1023" s="14">
        <f t="shared" ref="EM1023:EM1028" si="405">SUM(EK1023+EL1023)</f>
        <v>16200</v>
      </c>
      <c r="EN1023" s="4">
        <v>13800</v>
      </c>
      <c r="EO1023" s="4">
        <v>4000</v>
      </c>
      <c r="EP1023" s="14">
        <f t="shared" ref="EP1023:EP1028" si="406">SUM(EN1023+EO1023)</f>
        <v>17800</v>
      </c>
    </row>
    <row r="1024" spans="1:263" ht="15" customHeight="1">
      <c r="A1024" s="19">
        <v>102022018</v>
      </c>
      <c r="B1024" t="s">
        <v>2785</v>
      </c>
      <c r="D1024" s="1"/>
      <c r="E1024" s="3"/>
      <c r="F1024" s="3"/>
      <c r="J1024" t="s">
        <v>554</v>
      </c>
      <c r="K1024" t="s">
        <v>306</v>
      </c>
      <c r="L1024" t="s">
        <v>2638</v>
      </c>
      <c r="M1024" t="s">
        <v>392</v>
      </c>
      <c r="P1024" t="s">
        <v>306</v>
      </c>
      <c r="Q1024" t="s">
        <v>2639</v>
      </c>
      <c r="R1024" t="s">
        <v>354</v>
      </c>
      <c r="AD1024" s="18" t="s">
        <v>4614</v>
      </c>
      <c r="AE1024" s="18" t="s">
        <v>311</v>
      </c>
      <c r="AF1024" s="18" t="s">
        <v>306</v>
      </c>
      <c r="AG1024" s="18" t="s">
        <v>4615</v>
      </c>
      <c r="AH1024" t="s">
        <v>5621</v>
      </c>
      <c r="AJ1024" t="s">
        <v>2952</v>
      </c>
      <c r="AK1024" t="s">
        <v>258</v>
      </c>
      <c r="AL1024" t="s">
        <v>316</v>
      </c>
      <c r="AM1024"/>
      <c r="AN1024"/>
      <c r="AO1024" s="3" t="s">
        <v>3134</v>
      </c>
      <c r="AP1024" s="3" t="s">
        <v>258</v>
      </c>
      <c r="AQ1024" t="s">
        <v>300</v>
      </c>
      <c r="AR1024" t="s">
        <v>301</v>
      </c>
      <c r="AS1024" s="1"/>
      <c r="AT1024" s="1"/>
      <c r="AU1024" s="1"/>
      <c r="AV1024" s="1"/>
      <c r="AW1024" s="2"/>
      <c r="AY1024" s="114"/>
      <c r="AZ1024" s="115"/>
      <c r="BA1024" s="2"/>
      <c r="BB1024" s="2"/>
      <c r="BC1024" s="2"/>
      <c r="BD1024" s="115">
        <v>45408</v>
      </c>
      <c r="BF1024" s="2"/>
      <c r="BG1024" s="20"/>
      <c r="BH1024" s="22"/>
      <c r="BI1024" s="22"/>
      <c r="BJ1024" s="14"/>
      <c r="BK1024" s="22"/>
      <c r="BL1024" s="20">
        <f t="shared" ca="1" si="344"/>
        <v>1282.9116333333332</v>
      </c>
      <c r="BM1024" s="22">
        <f t="shared" ca="1" si="345"/>
        <v>-112.78831448220075</v>
      </c>
      <c r="BN1024" s="22">
        <f t="shared" ca="1" si="346"/>
        <v>112.78831448220075</v>
      </c>
      <c r="BO1024" s="14">
        <f t="shared" si="347"/>
        <v>20.236666666666665</v>
      </c>
      <c r="BP1024" s="22">
        <f t="shared" ca="1" si="348"/>
        <v>133.02498114886743</v>
      </c>
      <c r="BQ1024" s="14"/>
      <c r="BR1024" s="14">
        <f t="shared" si="349"/>
        <v>0</v>
      </c>
      <c r="BS1024" s="14">
        <f t="shared" ca="1" si="350"/>
        <v>0</v>
      </c>
      <c r="BT1024" s="17">
        <f t="shared" si="351"/>
        <v>0</v>
      </c>
      <c r="BU1024" s="23">
        <f t="shared" ca="1" si="352"/>
        <v>53</v>
      </c>
      <c r="BV1024" s="14">
        <f t="shared" ca="1" si="353"/>
        <v>0</v>
      </c>
      <c r="BW1024" s="14">
        <v>0</v>
      </c>
      <c r="BX1024" s="14">
        <f t="shared" si="354"/>
        <v>0</v>
      </c>
      <c r="BY1024" s="14">
        <f t="shared" ca="1" si="355"/>
        <v>0</v>
      </c>
      <c r="BZ1024" s="17">
        <f t="shared" si="356"/>
        <v>0</v>
      </c>
      <c r="CA1024" s="23">
        <f t="shared" ca="1" si="357"/>
        <v>41</v>
      </c>
      <c r="CB1024" s="14">
        <f t="shared" ca="1" si="358"/>
        <v>0</v>
      </c>
      <c r="CC1024" s="14">
        <v>0</v>
      </c>
      <c r="CD1024" s="14">
        <f t="shared" si="359"/>
        <v>0</v>
      </c>
      <c r="CE1024" s="14">
        <f t="shared" ca="1" si="360"/>
        <v>0</v>
      </c>
      <c r="CF1024" s="17">
        <f t="shared" si="361"/>
        <v>0</v>
      </c>
      <c r="CG1024" s="23">
        <f t="shared" ca="1" si="362"/>
        <v>29</v>
      </c>
      <c r="CH1024" s="14">
        <f t="shared" ca="1" si="363"/>
        <v>0</v>
      </c>
      <c r="CI1024" s="14">
        <f t="shared" si="364"/>
        <v>246.22</v>
      </c>
      <c r="CJ1024" s="14">
        <f t="shared" si="365"/>
        <v>24.622</v>
      </c>
      <c r="CK1024" s="14">
        <f t="shared" ca="1" si="366"/>
        <v>47.397349999999975</v>
      </c>
      <c r="CL1024" s="17">
        <f t="shared" si="367"/>
        <v>2.2570166666666656</v>
      </c>
      <c r="CM1024" s="23">
        <f t="shared" ca="1" si="368"/>
        <v>21</v>
      </c>
      <c r="CN1024" s="23">
        <f t="shared" ca="1" si="369"/>
        <v>318.23934999999994</v>
      </c>
      <c r="CO1024" s="14">
        <f t="shared" si="370"/>
        <v>246.22</v>
      </c>
      <c r="CP1024" s="14">
        <f t="shared" si="371"/>
        <v>24.622</v>
      </c>
      <c r="CQ1024" s="14">
        <f t="shared" ca="1" si="372"/>
        <v>38.369283333333314</v>
      </c>
      <c r="CR1024" s="17">
        <f t="shared" si="373"/>
        <v>2.2570166666666656</v>
      </c>
      <c r="CS1024" s="23">
        <f t="shared" ca="1" si="374"/>
        <v>17</v>
      </c>
      <c r="CT1024" s="23">
        <f t="shared" ca="1" si="375"/>
        <v>309.21128333333331</v>
      </c>
      <c r="CU1024" s="14">
        <f t="shared" si="376"/>
        <v>105.07499999999999</v>
      </c>
      <c r="CV1024" s="14">
        <f t="shared" si="377"/>
        <v>10.5075</v>
      </c>
      <c r="CW1024" s="14">
        <f t="shared" ca="1" si="378"/>
        <v>10.595062499999994</v>
      </c>
      <c r="CX1024" s="17">
        <f t="shared" si="379"/>
        <v>0.96318749999999942</v>
      </c>
      <c r="CY1024" s="23">
        <f t="shared" ca="1" si="380"/>
        <v>11</v>
      </c>
      <c r="CZ1024" s="23">
        <f t="shared" ca="1" si="381"/>
        <v>126.17756249999998</v>
      </c>
      <c r="DA1024" s="14">
        <f t="shared" si="382"/>
        <v>105.07499999999999</v>
      </c>
      <c r="DB1024" s="14">
        <f t="shared" si="383"/>
        <v>10.5075</v>
      </c>
      <c r="DC1024" s="14">
        <f t="shared" ca="1" si="384"/>
        <v>4.8159374999999969</v>
      </c>
      <c r="DD1024" s="17">
        <f t="shared" si="385"/>
        <v>0.96318749999999942</v>
      </c>
      <c r="DE1024" s="23">
        <f t="shared" ca="1" si="386"/>
        <v>5</v>
      </c>
      <c r="DF1024" s="14">
        <f t="shared" ca="1" si="387"/>
        <v>120.39843749999997</v>
      </c>
      <c r="DG1024" s="14">
        <f t="shared" si="388"/>
        <v>105.07499999999999</v>
      </c>
      <c r="DH1024" s="14">
        <f>0</f>
        <v>0</v>
      </c>
      <c r="DI1024" s="14">
        <f>0</f>
        <v>0</v>
      </c>
      <c r="DJ1024" s="17">
        <f t="shared" si="389"/>
        <v>0.87562499999999954</v>
      </c>
      <c r="DK1024" s="23">
        <f t="shared" ca="1" si="390"/>
        <v>11</v>
      </c>
      <c r="DL1024" s="23">
        <f t="shared" si="391"/>
        <v>105.07499999999999</v>
      </c>
      <c r="DM1024" s="14">
        <f>0</f>
        <v>0</v>
      </c>
      <c r="DN1024" s="14">
        <f>0</f>
        <v>0</v>
      </c>
      <c r="DO1024" s="14">
        <f t="shared" ca="1" si="392"/>
        <v>0</v>
      </c>
      <c r="DP1024" s="17">
        <f t="shared" si="393"/>
        <v>0</v>
      </c>
      <c r="DQ1024" s="23">
        <f t="shared" ca="1" si="394"/>
        <v>5</v>
      </c>
      <c r="DR1024" s="14">
        <f t="shared" ca="1" si="395"/>
        <v>0</v>
      </c>
      <c r="DS1024" s="14">
        <f t="shared" si="396"/>
        <v>807.66499999999996</v>
      </c>
      <c r="DT1024" s="14">
        <f t="shared" si="397"/>
        <v>70.259</v>
      </c>
      <c r="DU1024" s="14">
        <f t="shared" ca="1" si="398"/>
        <v>101.17763333333329</v>
      </c>
      <c r="DV1024" s="25">
        <f t="shared" ca="1" si="399"/>
        <v>979.10163333333321</v>
      </c>
      <c r="DW1024" s="47">
        <f t="shared" ca="1" si="400"/>
        <v>1.033898240056318E-2</v>
      </c>
      <c r="DX1024" s="14">
        <f>20+10+20</f>
        <v>50</v>
      </c>
      <c r="DY1024" s="32">
        <f t="shared" si="401"/>
        <v>2</v>
      </c>
      <c r="DZ1024" s="14">
        <f t="shared" si="402"/>
        <v>1.28</v>
      </c>
      <c r="EA1024" s="4"/>
      <c r="EB1024" s="4">
        <v>32.53</v>
      </c>
      <c r="EG1024" s="14">
        <f t="shared" si="403"/>
        <v>32.53</v>
      </c>
      <c r="EH1024" s="14">
        <f t="shared" ca="1" si="404"/>
        <v>1062.9116333333332</v>
      </c>
      <c r="EI1024" s="24" t="s">
        <v>4935</v>
      </c>
      <c r="EJ1024" s="35">
        <v>2.98</v>
      </c>
      <c r="EK1024" s="4">
        <v>22700</v>
      </c>
      <c r="EL1024" s="4">
        <v>72000</v>
      </c>
      <c r="EM1024" s="14">
        <f t="shared" si="405"/>
        <v>94700</v>
      </c>
      <c r="EN1024" s="4">
        <v>26400</v>
      </c>
      <c r="EO1024" s="4">
        <v>20300</v>
      </c>
      <c r="EP1024" s="14">
        <f t="shared" si="406"/>
        <v>46700</v>
      </c>
    </row>
    <row r="1025" spans="1:263" ht="15" customHeight="1">
      <c r="A1025" s="19">
        <v>102022124</v>
      </c>
      <c r="B1025" t="s">
        <v>3137</v>
      </c>
      <c r="D1025" s="1"/>
      <c r="E1025" s="3"/>
      <c r="F1025" s="3"/>
      <c r="J1025" t="s">
        <v>311</v>
      </c>
      <c r="K1025" t="s">
        <v>306</v>
      </c>
      <c r="L1025" t="s">
        <v>2638</v>
      </c>
      <c r="M1025" t="s">
        <v>426</v>
      </c>
      <c r="AD1025" s="18" t="s">
        <v>4614</v>
      </c>
      <c r="AE1025" s="18" t="s">
        <v>311</v>
      </c>
      <c r="AF1025" s="18" t="s">
        <v>306</v>
      </c>
      <c r="AG1025" s="18" t="s">
        <v>4615</v>
      </c>
      <c r="AH1025" t="s">
        <v>5621</v>
      </c>
      <c r="AJ1025" t="s">
        <v>3140</v>
      </c>
      <c r="AK1025" t="s">
        <v>258</v>
      </c>
      <c r="AL1025" t="s">
        <v>3136</v>
      </c>
      <c r="AM1025" t="s">
        <v>260</v>
      </c>
      <c r="AN1025"/>
      <c r="AO1025" s="3" t="s">
        <v>3134</v>
      </c>
      <c r="AP1025" s="3" t="s">
        <v>258</v>
      </c>
      <c r="AQ1025" t="s">
        <v>300</v>
      </c>
      <c r="AR1025" t="s">
        <v>301</v>
      </c>
      <c r="AS1025" s="1"/>
      <c r="AT1025" s="1"/>
      <c r="AU1025" s="1"/>
      <c r="AV1025" s="1"/>
      <c r="AW1025" s="2"/>
      <c r="AY1025" s="116"/>
      <c r="AZ1025" s="115"/>
      <c r="BA1025" s="2"/>
      <c r="BB1025" s="2"/>
      <c r="BC1025" s="2"/>
      <c r="BD1025" s="115">
        <v>45408</v>
      </c>
      <c r="BF1025" s="2"/>
      <c r="BG1025" s="20"/>
      <c r="BH1025" s="22"/>
      <c r="BI1025" s="22"/>
      <c r="BJ1025" s="14"/>
      <c r="BK1025" s="22"/>
      <c r="BL1025" s="20">
        <f t="shared" ca="1" si="344"/>
        <v>902.59469999999988</v>
      </c>
      <c r="BM1025" s="22">
        <f t="shared" ca="1" si="345"/>
        <v>-79.352413859604326</v>
      </c>
      <c r="BN1025" s="22">
        <f t="shared" ca="1" si="346"/>
        <v>79.352413859604326</v>
      </c>
      <c r="BO1025" s="14">
        <f t="shared" si="347"/>
        <v>18.329999999999998</v>
      </c>
      <c r="BP1025" s="22">
        <f t="shared" ca="1" si="348"/>
        <v>97.682413859604324</v>
      </c>
      <c r="BQ1025" s="14"/>
      <c r="BR1025" s="14">
        <f t="shared" si="349"/>
        <v>0</v>
      </c>
      <c r="BS1025" s="14">
        <f t="shared" ca="1" si="350"/>
        <v>0</v>
      </c>
      <c r="BT1025" s="17">
        <f t="shared" si="351"/>
        <v>0</v>
      </c>
      <c r="BU1025" s="23">
        <f t="shared" ca="1" si="352"/>
        <v>53</v>
      </c>
      <c r="BV1025" s="14">
        <f t="shared" ca="1" si="353"/>
        <v>0</v>
      </c>
      <c r="BW1025" s="14">
        <v>0</v>
      </c>
      <c r="BX1025" s="14">
        <f t="shared" si="354"/>
        <v>0</v>
      </c>
      <c r="BY1025" s="14">
        <f t="shared" ca="1" si="355"/>
        <v>0</v>
      </c>
      <c r="BZ1025" s="17">
        <f t="shared" si="356"/>
        <v>0</v>
      </c>
      <c r="CA1025" s="23">
        <f t="shared" ca="1" si="357"/>
        <v>41</v>
      </c>
      <c r="CB1025" s="14">
        <f t="shared" ca="1" si="358"/>
        <v>0</v>
      </c>
      <c r="CC1025" s="14">
        <v>0</v>
      </c>
      <c r="CD1025" s="14">
        <f t="shared" si="359"/>
        <v>0</v>
      </c>
      <c r="CE1025" s="14">
        <f t="shared" ca="1" si="360"/>
        <v>0</v>
      </c>
      <c r="CF1025" s="17">
        <f t="shared" si="361"/>
        <v>0</v>
      </c>
      <c r="CG1025" s="23">
        <f t="shared" ca="1" si="362"/>
        <v>29</v>
      </c>
      <c r="CH1025" s="14">
        <f t="shared" ca="1" si="363"/>
        <v>0</v>
      </c>
      <c r="CI1025" s="14">
        <f t="shared" si="364"/>
        <v>109.97999999999999</v>
      </c>
      <c r="CJ1025" s="14">
        <f t="shared" si="365"/>
        <v>10.997999999999999</v>
      </c>
      <c r="CK1025" s="14">
        <f t="shared" ca="1" si="366"/>
        <v>21.171149999999987</v>
      </c>
      <c r="CL1025" s="17">
        <f t="shared" si="367"/>
        <v>1.0081499999999994</v>
      </c>
      <c r="CM1025" s="23">
        <f t="shared" ca="1" si="368"/>
        <v>21</v>
      </c>
      <c r="CN1025" s="23">
        <f t="shared" ca="1" si="369"/>
        <v>142.14914999999999</v>
      </c>
      <c r="CO1025" s="14">
        <f t="shared" si="370"/>
        <v>109.97999999999999</v>
      </c>
      <c r="CP1025" s="14">
        <f t="shared" si="371"/>
        <v>10.997999999999999</v>
      </c>
      <c r="CQ1025" s="14">
        <f t="shared" ca="1" si="372"/>
        <v>17.138549999999992</v>
      </c>
      <c r="CR1025" s="17">
        <f t="shared" si="373"/>
        <v>1.0081499999999994</v>
      </c>
      <c r="CS1025" s="23">
        <f t="shared" ca="1" si="374"/>
        <v>17</v>
      </c>
      <c r="CT1025" s="23">
        <f t="shared" ca="1" si="375"/>
        <v>138.11654999999999</v>
      </c>
      <c r="CU1025" s="14">
        <f t="shared" si="376"/>
        <v>95.174999999999997</v>
      </c>
      <c r="CV1025" s="14">
        <f t="shared" si="377"/>
        <v>9.5175000000000001</v>
      </c>
      <c r="CW1025" s="14">
        <f t="shared" ca="1" si="378"/>
        <v>9.5968124999999951</v>
      </c>
      <c r="CX1025" s="17">
        <f t="shared" si="379"/>
        <v>0.87243749999999953</v>
      </c>
      <c r="CY1025" s="23">
        <f t="shared" ca="1" si="380"/>
        <v>11</v>
      </c>
      <c r="CZ1025" s="23">
        <f t="shared" ca="1" si="381"/>
        <v>114.28931249999999</v>
      </c>
      <c r="DA1025" s="14">
        <f t="shared" si="382"/>
        <v>95.174999999999997</v>
      </c>
      <c r="DB1025" s="14">
        <f t="shared" si="383"/>
        <v>9.5175000000000001</v>
      </c>
      <c r="DC1025" s="14">
        <f t="shared" ca="1" si="384"/>
        <v>4.3621874999999974</v>
      </c>
      <c r="DD1025" s="17">
        <f t="shared" si="385"/>
        <v>0.87243749999999953</v>
      </c>
      <c r="DE1025" s="23">
        <f t="shared" ca="1" si="386"/>
        <v>5</v>
      </c>
      <c r="DF1025" s="14">
        <f t="shared" ca="1" si="387"/>
        <v>109.0546875</v>
      </c>
      <c r="DG1025" s="14">
        <f t="shared" si="388"/>
        <v>95.174999999999997</v>
      </c>
      <c r="DH1025" s="14">
        <f>0</f>
        <v>0</v>
      </c>
      <c r="DI1025" s="14">
        <f>0</f>
        <v>0</v>
      </c>
      <c r="DJ1025" s="17">
        <f t="shared" si="389"/>
        <v>0.79312499999999964</v>
      </c>
      <c r="DK1025" s="23">
        <f t="shared" ca="1" si="390"/>
        <v>11</v>
      </c>
      <c r="DL1025" s="23">
        <f t="shared" si="391"/>
        <v>95.174999999999997</v>
      </c>
      <c r="DM1025" s="14">
        <f>0</f>
        <v>0</v>
      </c>
      <c r="DN1025" s="14">
        <f>0</f>
        <v>0</v>
      </c>
      <c r="DO1025" s="14">
        <f t="shared" ca="1" si="392"/>
        <v>0</v>
      </c>
      <c r="DP1025" s="17">
        <f t="shared" si="393"/>
        <v>0</v>
      </c>
      <c r="DQ1025" s="23">
        <f t="shared" ca="1" si="394"/>
        <v>5</v>
      </c>
      <c r="DR1025" s="14">
        <f t="shared" ca="1" si="395"/>
        <v>0</v>
      </c>
      <c r="DS1025" s="14">
        <f t="shared" si="396"/>
        <v>505.48500000000001</v>
      </c>
      <c r="DT1025" s="14">
        <f t="shared" si="397"/>
        <v>41.030999999999999</v>
      </c>
      <c r="DU1025" s="14">
        <f t="shared" ca="1" si="398"/>
        <v>52.268699999999974</v>
      </c>
      <c r="DV1025" s="25">
        <f t="shared" ca="1" si="399"/>
        <v>598.78469999999993</v>
      </c>
      <c r="DW1025" s="47">
        <f t="shared" ca="1" si="400"/>
        <v>1.4155666666666665E-2</v>
      </c>
      <c r="DX1025" s="14">
        <f>20+10+20</f>
        <v>50</v>
      </c>
      <c r="DY1025" s="32">
        <f t="shared" si="401"/>
        <v>2</v>
      </c>
      <c r="DZ1025" s="14">
        <f t="shared" si="402"/>
        <v>1.28</v>
      </c>
      <c r="EA1025" s="4"/>
      <c r="EB1025" s="4">
        <v>32.53</v>
      </c>
      <c r="EG1025" s="14">
        <f t="shared" si="403"/>
        <v>32.53</v>
      </c>
      <c r="EH1025" s="14">
        <f t="shared" ca="1" si="404"/>
        <v>682.59469999999988</v>
      </c>
      <c r="EI1025" s="24" t="s">
        <v>4935</v>
      </c>
      <c r="EJ1025" s="35">
        <v>0.9</v>
      </c>
      <c r="EK1025" s="4">
        <f>2000+2000+2000+2000+2000+2000+2000+2000+2000</f>
        <v>18000</v>
      </c>
      <c r="EL1025" s="4">
        <v>24300</v>
      </c>
      <c r="EM1025" s="14">
        <f t="shared" si="405"/>
        <v>42300</v>
      </c>
      <c r="EN1025" s="4">
        <f>2000+2000+2000+2000+2000+2000+2000+2000+2000</f>
        <v>18000</v>
      </c>
      <c r="EO1025" s="4">
        <v>24300</v>
      </c>
      <c r="EP1025" s="14">
        <f t="shared" si="406"/>
        <v>42300</v>
      </c>
    </row>
    <row r="1026" spans="1:263" ht="15" customHeight="1">
      <c r="A1026" s="19">
        <v>102022125</v>
      </c>
      <c r="B1026" t="s">
        <v>3138</v>
      </c>
      <c r="D1026" s="1"/>
      <c r="E1026" s="3"/>
      <c r="F1026" s="3"/>
      <c r="J1026" t="s">
        <v>311</v>
      </c>
      <c r="K1026" t="s">
        <v>306</v>
      </c>
      <c r="L1026" t="s">
        <v>2638</v>
      </c>
      <c r="M1026" t="s">
        <v>426</v>
      </c>
      <c r="AD1026" t="s">
        <v>4614</v>
      </c>
      <c r="AE1026" t="s">
        <v>311</v>
      </c>
      <c r="AF1026" t="s">
        <v>306</v>
      </c>
      <c r="AG1026" t="s">
        <v>4615</v>
      </c>
      <c r="AH1026" t="s">
        <v>5621</v>
      </c>
      <c r="AJ1026" t="s">
        <v>3139</v>
      </c>
      <c r="AK1026" t="s">
        <v>258</v>
      </c>
      <c r="AL1026" t="s">
        <v>3136</v>
      </c>
      <c r="AM1026" t="s">
        <v>260</v>
      </c>
      <c r="AN1026"/>
      <c r="AO1026" s="3" t="s">
        <v>3134</v>
      </c>
      <c r="AP1026" s="3" t="s">
        <v>258</v>
      </c>
      <c r="AQ1026" t="s">
        <v>300</v>
      </c>
      <c r="AR1026" t="s">
        <v>301</v>
      </c>
      <c r="AS1026" s="1"/>
      <c r="AT1026" s="1"/>
      <c r="AU1026" s="1"/>
      <c r="AV1026" s="1"/>
      <c r="AW1026" s="2"/>
      <c r="AY1026" s="116"/>
      <c r="AZ1026" s="115"/>
      <c r="BA1026" s="2"/>
      <c r="BB1026" s="2"/>
      <c r="BC1026" s="2"/>
      <c r="BD1026" s="115">
        <v>45408</v>
      </c>
      <c r="BF1026" s="2"/>
      <c r="BG1026" s="20"/>
      <c r="BH1026" s="22"/>
      <c r="BI1026" s="22"/>
      <c r="BJ1026" s="14"/>
      <c r="BK1026" s="22"/>
      <c r="BL1026" s="20">
        <f t="shared" ca="1" si="344"/>
        <v>1075.9637333333333</v>
      </c>
      <c r="BM1026" s="22">
        <f t="shared" ca="1" si="345"/>
        <v>-94.59430624331344</v>
      </c>
      <c r="BN1026" s="22">
        <f t="shared" ca="1" si="346"/>
        <v>94.59430624331344</v>
      </c>
      <c r="BO1026" s="14">
        <f t="shared" si="347"/>
        <v>27.429999999999996</v>
      </c>
      <c r="BP1026" s="22">
        <f t="shared" ca="1" si="348"/>
        <v>122.02430624331343</v>
      </c>
      <c r="BQ1026" s="14"/>
      <c r="BR1026" s="14">
        <f t="shared" si="349"/>
        <v>0</v>
      </c>
      <c r="BS1026" s="14">
        <f t="shared" ca="1" si="350"/>
        <v>0</v>
      </c>
      <c r="BT1026" s="17">
        <f t="shared" si="351"/>
        <v>0</v>
      </c>
      <c r="BU1026" s="23">
        <f t="shared" ca="1" si="352"/>
        <v>53</v>
      </c>
      <c r="BV1026" s="14">
        <f t="shared" ca="1" si="353"/>
        <v>0</v>
      </c>
      <c r="BW1026" s="14">
        <v>0</v>
      </c>
      <c r="BX1026" s="14">
        <f t="shared" si="354"/>
        <v>0</v>
      </c>
      <c r="BY1026" s="14">
        <f t="shared" ca="1" si="355"/>
        <v>0</v>
      </c>
      <c r="BZ1026" s="17">
        <f t="shared" si="356"/>
        <v>0</v>
      </c>
      <c r="CA1026" s="23">
        <f t="shared" ca="1" si="357"/>
        <v>41</v>
      </c>
      <c r="CB1026" s="14">
        <f t="shared" ca="1" si="358"/>
        <v>0</v>
      </c>
      <c r="CC1026" s="14">
        <v>0</v>
      </c>
      <c r="CD1026" s="14">
        <f t="shared" si="359"/>
        <v>0</v>
      </c>
      <c r="CE1026" s="14">
        <f t="shared" ca="1" si="360"/>
        <v>0</v>
      </c>
      <c r="CF1026" s="17">
        <f t="shared" si="361"/>
        <v>0</v>
      </c>
      <c r="CG1026" s="23">
        <f t="shared" ca="1" si="362"/>
        <v>29</v>
      </c>
      <c r="CH1026" s="14">
        <f t="shared" ca="1" si="363"/>
        <v>0</v>
      </c>
      <c r="CI1026" s="14">
        <f t="shared" si="364"/>
        <v>115.96</v>
      </c>
      <c r="CJ1026" s="14">
        <f t="shared" si="365"/>
        <v>11.596</v>
      </c>
      <c r="CK1026" s="14">
        <f t="shared" ca="1" si="366"/>
        <v>22.322299999999991</v>
      </c>
      <c r="CL1026" s="17">
        <f t="shared" si="367"/>
        <v>1.0629666666666662</v>
      </c>
      <c r="CM1026" s="23">
        <f t="shared" ca="1" si="368"/>
        <v>21</v>
      </c>
      <c r="CN1026" s="23">
        <f t="shared" ca="1" si="369"/>
        <v>149.8783</v>
      </c>
      <c r="CO1026" s="14">
        <f t="shared" si="370"/>
        <v>115.96</v>
      </c>
      <c r="CP1026" s="14">
        <f t="shared" si="371"/>
        <v>11.596</v>
      </c>
      <c r="CQ1026" s="14">
        <f t="shared" ca="1" si="372"/>
        <v>18.070433333333327</v>
      </c>
      <c r="CR1026" s="17">
        <f t="shared" si="373"/>
        <v>1.0629666666666662</v>
      </c>
      <c r="CS1026" s="23">
        <f t="shared" ca="1" si="374"/>
        <v>17</v>
      </c>
      <c r="CT1026" s="23">
        <f t="shared" ca="1" si="375"/>
        <v>145.62643333333332</v>
      </c>
      <c r="CU1026" s="14">
        <f t="shared" si="376"/>
        <v>142.42499999999998</v>
      </c>
      <c r="CV1026" s="14">
        <f t="shared" si="377"/>
        <v>14.2425</v>
      </c>
      <c r="CW1026" s="14">
        <f t="shared" ca="1" si="378"/>
        <v>14.361187499999993</v>
      </c>
      <c r="CX1026" s="17">
        <f t="shared" si="379"/>
        <v>1.3055624999999993</v>
      </c>
      <c r="CY1026" s="23">
        <f t="shared" ca="1" si="380"/>
        <v>11</v>
      </c>
      <c r="CZ1026" s="23">
        <f t="shared" ca="1" si="381"/>
        <v>171.02868749999999</v>
      </c>
      <c r="DA1026" s="14">
        <f t="shared" si="382"/>
        <v>142.42499999999998</v>
      </c>
      <c r="DB1026" s="14">
        <f t="shared" si="383"/>
        <v>14.2425</v>
      </c>
      <c r="DC1026" s="14">
        <f t="shared" ca="1" si="384"/>
        <v>6.527812499999996</v>
      </c>
      <c r="DD1026" s="17">
        <f t="shared" si="385"/>
        <v>1.3055624999999993</v>
      </c>
      <c r="DE1026" s="23">
        <f t="shared" ca="1" si="386"/>
        <v>5</v>
      </c>
      <c r="DF1026" s="14">
        <f t="shared" ca="1" si="387"/>
        <v>163.1953125</v>
      </c>
      <c r="DG1026" s="14">
        <f t="shared" si="388"/>
        <v>142.42499999999998</v>
      </c>
      <c r="DH1026" s="14">
        <f>0</f>
        <v>0</v>
      </c>
      <c r="DI1026" s="14">
        <f>0</f>
        <v>0</v>
      </c>
      <c r="DJ1026" s="17">
        <f t="shared" si="389"/>
        <v>1.1868749999999995</v>
      </c>
      <c r="DK1026" s="23">
        <f t="shared" ca="1" si="390"/>
        <v>11</v>
      </c>
      <c r="DL1026" s="23">
        <f t="shared" si="391"/>
        <v>142.42499999999998</v>
      </c>
      <c r="DM1026" s="14">
        <f>0</f>
        <v>0</v>
      </c>
      <c r="DN1026" s="14">
        <f>0</f>
        <v>0</v>
      </c>
      <c r="DO1026" s="14">
        <f t="shared" ca="1" si="392"/>
        <v>0</v>
      </c>
      <c r="DP1026" s="17">
        <f t="shared" si="393"/>
        <v>0</v>
      </c>
      <c r="DQ1026" s="23">
        <f t="shared" ca="1" si="394"/>
        <v>5</v>
      </c>
      <c r="DR1026" s="14">
        <f t="shared" ca="1" si="395"/>
        <v>0</v>
      </c>
      <c r="DS1026" s="14">
        <f t="shared" si="396"/>
        <v>659.19499999999994</v>
      </c>
      <c r="DT1026" s="14">
        <f t="shared" si="397"/>
        <v>51.677</v>
      </c>
      <c r="DU1026" s="14">
        <f t="shared" ca="1" si="398"/>
        <v>61.281733333333307</v>
      </c>
      <c r="DV1026" s="25">
        <f t="shared" ca="1" si="399"/>
        <v>772.15373333333332</v>
      </c>
      <c r="DW1026" s="47">
        <f t="shared" ca="1" si="400"/>
        <v>1.7312863976083708E-2</v>
      </c>
      <c r="DX1026" s="14">
        <f>20+10+20</f>
        <v>50</v>
      </c>
      <c r="DY1026" s="32">
        <f t="shared" si="401"/>
        <v>2</v>
      </c>
      <c r="DZ1026" s="14">
        <f t="shared" si="402"/>
        <v>1.28</v>
      </c>
      <c r="EA1026" s="4"/>
      <c r="EB1026" s="4">
        <v>32.53</v>
      </c>
      <c r="EG1026" s="14">
        <f t="shared" si="403"/>
        <v>32.53</v>
      </c>
      <c r="EH1026" s="14">
        <f t="shared" ca="1" si="404"/>
        <v>855.96373333333327</v>
      </c>
      <c r="EI1026" s="24" t="s">
        <v>4935</v>
      </c>
      <c r="EJ1026" s="35">
        <v>0.3</v>
      </c>
      <c r="EK1026" s="4">
        <f>2000+500+4400</f>
        <v>6900</v>
      </c>
      <c r="EL1026" s="4">
        <v>37700</v>
      </c>
      <c r="EM1026" s="14">
        <f t="shared" si="405"/>
        <v>44600</v>
      </c>
      <c r="EN1026" s="4">
        <f>2000+500+10200</f>
        <v>12700</v>
      </c>
      <c r="EO1026" s="4">
        <v>50600</v>
      </c>
      <c r="EP1026" s="14">
        <f t="shared" si="406"/>
        <v>63300</v>
      </c>
    </row>
    <row r="1027" spans="1:263" ht="15" customHeight="1">
      <c r="A1027" s="19">
        <v>102022126</v>
      </c>
      <c r="B1027" t="s">
        <v>2862</v>
      </c>
      <c r="D1027" s="1">
        <v>2026</v>
      </c>
      <c r="E1027" s="3"/>
      <c r="F1027" s="3"/>
      <c r="J1027" t="s">
        <v>311</v>
      </c>
      <c r="K1027" t="s">
        <v>306</v>
      </c>
      <c r="L1027" t="s">
        <v>2638</v>
      </c>
      <c r="M1027" t="s">
        <v>426</v>
      </c>
      <c r="AD1027" t="s">
        <v>4614</v>
      </c>
      <c r="AE1027" t="s">
        <v>311</v>
      </c>
      <c r="AF1027" t="s">
        <v>306</v>
      </c>
      <c r="AG1027" t="s">
        <v>4615</v>
      </c>
      <c r="AH1027" t="s">
        <v>5621</v>
      </c>
      <c r="AJ1027" s="18" t="s">
        <v>328</v>
      </c>
      <c r="AL1027" t="s">
        <v>3136</v>
      </c>
      <c r="AM1027"/>
      <c r="AN1027"/>
      <c r="AO1027" s="3" t="s">
        <v>3134</v>
      </c>
      <c r="AP1027" s="3" t="s">
        <v>258</v>
      </c>
      <c r="AQ1027" t="s">
        <v>300</v>
      </c>
      <c r="AR1027" t="s">
        <v>301</v>
      </c>
      <c r="AS1027" s="1"/>
      <c r="AT1027" s="1"/>
      <c r="AU1027" s="1"/>
      <c r="AV1027" s="1"/>
      <c r="AW1027" s="2"/>
      <c r="AX1027" s="18"/>
      <c r="AY1027" s="116"/>
      <c r="AZ1027" s="115"/>
      <c r="BA1027" s="2"/>
      <c r="BB1027" s="2"/>
      <c r="BC1027" s="2"/>
      <c r="BD1027" s="2"/>
      <c r="BF1027" s="2"/>
      <c r="BG1027" s="20"/>
      <c r="BH1027" s="22"/>
      <c r="BI1027" s="22"/>
      <c r="BJ1027" s="14"/>
      <c r="BK1027" s="22"/>
      <c r="BL1027" s="20">
        <f t="shared" ca="1" si="344"/>
        <v>269.77339999999998</v>
      </c>
      <c r="BM1027" s="22">
        <f t="shared" ca="1" si="345"/>
        <v>-23.717367812056267</v>
      </c>
      <c r="BN1027" s="22">
        <f t="shared" ca="1" si="346"/>
        <v>23.717367812056267</v>
      </c>
      <c r="BO1027" s="14">
        <f t="shared" si="347"/>
        <v>0.25999999999999995</v>
      </c>
      <c r="BP1027" s="22">
        <f t="shared" ca="1" si="348"/>
        <v>23.977367812056269</v>
      </c>
      <c r="BQ1027" s="14"/>
      <c r="BR1027" s="14">
        <f t="shared" si="349"/>
        <v>0</v>
      </c>
      <c r="BS1027" s="14">
        <f t="shared" ca="1" si="350"/>
        <v>0</v>
      </c>
      <c r="BT1027" s="17">
        <f t="shared" si="351"/>
        <v>0</v>
      </c>
      <c r="BU1027" s="23">
        <f t="shared" ca="1" si="352"/>
        <v>53</v>
      </c>
      <c r="BV1027" s="14">
        <f t="shared" ca="1" si="353"/>
        <v>0</v>
      </c>
      <c r="BW1027" s="14">
        <v>0</v>
      </c>
      <c r="BX1027" s="14">
        <f t="shared" si="354"/>
        <v>0</v>
      </c>
      <c r="BY1027" s="14">
        <f t="shared" ca="1" si="355"/>
        <v>0</v>
      </c>
      <c r="BZ1027" s="17">
        <f t="shared" si="356"/>
        <v>0</v>
      </c>
      <c r="CA1027" s="23">
        <f t="shared" ca="1" si="357"/>
        <v>41</v>
      </c>
      <c r="CB1027" s="14">
        <f t="shared" ca="1" si="358"/>
        <v>0</v>
      </c>
      <c r="CC1027" s="14">
        <v>0</v>
      </c>
      <c r="CD1027" s="14">
        <f t="shared" si="359"/>
        <v>0</v>
      </c>
      <c r="CE1027" s="14">
        <f t="shared" ca="1" si="360"/>
        <v>0</v>
      </c>
      <c r="CF1027" s="17">
        <f t="shared" si="361"/>
        <v>0</v>
      </c>
      <c r="CG1027" s="23">
        <f t="shared" ca="1" si="362"/>
        <v>29</v>
      </c>
      <c r="CH1027" s="14">
        <f t="shared" ca="1" si="363"/>
        <v>0</v>
      </c>
      <c r="CI1027" s="14">
        <f t="shared" si="364"/>
        <v>1.5599999999999998</v>
      </c>
      <c r="CJ1027" s="14">
        <f t="shared" si="365"/>
        <v>0.156</v>
      </c>
      <c r="CK1027" s="14">
        <f t="shared" ca="1" si="366"/>
        <v>0.30029999999999984</v>
      </c>
      <c r="CL1027" s="17">
        <f t="shared" si="367"/>
        <v>1.4299999999999992E-2</v>
      </c>
      <c r="CM1027" s="23">
        <f t="shared" ca="1" si="368"/>
        <v>21</v>
      </c>
      <c r="CN1027" s="23">
        <f t="shared" ca="1" si="369"/>
        <v>2.0162999999999998</v>
      </c>
      <c r="CO1027" s="14">
        <f t="shared" si="370"/>
        <v>1.5599999999999998</v>
      </c>
      <c r="CP1027" s="14">
        <f t="shared" si="371"/>
        <v>0.156</v>
      </c>
      <c r="CQ1027" s="14">
        <f t="shared" ca="1" si="372"/>
        <v>0.24309999999999984</v>
      </c>
      <c r="CR1027" s="17">
        <f t="shared" si="373"/>
        <v>1.4299999999999992E-2</v>
      </c>
      <c r="CS1027" s="23">
        <f t="shared" ca="1" si="374"/>
        <v>17</v>
      </c>
      <c r="CT1027" s="23">
        <f t="shared" ca="1" si="375"/>
        <v>1.9590999999999996</v>
      </c>
      <c r="CU1027" s="14">
        <f t="shared" si="376"/>
        <v>1.3499999999999999</v>
      </c>
      <c r="CV1027" s="14">
        <f t="shared" si="377"/>
        <v>0.13499999999999998</v>
      </c>
      <c r="CW1027" s="14">
        <f t="shared" ca="1" si="378"/>
        <v>0.13612499999999994</v>
      </c>
      <c r="CX1027" s="17">
        <f t="shared" si="379"/>
        <v>1.2374999999999994E-2</v>
      </c>
      <c r="CY1027" s="23">
        <f t="shared" ca="1" si="380"/>
        <v>11</v>
      </c>
      <c r="CZ1027" s="23">
        <f t="shared" ca="1" si="381"/>
        <v>1.6211249999999997</v>
      </c>
      <c r="DA1027" s="14">
        <f t="shared" si="382"/>
        <v>1.3499999999999999</v>
      </c>
      <c r="DB1027" s="14">
        <f t="shared" si="383"/>
        <v>0.13499999999999998</v>
      </c>
      <c r="DC1027" s="14">
        <f t="shared" ca="1" si="384"/>
        <v>6.1874999999999972E-2</v>
      </c>
      <c r="DD1027" s="17">
        <f t="shared" si="385"/>
        <v>1.2374999999999994E-2</v>
      </c>
      <c r="DE1027" s="23">
        <f t="shared" ca="1" si="386"/>
        <v>5</v>
      </c>
      <c r="DF1027" s="14">
        <f t="shared" ca="1" si="387"/>
        <v>1.5468749999999998</v>
      </c>
      <c r="DG1027" s="14">
        <f t="shared" si="388"/>
        <v>1.3499999999999999</v>
      </c>
      <c r="DH1027" s="14">
        <f>0</f>
        <v>0</v>
      </c>
      <c r="DI1027" s="14">
        <f>0</f>
        <v>0</v>
      </c>
      <c r="DJ1027" s="17">
        <f t="shared" si="389"/>
        <v>1.1249999999999994E-2</v>
      </c>
      <c r="DK1027" s="23">
        <f t="shared" ca="1" si="390"/>
        <v>11</v>
      </c>
      <c r="DL1027" s="23">
        <f t="shared" si="391"/>
        <v>1.3499999999999999</v>
      </c>
      <c r="DM1027" s="14">
        <f>0</f>
        <v>0</v>
      </c>
      <c r="DN1027" s="14">
        <f>0</f>
        <v>0</v>
      </c>
      <c r="DO1027" s="14">
        <f t="shared" ca="1" si="392"/>
        <v>0</v>
      </c>
      <c r="DP1027" s="17">
        <f t="shared" si="393"/>
        <v>0</v>
      </c>
      <c r="DQ1027" s="23">
        <f t="shared" ca="1" si="394"/>
        <v>5</v>
      </c>
      <c r="DR1027" s="14">
        <f t="shared" ca="1" si="395"/>
        <v>0</v>
      </c>
      <c r="DS1027" s="14">
        <f t="shared" si="396"/>
        <v>7.169999999999999</v>
      </c>
      <c r="DT1027" s="14">
        <f t="shared" si="397"/>
        <v>0.58199999999999996</v>
      </c>
      <c r="DU1027" s="14">
        <f t="shared" ca="1" si="398"/>
        <v>0.74139999999999961</v>
      </c>
      <c r="DV1027" s="25">
        <f t="shared" ca="1" si="399"/>
        <v>8.4933999999999976</v>
      </c>
      <c r="DW1027" s="47">
        <f t="shared" ca="1" si="400"/>
        <v>1.4155666666666662E-2</v>
      </c>
      <c r="DX1027" s="14">
        <f>20+20</f>
        <v>40</v>
      </c>
      <c r="DY1027" s="32">
        <f t="shared" si="401"/>
        <v>2</v>
      </c>
      <c r="DZ1027" s="14">
        <f t="shared" si="402"/>
        <v>1.28</v>
      </c>
      <c r="EA1027" s="4"/>
      <c r="EG1027" s="14">
        <f t="shared" si="403"/>
        <v>0</v>
      </c>
      <c r="EH1027" s="14">
        <f t="shared" ca="1" si="404"/>
        <v>49.773399999999995</v>
      </c>
      <c r="EI1027" s="24" t="s">
        <v>4935</v>
      </c>
      <c r="EJ1027" s="35">
        <f>0.09+0.09</f>
        <v>0.18</v>
      </c>
      <c r="EK1027" s="4">
        <f>300+300</f>
        <v>600</v>
      </c>
      <c r="EL1027" s="4">
        <v>0</v>
      </c>
      <c r="EM1027" s="14">
        <f t="shared" si="405"/>
        <v>600</v>
      </c>
      <c r="EN1027" s="4">
        <f>300+300</f>
        <v>600</v>
      </c>
      <c r="EO1027" s="4">
        <v>0</v>
      </c>
      <c r="EP1027" s="14">
        <f t="shared" si="406"/>
        <v>600</v>
      </c>
      <c r="IP1027" s="243"/>
      <c r="IQ1027" s="243"/>
      <c r="IR1027" s="243"/>
      <c r="IS1027" s="243"/>
      <c r="IT1027" s="243"/>
      <c r="IU1027" s="243"/>
    </row>
    <row r="1028" spans="1:263" ht="15" customHeight="1">
      <c r="A1028" s="19">
        <v>102022019</v>
      </c>
      <c r="B1028" t="s">
        <v>2953</v>
      </c>
      <c r="D1028" s="1">
        <v>2026</v>
      </c>
      <c r="E1028" s="3"/>
      <c r="F1028" s="3"/>
      <c r="J1028" t="s">
        <v>554</v>
      </c>
      <c r="K1028" t="s">
        <v>306</v>
      </c>
      <c r="L1028" t="s">
        <v>2638</v>
      </c>
      <c r="M1028" t="s">
        <v>392</v>
      </c>
      <c r="P1028" t="s">
        <v>306</v>
      </c>
      <c r="Q1028" t="s">
        <v>2639</v>
      </c>
      <c r="R1028" t="s">
        <v>354</v>
      </c>
      <c r="AD1028" t="s">
        <v>4614</v>
      </c>
      <c r="AE1028" t="s">
        <v>311</v>
      </c>
      <c r="AF1028" t="s">
        <v>306</v>
      </c>
      <c r="AG1028" t="s">
        <v>4615</v>
      </c>
      <c r="AH1028" t="s">
        <v>5621</v>
      </c>
      <c r="AJ1028" t="s">
        <v>328</v>
      </c>
      <c r="AL1028" t="s">
        <v>438</v>
      </c>
      <c r="AM1028"/>
      <c r="AN1028"/>
      <c r="AO1028" s="3" t="s">
        <v>3134</v>
      </c>
      <c r="AP1028" s="3" t="s">
        <v>258</v>
      </c>
      <c r="AQ1028" t="s">
        <v>300</v>
      </c>
      <c r="AR1028" t="s">
        <v>301</v>
      </c>
      <c r="AS1028" s="1"/>
      <c r="AT1028" s="1"/>
      <c r="AU1028" s="1"/>
      <c r="AV1028" s="1"/>
      <c r="AW1028" s="2"/>
      <c r="AX1028" s="243"/>
      <c r="AY1028" s="116"/>
      <c r="AZ1028" s="115"/>
      <c r="BA1028" s="2"/>
      <c r="BB1028" s="2"/>
      <c r="BC1028" s="2"/>
      <c r="BD1028" s="2"/>
      <c r="BF1028" s="2"/>
      <c r="BG1028" s="20"/>
      <c r="BH1028" s="22"/>
      <c r="BI1028" s="22"/>
      <c r="BJ1028" s="14"/>
      <c r="BK1028" s="22"/>
      <c r="BL1028" s="20">
        <f t="shared" ca="1" si="344"/>
        <v>266.94226666666668</v>
      </c>
      <c r="BM1028" s="22">
        <f t="shared" ca="1" si="345"/>
        <v>-23.468466213189817</v>
      </c>
      <c r="BN1028" s="22">
        <f t="shared" ca="1" si="346"/>
        <v>23.468466213189817</v>
      </c>
      <c r="BO1028" s="14">
        <f t="shared" si="347"/>
        <v>0.17333333333333334</v>
      </c>
      <c r="BP1028" s="22">
        <f t="shared" ca="1" si="348"/>
        <v>23.641799546523149</v>
      </c>
      <c r="BQ1028" s="14"/>
      <c r="BR1028" s="14">
        <f t="shared" si="349"/>
        <v>0</v>
      </c>
      <c r="BS1028" s="14">
        <f t="shared" ca="1" si="350"/>
        <v>0</v>
      </c>
      <c r="BT1028" s="17">
        <f t="shared" si="351"/>
        <v>0</v>
      </c>
      <c r="BU1028" s="23">
        <f t="shared" ca="1" si="352"/>
        <v>53</v>
      </c>
      <c r="BV1028" s="14">
        <f t="shared" ca="1" si="353"/>
        <v>0</v>
      </c>
      <c r="BW1028" s="14">
        <v>0</v>
      </c>
      <c r="BX1028" s="14">
        <f t="shared" si="354"/>
        <v>0</v>
      </c>
      <c r="BY1028" s="14">
        <f t="shared" ca="1" si="355"/>
        <v>0</v>
      </c>
      <c r="BZ1028" s="17">
        <f t="shared" si="356"/>
        <v>0</v>
      </c>
      <c r="CA1028" s="23">
        <f t="shared" ca="1" si="357"/>
        <v>41</v>
      </c>
      <c r="CB1028" s="14">
        <f t="shared" ca="1" si="358"/>
        <v>0</v>
      </c>
      <c r="CC1028" s="14">
        <v>0</v>
      </c>
      <c r="CD1028" s="14">
        <f t="shared" si="359"/>
        <v>0</v>
      </c>
      <c r="CE1028" s="14">
        <f t="shared" ca="1" si="360"/>
        <v>0</v>
      </c>
      <c r="CF1028" s="17">
        <f t="shared" si="361"/>
        <v>0</v>
      </c>
      <c r="CG1028" s="23">
        <f t="shared" ca="1" si="362"/>
        <v>29</v>
      </c>
      <c r="CH1028" s="14">
        <f t="shared" ca="1" si="363"/>
        <v>0</v>
      </c>
      <c r="CI1028" s="14">
        <f t="shared" si="364"/>
        <v>1.04</v>
      </c>
      <c r="CJ1028" s="14">
        <f t="shared" si="365"/>
        <v>0.10400000000000001</v>
      </c>
      <c r="CK1028" s="14">
        <f t="shared" ca="1" si="366"/>
        <v>0.20019999999999996</v>
      </c>
      <c r="CL1028" s="17">
        <f t="shared" si="367"/>
        <v>9.5333333333333312E-3</v>
      </c>
      <c r="CM1028" s="23">
        <f t="shared" ca="1" si="368"/>
        <v>21</v>
      </c>
      <c r="CN1028" s="23">
        <f t="shared" ca="1" si="369"/>
        <v>1.3442000000000001</v>
      </c>
      <c r="CO1028" s="14">
        <f t="shared" si="370"/>
        <v>1.04</v>
      </c>
      <c r="CP1028" s="14">
        <f t="shared" si="371"/>
        <v>0.10400000000000001</v>
      </c>
      <c r="CQ1028" s="14">
        <f t="shared" ca="1" si="372"/>
        <v>0.16206666666666664</v>
      </c>
      <c r="CR1028" s="17">
        <f t="shared" si="373"/>
        <v>9.5333333333333312E-3</v>
      </c>
      <c r="CS1028" s="23">
        <f t="shared" ca="1" si="374"/>
        <v>17</v>
      </c>
      <c r="CT1028" s="23">
        <f t="shared" ca="1" si="375"/>
        <v>1.3060666666666667</v>
      </c>
      <c r="CU1028" s="14">
        <f t="shared" si="376"/>
        <v>0.89999999999999991</v>
      </c>
      <c r="CV1028" s="14">
        <f t="shared" si="377"/>
        <v>0.09</v>
      </c>
      <c r="CW1028" s="14">
        <f t="shared" ca="1" si="378"/>
        <v>9.0749999999999942E-2</v>
      </c>
      <c r="CX1028" s="17">
        <f t="shared" si="379"/>
        <v>8.2499999999999952E-3</v>
      </c>
      <c r="CY1028" s="23">
        <f t="shared" ca="1" si="380"/>
        <v>11</v>
      </c>
      <c r="CZ1028" s="23">
        <f t="shared" ca="1" si="381"/>
        <v>1.0807499999999999</v>
      </c>
      <c r="DA1028" s="14">
        <f t="shared" si="382"/>
        <v>0.89999999999999991</v>
      </c>
      <c r="DB1028" s="14">
        <f t="shared" si="383"/>
        <v>0.09</v>
      </c>
      <c r="DC1028" s="14">
        <f t="shared" ca="1" si="384"/>
        <v>4.1249999999999974E-2</v>
      </c>
      <c r="DD1028" s="17">
        <f t="shared" si="385"/>
        <v>8.2499999999999952E-3</v>
      </c>
      <c r="DE1028" s="23">
        <f t="shared" ca="1" si="386"/>
        <v>5</v>
      </c>
      <c r="DF1028" s="14">
        <f t="shared" ca="1" si="387"/>
        <v>1.0312499999999998</v>
      </c>
      <c r="DG1028" s="14">
        <f t="shared" si="388"/>
        <v>0.89999999999999991</v>
      </c>
      <c r="DH1028" s="14">
        <f>0</f>
        <v>0</v>
      </c>
      <c r="DI1028" s="14">
        <f>0</f>
        <v>0</v>
      </c>
      <c r="DJ1028" s="17">
        <f t="shared" si="389"/>
        <v>7.4999999999999963E-3</v>
      </c>
      <c r="DK1028" s="23">
        <f t="shared" ca="1" si="390"/>
        <v>11</v>
      </c>
      <c r="DL1028" s="23">
        <f t="shared" si="391"/>
        <v>0.89999999999999991</v>
      </c>
      <c r="DM1028" s="14">
        <f>0</f>
        <v>0</v>
      </c>
      <c r="DN1028" s="14">
        <f>0</f>
        <v>0</v>
      </c>
      <c r="DO1028" s="14">
        <f t="shared" ca="1" si="392"/>
        <v>0</v>
      </c>
      <c r="DP1028" s="17">
        <f t="shared" si="393"/>
        <v>0</v>
      </c>
      <c r="DQ1028" s="23">
        <f t="shared" ca="1" si="394"/>
        <v>5</v>
      </c>
      <c r="DR1028" s="14">
        <f t="shared" ca="1" si="395"/>
        <v>0</v>
      </c>
      <c r="DS1028" s="14">
        <f t="shared" si="396"/>
        <v>4.7799999999999994</v>
      </c>
      <c r="DT1028" s="14">
        <f t="shared" si="397"/>
        <v>0.38800000000000001</v>
      </c>
      <c r="DU1028" s="14">
        <f t="shared" ca="1" si="398"/>
        <v>0.49426666666666652</v>
      </c>
      <c r="DV1028" s="25">
        <f t="shared" ca="1" si="399"/>
        <v>5.6622666666666657</v>
      </c>
      <c r="DW1028" s="47">
        <f t="shared" ca="1" si="400"/>
        <v>1.4155666666666664E-2</v>
      </c>
      <c r="DX1028" s="14">
        <f>20+20</f>
        <v>40</v>
      </c>
      <c r="DY1028" s="32">
        <f t="shared" si="401"/>
        <v>2</v>
      </c>
      <c r="DZ1028" s="14">
        <f t="shared" si="402"/>
        <v>1.28</v>
      </c>
      <c r="EA1028" s="4"/>
      <c r="EG1028" s="14">
        <f t="shared" si="403"/>
        <v>0</v>
      </c>
      <c r="EH1028" s="14">
        <f t="shared" ca="1" si="404"/>
        <v>46.942266666666669</v>
      </c>
      <c r="EI1028" s="24" t="s">
        <v>4935</v>
      </c>
      <c r="EJ1028" s="35">
        <v>0.4</v>
      </c>
      <c r="EK1028" s="4">
        <f>100+100+100+100</f>
        <v>400</v>
      </c>
      <c r="EL1028" s="4">
        <v>0</v>
      </c>
      <c r="EM1028" s="14">
        <f t="shared" si="405"/>
        <v>400</v>
      </c>
      <c r="EN1028" s="4">
        <f>100+100+100+100</f>
        <v>400</v>
      </c>
      <c r="EO1028" s="4">
        <v>0</v>
      </c>
      <c r="EP1028" s="14">
        <f t="shared" si="406"/>
        <v>400</v>
      </c>
    </row>
    <row r="1029" spans="1:263" ht="15" customHeight="1">
      <c r="A1029" s="19">
        <v>102022127</v>
      </c>
      <c r="B1029" t="s">
        <v>2863</v>
      </c>
      <c r="D1029" s="1"/>
      <c r="E1029" s="3"/>
      <c r="F1029" s="3"/>
      <c r="J1029" t="s">
        <v>311</v>
      </c>
      <c r="K1029" t="s">
        <v>306</v>
      </c>
      <c r="L1029" t="s">
        <v>2638</v>
      </c>
      <c r="M1029" t="s">
        <v>426</v>
      </c>
      <c r="AD1029" t="s">
        <v>4614</v>
      </c>
      <c r="AE1029" t="s">
        <v>311</v>
      </c>
      <c r="AF1029" t="s">
        <v>306</v>
      </c>
      <c r="AG1029" t="s">
        <v>4615</v>
      </c>
      <c r="AH1029" t="s">
        <v>5621</v>
      </c>
      <c r="AJ1029" s="18" t="s">
        <v>328</v>
      </c>
      <c r="AL1029" t="s">
        <v>3136</v>
      </c>
      <c r="AM1029"/>
      <c r="AN1029"/>
      <c r="AO1029" s="3" t="s">
        <v>3134</v>
      </c>
      <c r="AP1029" s="3" t="s">
        <v>258</v>
      </c>
      <c r="AQ1029" t="s">
        <v>300</v>
      </c>
      <c r="AR1029" t="s">
        <v>301</v>
      </c>
      <c r="AS1029" s="1"/>
      <c r="AT1029" s="1"/>
      <c r="AU1029" s="1"/>
      <c r="AV1029" s="1"/>
      <c r="AW1029" s="2"/>
      <c r="AX1029" s="18"/>
      <c r="AY1029" s="116"/>
      <c r="AZ1029" s="115"/>
      <c r="BA1029" s="2"/>
      <c r="BB1029" s="2"/>
      <c r="BC1029" s="2"/>
      <c r="BD1029" s="115">
        <v>45415</v>
      </c>
      <c r="BF1029" s="2"/>
      <c r="BG1029" s="20"/>
      <c r="BH1029" s="22"/>
      <c r="BI1029" s="22"/>
      <c r="BJ1029" s="14"/>
      <c r="BK1029" s="22"/>
      <c r="BL1029" s="20">
        <f t="shared" ca="1" si="344"/>
        <v>364.48163333333332</v>
      </c>
      <c r="BM1029" s="22">
        <f t="shared" ca="1" si="345"/>
        <v>-32.043726173543035</v>
      </c>
      <c r="BN1029" s="22">
        <f t="shared" ca="1" si="346"/>
        <v>32.043726173543035</v>
      </c>
      <c r="BO1029" s="14">
        <f t="shared" si="347"/>
        <v>2.0366666666666666</v>
      </c>
      <c r="BP1029" s="22">
        <f t="shared" ca="1" si="348"/>
        <v>34.080392840209704</v>
      </c>
      <c r="BQ1029" s="14"/>
      <c r="BR1029" s="14">
        <f t="shared" si="349"/>
        <v>0</v>
      </c>
      <c r="BS1029" s="14">
        <f t="shared" ca="1" si="350"/>
        <v>0</v>
      </c>
      <c r="BT1029" s="17">
        <f t="shared" si="351"/>
        <v>0</v>
      </c>
      <c r="BU1029" s="23">
        <f t="shared" ca="1" si="352"/>
        <v>53</v>
      </c>
      <c r="BV1029" s="14">
        <f t="shared" ca="1" si="353"/>
        <v>0</v>
      </c>
      <c r="BW1029" s="14">
        <v>0</v>
      </c>
      <c r="BX1029" s="14">
        <f t="shared" si="354"/>
        <v>0</v>
      </c>
      <c r="BY1029" s="14">
        <f t="shared" ca="1" si="355"/>
        <v>0</v>
      </c>
      <c r="BZ1029" s="17">
        <f t="shared" si="356"/>
        <v>0</v>
      </c>
      <c r="CA1029" s="23">
        <f t="shared" ca="1" si="357"/>
        <v>41</v>
      </c>
      <c r="CB1029" s="14">
        <f t="shared" ca="1" si="358"/>
        <v>0</v>
      </c>
      <c r="CC1029" s="14">
        <v>0</v>
      </c>
      <c r="CD1029" s="14">
        <f t="shared" si="359"/>
        <v>0</v>
      </c>
      <c r="CE1029" s="14">
        <f t="shared" ca="1" si="360"/>
        <v>0</v>
      </c>
      <c r="CF1029" s="17">
        <f t="shared" si="361"/>
        <v>0</v>
      </c>
      <c r="CG1029" s="23">
        <f t="shared" ca="1" si="362"/>
        <v>29</v>
      </c>
      <c r="CH1029" s="14">
        <f t="shared" ca="1" si="363"/>
        <v>0</v>
      </c>
      <c r="CI1029" s="14">
        <f t="shared" si="364"/>
        <v>12.219999999999999</v>
      </c>
      <c r="CJ1029" s="14">
        <f t="shared" si="365"/>
        <v>1.222</v>
      </c>
      <c r="CK1029" s="14">
        <f t="shared" ca="1" si="366"/>
        <v>2.3523499999999991</v>
      </c>
      <c r="CL1029" s="17">
        <f t="shared" si="367"/>
        <v>0.11201666666666661</v>
      </c>
      <c r="CM1029" s="23">
        <f t="shared" ca="1" si="368"/>
        <v>21</v>
      </c>
      <c r="CN1029" s="23">
        <f t="shared" ca="1" si="369"/>
        <v>15.794349999999998</v>
      </c>
      <c r="CO1029" s="14">
        <f t="shared" si="370"/>
        <v>12.219999999999999</v>
      </c>
      <c r="CP1029" s="14">
        <f t="shared" si="371"/>
        <v>1.222</v>
      </c>
      <c r="CQ1029" s="14">
        <f t="shared" ca="1" si="372"/>
        <v>1.9042833333333324</v>
      </c>
      <c r="CR1029" s="17">
        <f t="shared" si="373"/>
        <v>0.11201666666666661</v>
      </c>
      <c r="CS1029" s="23">
        <f t="shared" ca="1" si="374"/>
        <v>17</v>
      </c>
      <c r="CT1029" s="23">
        <f t="shared" ca="1" si="375"/>
        <v>15.34628333333333</v>
      </c>
      <c r="CU1029" s="14">
        <f t="shared" si="376"/>
        <v>10.574999999999999</v>
      </c>
      <c r="CV1029" s="14">
        <f t="shared" si="377"/>
        <v>1.0574999999999999</v>
      </c>
      <c r="CW1029" s="14">
        <f t="shared" ca="1" si="378"/>
        <v>1.0663124999999993</v>
      </c>
      <c r="CX1029" s="17">
        <f t="shared" si="379"/>
        <v>9.693749999999994E-2</v>
      </c>
      <c r="CY1029" s="23">
        <f t="shared" ca="1" si="380"/>
        <v>11</v>
      </c>
      <c r="CZ1029" s="23">
        <f t="shared" ca="1" si="381"/>
        <v>12.698812499999997</v>
      </c>
      <c r="DA1029" s="14">
        <f t="shared" si="382"/>
        <v>10.574999999999999</v>
      </c>
      <c r="DB1029" s="14">
        <f t="shared" si="383"/>
        <v>1.0574999999999999</v>
      </c>
      <c r="DC1029" s="14">
        <f t="shared" ca="1" si="384"/>
        <v>0.48468749999999972</v>
      </c>
      <c r="DD1029" s="17">
        <f t="shared" si="385"/>
        <v>9.693749999999994E-2</v>
      </c>
      <c r="DE1029" s="23">
        <f t="shared" ca="1" si="386"/>
        <v>5</v>
      </c>
      <c r="DF1029" s="14">
        <f t="shared" ca="1" si="387"/>
        <v>12.117187499999998</v>
      </c>
      <c r="DG1029" s="14">
        <f t="shared" si="388"/>
        <v>10.574999999999999</v>
      </c>
      <c r="DH1029" s="14">
        <f>0</f>
        <v>0</v>
      </c>
      <c r="DI1029" s="14">
        <f>0</f>
        <v>0</v>
      </c>
      <c r="DJ1029" s="17">
        <f t="shared" si="389"/>
        <v>8.8124999999999953E-2</v>
      </c>
      <c r="DK1029" s="23">
        <f t="shared" ca="1" si="390"/>
        <v>11</v>
      </c>
      <c r="DL1029" s="23">
        <f t="shared" si="391"/>
        <v>10.574999999999999</v>
      </c>
      <c r="DM1029" s="14">
        <f>0</f>
        <v>0</v>
      </c>
      <c r="DN1029" s="14">
        <f>0</f>
        <v>0</v>
      </c>
      <c r="DO1029" s="14">
        <f t="shared" ca="1" si="392"/>
        <v>0</v>
      </c>
      <c r="DP1029" s="17">
        <f t="shared" si="393"/>
        <v>0</v>
      </c>
      <c r="DQ1029" s="23">
        <f t="shared" ca="1" si="394"/>
        <v>5</v>
      </c>
      <c r="DR1029" s="14">
        <f t="shared" ca="1" si="395"/>
        <v>0</v>
      </c>
      <c r="DS1029" s="14">
        <f t="shared" si="396"/>
        <v>56.165000000000006</v>
      </c>
      <c r="DT1029" s="14">
        <f t="shared" si="397"/>
        <v>4.5590000000000002</v>
      </c>
      <c r="DU1029" s="14">
        <f t="shared" ca="1" si="398"/>
        <v>5.8076333333333308</v>
      </c>
      <c r="DV1029" s="25">
        <f t="shared" ca="1" si="399"/>
        <v>66.531633333333332</v>
      </c>
      <c r="DW1029" s="47">
        <f t="shared" ca="1" si="400"/>
        <v>1.4155666666666667E-2</v>
      </c>
      <c r="DX1029" s="14">
        <f>20+10+20</f>
        <v>50</v>
      </c>
      <c r="DY1029" s="32">
        <f t="shared" si="401"/>
        <v>2</v>
      </c>
      <c r="DZ1029" s="14">
        <f t="shared" si="402"/>
        <v>1.28</v>
      </c>
      <c r="EA1029" s="4"/>
      <c r="EB1029" s="4">
        <v>26.67</v>
      </c>
      <c r="EG1029" s="14">
        <f t="shared" si="403"/>
        <v>26.67</v>
      </c>
      <c r="EH1029" s="14">
        <f t="shared" ca="1" si="404"/>
        <v>144.48163333333335</v>
      </c>
      <c r="EI1029" s="24" t="s">
        <v>4935</v>
      </c>
      <c r="EJ1029" s="35">
        <f>47*0.09</f>
        <v>4.2299999999999995</v>
      </c>
      <c r="EK1029" s="4">
        <v>4700</v>
      </c>
      <c r="EL1029" s="4">
        <v>0</v>
      </c>
      <c r="EM1029" s="14">
        <v>4700</v>
      </c>
      <c r="EN1029" s="4">
        <v>4700</v>
      </c>
      <c r="EO1029" s="4">
        <v>0</v>
      </c>
      <c r="EP1029" s="14">
        <v>4700</v>
      </c>
    </row>
    <row r="1030" spans="1:263" ht="15" customHeight="1">
      <c r="A1030" s="19">
        <v>102021098</v>
      </c>
      <c r="B1030" s="18" t="s">
        <v>2640</v>
      </c>
      <c r="D1030" s="13">
        <v>2026</v>
      </c>
      <c r="E1030" s="3"/>
      <c r="F1030" s="3"/>
      <c r="J1030" s="18" t="s">
        <v>554</v>
      </c>
      <c r="K1030" s="18" t="s">
        <v>306</v>
      </c>
      <c r="L1030" s="18" t="s">
        <v>2638</v>
      </c>
      <c r="M1030" s="18" t="s">
        <v>392</v>
      </c>
      <c r="P1030" s="18" t="s">
        <v>306</v>
      </c>
      <c r="Q1030" s="18" t="s">
        <v>2639</v>
      </c>
      <c r="AD1030" t="s">
        <v>4614</v>
      </c>
      <c r="AE1030" t="s">
        <v>311</v>
      </c>
      <c r="AF1030" t="s">
        <v>306</v>
      </c>
      <c r="AG1030" t="s">
        <v>4615</v>
      </c>
      <c r="AH1030" t="s">
        <v>5621</v>
      </c>
      <c r="AJ1030" s="18" t="s">
        <v>328</v>
      </c>
      <c r="AL1030" t="s">
        <v>316</v>
      </c>
      <c r="AM1030"/>
      <c r="AN1030"/>
      <c r="AO1030" s="3" t="s">
        <v>3134</v>
      </c>
      <c r="AP1030" s="3" t="s">
        <v>258</v>
      </c>
      <c r="AQ1030" t="s">
        <v>300</v>
      </c>
      <c r="AR1030" t="s">
        <v>301</v>
      </c>
      <c r="AS1030" s="1"/>
      <c r="AT1030" s="1"/>
      <c r="AU1030" s="1"/>
      <c r="AV1030" s="1"/>
      <c r="AW1030" s="2"/>
      <c r="AY1030" s="116"/>
      <c r="AZ1030" s="115"/>
      <c r="BA1030" s="2"/>
      <c r="BB1030" s="2"/>
      <c r="BC1030" s="2"/>
      <c r="BD1030" s="2"/>
      <c r="BF1030" s="2"/>
      <c r="BG1030" s="20"/>
      <c r="BH1030" s="22"/>
      <c r="BI1030" s="22"/>
      <c r="BJ1030" s="14"/>
      <c r="BK1030" s="22"/>
      <c r="BL1030" s="20">
        <f t="shared" ca="1" si="344"/>
        <v>265.52670000000001</v>
      </c>
      <c r="BM1030" s="22">
        <f t="shared" ca="1" si="345"/>
        <v>-23.344015413756591</v>
      </c>
      <c r="BN1030" s="22">
        <f t="shared" ca="1" si="346"/>
        <v>23.344015413756591</v>
      </c>
      <c r="BO1030" s="14">
        <f t="shared" si="347"/>
        <v>0.12999999999999998</v>
      </c>
      <c r="BP1030" s="22">
        <f t="shared" ca="1" si="348"/>
        <v>23.47401541375659</v>
      </c>
      <c r="BQ1030" s="14"/>
      <c r="BR1030" s="14">
        <f t="shared" si="349"/>
        <v>0</v>
      </c>
      <c r="BS1030" s="14">
        <f t="shared" ca="1" si="350"/>
        <v>0</v>
      </c>
      <c r="BT1030" s="17">
        <f t="shared" si="351"/>
        <v>0</v>
      </c>
      <c r="BU1030" s="23">
        <f t="shared" ca="1" si="352"/>
        <v>53</v>
      </c>
      <c r="BV1030" s="14">
        <f t="shared" ca="1" si="353"/>
        <v>0</v>
      </c>
      <c r="BW1030" s="14">
        <v>0</v>
      </c>
      <c r="BX1030" s="14">
        <f t="shared" si="354"/>
        <v>0</v>
      </c>
      <c r="BY1030" s="14">
        <f t="shared" ca="1" si="355"/>
        <v>0</v>
      </c>
      <c r="BZ1030" s="17">
        <f t="shared" si="356"/>
        <v>0</v>
      </c>
      <c r="CA1030" s="23">
        <f t="shared" ca="1" si="357"/>
        <v>41</v>
      </c>
      <c r="CB1030" s="14">
        <f t="shared" ca="1" si="358"/>
        <v>0</v>
      </c>
      <c r="CC1030" s="14">
        <v>0</v>
      </c>
      <c r="CD1030" s="14">
        <f t="shared" si="359"/>
        <v>0</v>
      </c>
      <c r="CE1030" s="14">
        <f t="shared" ca="1" si="360"/>
        <v>0</v>
      </c>
      <c r="CF1030" s="17">
        <f t="shared" si="361"/>
        <v>0</v>
      </c>
      <c r="CG1030" s="23">
        <f t="shared" ca="1" si="362"/>
        <v>29</v>
      </c>
      <c r="CH1030" s="14">
        <f t="shared" ca="1" si="363"/>
        <v>0</v>
      </c>
      <c r="CI1030" s="14">
        <f t="shared" si="364"/>
        <v>0.77999999999999992</v>
      </c>
      <c r="CJ1030" s="14">
        <f t="shared" si="365"/>
        <v>7.8E-2</v>
      </c>
      <c r="CK1030" s="14">
        <f t="shared" ca="1" si="366"/>
        <v>0.15014999999999992</v>
      </c>
      <c r="CL1030" s="17">
        <f t="shared" si="367"/>
        <v>7.1499999999999958E-3</v>
      </c>
      <c r="CM1030" s="23">
        <f t="shared" ca="1" si="368"/>
        <v>21</v>
      </c>
      <c r="CN1030" s="23">
        <f t="shared" ca="1" si="369"/>
        <v>1.0081499999999999</v>
      </c>
      <c r="CO1030" s="14">
        <f t="shared" si="370"/>
        <v>0.77999999999999992</v>
      </c>
      <c r="CP1030" s="14">
        <f t="shared" si="371"/>
        <v>7.8E-2</v>
      </c>
      <c r="CQ1030" s="14">
        <f t="shared" ca="1" si="372"/>
        <v>0.12154999999999992</v>
      </c>
      <c r="CR1030" s="17">
        <f t="shared" si="373"/>
        <v>7.1499999999999958E-3</v>
      </c>
      <c r="CS1030" s="23">
        <f t="shared" ca="1" si="374"/>
        <v>17</v>
      </c>
      <c r="CT1030" s="23">
        <f t="shared" ca="1" si="375"/>
        <v>0.97954999999999981</v>
      </c>
      <c r="CU1030" s="14">
        <f t="shared" si="376"/>
        <v>0.67499999999999993</v>
      </c>
      <c r="CV1030" s="14">
        <f t="shared" si="377"/>
        <v>6.7499999999999991E-2</v>
      </c>
      <c r="CW1030" s="14">
        <f t="shared" ca="1" si="378"/>
        <v>6.806249999999997E-2</v>
      </c>
      <c r="CX1030" s="17">
        <f t="shared" si="379"/>
        <v>6.1874999999999968E-3</v>
      </c>
      <c r="CY1030" s="23">
        <f t="shared" ca="1" si="380"/>
        <v>11</v>
      </c>
      <c r="CZ1030" s="23">
        <f t="shared" ca="1" si="381"/>
        <v>0.81056249999999985</v>
      </c>
      <c r="DA1030" s="14">
        <f t="shared" si="382"/>
        <v>0.67499999999999993</v>
      </c>
      <c r="DB1030" s="14">
        <f t="shared" si="383"/>
        <v>6.7499999999999991E-2</v>
      </c>
      <c r="DC1030" s="14">
        <f t="shared" ca="1" si="384"/>
        <v>3.0937499999999986E-2</v>
      </c>
      <c r="DD1030" s="17">
        <f t="shared" si="385"/>
        <v>6.1874999999999968E-3</v>
      </c>
      <c r="DE1030" s="23">
        <f t="shared" ca="1" si="386"/>
        <v>5</v>
      </c>
      <c r="DF1030" s="14">
        <f t="shared" ca="1" si="387"/>
        <v>0.77343749999999989</v>
      </c>
      <c r="DG1030" s="14">
        <f t="shared" si="388"/>
        <v>0.67499999999999993</v>
      </c>
      <c r="DH1030" s="14">
        <f>0</f>
        <v>0</v>
      </c>
      <c r="DI1030" s="14">
        <f>0</f>
        <v>0</v>
      </c>
      <c r="DJ1030" s="17">
        <f t="shared" si="389"/>
        <v>5.6249999999999972E-3</v>
      </c>
      <c r="DK1030" s="23">
        <f t="shared" ca="1" si="390"/>
        <v>11</v>
      </c>
      <c r="DL1030" s="23">
        <f t="shared" si="391"/>
        <v>0.67499999999999993</v>
      </c>
      <c r="DM1030" s="14">
        <f>0</f>
        <v>0</v>
      </c>
      <c r="DN1030" s="14">
        <f>0</f>
        <v>0</v>
      </c>
      <c r="DO1030" s="14">
        <f t="shared" ca="1" si="392"/>
        <v>0</v>
      </c>
      <c r="DP1030" s="17">
        <f t="shared" si="393"/>
        <v>0</v>
      </c>
      <c r="DQ1030" s="23">
        <f t="shared" ca="1" si="394"/>
        <v>5</v>
      </c>
      <c r="DR1030" s="14">
        <f t="shared" ca="1" si="395"/>
        <v>0</v>
      </c>
      <c r="DS1030" s="14">
        <f t="shared" si="396"/>
        <v>3.5849999999999995</v>
      </c>
      <c r="DT1030" s="14">
        <f t="shared" si="397"/>
        <v>0.29099999999999998</v>
      </c>
      <c r="DU1030" s="14">
        <f t="shared" ca="1" si="398"/>
        <v>0.37069999999999981</v>
      </c>
      <c r="DV1030" s="25">
        <f t="shared" ca="1" si="399"/>
        <v>4.2466999999999988</v>
      </c>
      <c r="DW1030" s="47">
        <f t="shared" ca="1" si="400"/>
        <v>1.4155666666666662E-2</v>
      </c>
      <c r="DX1030" s="14">
        <f>20+20</f>
        <v>40</v>
      </c>
      <c r="DY1030" s="32">
        <f t="shared" si="401"/>
        <v>2</v>
      </c>
      <c r="DZ1030" s="14">
        <f t="shared" si="402"/>
        <v>1.28</v>
      </c>
      <c r="EA1030" s="4"/>
      <c r="EG1030" s="14">
        <f t="shared" si="403"/>
        <v>0</v>
      </c>
      <c r="EH1030" s="14">
        <f t="shared" ca="1" si="404"/>
        <v>45.526699999999998</v>
      </c>
      <c r="EI1030" s="24" t="s">
        <v>4935</v>
      </c>
      <c r="EJ1030" s="35">
        <v>0.09</v>
      </c>
      <c r="EK1030" s="4">
        <v>300</v>
      </c>
      <c r="EL1030" s="4">
        <v>0</v>
      </c>
      <c r="EM1030" s="14">
        <f t="shared" ref="EM1030:EM1035" si="407">SUM(EK1030+EL1030)</f>
        <v>300</v>
      </c>
      <c r="EN1030" s="4">
        <v>300</v>
      </c>
      <c r="EO1030" s="4">
        <v>0</v>
      </c>
      <c r="EP1030" s="14">
        <f t="shared" ref="EP1030:EP1035" si="408">SUM(EN1030+EO1030)</f>
        <v>300</v>
      </c>
    </row>
    <row r="1031" spans="1:263" ht="15" customHeight="1">
      <c r="A1031" s="19">
        <v>102022128</v>
      </c>
      <c r="B1031" t="s">
        <v>2864</v>
      </c>
      <c r="D1031" s="1">
        <v>2026</v>
      </c>
      <c r="E1031" s="3"/>
      <c r="F1031" s="3"/>
      <c r="J1031" t="s">
        <v>311</v>
      </c>
      <c r="K1031" t="s">
        <v>306</v>
      </c>
      <c r="L1031" t="s">
        <v>2638</v>
      </c>
      <c r="M1031" t="s">
        <v>426</v>
      </c>
      <c r="AD1031" t="s">
        <v>4614</v>
      </c>
      <c r="AE1031" t="s">
        <v>311</v>
      </c>
      <c r="AF1031" t="s">
        <v>306</v>
      </c>
      <c r="AG1031" t="s">
        <v>4615</v>
      </c>
      <c r="AH1031" t="s">
        <v>5621</v>
      </c>
      <c r="AJ1031" s="18" t="s">
        <v>328</v>
      </c>
      <c r="AL1031" t="s">
        <v>3136</v>
      </c>
      <c r="AM1031"/>
      <c r="AN1031"/>
      <c r="AO1031" s="3" t="s">
        <v>3134</v>
      </c>
      <c r="AP1031" s="3" t="s">
        <v>258</v>
      </c>
      <c r="AQ1031" t="s">
        <v>300</v>
      </c>
      <c r="AR1031" t="s">
        <v>301</v>
      </c>
      <c r="AS1031" s="1"/>
      <c r="AT1031" s="1"/>
      <c r="AU1031" s="1"/>
      <c r="AV1031" s="1"/>
      <c r="AW1031" s="2"/>
      <c r="AX1031" s="18"/>
      <c r="AY1031" s="116"/>
      <c r="AZ1031" s="115"/>
      <c r="BA1031" s="2"/>
      <c r="BB1031" s="2"/>
      <c r="BC1031" s="2"/>
      <c r="BD1031" s="2"/>
      <c r="BF1031" s="2"/>
      <c r="BG1031" s="20"/>
      <c r="BH1031" s="22"/>
      <c r="BI1031" s="22"/>
      <c r="BJ1031" s="14"/>
      <c r="BK1031" s="22"/>
      <c r="BL1031" s="20">
        <f t="shared" ca="1" si="344"/>
        <v>409.10426666666672</v>
      </c>
      <c r="BM1031" s="22">
        <f t="shared" ca="1" si="345"/>
        <v>-35.966764573582445</v>
      </c>
      <c r="BN1031" s="22">
        <f t="shared" ca="1" si="346"/>
        <v>35.966764573582445</v>
      </c>
      <c r="BO1031" s="14">
        <f t="shared" si="347"/>
        <v>6.0666666666666664</v>
      </c>
      <c r="BP1031" s="22">
        <f t="shared" ca="1" si="348"/>
        <v>42.033431240249115</v>
      </c>
      <c r="BQ1031" s="14"/>
      <c r="BR1031" s="14">
        <f t="shared" si="349"/>
        <v>0</v>
      </c>
      <c r="BS1031" s="14">
        <f t="shared" ca="1" si="350"/>
        <v>0</v>
      </c>
      <c r="BT1031" s="17">
        <f t="shared" si="351"/>
        <v>0</v>
      </c>
      <c r="BU1031" s="23">
        <f t="shared" ca="1" si="352"/>
        <v>53</v>
      </c>
      <c r="BV1031" s="14">
        <f t="shared" ca="1" si="353"/>
        <v>0</v>
      </c>
      <c r="BW1031" s="14">
        <v>0</v>
      </c>
      <c r="BX1031" s="14">
        <f t="shared" si="354"/>
        <v>0</v>
      </c>
      <c r="BY1031" s="14">
        <f t="shared" ca="1" si="355"/>
        <v>0</v>
      </c>
      <c r="BZ1031" s="17">
        <f t="shared" si="356"/>
        <v>0</v>
      </c>
      <c r="CA1031" s="23">
        <f t="shared" ca="1" si="357"/>
        <v>41</v>
      </c>
      <c r="CB1031" s="14">
        <f t="shared" ca="1" si="358"/>
        <v>0</v>
      </c>
      <c r="CC1031" s="14">
        <v>0</v>
      </c>
      <c r="CD1031" s="14">
        <f t="shared" si="359"/>
        <v>0</v>
      </c>
      <c r="CE1031" s="14">
        <f t="shared" ca="1" si="360"/>
        <v>0</v>
      </c>
      <c r="CF1031" s="17">
        <f t="shared" si="361"/>
        <v>0</v>
      </c>
      <c r="CG1031" s="23">
        <f t="shared" ca="1" si="362"/>
        <v>29</v>
      </c>
      <c r="CH1031" s="14">
        <f t="shared" ca="1" si="363"/>
        <v>0</v>
      </c>
      <c r="CI1031" s="14">
        <f t="shared" si="364"/>
        <v>16.64</v>
      </c>
      <c r="CJ1031" s="14">
        <f t="shared" si="365"/>
        <v>1.6640000000000001</v>
      </c>
      <c r="CK1031" s="14">
        <f t="shared" ca="1" si="366"/>
        <v>3.2031999999999994</v>
      </c>
      <c r="CL1031" s="17">
        <f t="shared" si="367"/>
        <v>0.1525333333333333</v>
      </c>
      <c r="CM1031" s="23">
        <f t="shared" ca="1" si="368"/>
        <v>21</v>
      </c>
      <c r="CN1031" s="23">
        <f t="shared" ca="1" si="369"/>
        <v>21.507200000000001</v>
      </c>
      <c r="CO1031" s="14">
        <f t="shared" si="370"/>
        <v>16.64</v>
      </c>
      <c r="CP1031" s="14">
        <f t="shared" si="371"/>
        <v>1.6640000000000001</v>
      </c>
      <c r="CQ1031" s="14">
        <f t="shared" ca="1" si="372"/>
        <v>2.5930666666666662</v>
      </c>
      <c r="CR1031" s="17">
        <f t="shared" si="373"/>
        <v>0.1525333333333333</v>
      </c>
      <c r="CS1031" s="23">
        <f t="shared" ca="1" si="374"/>
        <v>17</v>
      </c>
      <c r="CT1031" s="23">
        <f t="shared" ca="1" si="375"/>
        <v>20.897066666666667</v>
      </c>
      <c r="CU1031" s="14">
        <f t="shared" si="376"/>
        <v>31.499999999999996</v>
      </c>
      <c r="CV1031" s="14">
        <f t="shared" si="377"/>
        <v>3.15</v>
      </c>
      <c r="CW1031" s="14">
        <f t="shared" ca="1" si="378"/>
        <v>3.1762499999999982</v>
      </c>
      <c r="CX1031" s="17">
        <f t="shared" si="379"/>
        <v>0.28874999999999984</v>
      </c>
      <c r="CY1031" s="23">
        <f t="shared" ca="1" si="380"/>
        <v>11</v>
      </c>
      <c r="CZ1031" s="23">
        <f t="shared" ca="1" si="381"/>
        <v>37.826249999999995</v>
      </c>
      <c r="DA1031" s="14">
        <f t="shared" si="382"/>
        <v>31.499999999999996</v>
      </c>
      <c r="DB1031" s="14">
        <f t="shared" si="383"/>
        <v>3.15</v>
      </c>
      <c r="DC1031" s="14">
        <f t="shared" ca="1" si="384"/>
        <v>1.4437499999999992</v>
      </c>
      <c r="DD1031" s="17">
        <f t="shared" si="385"/>
        <v>0.28874999999999984</v>
      </c>
      <c r="DE1031" s="23">
        <f t="shared" ca="1" si="386"/>
        <v>5</v>
      </c>
      <c r="DF1031" s="14">
        <f t="shared" ca="1" si="387"/>
        <v>36.09375</v>
      </c>
      <c r="DG1031" s="14">
        <f t="shared" si="388"/>
        <v>31.499999999999996</v>
      </c>
      <c r="DH1031" s="14">
        <f>0</f>
        <v>0</v>
      </c>
      <c r="DI1031" s="14">
        <f>0</f>
        <v>0</v>
      </c>
      <c r="DJ1031" s="17">
        <f t="shared" si="389"/>
        <v>0.26249999999999984</v>
      </c>
      <c r="DK1031" s="23">
        <f t="shared" ca="1" si="390"/>
        <v>11</v>
      </c>
      <c r="DL1031" s="23">
        <f t="shared" si="391"/>
        <v>31.499999999999996</v>
      </c>
      <c r="DM1031" s="14">
        <f>0</f>
        <v>0</v>
      </c>
      <c r="DN1031" s="14">
        <f>0</f>
        <v>0</v>
      </c>
      <c r="DO1031" s="14">
        <f t="shared" ca="1" si="392"/>
        <v>0</v>
      </c>
      <c r="DP1031" s="17">
        <f t="shared" si="393"/>
        <v>0</v>
      </c>
      <c r="DQ1031" s="23">
        <f t="shared" ca="1" si="394"/>
        <v>5</v>
      </c>
      <c r="DR1031" s="14">
        <f t="shared" ca="1" si="395"/>
        <v>0</v>
      </c>
      <c r="DS1031" s="14">
        <f t="shared" si="396"/>
        <v>127.78</v>
      </c>
      <c r="DT1031" s="14">
        <f t="shared" si="397"/>
        <v>9.6280000000000001</v>
      </c>
      <c r="DU1031" s="14">
        <f t="shared" ca="1" si="398"/>
        <v>10.416266666666663</v>
      </c>
      <c r="DV1031" s="25">
        <f t="shared" ca="1" si="399"/>
        <v>147.82426666666669</v>
      </c>
      <c r="DW1031" s="47">
        <f t="shared" ca="1" si="400"/>
        <v>2.3097541666666669E-2</v>
      </c>
      <c r="DX1031" s="14">
        <f>20+20</f>
        <v>40</v>
      </c>
      <c r="DY1031" s="32">
        <f t="shared" si="401"/>
        <v>2</v>
      </c>
      <c r="DZ1031" s="14">
        <f t="shared" si="402"/>
        <v>1.28</v>
      </c>
      <c r="EA1031" s="4"/>
      <c r="EG1031" s="14">
        <f t="shared" si="403"/>
        <v>0</v>
      </c>
      <c r="EH1031" s="14">
        <f t="shared" ca="1" si="404"/>
        <v>189.10426666666669</v>
      </c>
      <c r="EI1031" s="24" t="s">
        <v>4935</v>
      </c>
      <c r="EJ1031" s="35">
        <v>0.56999999999999995</v>
      </c>
      <c r="EK1031" s="4">
        <v>6400</v>
      </c>
      <c r="EL1031" s="4">
        <v>0</v>
      </c>
      <c r="EM1031" s="14">
        <f t="shared" si="407"/>
        <v>6400</v>
      </c>
      <c r="EN1031" s="4">
        <v>14000</v>
      </c>
      <c r="EO1031" s="4">
        <v>0</v>
      </c>
      <c r="EP1031" s="14">
        <f t="shared" si="408"/>
        <v>14000</v>
      </c>
    </row>
    <row r="1032" spans="1:263" ht="15" customHeight="1">
      <c r="A1032" s="19">
        <v>102022129</v>
      </c>
      <c r="B1032" t="s">
        <v>2865</v>
      </c>
      <c r="D1032" s="1">
        <v>2026</v>
      </c>
      <c r="E1032" s="3"/>
      <c r="F1032" s="3"/>
      <c r="J1032" t="s">
        <v>311</v>
      </c>
      <c r="K1032" t="s">
        <v>306</v>
      </c>
      <c r="L1032" t="s">
        <v>2638</v>
      </c>
      <c r="M1032" t="s">
        <v>426</v>
      </c>
      <c r="AD1032" t="s">
        <v>4614</v>
      </c>
      <c r="AE1032" t="s">
        <v>311</v>
      </c>
      <c r="AF1032" t="s">
        <v>306</v>
      </c>
      <c r="AG1032" t="s">
        <v>4615</v>
      </c>
      <c r="AH1032" t="s">
        <v>5621</v>
      </c>
      <c r="AJ1032" s="18" t="s">
        <v>328</v>
      </c>
      <c r="AL1032" t="s">
        <v>3136</v>
      </c>
      <c r="AM1032"/>
      <c r="AN1032"/>
      <c r="AO1032" s="3" t="s">
        <v>3134</v>
      </c>
      <c r="AP1032" s="3" t="s">
        <v>258</v>
      </c>
      <c r="AQ1032" t="s">
        <v>300</v>
      </c>
      <c r="AR1032" t="s">
        <v>301</v>
      </c>
      <c r="AS1032" s="1"/>
      <c r="AT1032" s="1"/>
      <c r="AU1032" s="1"/>
      <c r="AV1032" s="1"/>
      <c r="AW1032" s="2"/>
      <c r="AX1032" s="18"/>
      <c r="AY1032" s="116"/>
      <c r="AZ1032" s="115"/>
      <c r="BA1032" s="2"/>
      <c r="BB1032" s="2"/>
      <c r="BC1032" s="2"/>
      <c r="BD1032" s="2"/>
      <c r="BF1032" s="2"/>
      <c r="BG1032" s="20"/>
      <c r="BH1032" s="22"/>
      <c r="BI1032" s="22"/>
      <c r="BJ1032" s="14"/>
      <c r="BK1032" s="22"/>
      <c r="BL1032" s="20">
        <f t="shared" ca="1" si="344"/>
        <v>269.77339999999998</v>
      </c>
      <c r="BM1032" s="22">
        <f t="shared" ca="1" si="345"/>
        <v>-23.717367812056267</v>
      </c>
      <c r="BN1032" s="22">
        <f t="shared" ca="1" si="346"/>
        <v>23.717367812056267</v>
      </c>
      <c r="BO1032" s="14">
        <f t="shared" si="347"/>
        <v>0.25999999999999995</v>
      </c>
      <c r="BP1032" s="22">
        <f t="shared" ca="1" si="348"/>
        <v>23.977367812056269</v>
      </c>
      <c r="BQ1032" s="14"/>
      <c r="BR1032" s="14">
        <f t="shared" si="349"/>
        <v>0</v>
      </c>
      <c r="BS1032" s="14">
        <f t="shared" ca="1" si="350"/>
        <v>0</v>
      </c>
      <c r="BT1032" s="17">
        <f t="shared" si="351"/>
        <v>0</v>
      </c>
      <c r="BU1032" s="23">
        <f t="shared" ca="1" si="352"/>
        <v>53</v>
      </c>
      <c r="BV1032" s="14">
        <f t="shared" ca="1" si="353"/>
        <v>0</v>
      </c>
      <c r="BW1032" s="14">
        <v>0</v>
      </c>
      <c r="BX1032" s="14">
        <f t="shared" si="354"/>
        <v>0</v>
      </c>
      <c r="BY1032" s="14">
        <f t="shared" ca="1" si="355"/>
        <v>0</v>
      </c>
      <c r="BZ1032" s="17">
        <f t="shared" si="356"/>
        <v>0</v>
      </c>
      <c r="CA1032" s="23">
        <f t="shared" ca="1" si="357"/>
        <v>41</v>
      </c>
      <c r="CB1032" s="14">
        <f t="shared" ca="1" si="358"/>
        <v>0</v>
      </c>
      <c r="CC1032" s="14">
        <v>0</v>
      </c>
      <c r="CD1032" s="14">
        <f t="shared" si="359"/>
        <v>0</v>
      </c>
      <c r="CE1032" s="14">
        <f t="shared" ca="1" si="360"/>
        <v>0</v>
      </c>
      <c r="CF1032" s="17">
        <f t="shared" si="361"/>
        <v>0</v>
      </c>
      <c r="CG1032" s="23">
        <f t="shared" ca="1" si="362"/>
        <v>29</v>
      </c>
      <c r="CH1032" s="14">
        <f t="shared" ca="1" si="363"/>
        <v>0</v>
      </c>
      <c r="CI1032" s="14">
        <f t="shared" si="364"/>
        <v>1.5599999999999998</v>
      </c>
      <c r="CJ1032" s="14">
        <f t="shared" si="365"/>
        <v>0.156</v>
      </c>
      <c r="CK1032" s="14">
        <f t="shared" ca="1" si="366"/>
        <v>0.30029999999999984</v>
      </c>
      <c r="CL1032" s="17">
        <f t="shared" si="367"/>
        <v>1.4299999999999992E-2</v>
      </c>
      <c r="CM1032" s="23">
        <f t="shared" ca="1" si="368"/>
        <v>21</v>
      </c>
      <c r="CN1032" s="23">
        <f t="shared" ca="1" si="369"/>
        <v>2.0162999999999998</v>
      </c>
      <c r="CO1032" s="14">
        <f t="shared" si="370"/>
        <v>1.5599999999999998</v>
      </c>
      <c r="CP1032" s="14">
        <f t="shared" si="371"/>
        <v>0.156</v>
      </c>
      <c r="CQ1032" s="14">
        <f t="shared" ca="1" si="372"/>
        <v>0.24309999999999984</v>
      </c>
      <c r="CR1032" s="17">
        <f t="shared" si="373"/>
        <v>1.4299999999999992E-2</v>
      </c>
      <c r="CS1032" s="23">
        <f t="shared" ca="1" si="374"/>
        <v>17</v>
      </c>
      <c r="CT1032" s="23">
        <f t="shared" ca="1" si="375"/>
        <v>1.9590999999999996</v>
      </c>
      <c r="CU1032" s="14">
        <f t="shared" si="376"/>
        <v>1.3499999999999999</v>
      </c>
      <c r="CV1032" s="14">
        <f t="shared" si="377"/>
        <v>0.13499999999999998</v>
      </c>
      <c r="CW1032" s="14">
        <f t="shared" ca="1" si="378"/>
        <v>0.13612499999999994</v>
      </c>
      <c r="CX1032" s="17">
        <f t="shared" si="379"/>
        <v>1.2374999999999994E-2</v>
      </c>
      <c r="CY1032" s="23">
        <f t="shared" ca="1" si="380"/>
        <v>11</v>
      </c>
      <c r="CZ1032" s="23">
        <f t="shared" ca="1" si="381"/>
        <v>1.6211249999999997</v>
      </c>
      <c r="DA1032" s="14">
        <f t="shared" si="382"/>
        <v>1.3499999999999999</v>
      </c>
      <c r="DB1032" s="14">
        <f t="shared" si="383"/>
        <v>0.13499999999999998</v>
      </c>
      <c r="DC1032" s="14">
        <f t="shared" ca="1" si="384"/>
        <v>6.1874999999999972E-2</v>
      </c>
      <c r="DD1032" s="17">
        <f t="shared" si="385"/>
        <v>1.2374999999999994E-2</v>
      </c>
      <c r="DE1032" s="23">
        <f t="shared" ca="1" si="386"/>
        <v>5</v>
      </c>
      <c r="DF1032" s="14">
        <f t="shared" ca="1" si="387"/>
        <v>1.5468749999999998</v>
      </c>
      <c r="DG1032" s="14">
        <f t="shared" si="388"/>
        <v>1.3499999999999999</v>
      </c>
      <c r="DH1032" s="14">
        <f>0</f>
        <v>0</v>
      </c>
      <c r="DI1032" s="14">
        <f>0</f>
        <v>0</v>
      </c>
      <c r="DJ1032" s="17">
        <f t="shared" si="389"/>
        <v>1.1249999999999994E-2</v>
      </c>
      <c r="DK1032" s="23">
        <f t="shared" ca="1" si="390"/>
        <v>11</v>
      </c>
      <c r="DL1032" s="23">
        <f t="shared" si="391"/>
        <v>1.3499999999999999</v>
      </c>
      <c r="DM1032" s="14">
        <f>0</f>
        <v>0</v>
      </c>
      <c r="DN1032" s="14">
        <f>0</f>
        <v>0</v>
      </c>
      <c r="DO1032" s="14">
        <f t="shared" ca="1" si="392"/>
        <v>0</v>
      </c>
      <c r="DP1032" s="17">
        <f t="shared" si="393"/>
        <v>0</v>
      </c>
      <c r="DQ1032" s="23">
        <f t="shared" ca="1" si="394"/>
        <v>5</v>
      </c>
      <c r="DR1032" s="14">
        <f t="shared" ca="1" si="395"/>
        <v>0</v>
      </c>
      <c r="DS1032" s="14">
        <f t="shared" si="396"/>
        <v>7.169999999999999</v>
      </c>
      <c r="DT1032" s="14">
        <f t="shared" si="397"/>
        <v>0.58199999999999996</v>
      </c>
      <c r="DU1032" s="14">
        <f t="shared" ca="1" si="398"/>
        <v>0.74139999999999961</v>
      </c>
      <c r="DV1032" s="25">
        <f t="shared" ca="1" si="399"/>
        <v>8.4933999999999976</v>
      </c>
      <c r="DW1032" s="47">
        <f t="shared" ca="1" si="400"/>
        <v>1.4155666666666662E-2</v>
      </c>
      <c r="DX1032" s="14">
        <f>20+20</f>
        <v>40</v>
      </c>
      <c r="DY1032" s="32">
        <f t="shared" si="401"/>
        <v>2</v>
      </c>
      <c r="DZ1032" s="14">
        <f t="shared" si="402"/>
        <v>1.28</v>
      </c>
      <c r="EA1032" s="4"/>
      <c r="EG1032" s="14">
        <f t="shared" si="403"/>
        <v>0</v>
      </c>
      <c r="EH1032" s="14">
        <f t="shared" ca="1" si="404"/>
        <v>49.773399999999995</v>
      </c>
      <c r="EI1032" s="24" t="s">
        <v>4935</v>
      </c>
      <c r="EJ1032" s="35">
        <v>0.1</v>
      </c>
      <c r="EK1032" s="4">
        <f>300+300</f>
        <v>600</v>
      </c>
      <c r="EL1032" s="4">
        <v>0</v>
      </c>
      <c r="EM1032" s="14">
        <f t="shared" si="407"/>
        <v>600</v>
      </c>
      <c r="EN1032" s="4">
        <f>300+300</f>
        <v>600</v>
      </c>
      <c r="EO1032" s="4">
        <v>0</v>
      </c>
      <c r="EP1032" s="14">
        <f t="shared" si="408"/>
        <v>600</v>
      </c>
    </row>
    <row r="1033" spans="1:263" ht="15" customHeight="1">
      <c r="A1033" s="19">
        <v>102022130</v>
      </c>
      <c r="B1033" t="s">
        <v>2866</v>
      </c>
      <c r="D1033" s="1">
        <v>2026</v>
      </c>
      <c r="E1033" s="3"/>
      <c r="F1033" s="3"/>
      <c r="J1033" t="s">
        <v>554</v>
      </c>
      <c r="K1033" t="s">
        <v>306</v>
      </c>
      <c r="L1033" t="s">
        <v>2638</v>
      </c>
      <c r="M1033" t="s">
        <v>426</v>
      </c>
      <c r="P1033" t="s">
        <v>306</v>
      </c>
      <c r="Q1033" t="s">
        <v>1335</v>
      </c>
      <c r="R1033" t="s">
        <v>428</v>
      </c>
      <c r="AD1033" s="18" t="s">
        <v>4614</v>
      </c>
      <c r="AE1033" s="18" t="s">
        <v>311</v>
      </c>
      <c r="AF1033" s="18" t="s">
        <v>306</v>
      </c>
      <c r="AG1033" s="18" t="s">
        <v>4615</v>
      </c>
      <c r="AH1033" t="s">
        <v>5621</v>
      </c>
      <c r="AJ1033" s="18" t="s">
        <v>328</v>
      </c>
      <c r="AL1033" t="s">
        <v>3136</v>
      </c>
      <c r="AM1033"/>
      <c r="AN1033"/>
      <c r="AO1033" s="3" t="s">
        <v>3134</v>
      </c>
      <c r="AP1033" s="3" t="s">
        <v>258</v>
      </c>
      <c r="AQ1033" t="s">
        <v>300</v>
      </c>
      <c r="AR1033" t="s">
        <v>301</v>
      </c>
      <c r="AS1033" s="1"/>
      <c r="AT1033" s="1"/>
      <c r="AU1033" s="1"/>
      <c r="AV1033" s="1"/>
      <c r="AW1033" s="2"/>
      <c r="AX1033" s="18"/>
      <c r="AY1033" s="116"/>
      <c r="AZ1033" s="115"/>
      <c r="BA1033" s="2"/>
      <c r="BB1033" s="2"/>
      <c r="BC1033" s="2"/>
      <c r="BD1033" s="2"/>
      <c r="BF1033" s="2"/>
      <c r="BG1033" s="20"/>
      <c r="BH1033" s="22"/>
      <c r="BI1033" s="22"/>
      <c r="BJ1033" s="14"/>
      <c r="BK1033" s="22"/>
      <c r="BL1033" s="20">
        <f t="shared" ca="1" si="344"/>
        <v>282.51350000000002</v>
      </c>
      <c r="BM1033" s="22">
        <f t="shared" ca="1" si="345"/>
        <v>-24.837425006955318</v>
      </c>
      <c r="BN1033" s="22">
        <f t="shared" ca="1" si="346"/>
        <v>24.837425006955318</v>
      </c>
      <c r="BO1033" s="14">
        <f t="shared" si="347"/>
        <v>0.65</v>
      </c>
      <c r="BP1033" s="22">
        <f t="shared" ca="1" si="348"/>
        <v>25.487425006955316</v>
      </c>
      <c r="BQ1033" s="14"/>
      <c r="BR1033" s="14">
        <f t="shared" si="349"/>
        <v>0</v>
      </c>
      <c r="BS1033" s="14">
        <f t="shared" ca="1" si="350"/>
        <v>0</v>
      </c>
      <c r="BT1033" s="17">
        <f t="shared" si="351"/>
        <v>0</v>
      </c>
      <c r="BU1033" s="23">
        <f t="shared" ca="1" si="352"/>
        <v>53</v>
      </c>
      <c r="BV1033" s="14">
        <f t="shared" ca="1" si="353"/>
        <v>0</v>
      </c>
      <c r="BW1033" s="14">
        <v>0</v>
      </c>
      <c r="BX1033" s="14">
        <f t="shared" si="354"/>
        <v>0</v>
      </c>
      <c r="BY1033" s="14">
        <f t="shared" ca="1" si="355"/>
        <v>0</v>
      </c>
      <c r="BZ1033" s="17">
        <f t="shared" si="356"/>
        <v>0</v>
      </c>
      <c r="CA1033" s="23">
        <f t="shared" ca="1" si="357"/>
        <v>41</v>
      </c>
      <c r="CB1033" s="14">
        <f t="shared" ca="1" si="358"/>
        <v>0</v>
      </c>
      <c r="CC1033" s="14">
        <v>0</v>
      </c>
      <c r="CD1033" s="14">
        <f t="shared" si="359"/>
        <v>0</v>
      </c>
      <c r="CE1033" s="14">
        <f t="shared" ca="1" si="360"/>
        <v>0</v>
      </c>
      <c r="CF1033" s="17">
        <f t="shared" si="361"/>
        <v>0</v>
      </c>
      <c r="CG1033" s="23">
        <f t="shared" ca="1" si="362"/>
        <v>29</v>
      </c>
      <c r="CH1033" s="14">
        <f t="shared" ca="1" si="363"/>
        <v>0</v>
      </c>
      <c r="CI1033" s="14">
        <f t="shared" si="364"/>
        <v>3.9</v>
      </c>
      <c r="CJ1033" s="14">
        <f t="shared" si="365"/>
        <v>0.39</v>
      </c>
      <c r="CK1033" s="14">
        <f t="shared" ca="1" si="366"/>
        <v>0.7507499999999997</v>
      </c>
      <c r="CL1033" s="17">
        <f t="shared" si="367"/>
        <v>3.5749999999999983E-2</v>
      </c>
      <c r="CM1033" s="23">
        <f t="shared" ca="1" si="368"/>
        <v>21</v>
      </c>
      <c r="CN1033" s="23">
        <f t="shared" ca="1" si="369"/>
        <v>5.0407500000000001</v>
      </c>
      <c r="CO1033" s="14">
        <f t="shared" si="370"/>
        <v>3.9</v>
      </c>
      <c r="CP1033" s="14">
        <f t="shared" si="371"/>
        <v>0.39</v>
      </c>
      <c r="CQ1033" s="14">
        <f t="shared" ca="1" si="372"/>
        <v>0.60774999999999968</v>
      </c>
      <c r="CR1033" s="17">
        <f t="shared" si="373"/>
        <v>3.5749999999999983E-2</v>
      </c>
      <c r="CS1033" s="23">
        <f t="shared" ca="1" si="374"/>
        <v>17</v>
      </c>
      <c r="CT1033" s="23">
        <f t="shared" ca="1" si="375"/>
        <v>4.8977499999999994</v>
      </c>
      <c r="CU1033" s="14">
        <f t="shared" si="376"/>
        <v>3.3749999999999996</v>
      </c>
      <c r="CV1033" s="14">
        <f t="shared" si="377"/>
        <v>0.33749999999999997</v>
      </c>
      <c r="CW1033" s="14">
        <f t="shared" ca="1" si="378"/>
        <v>0.3403124999999998</v>
      </c>
      <c r="CX1033" s="17">
        <f t="shared" si="379"/>
        <v>3.0937499999999982E-2</v>
      </c>
      <c r="CY1033" s="23">
        <f t="shared" ca="1" si="380"/>
        <v>11</v>
      </c>
      <c r="CZ1033" s="23">
        <f t="shared" ca="1" si="381"/>
        <v>4.052812499999999</v>
      </c>
      <c r="DA1033" s="14">
        <f t="shared" si="382"/>
        <v>3.3749999999999996</v>
      </c>
      <c r="DB1033" s="14">
        <f t="shared" si="383"/>
        <v>0.33749999999999997</v>
      </c>
      <c r="DC1033" s="14">
        <f t="shared" ca="1" si="384"/>
        <v>0.15468749999999992</v>
      </c>
      <c r="DD1033" s="17">
        <f t="shared" si="385"/>
        <v>3.0937499999999982E-2</v>
      </c>
      <c r="DE1033" s="23">
        <f t="shared" ca="1" si="386"/>
        <v>5</v>
      </c>
      <c r="DF1033" s="14">
        <f t="shared" ca="1" si="387"/>
        <v>3.8671874999999996</v>
      </c>
      <c r="DG1033" s="14">
        <f t="shared" si="388"/>
        <v>3.3749999999999996</v>
      </c>
      <c r="DH1033" s="14">
        <f>0</f>
        <v>0</v>
      </c>
      <c r="DI1033" s="14">
        <f>0</f>
        <v>0</v>
      </c>
      <c r="DJ1033" s="17">
        <f t="shared" si="389"/>
        <v>2.8124999999999983E-2</v>
      </c>
      <c r="DK1033" s="23">
        <f t="shared" ca="1" si="390"/>
        <v>11</v>
      </c>
      <c r="DL1033" s="23">
        <f t="shared" si="391"/>
        <v>3.3749999999999996</v>
      </c>
      <c r="DM1033" s="14">
        <f>0</f>
        <v>0</v>
      </c>
      <c r="DN1033" s="14">
        <f>0</f>
        <v>0</v>
      </c>
      <c r="DO1033" s="14">
        <f t="shared" ca="1" si="392"/>
        <v>0</v>
      </c>
      <c r="DP1033" s="17">
        <f t="shared" si="393"/>
        <v>0</v>
      </c>
      <c r="DQ1033" s="23">
        <f t="shared" ca="1" si="394"/>
        <v>5</v>
      </c>
      <c r="DR1033" s="14">
        <f t="shared" ca="1" si="395"/>
        <v>0</v>
      </c>
      <c r="DS1033" s="14">
        <f t="shared" si="396"/>
        <v>17.924999999999997</v>
      </c>
      <c r="DT1033" s="14">
        <f t="shared" si="397"/>
        <v>1.4549999999999998</v>
      </c>
      <c r="DU1033" s="14">
        <f t="shared" ca="1" si="398"/>
        <v>1.853499999999999</v>
      </c>
      <c r="DV1033" s="25">
        <f t="shared" ca="1" si="399"/>
        <v>21.233499999999996</v>
      </c>
      <c r="DW1033" s="47">
        <f t="shared" ca="1" si="400"/>
        <v>1.4155666666666664E-2</v>
      </c>
      <c r="DX1033" s="14">
        <f>20+20</f>
        <v>40</v>
      </c>
      <c r="DY1033" s="32">
        <f t="shared" si="401"/>
        <v>2</v>
      </c>
      <c r="DZ1033" s="14">
        <f t="shared" si="402"/>
        <v>1.28</v>
      </c>
      <c r="EA1033" s="4"/>
      <c r="EG1033" s="14">
        <f t="shared" si="403"/>
        <v>0</v>
      </c>
      <c r="EH1033" s="14">
        <f t="shared" ca="1" si="404"/>
        <v>62.513499999999993</v>
      </c>
      <c r="EI1033" s="24" t="s">
        <v>4935</v>
      </c>
      <c r="EJ1033" s="35">
        <f>0.09*6</f>
        <v>0.54</v>
      </c>
      <c r="EK1033" s="4">
        <f>300+300+300+300+300</f>
        <v>1500</v>
      </c>
      <c r="EL1033" s="4">
        <v>0</v>
      </c>
      <c r="EM1033" s="14">
        <f t="shared" si="407"/>
        <v>1500</v>
      </c>
      <c r="EN1033" s="4">
        <f>300+300+300+300+300</f>
        <v>1500</v>
      </c>
      <c r="EO1033" s="4">
        <v>0</v>
      </c>
      <c r="EP1033" s="14">
        <f t="shared" si="408"/>
        <v>1500</v>
      </c>
    </row>
    <row r="1034" spans="1:263" ht="15" customHeight="1">
      <c r="A1034" s="18">
        <v>102022039</v>
      </c>
      <c r="B1034" t="s">
        <v>2995</v>
      </c>
      <c r="C1034" s="10"/>
      <c r="D1034" s="161">
        <v>2024</v>
      </c>
      <c r="E1034" s="147"/>
      <c r="F1034" s="160"/>
      <c r="G1034" s="147"/>
      <c r="H1034" s="10"/>
      <c r="I1034" s="10"/>
      <c r="J1034" s="10" t="s">
        <v>253</v>
      </c>
      <c r="K1034" s="10" t="s">
        <v>545</v>
      </c>
      <c r="L1034" s="10" t="s">
        <v>3006</v>
      </c>
      <c r="M1034" s="10" t="s">
        <v>850</v>
      </c>
      <c r="N1034" s="10"/>
      <c r="O1034" s="147"/>
      <c r="P1034" s="10"/>
      <c r="Q1034" s="10"/>
      <c r="R1034" s="10"/>
      <c r="S1034" s="10"/>
      <c r="T1034" s="10"/>
      <c r="U1034" s="10"/>
      <c r="V1034" s="10"/>
      <c r="W1034" s="10"/>
      <c r="X1034" s="10"/>
      <c r="Y1034" s="10"/>
      <c r="Z1034" s="10"/>
      <c r="AA1034" s="10"/>
      <c r="AB1034" s="10"/>
      <c r="AC1034" s="10"/>
      <c r="AD1034" s="10" t="s">
        <v>4614</v>
      </c>
      <c r="AE1034" s="10" t="s">
        <v>311</v>
      </c>
      <c r="AF1034" s="10" t="s">
        <v>306</v>
      </c>
      <c r="AG1034" s="10" t="s">
        <v>4615</v>
      </c>
      <c r="AH1034" s="10" t="s">
        <v>5621</v>
      </c>
      <c r="AI1034" s="10"/>
      <c r="AJ1034" t="s">
        <v>328</v>
      </c>
      <c r="AK1034" s="1"/>
      <c r="AL1034" t="s">
        <v>316</v>
      </c>
      <c r="AM1034"/>
      <c r="AN1034"/>
      <c r="AO1034" t="s">
        <v>2641</v>
      </c>
      <c r="AQ1034" t="s">
        <v>316</v>
      </c>
      <c r="AR1034"/>
      <c r="AX1034" s="1"/>
      <c r="AY1034" s="1"/>
      <c r="AZ1034" s="1"/>
      <c r="BA1034" s="1"/>
      <c r="BB1034" s="1"/>
      <c r="BC1034" s="70"/>
      <c r="BD1034" s="115">
        <v>45060</v>
      </c>
      <c r="BE1034" s="144">
        <v>45064</v>
      </c>
      <c r="BF1034" s="70"/>
      <c r="BG1034" s="2"/>
      <c r="BH1034" s="70"/>
      <c r="BI1034" s="70"/>
      <c r="BJ1034" s="70"/>
      <c r="BK1034" s="70"/>
      <c r="BL1034" s="20">
        <f t="shared" ca="1" si="344"/>
        <v>1392.6245833333332</v>
      </c>
      <c r="BM1034" s="22">
        <f t="shared" ca="1" si="345"/>
        <v>-122.43382582207242</v>
      </c>
      <c r="BN1034" s="22">
        <f t="shared" ca="1" si="346"/>
        <v>122.43382582207242</v>
      </c>
      <c r="BO1034" s="14">
        <f t="shared" si="347"/>
        <v>6.7599999999999989</v>
      </c>
      <c r="BP1034" s="22">
        <f t="shared" ca="1" si="348"/>
        <v>129.19382582207243</v>
      </c>
      <c r="BQ1034" s="14">
        <f>SUM(EM1034*0.0052)</f>
        <v>41.6</v>
      </c>
      <c r="BR1034" s="14">
        <f t="shared" si="349"/>
        <v>4.16</v>
      </c>
      <c r="BS1034" s="14">
        <f t="shared" ca="1" si="350"/>
        <v>20.210666666666658</v>
      </c>
      <c r="BT1034" s="17">
        <f t="shared" si="351"/>
        <v>0.38133333333333319</v>
      </c>
      <c r="BU1034" s="23">
        <f t="shared" ca="1" si="352"/>
        <v>53</v>
      </c>
      <c r="BV1034" s="14">
        <f t="shared" ca="1" si="353"/>
        <v>65.970666666666659</v>
      </c>
      <c r="BW1034" s="14">
        <f>SUM(EM1034*0.0052)</f>
        <v>41.6</v>
      </c>
      <c r="BX1034" s="14">
        <f t="shared" si="354"/>
        <v>4.16</v>
      </c>
      <c r="BY1034" s="14">
        <f t="shared" ca="1" si="355"/>
        <v>15.634666666666661</v>
      </c>
      <c r="BZ1034" s="17">
        <f t="shared" si="356"/>
        <v>0.38133333333333319</v>
      </c>
      <c r="CA1034" s="23">
        <f t="shared" ca="1" si="357"/>
        <v>41</v>
      </c>
      <c r="CB1034" s="14">
        <f t="shared" ca="1" si="358"/>
        <v>61.394666666666666</v>
      </c>
      <c r="CC1034" s="14">
        <f>SUM(EM1034*0.0052)</f>
        <v>41.6</v>
      </c>
      <c r="CD1034" s="14">
        <f t="shared" si="359"/>
        <v>4.16</v>
      </c>
      <c r="CE1034" s="14">
        <f t="shared" ca="1" si="360"/>
        <v>11.058666666666662</v>
      </c>
      <c r="CF1034" s="17">
        <f t="shared" si="361"/>
        <v>0.38133333333333319</v>
      </c>
      <c r="CG1034" s="23">
        <f t="shared" ca="1" si="362"/>
        <v>29</v>
      </c>
      <c r="CH1034" s="14">
        <f t="shared" ca="1" si="363"/>
        <v>56.818666666666665</v>
      </c>
      <c r="CI1034" s="14">
        <f t="shared" si="364"/>
        <v>20.8</v>
      </c>
      <c r="CJ1034" s="14">
        <f t="shared" si="365"/>
        <v>2.08</v>
      </c>
      <c r="CK1034" s="14">
        <f t="shared" ca="1" si="366"/>
        <v>4.0039999999999987</v>
      </c>
      <c r="CL1034" s="17">
        <f t="shared" si="367"/>
        <v>0.1906666666666666</v>
      </c>
      <c r="CM1034" s="23">
        <f t="shared" ca="1" si="368"/>
        <v>21</v>
      </c>
      <c r="CN1034" s="23">
        <f t="shared" ca="1" si="369"/>
        <v>26.884</v>
      </c>
      <c r="CO1034" s="14">
        <f t="shared" si="370"/>
        <v>20.8</v>
      </c>
      <c r="CP1034" s="14">
        <f t="shared" si="371"/>
        <v>2.08</v>
      </c>
      <c r="CQ1034" s="14">
        <f t="shared" ca="1" si="372"/>
        <v>3.2413333333333321</v>
      </c>
      <c r="CR1034" s="17">
        <f t="shared" si="373"/>
        <v>0.1906666666666666</v>
      </c>
      <c r="CS1034" s="23">
        <f t="shared" ca="1" si="374"/>
        <v>17</v>
      </c>
      <c r="CT1034" s="14">
        <f t="shared" ca="1" si="375"/>
        <v>26.121333333333336</v>
      </c>
      <c r="CU1034" s="14">
        <f t="shared" si="376"/>
        <v>35.099999999999994</v>
      </c>
      <c r="CV1034" s="14">
        <f t="shared" si="377"/>
        <v>3.51</v>
      </c>
      <c r="CW1034" s="14">
        <f t="shared" ca="1" si="378"/>
        <v>3.5392499999999978</v>
      </c>
      <c r="CX1034" s="17">
        <f t="shared" si="379"/>
        <v>0.32174999999999981</v>
      </c>
      <c r="CY1034" s="23">
        <f t="shared" ca="1" si="380"/>
        <v>11</v>
      </c>
      <c r="CZ1034" s="14">
        <f t="shared" ca="1" si="381"/>
        <v>42.149249999999988</v>
      </c>
      <c r="DA1034" s="14">
        <f t="shared" si="382"/>
        <v>35.099999999999994</v>
      </c>
      <c r="DB1034" s="14">
        <f t="shared" si="383"/>
        <v>3.51</v>
      </c>
      <c r="DC1034" s="14">
        <f t="shared" ca="1" si="384"/>
        <v>1.608749999999999</v>
      </c>
      <c r="DD1034" s="17">
        <f t="shared" si="385"/>
        <v>0.32174999999999981</v>
      </c>
      <c r="DE1034" s="23">
        <f t="shared" ca="1" si="386"/>
        <v>5</v>
      </c>
      <c r="DF1034" s="14">
        <f t="shared" ca="1" si="387"/>
        <v>40.218749999999993</v>
      </c>
      <c r="DG1034" s="14">
        <f t="shared" si="388"/>
        <v>35.099999999999994</v>
      </c>
      <c r="DH1034" s="14">
        <f>SUM(DG1034*0.1)</f>
        <v>3.51</v>
      </c>
      <c r="DI1034" s="14">
        <f ca="1">SUM(DJ1034*DK1034)</f>
        <v>-0.9652499999999995</v>
      </c>
      <c r="DJ1034" s="17">
        <f t="shared" si="389"/>
        <v>0.32174999999999981</v>
      </c>
      <c r="DK1034" s="23">
        <f ca="1">MONTH(TODAY())-7</f>
        <v>-3</v>
      </c>
      <c r="DL1034" s="14">
        <f t="shared" ca="1" si="391"/>
        <v>37.644749999999995</v>
      </c>
      <c r="DM1034" s="14">
        <f>SUM(EP1034*0.0045)/2</f>
        <v>35.099999999999994</v>
      </c>
      <c r="DN1034" s="14">
        <f>0</f>
        <v>0</v>
      </c>
      <c r="DO1034" s="14">
        <f t="shared" ca="1" si="392"/>
        <v>1.462499999999999</v>
      </c>
      <c r="DP1034" s="17">
        <f t="shared" si="393"/>
        <v>0.29249999999999982</v>
      </c>
      <c r="DQ1034" s="23">
        <f t="shared" ca="1" si="394"/>
        <v>5</v>
      </c>
      <c r="DR1034" s="14">
        <f t="shared" ca="1" si="395"/>
        <v>36.562499999999993</v>
      </c>
      <c r="DS1034" s="14">
        <f t="shared" si="396"/>
        <v>306.80000000000007</v>
      </c>
      <c r="DT1034" s="14">
        <f t="shared" si="397"/>
        <v>27.169999999999995</v>
      </c>
      <c r="DU1034" s="14">
        <f t="shared" ca="1" si="398"/>
        <v>59.7945833333333</v>
      </c>
      <c r="DV1034" s="25">
        <f t="shared" ca="1" si="399"/>
        <v>393.76458333333341</v>
      </c>
      <c r="DW1034" s="47">
        <f t="shared" ca="1" si="400"/>
        <v>4.9220572916666677E-2</v>
      </c>
      <c r="DX1034" s="14">
        <f>20+200+200+40</f>
        <v>460</v>
      </c>
      <c r="DY1034" s="32">
        <f>COUNTIF(AO1034, "*")+COUNTIF(AJ1034, "*")+COUNTIF(AA1034, "*")+COUNTIF(FA1034, "*")+COUNTIF(FG1034, "*")+COUNTIF(FM1034, "*")+COUNTIF(FQ1034, "*")+COUNTIF(FX1034, "*")+COUNTIF(AT1034, "*")+COUNTIF(GG1034, "*")+COUNTIF(GR1034, "*")+COUNTIF(HC1034, "*")+COUNTIF(HK1034, "*")+COUNTIF(HS1034, "*")+COUNTIF(IA1034, "*")</f>
        <v>2</v>
      </c>
      <c r="DZ1034" s="14">
        <f>1.2+DY1034*7.45+DY1034*8</f>
        <v>32.1</v>
      </c>
      <c r="EA1034" s="4">
        <v>36.76</v>
      </c>
      <c r="EB1034" s="4">
        <v>250</v>
      </c>
      <c r="EC1034" s="4"/>
      <c r="ED1034" s="4"/>
      <c r="EE1034" s="4"/>
      <c r="EF1034" s="4"/>
      <c r="EG1034" s="14">
        <f>SUM(EA1034:EF1034)</f>
        <v>286.76</v>
      </c>
      <c r="EH1034" s="14">
        <f ca="1">SUM(DV1034,DX1034,EG1034,DZ1034,GD1034)</f>
        <v>1172.6245833333332</v>
      </c>
      <c r="EI1034" s="24" t="s">
        <v>4954</v>
      </c>
      <c r="EJ1034" s="7">
        <f>0.26+0.27+0.28</f>
        <v>0.81</v>
      </c>
      <c r="EK1034" s="4">
        <f>6400+800+800</f>
        <v>8000</v>
      </c>
      <c r="EL1034" s="4">
        <v>0</v>
      </c>
      <c r="EM1034" s="14">
        <f t="shared" si="407"/>
        <v>8000</v>
      </c>
      <c r="EN1034" s="14">
        <f>14000+800+800</f>
        <v>15600</v>
      </c>
      <c r="EO1034" s="14">
        <f>0</f>
        <v>0</v>
      </c>
      <c r="EP1034" s="14">
        <f t="shared" si="408"/>
        <v>15600</v>
      </c>
      <c r="EQ1034" s="283" t="s">
        <v>4877</v>
      </c>
      <c r="ER1034" s="10" t="s">
        <v>4878</v>
      </c>
      <c r="ES1034" s="10"/>
      <c r="ET1034" s="10"/>
      <c r="EU1034" s="10"/>
      <c r="EV1034" s="10"/>
      <c r="EW1034" s="10"/>
      <c r="EX1034" s="10"/>
      <c r="EY1034" s="10"/>
      <c r="EZ1034" s="10"/>
      <c r="FA1034" s="10"/>
      <c r="FB1034" s="10"/>
      <c r="FC1034" s="10"/>
      <c r="FD1034" s="10"/>
      <c r="FE1034" s="10"/>
      <c r="FF1034" s="10"/>
      <c r="FG1034" s="10"/>
      <c r="FH1034" s="10"/>
      <c r="FI1034" s="10"/>
      <c r="FJ1034" s="10"/>
      <c r="FK1034" s="10"/>
      <c r="FL1034" s="10"/>
      <c r="FM1034" s="10"/>
      <c r="FN1034" s="10"/>
      <c r="FO1034" s="10"/>
      <c r="FP1034" s="10"/>
      <c r="FQ1034" s="10"/>
      <c r="FR1034" s="10"/>
      <c r="FS1034" s="10"/>
      <c r="FT1034" s="10"/>
      <c r="FU1034" s="9"/>
      <c r="FV1034" s="10"/>
      <c r="FW1034" s="10"/>
      <c r="FX1034" s="10"/>
      <c r="FY1034" s="10"/>
      <c r="FZ1034" s="10"/>
      <c r="GA1034" s="10"/>
      <c r="GB1034" s="9"/>
      <c r="GC1034" s="10"/>
      <c r="GD1034" s="10"/>
      <c r="GE1034" s="10"/>
      <c r="GF1034" s="10"/>
      <c r="GG1034" s="10"/>
      <c r="GH1034" s="10"/>
      <c r="GI1034" s="10"/>
      <c r="GJ1034" s="10"/>
      <c r="GK1034" s="9"/>
      <c r="GL1034" s="10"/>
      <c r="GM1034" s="10"/>
      <c r="GN1034" s="10"/>
      <c r="GO1034" s="10"/>
      <c r="GP1034" s="10"/>
      <c r="GQ1034" s="10"/>
      <c r="GR1034" s="10"/>
      <c r="GS1034" s="10"/>
      <c r="GT1034" s="10"/>
      <c r="GU1034" s="10"/>
      <c r="GV1034" s="9"/>
      <c r="GW1034" s="10"/>
      <c r="GX1034" s="10"/>
      <c r="GY1034" s="10"/>
      <c r="GZ1034" s="10"/>
      <c r="HA1034" s="10"/>
      <c r="HB1034" s="10"/>
      <c r="HC1034" s="10"/>
      <c r="HD1034" s="10"/>
      <c r="HE1034" s="10"/>
      <c r="HF1034" s="10"/>
      <c r="HG1034" s="9"/>
      <c r="HH1034" s="10"/>
      <c r="HI1034" s="10"/>
      <c r="HJ1034" s="10"/>
      <c r="HK1034" s="10"/>
      <c r="HL1034" s="10"/>
      <c r="HM1034" s="10"/>
      <c r="HN1034" s="10"/>
      <c r="HO1034" s="9"/>
      <c r="HP1034" s="10"/>
      <c r="HQ1034" s="10"/>
      <c r="HR1034" s="10"/>
      <c r="HS1034" s="10"/>
      <c r="HT1034" s="10"/>
      <c r="HU1034" s="10"/>
      <c r="HV1034" s="10"/>
      <c r="HW1034" s="9"/>
      <c r="HX1034" s="10"/>
      <c r="HY1034" s="10"/>
      <c r="HZ1034" s="10"/>
      <c r="IA1034" s="10"/>
      <c r="IB1034" s="10"/>
      <c r="IC1034" s="10"/>
      <c r="ID1034" s="10"/>
      <c r="IE1034" s="9"/>
      <c r="IF1034" s="4"/>
      <c r="IG1034" s="4"/>
      <c r="IH1034" s="10"/>
      <c r="II1034" s="10"/>
      <c r="IJ1034" s="10"/>
      <c r="IK1034" s="10"/>
      <c r="IL1034" s="4"/>
      <c r="IM1034" s="4"/>
      <c r="IN1034" s="14">
        <f ca="1">SUM(IF1034-EH1034-GD1034-IL1034)</f>
        <v>-1172.6245833333332</v>
      </c>
      <c r="IO1034" s="14"/>
      <c r="IP1034" s="14"/>
      <c r="IQ1034" s="9"/>
      <c r="IR1034" s="9"/>
      <c r="IS1034" s="9"/>
      <c r="IT1034" s="9"/>
      <c r="IU1034" s="9"/>
      <c r="IV1034" s="27" t="s">
        <v>5913</v>
      </c>
    </row>
    <row r="1035" spans="1:263" ht="15" customHeight="1">
      <c r="A1035" s="19">
        <v>102022123</v>
      </c>
      <c r="B1035" t="s">
        <v>2861</v>
      </c>
      <c r="D1035" s="1">
        <v>2026</v>
      </c>
      <c r="E1035" s="3"/>
      <c r="F1035" s="3"/>
      <c r="J1035" t="s">
        <v>311</v>
      </c>
      <c r="K1035" t="s">
        <v>306</v>
      </c>
      <c r="L1035" t="s">
        <v>2638</v>
      </c>
      <c r="M1035" t="s">
        <v>426</v>
      </c>
      <c r="AD1035" t="s">
        <v>4614</v>
      </c>
      <c r="AE1035" t="s">
        <v>311</v>
      </c>
      <c r="AF1035" t="s">
        <v>306</v>
      </c>
      <c r="AG1035" t="s">
        <v>4615</v>
      </c>
      <c r="AH1035" t="s">
        <v>5621</v>
      </c>
      <c r="AJ1035" t="s">
        <v>3135</v>
      </c>
      <c r="AK1035" t="s">
        <v>258</v>
      </c>
      <c r="AL1035" t="s">
        <v>3136</v>
      </c>
      <c r="AM1035" t="s">
        <v>260</v>
      </c>
      <c r="AN1035"/>
      <c r="AO1035" s="3" t="s">
        <v>3134</v>
      </c>
      <c r="AP1035" s="3" t="s">
        <v>258</v>
      </c>
      <c r="AQ1035" t="s">
        <v>300</v>
      </c>
      <c r="AR1035" t="s">
        <v>301</v>
      </c>
      <c r="AS1035" s="1"/>
      <c r="AT1035" s="1"/>
      <c r="AU1035" s="1"/>
      <c r="AV1035" s="1"/>
      <c r="AW1035" s="2"/>
      <c r="AY1035" s="116"/>
      <c r="AZ1035" s="115"/>
      <c r="BA1035" s="2"/>
      <c r="BB1035" s="2"/>
      <c r="BC1035" s="2"/>
      <c r="BD1035" s="2"/>
      <c r="BF1035" s="2"/>
      <c r="BG1035" s="20"/>
      <c r="BH1035" s="22"/>
      <c r="BI1035" s="22"/>
      <c r="BJ1035" s="14"/>
      <c r="BK1035" s="22"/>
      <c r="BL1035" s="20">
        <f t="shared" ca="1" si="344"/>
        <v>385.84986666666668</v>
      </c>
      <c r="BM1035" s="22">
        <f t="shared" ca="1" si="345"/>
        <v>-33.922333365580904</v>
      </c>
      <c r="BN1035" s="22">
        <f t="shared" ca="1" si="346"/>
        <v>33.922333365580904</v>
      </c>
      <c r="BO1035" s="14">
        <f t="shared" si="347"/>
        <v>3.813333333333333</v>
      </c>
      <c r="BP1035" s="22">
        <f t="shared" ca="1" si="348"/>
        <v>37.735666698914237</v>
      </c>
      <c r="BQ1035" s="14"/>
      <c r="BR1035" s="14">
        <f t="shared" si="349"/>
        <v>0</v>
      </c>
      <c r="BS1035" s="14">
        <f t="shared" ca="1" si="350"/>
        <v>0</v>
      </c>
      <c r="BT1035" s="17">
        <f t="shared" si="351"/>
        <v>0</v>
      </c>
      <c r="BU1035" s="23">
        <f t="shared" ca="1" si="352"/>
        <v>53</v>
      </c>
      <c r="BV1035" s="14">
        <f t="shared" ca="1" si="353"/>
        <v>0</v>
      </c>
      <c r="BW1035" s="14">
        <v>0</v>
      </c>
      <c r="BX1035" s="14">
        <f t="shared" si="354"/>
        <v>0</v>
      </c>
      <c r="BY1035" s="14">
        <f t="shared" ca="1" si="355"/>
        <v>0</v>
      </c>
      <c r="BZ1035" s="17">
        <f t="shared" si="356"/>
        <v>0</v>
      </c>
      <c r="CA1035" s="23">
        <f t="shared" ca="1" si="357"/>
        <v>41</v>
      </c>
      <c r="CB1035" s="14">
        <f t="shared" ca="1" si="358"/>
        <v>0</v>
      </c>
      <c r="CC1035" s="14">
        <v>0</v>
      </c>
      <c r="CD1035" s="14">
        <f t="shared" si="359"/>
        <v>0</v>
      </c>
      <c r="CE1035" s="14">
        <f t="shared" ca="1" si="360"/>
        <v>0</v>
      </c>
      <c r="CF1035" s="17">
        <f t="shared" si="361"/>
        <v>0</v>
      </c>
      <c r="CG1035" s="23">
        <f t="shared" ca="1" si="362"/>
        <v>29</v>
      </c>
      <c r="CH1035" s="14">
        <f t="shared" ca="1" si="363"/>
        <v>0</v>
      </c>
      <c r="CI1035" s="14">
        <f t="shared" si="364"/>
        <v>22.88</v>
      </c>
      <c r="CJ1035" s="14">
        <f t="shared" si="365"/>
        <v>2.2879999999999998</v>
      </c>
      <c r="CK1035" s="14">
        <f t="shared" ca="1" si="366"/>
        <v>4.4043999999999981</v>
      </c>
      <c r="CL1035" s="17">
        <f t="shared" si="367"/>
        <v>0.20973333333333324</v>
      </c>
      <c r="CM1035" s="23">
        <f t="shared" ca="1" si="368"/>
        <v>21</v>
      </c>
      <c r="CN1035" s="23">
        <f t="shared" ca="1" si="369"/>
        <v>29.572399999999998</v>
      </c>
      <c r="CO1035" s="14">
        <f t="shared" si="370"/>
        <v>22.88</v>
      </c>
      <c r="CP1035" s="14">
        <f t="shared" si="371"/>
        <v>2.2879999999999998</v>
      </c>
      <c r="CQ1035" s="14">
        <f t="shared" ca="1" si="372"/>
        <v>3.5654666666666652</v>
      </c>
      <c r="CR1035" s="17">
        <f t="shared" si="373"/>
        <v>0.20973333333333324</v>
      </c>
      <c r="CS1035" s="23">
        <f t="shared" ca="1" si="374"/>
        <v>17</v>
      </c>
      <c r="CT1035" s="23">
        <f t="shared" ca="1" si="375"/>
        <v>28.733466666666665</v>
      </c>
      <c r="CU1035" s="14">
        <f t="shared" si="376"/>
        <v>19.799999999999997</v>
      </c>
      <c r="CV1035" s="14">
        <f t="shared" si="377"/>
        <v>1.9799999999999998</v>
      </c>
      <c r="CW1035" s="14">
        <f t="shared" ca="1" si="378"/>
        <v>1.9964999999999991</v>
      </c>
      <c r="CX1035" s="17">
        <f t="shared" si="379"/>
        <v>0.18149999999999991</v>
      </c>
      <c r="CY1035" s="23">
        <f t="shared" ca="1" si="380"/>
        <v>11</v>
      </c>
      <c r="CZ1035" s="23">
        <f t="shared" ca="1" si="381"/>
        <v>23.776499999999995</v>
      </c>
      <c r="DA1035" s="14">
        <f t="shared" si="382"/>
        <v>19.799999999999997</v>
      </c>
      <c r="DB1035" s="14">
        <f t="shared" si="383"/>
        <v>1.9799999999999998</v>
      </c>
      <c r="DC1035" s="14">
        <f t="shared" ca="1" si="384"/>
        <v>0.90749999999999953</v>
      </c>
      <c r="DD1035" s="17">
        <f t="shared" si="385"/>
        <v>0.18149999999999991</v>
      </c>
      <c r="DE1035" s="23">
        <f t="shared" ca="1" si="386"/>
        <v>5</v>
      </c>
      <c r="DF1035" s="14">
        <f t="shared" ca="1" si="387"/>
        <v>22.687499999999996</v>
      </c>
      <c r="DG1035" s="14">
        <f t="shared" si="388"/>
        <v>19.799999999999997</v>
      </c>
      <c r="DH1035" s="14">
        <f>0</f>
        <v>0</v>
      </c>
      <c r="DI1035" s="14">
        <f>0</f>
        <v>0</v>
      </c>
      <c r="DJ1035" s="17">
        <f t="shared" si="389"/>
        <v>0.1649999999999999</v>
      </c>
      <c r="DK1035" s="23">
        <f ca="1">MONTH(TODAY())+7</f>
        <v>11</v>
      </c>
      <c r="DL1035" s="23">
        <f t="shared" si="391"/>
        <v>19.799999999999997</v>
      </c>
      <c r="DM1035" s="14">
        <f>0</f>
        <v>0</v>
      </c>
      <c r="DN1035" s="14">
        <f>0</f>
        <v>0</v>
      </c>
      <c r="DO1035" s="14">
        <f t="shared" ca="1" si="392"/>
        <v>0</v>
      </c>
      <c r="DP1035" s="17">
        <f t="shared" si="393"/>
        <v>0</v>
      </c>
      <c r="DQ1035" s="23">
        <f t="shared" ca="1" si="394"/>
        <v>5</v>
      </c>
      <c r="DR1035" s="14">
        <f t="shared" ca="1" si="395"/>
        <v>0</v>
      </c>
      <c r="DS1035" s="14">
        <f t="shared" si="396"/>
        <v>105.16</v>
      </c>
      <c r="DT1035" s="14">
        <f t="shared" si="397"/>
        <v>8.5359999999999996</v>
      </c>
      <c r="DU1035" s="14">
        <f t="shared" ca="1" si="398"/>
        <v>10.873866666666661</v>
      </c>
      <c r="DV1035" s="25">
        <f t="shared" ca="1" si="399"/>
        <v>124.56986666666666</v>
      </c>
      <c r="DW1035" s="47">
        <f t="shared" ca="1" si="400"/>
        <v>1.4155666666666665E-2</v>
      </c>
      <c r="DX1035" s="14">
        <f>20+20</f>
        <v>40</v>
      </c>
      <c r="DY1035" s="32">
        <f>COUNTIF(AO1035, "*")+COUNTIF(AJ1035, "*")+COUNTIF(AA1035, "*")+COUNTIF(FA1035, "*")+COUNTIF(FG1035, "*")+COUNTIF(FM1035, "*")+COUNTIF(FQ1035, "*")+COUNTIF(FX1035, "*")+COUNTIF(AS1035, "*")+COUNTIF(GG1035, "*")+COUNTIF(GR1035, "*")+COUNTIF(HC1035, "*")+COUNTIF(HK1035, "*")+COUNTIF(HS1035, "*")+COUNTIF(IA1035, "*")</f>
        <v>2</v>
      </c>
      <c r="DZ1035" s="14">
        <f>DY1035*0.64</f>
        <v>1.28</v>
      </c>
      <c r="EA1035" s="4"/>
      <c r="EG1035" s="14">
        <f>SUM(EB1035:EF1035)</f>
        <v>0</v>
      </c>
      <c r="EH1035" s="14">
        <f ca="1">SUM(DV1035,DX1035,EG1035, EA1035, DZ1035,GD1035)</f>
        <v>165.84986666666666</v>
      </c>
      <c r="EI1035" s="24" t="s">
        <v>4935</v>
      </c>
      <c r="EJ1035" s="35">
        <f>0.03+0.05+0.06+0.08+0.21</f>
        <v>0.43000000000000005</v>
      </c>
      <c r="EK1035" s="4">
        <f>5000+1000+1000+800+500</f>
        <v>8300</v>
      </c>
      <c r="EL1035" s="4">
        <f>500</f>
        <v>500</v>
      </c>
      <c r="EM1035" s="14">
        <f t="shared" si="407"/>
        <v>8800</v>
      </c>
      <c r="EN1035" s="4">
        <f>5000+1000+1000+800+500</f>
        <v>8300</v>
      </c>
      <c r="EO1035" s="4">
        <f>500</f>
        <v>500</v>
      </c>
      <c r="EP1035" s="14">
        <f t="shared" si="408"/>
        <v>8800</v>
      </c>
    </row>
    <row r="1036" spans="1:263" s="42" customFormat="1" ht="15" customHeight="1">
      <c r="A1036" s="2">
        <v>102020036</v>
      </c>
      <c r="B1036" t="s">
        <v>1634</v>
      </c>
      <c r="C1036"/>
      <c r="D1036"/>
      <c r="E1036"/>
      <c r="F1036"/>
      <c r="G1036"/>
      <c r="H1036"/>
      <c r="I1036"/>
      <c r="J1036" t="s">
        <v>253</v>
      </c>
      <c r="K1036" t="s">
        <v>1635</v>
      </c>
      <c r="L1036" t="s">
        <v>1636</v>
      </c>
      <c r="M1036" t="s">
        <v>426</v>
      </c>
      <c r="N1036"/>
      <c r="O1036"/>
      <c r="P1036"/>
      <c r="Q1036"/>
      <c r="R1036"/>
      <c r="S1036"/>
      <c r="T1036"/>
      <c r="U1036"/>
      <c r="V1036"/>
      <c r="W1036"/>
      <c r="X1036"/>
      <c r="Y1036"/>
      <c r="Z1036"/>
      <c r="AA1036"/>
      <c r="AB1036"/>
      <c r="AC1036"/>
      <c r="AD1036"/>
      <c r="AE1036"/>
      <c r="AF1036"/>
      <c r="AG1036" s="248"/>
      <c r="AH1036"/>
      <c r="AI1036"/>
      <c r="AJ1036"/>
      <c r="AK1036"/>
      <c r="AL1036"/>
      <c r="AM1036" s="3"/>
      <c r="AN1036" s="3"/>
      <c r="AO1036"/>
      <c r="AP1036" s="1"/>
      <c r="AQ1036" s="3"/>
      <c r="AR1036" s="3"/>
      <c r="AS1036"/>
      <c r="AT1036"/>
      <c r="AU1036"/>
      <c r="AV1036"/>
      <c r="AW1036"/>
      <c r="AX1036"/>
      <c r="AY1036" s="9"/>
      <c r="AZ1036" s="9"/>
      <c r="BA1036"/>
      <c r="BB1036"/>
      <c r="BC1036"/>
      <c r="BD1036"/>
      <c r="BE1036"/>
      <c r="BF1036"/>
      <c r="BG1036" s="5"/>
      <c r="BH1036" s="16"/>
      <c r="BI1036" s="16"/>
      <c r="BJ1036" s="4"/>
      <c r="BK1036" s="4"/>
      <c r="BL1036" s="4"/>
      <c r="BM1036" s="6"/>
      <c r="BN1036" s="7"/>
      <c r="BO1036" s="4"/>
      <c r="BP1036" s="4"/>
      <c r="BQ1036" s="4"/>
      <c r="BR1036" s="4"/>
      <c r="BS1036" s="6"/>
      <c r="BT1036" s="7"/>
      <c r="BU1036" s="4"/>
      <c r="BV1036" s="4"/>
      <c r="BW1036" s="4"/>
      <c r="BX1036" s="4"/>
      <c r="BY1036" s="6"/>
      <c r="BZ1036" s="7"/>
      <c r="CA1036" s="4"/>
      <c r="CB1036" s="4"/>
      <c r="CC1036" s="4"/>
      <c r="CD1036" s="4"/>
      <c r="CE1036" s="6"/>
      <c r="CF1036" s="7"/>
      <c r="CG1036" s="4"/>
      <c r="CH1036" s="4"/>
      <c r="CI1036" s="4"/>
      <c r="CJ1036" s="4"/>
      <c r="CK1036" s="6"/>
      <c r="CL1036" s="7"/>
      <c r="CM1036" s="4"/>
      <c r="CN1036" s="4"/>
      <c r="CO1036" s="4"/>
      <c r="CP1036" s="4"/>
      <c r="CQ1036" s="6"/>
      <c r="CR1036" s="7"/>
      <c r="CS1036" s="4"/>
      <c r="CT1036" s="4"/>
      <c r="CU1036" s="4"/>
      <c r="CV1036" s="4"/>
      <c r="CW1036" s="6"/>
      <c r="CX1036" s="7"/>
      <c r="CY1036" s="4"/>
      <c r="CZ1036" s="4"/>
      <c r="DA1036" s="4"/>
      <c r="DB1036" s="4"/>
      <c r="DC1036" s="4"/>
      <c r="DD1036" s="3"/>
      <c r="DE1036" s="4"/>
      <c r="DF1036" s="234"/>
      <c r="DG1036" s="4"/>
      <c r="DH1036" s="4"/>
      <c r="DI1036" s="4"/>
      <c r="DJ1036" s="4"/>
      <c r="DK1036" s="4"/>
      <c r="DL1036" s="4"/>
      <c r="DM1036" s="7"/>
      <c r="DN1036" s="8"/>
      <c r="DO1036" s="4"/>
      <c r="DP1036" s="8"/>
      <c r="DQ1036" s="8"/>
      <c r="DR1036" s="8"/>
      <c r="DS1036" s="35"/>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s="9"/>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s="18"/>
      <c r="IM1036" s="18"/>
      <c r="IN1036" s="18"/>
      <c r="IO1036" s="18"/>
      <c r="IP1036" s="18"/>
      <c r="IQ1036" s="18"/>
      <c r="IR1036" s="18"/>
      <c r="IS1036" s="18"/>
      <c r="IT1036" s="18"/>
      <c r="IU1036"/>
      <c r="IV1036"/>
      <c r="IW1036" s="18"/>
      <c r="IX1036" s="18"/>
      <c r="IY1036" s="18"/>
      <c r="IZ1036"/>
      <c r="JA1036"/>
      <c r="JB1036"/>
      <c r="JC1036"/>
    </row>
    <row r="1037" spans="1:263" ht="15" customHeight="1">
      <c r="A1037" s="2">
        <v>102019038</v>
      </c>
      <c r="B1037" s="4" t="s">
        <v>1348</v>
      </c>
      <c r="C1037" s="4"/>
      <c r="D1037" s="3"/>
      <c r="E1037" s="1"/>
      <c r="F1037" s="3"/>
      <c r="G1037" s="3"/>
      <c r="H1037" s="3"/>
      <c r="I1037" s="3"/>
      <c r="J1037" t="s">
        <v>311</v>
      </c>
      <c r="K1037" t="s">
        <v>1186</v>
      </c>
      <c r="L1037" t="s">
        <v>392</v>
      </c>
      <c r="M1037" t="s">
        <v>1139</v>
      </c>
      <c r="O1037" s="1"/>
      <c r="AC1037" s="1"/>
      <c r="AF1037" s="4"/>
      <c r="AG1037" s="34"/>
      <c r="AO1037" s="4"/>
      <c r="AP1037" s="5"/>
      <c r="AQ1037" s="34"/>
      <c r="AS1037" s="1"/>
      <c r="AT1037" s="1"/>
      <c r="AU1037" s="29"/>
      <c r="AV1037" s="1"/>
      <c r="AW1037" s="1"/>
      <c r="AX1037" s="1"/>
      <c r="AY1037" s="15"/>
      <c r="AZ1037" s="15"/>
      <c r="BA1037" s="15"/>
      <c r="BB1037" s="1"/>
      <c r="BC1037" s="15"/>
      <c r="BD1037" s="15"/>
      <c r="BE1037" s="15"/>
      <c r="BF1037" s="21"/>
      <c r="BG1037" s="5"/>
      <c r="BH1037" s="16"/>
      <c r="BI1037" s="16"/>
      <c r="BK1037" s="4"/>
      <c r="BL1037" s="4"/>
      <c r="BM1037" s="6"/>
      <c r="BN1037" s="7"/>
      <c r="BO1037" s="4"/>
      <c r="BP1037" s="6"/>
      <c r="BQ1037" s="4"/>
      <c r="BR1037" s="4"/>
      <c r="BS1037" s="6"/>
      <c r="BT1037" s="7"/>
      <c r="BU1037" s="4"/>
      <c r="BV1037" s="4"/>
      <c r="BW1037" s="4"/>
      <c r="BX1037" s="4"/>
      <c r="BY1037" s="6"/>
      <c r="BZ1037" s="7"/>
      <c r="CA1037" s="4"/>
      <c r="CB1037" s="4"/>
      <c r="CC1037" s="4"/>
      <c r="CD1037" s="4"/>
      <c r="CE1037" s="6"/>
      <c r="CF1037" s="7"/>
      <c r="CG1037" s="4"/>
      <c r="CH1037" s="4"/>
      <c r="CI1037" s="4"/>
      <c r="CJ1037" s="4"/>
      <c r="CK1037" s="6"/>
      <c r="CL1037" s="23"/>
      <c r="CM1037" s="4"/>
      <c r="CN1037" s="4"/>
      <c r="CO1037" s="4"/>
      <c r="CP1037" s="4"/>
      <c r="CQ1037" s="6"/>
      <c r="CR1037" s="7"/>
      <c r="CS1037" s="4"/>
      <c r="CT1037" s="4"/>
      <c r="CU1037" s="4"/>
      <c r="CV1037" s="4"/>
      <c r="CW1037" s="6"/>
      <c r="CX1037" s="23"/>
      <c r="CY1037" s="4"/>
      <c r="CZ1037" s="4"/>
      <c r="DA1037" s="4"/>
      <c r="DB1037" s="4"/>
      <c r="DC1037" s="6"/>
      <c r="DD1037" s="7"/>
      <c r="DE1037" s="4"/>
      <c r="DF1037" s="4"/>
      <c r="DG1037" s="4"/>
      <c r="DH1037" s="14"/>
      <c r="DI1037" s="14"/>
      <c r="DJ1037" s="4"/>
      <c r="DL1037" s="4"/>
      <c r="DM1037" s="234"/>
      <c r="DN1037" s="4"/>
      <c r="DO1037" s="4"/>
      <c r="DP1037" s="4"/>
      <c r="DQ1037" s="4"/>
      <c r="DR1037" s="4"/>
      <c r="DS1037" s="4"/>
      <c r="DT1037" s="4"/>
      <c r="DU1037" s="8"/>
      <c r="DV1037" s="4"/>
      <c r="DW1037" s="8"/>
      <c r="DX1037" s="4"/>
      <c r="DY1037" s="4"/>
      <c r="DZ1037" s="7"/>
      <c r="EG1037" s="11"/>
      <c r="EM1037" s="11"/>
      <c r="EN1037" s="4"/>
      <c r="EO1037" s="4"/>
      <c r="EQ1037" s="4"/>
      <c r="ER1037" s="4"/>
      <c r="ES1037" s="4"/>
      <c r="ET1037" s="4"/>
      <c r="EU1037" s="4"/>
      <c r="EV1037" s="4"/>
      <c r="EW1037" s="4"/>
      <c r="EX1037" s="4"/>
      <c r="EY1037" s="4"/>
      <c r="EZ1037" s="4"/>
      <c r="FA1037" s="4"/>
      <c r="FB1037" s="4"/>
      <c r="FC1037" s="4"/>
      <c r="FI1037" s="9"/>
      <c r="FR1037" s="9"/>
      <c r="FX1037" s="4"/>
      <c r="GA1037" s="10"/>
      <c r="GK1037" s="10"/>
      <c r="GZ1037" s="9"/>
      <c r="II1037" s="27"/>
      <c r="IJ1037" s="4"/>
      <c r="IK1037" s="4"/>
      <c r="IL1037" s="9"/>
      <c r="IS1037" s="4"/>
      <c r="IT1037" s="4"/>
      <c r="JA1037" s="18"/>
      <c r="JB1037" s="18"/>
      <c r="JC1037" s="18"/>
    </row>
    <row r="1038" spans="1:263" ht="15" customHeight="1">
      <c r="A1038" s="19">
        <v>102022080</v>
      </c>
      <c r="B1038" t="s">
        <v>1348</v>
      </c>
      <c r="D1038" s="1"/>
      <c r="E1038" s="3"/>
      <c r="F1038" s="3"/>
      <c r="J1038" t="s">
        <v>311</v>
      </c>
      <c r="K1038" t="s">
        <v>1186</v>
      </c>
      <c r="L1038" t="s">
        <v>3083</v>
      </c>
      <c r="AG1038" s="43"/>
      <c r="AJ1038" t="s">
        <v>1299</v>
      </c>
      <c r="AK1038" t="s">
        <v>258</v>
      </c>
      <c r="AL1038" t="s">
        <v>279</v>
      </c>
      <c r="AM1038" t="s">
        <v>260</v>
      </c>
      <c r="AN1038"/>
      <c r="AO1038" s="3" t="s">
        <v>773</v>
      </c>
      <c r="AP1038" s="3" t="s">
        <v>258</v>
      </c>
      <c r="AQ1038" t="s">
        <v>386</v>
      </c>
      <c r="AR1038" t="s">
        <v>260</v>
      </c>
      <c r="AS1038" s="1"/>
      <c r="AT1038" s="1"/>
      <c r="AU1038" s="1"/>
      <c r="AV1038" s="1"/>
      <c r="AW1038" s="1"/>
      <c r="AX1038" s="2"/>
      <c r="AY1038" s="116"/>
      <c r="AZ1038" s="115"/>
      <c r="BA1038" s="2"/>
      <c r="BB1038" s="2"/>
      <c r="BC1038" s="2"/>
      <c r="BD1038" s="2"/>
      <c r="BE1038" s="2"/>
      <c r="BF1038" s="2"/>
      <c r="BG1038" s="20">
        <f ca="1">SUM(CY1038)+58.5+58.5</f>
        <v>657.02853333333337</v>
      </c>
      <c r="BH1038" s="22">
        <f ca="1">PMT(10%/12,12,BG1038,0,0)</f>
        <v>-57.763246443431939</v>
      </c>
      <c r="BI1038" s="22">
        <f ca="1">SUM(BH1038*-1)</f>
        <v>57.763246443431939</v>
      </c>
      <c r="BJ1038" s="14">
        <f>SUM(DI1038*0.0052)/12</f>
        <v>18.026666666666667</v>
      </c>
      <c r="BK1038" s="22">
        <f ca="1">SUM(BI1038+BJ1038)</f>
        <v>75.78991311009861</v>
      </c>
      <c r="BL1038" s="14"/>
      <c r="BM1038" s="14">
        <f>SUM(BL1038*0.1)</f>
        <v>0</v>
      </c>
      <c r="BN1038" s="14">
        <f ca="1">SUM(BO1038*BP1038)</f>
        <v>0</v>
      </c>
      <c r="BO1038" s="17">
        <f>SUM((BL1038+BM1038)*0.00833333333333333)</f>
        <v>0</v>
      </c>
      <c r="BP1038" s="23">
        <f ca="1">MONTH(TODAY())+49</f>
        <v>53</v>
      </c>
      <c r="BQ1038" s="14">
        <f ca="1">SUM(BL1038,BM1038,BN1038)</f>
        <v>0</v>
      </c>
      <c r="BR1038" s="14"/>
      <c r="BS1038" s="14">
        <f>SUM(BR1038*0.1)</f>
        <v>0</v>
      </c>
      <c r="BT1038" s="14">
        <f ca="1">SUM(BU1038*BV1038)</f>
        <v>0</v>
      </c>
      <c r="BU1038" s="17">
        <f>SUM((BR1038+BS1038)*0.00833333333333333)</f>
        <v>0</v>
      </c>
      <c r="BV1038" s="23">
        <f ca="1">MONTH(TODAY())+37</f>
        <v>41</v>
      </c>
      <c r="BW1038" s="14">
        <f ca="1">SUM(BR1038,BS1038,BT1038)</f>
        <v>0</v>
      </c>
      <c r="BX1038" s="14"/>
      <c r="BY1038" s="14">
        <f>SUM(BX1038*0.1)</f>
        <v>0</v>
      </c>
      <c r="BZ1038" s="14">
        <f ca="1">SUM(CA1038*CB1038)</f>
        <v>0</v>
      </c>
      <c r="CA1038" s="17">
        <f>SUM((BX1038+BY1038)*0.00833333333333333)</f>
        <v>0</v>
      </c>
      <c r="CB1038" s="23">
        <f ca="1">MONTH(TODAY())+25</f>
        <v>29</v>
      </c>
      <c r="CC1038" s="14">
        <f ca="1">SUM(BX1038,BY1038,BZ1038)</f>
        <v>0</v>
      </c>
      <c r="CD1038" s="14">
        <f>SUM(DI1038*0.0052)</f>
        <v>216.32</v>
      </c>
      <c r="CE1038" s="14">
        <f>SUM(CD1038*0.1)</f>
        <v>21.632000000000001</v>
      </c>
      <c r="CF1038" s="14">
        <f ca="1">SUM(CG1038*CH1038)</f>
        <v>33.709866666666656</v>
      </c>
      <c r="CG1038" s="17">
        <f>SUM((CD1038+CE1038)*0.00833333333333333)</f>
        <v>1.9829333333333325</v>
      </c>
      <c r="CH1038" s="23">
        <f ca="1">MONTH(TODAY())+13</f>
        <v>17</v>
      </c>
      <c r="CI1038" s="14">
        <f ca="1">SUM(CD1038,CE1038,CF1038)</f>
        <v>271.66186666666664</v>
      </c>
      <c r="CJ1038" s="14">
        <f>SUM(DI1038*0.0052)</f>
        <v>216.32</v>
      </c>
      <c r="CK1038" s="14">
        <f>SUM(CJ1038*0.1)</f>
        <v>21.632000000000001</v>
      </c>
      <c r="CL1038" s="14">
        <f ca="1">SUM(CM1038*CN1038)</f>
        <v>9.9146666666666619</v>
      </c>
      <c r="CM1038" s="17">
        <f>SUM((CJ1038+CK1038)*0.00833333333333333)</f>
        <v>1.9829333333333325</v>
      </c>
      <c r="CN1038" s="23">
        <f ca="1">MONTH(TODAY())+1</f>
        <v>5</v>
      </c>
      <c r="CO1038" s="14">
        <f ca="1">SUM(CJ1038,CK1038,CL1038)</f>
        <v>247.86666666666667</v>
      </c>
      <c r="CP1038" s="14">
        <f>SUM(BL1038, BR1038,BX1038,CD1038,CJ1038)</f>
        <v>432.64</v>
      </c>
      <c r="CQ1038" s="14">
        <f>SUM(BM1038, BS1038,BY1038,CE1038,CK1038)</f>
        <v>43.264000000000003</v>
      </c>
      <c r="CR1038" s="14">
        <f ca="1">SUM(BN1038, BT1038,BZ1038,CF1038,CL1038)</f>
        <v>43.624533333333318</v>
      </c>
      <c r="CS1038" s="14">
        <f ca="1">SUM(CP1038:CR1038)</f>
        <v>519.52853333333337</v>
      </c>
      <c r="CT1038" s="47">
        <f ca="1">SUM(CS1038/DI1038)</f>
        <v>1.2488666666666667E-2</v>
      </c>
      <c r="CU1038" s="14">
        <v>19.5</v>
      </c>
      <c r="CV1038" s="32">
        <f>COUNTIF(DB1038, "*")+COUNTIF(AO1038, "*")+COUNTIF(AJ1038, "*")+COUNTIF(AA1038, "*")+COUNTIF(DY1038, "*")+COUNTIF(EE1038, "*")+COUNTIF(EK1038, "*")+COUNTIF(EO1038, "*")+COUNTIF(EV1038, "*")+COUNTIF(FC1038, "*")+COUNTIF(FJ1038, "*")+COUNTIF(FU1038, "*")+COUNTIF(GF1038, "*")+COUNTIF(GN1038, "*")+COUNTIF(GV1038, "*")+COUNTIF(HD1038, "*")+COUNTIF(HL1038, "*")</f>
        <v>2</v>
      </c>
      <c r="CW1038" s="14">
        <f>CV1038*0.5</f>
        <v>1</v>
      </c>
      <c r="CX1038" s="4"/>
      <c r="CY1038" s="14">
        <f ca="1">SUM(CS1038,CU1038,DE1038, CX1038, CW1038,FG1038)</f>
        <v>540.02853333333337</v>
      </c>
      <c r="CZ1038" s="4"/>
      <c r="DE1038" s="14">
        <f>SUM(CZ1038:DD1038)</f>
        <v>0</v>
      </c>
      <c r="DF1038" s="24" t="s">
        <v>2773</v>
      </c>
      <c r="DG1038" s="4">
        <v>35600</v>
      </c>
      <c r="DH1038" s="4">
        <v>6000</v>
      </c>
      <c r="DI1038" s="25">
        <f>SUM(DG1038+DH1038)</f>
        <v>41600</v>
      </c>
      <c r="DJ1038" s="35">
        <v>5.94</v>
      </c>
      <c r="IC1038" s="4"/>
    </row>
    <row r="1039" spans="1:263" ht="15" customHeight="1">
      <c r="A1039" s="19">
        <v>102023130</v>
      </c>
      <c r="B1039" s="18" t="s">
        <v>4359</v>
      </c>
      <c r="D1039" s="1"/>
      <c r="E1039" s="3"/>
      <c r="F1039" s="3"/>
      <c r="J1039" s="18" t="s">
        <v>311</v>
      </c>
      <c r="K1039" s="18" t="s">
        <v>4468</v>
      </c>
      <c r="L1039" s="130" t="s">
        <v>420</v>
      </c>
      <c r="M1039" s="130" t="s">
        <v>354</v>
      </c>
      <c r="N1039" s="130"/>
      <c r="O1039" s="288"/>
      <c r="P1039" s="130"/>
      <c r="Q1039" s="130"/>
      <c r="R1039" s="130"/>
      <c r="S1039" s="130"/>
      <c r="AG1039" s="43"/>
      <c r="AJ1039" s="18"/>
      <c r="AL1039" s="18"/>
      <c r="AM1039"/>
      <c r="AN1039"/>
      <c r="AO1039" s="18" t="s">
        <v>4469</v>
      </c>
      <c r="AP1039" s="3" t="s">
        <v>258</v>
      </c>
      <c r="AQ1039" s="18" t="s">
        <v>267</v>
      </c>
      <c r="AR1039" t="s">
        <v>260</v>
      </c>
      <c r="AX1039" s="1"/>
      <c r="AY1039" s="1"/>
      <c r="AZ1039" s="1"/>
      <c r="BA1039" s="1"/>
      <c r="BB1039" s="1"/>
      <c r="BC1039" s="2"/>
      <c r="BD1039" s="116"/>
      <c r="BE1039" s="115"/>
      <c r="BF1039" s="2"/>
      <c r="BG1039" s="2"/>
      <c r="BH1039" s="2"/>
      <c r="BI1039" s="2"/>
      <c r="BJ1039" s="2"/>
      <c r="BK1039" s="2"/>
      <c r="BL1039" s="20" t="e">
        <f ca="1">SUM(DP1039)+220</f>
        <v>#REF!</v>
      </c>
      <c r="BM1039" s="22" t="e">
        <f ca="1">PMT(10%/12,12,BL1039,0,0)</f>
        <v>#REF!</v>
      </c>
      <c r="BN1039" s="22" t="e">
        <f ca="1">SUM(BM1039*-1)</f>
        <v>#REF!</v>
      </c>
      <c r="BO1039" s="14">
        <f>SUM(DX1039*0.0052)/12</f>
        <v>23.053333333333331</v>
      </c>
      <c r="BP1039" s="22" t="e">
        <f ca="1">SUM(BN1039+BO1039)</f>
        <v>#REF!</v>
      </c>
      <c r="BQ1039" s="14"/>
      <c r="BR1039" s="14">
        <f>SUM(BQ1039*0.1)</f>
        <v>0</v>
      </c>
      <c r="BS1039" s="14">
        <f ca="1">SUM(BT1039*BU1039)</f>
        <v>0</v>
      </c>
      <c r="BT1039" s="17">
        <f>SUM((BQ1039+BR1039)*0.00833333333333333)</f>
        <v>0</v>
      </c>
      <c r="BU1039" s="23">
        <f ca="1">MONTH(TODAY())+49</f>
        <v>53</v>
      </c>
      <c r="BV1039" s="14">
        <f ca="1">SUM(BQ1039,BR1039,BS1039)</f>
        <v>0</v>
      </c>
      <c r="BW1039" s="14"/>
      <c r="BX1039" s="14">
        <f>SUM(BW1039*0.1)</f>
        <v>0</v>
      </c>
      <c r="BY1039" s="14">
        <f ca="1">SUM(BZ1039*CA1039)</f>
        <v>0</v>
      </c>
      <c r="BZ1039" s="17">
        <f>SUM((BW1039+BX1039)*0.00833333333333333)</f>
        <v>0</v>
      </c>
      <c r="CA1039" s="23">
        <f ca="1">MONTH(TODAY())+37</f>
        <v>41</v>
      </c>
      <c r="CB1039" s="14">
        <f ca="1">SUM(BW1039,BX1039,BY1039)</f>
        <v>0</v>
      </c>
      <c r="CC1039" s="14">
        <v>0</v>
      </c>
      <c r="CD1039" s="14">
        <f>SUM(CC1039*0.1)</f>
        <v>0</v>
      </c>
      <c r="CE1039" s="14">
        <f ca="1">SUM(CF1039*CG1039)</f>
        <v>0</v>
      </c>
      <c r="CF1039" s="17">
        <f>SUM((CC1039+CD1039)*0.00833333333333333)</f>
        <v>0</v>
      </c>
      <c r="CG1039" s="23">
        <f ca="1">MONTH(TODAY())+25</f>
        <v>29</v>
      </c>
      <c r="CH1039" s="14">
        <f ca="1">SUM(CC1039,CD1039,CE1039)</f>
        <v>0</v>
      </c>
      <c r="CI1039" s="14">
        <f>SUM(DU1039*0.0052)</f>
        <v>253.76</v>
      </c>
      <c r="CJ1039" s="14">
        <f>SUM(CI1039*0.1)</f>
        <v>25.376000000000001</v>
      </c>
      <c r="CK1039" s="14">
        <f ca="1">SUM(CL1039*CM1039)</f>
        <v>39.544266666666644</v>
      </c>
      <c r="CL1039" s="17">
        <f>SUM((CI1039+CJ1039)*0.00833333333333333)</f>
        <v>2.3261333333333321</v>
      </c>
      <c r="CM1039" s="23">
        <f ca="1">MONTH(TODAY())+13</f>
        <v>17</v>
      </c>
      <c r="CN1039" s="14">
        <f ca="1">SUM(CI1039,CJ1039,CK1039)</f>
        <v>318.68026666666663</v>
      </c>
      <c r="CO1039" s="14">
        <f>SUM(DU1039*0.0052)/2</f>
        <v>126.88</v>
      </c>
      <c r="CP1039" s="14">
        <f>SUM(CO1039*0.1)</f>
        <v>12.688000000000001</v>
      </c>
      <c r="CQ1039" s="14">
        <f ca="1">SUM(CR1039*CS1039)</f>
        <v>10.467599999999994</v>
      </c>
      <c r="CR1039" s="17">
        <f>SUM((CO1039+CP1039)*0.00833333333333333)</f>
        <v>1.163066666666666</v>
      </c>
      <c r="CS1039" s="23">
        <f ca="1">MONTH(TODAY())+5</f>
        <v>9</v>
      </c>
      <c r="CT1039" s="23">
        <f ca="1">SUM(CO1039,CP1039,CQ1039)</f>
        <v>150.03559999999999</v>
      </c>
      <c r="CU1039" s="14">
        <f>SUM(DU1039*0.0052)/2</f>
        <v>126.88</v>
      </c>
      <c r="CV1039" s="14">
        <f>SUM(CU1039*0.1)</f>
        <v>12.688000000000001</v>
      </c>
      <c r="CW1039" s="14">
        <f ca="1">SUM(CX1039*CY1039)</f>
        <v>5.8153333333333297</v>
      </c>
      <c r="CX1039" s="17">
        <f>SUM((CU1039+CV1039)*0.00833333333333333)</f>
        <v>1.163066666666666</v>
      </c>
      <c r="CY1039" s="23">
        <f ca="1">MONTH(TODAY())+1</f>
        <v>5</v>
      </c>
      <c r="CZ1039" s="23">
        <f ca="1">SUM(CU1039,CV1039,CW1039)</f>
        <v>145.38333333333333</v>
      </c>
      <c r="DA1039" s="14">
        <f>SUM( BQ1039, BW1039, CC1039, CI1039, CO1039,CU1039)</f>
        <v>507.52</v>
      </c>
      <c r="DB1039" s="14">
        <f>SUM(BR1039,BX1039,CD1039,CJ1039, CP1039,CV1039)</f>
        <v>50.752000000000002</v>
      </c>
      <c r="DC1039" s="14">
        <f ca="1">SUM(BS1039,BY1039,CE1039,CK1039, CQ1039,CW1039)</f>
        <v>55.827199999999962</v>
      </c>
      <c r="DD1039" s="25">
        <f ca="1">SUM(DA1039:DC1039)</f>
        <v>614.09919999999988</v>
      </c>
      <c r="DE1039" s="47">
        <f ca="1">SUM(DD1039/DU1039)</f>
        <v>1.2583999999999998E-2</v>
      </c>
      <c r="DF1039" s="14">
        <v>20</v>
      </c>
      <c r="DG1039" s="32" t="e">
        <f>COUNTIF(DL1039, "*")+COUNTIF(AO1039, "*")+COUNTIF(AJ1039, "*")+COUNTIF(AA1039, "*")+COUNTIF(EM1039, "*")+COUNTIF(ES1039, "*")+COUNTIF(EY1039, "*")+COUNTIF(FC1039, "*")+COUNTIF(FJ1039, "*")+COUNTIF(Base!#REF!, "*")+COUNTIF(FS1039, "*")+COUNTIF(GD1039, "*")+COUNTIF(GO1039, "*")+COUNTIF(GW1039, "*")+COUNTIF(HE1039, "*")+COUNTIF(HM1039, "*")+COUNTIF(HU1039, "*")</f>
        <v>#REF!</v>
      </c>
      <c r="DH1039" s="14" t="e">
        <f>DG1039*0.6</f>
        <v>#REF!</v>
      </c>
      <c r="DI1039" s="4"/>
      <c r="DJ1039" s="4"/>
      <c r="DK1039" s="4"/>
      <c r="DL1039" s="4"/>
      <c r="DN1039" s="4"/>
      <c r="DO1039" s="14">
        <f>SUM(DJ1039:DN1039)</f>
        <v>0</v>
      </c>
      <c r="DP1039" s="14" t="e">
        <f ca="1">SUM(DD1039,DF1039,DO1039, DI1039, DH1039,FP1039)</f>
        <v>#REF!</v>
      </c>
      <c r="DQ1039" s="24" t="s">
        <v>3879</v>
      </c>
      <c r="DR1039" s="130">
        <v>11.99</v>
      </c>
      <c r="DS1039" s="14">
        <v>42800</v>
      </c>
      <c r="DT1039" s="14">
        <v>6000</v>
      </c>
      <c r="DU1039" s="14">
        <v>48800</v>
      </c>
      <c r="DV1039" s="14">
        <v>44800</v>
      </c>
      <c r="DW1039" s="14">
        <v>8400</v>
      </c>
      <c r="DX1039" s="14">
        <f>SUM(DV1039+DW1039)</f>
        <v>53200</v>
      </c>
      <c r="IA1039" s="9"/>
      <c r="IL1039" s="14" t="e">
        <f ca="1">SUM(IB1039-DP1039-FP1039-IJ1039)</f>
        <v>#REF!</v>
      </c>
      <c r="IM1039" s="9"/>
      <c r="IN1039" s="9"/>
      <c r="IO1039" s="9"/>
      <c r="IP1039" s="9"/>
      <c r="IQ1039" s="9"/>
    </row>
    <row r="1040" spans="1:263" ht="15" customHeight="1">
      <c r="A1040" s="19">
        <v>102023062</v>
      </c>
      <c r="B1040" s="18" t="s">
        <v>4200</v>
      </c>
      <c r="D1040" s="1"/>
      <c r="E1040" s="3"/>
      <c r="F1040" s="3"/>
      <c r="G1040" s="3"/>
      <c r="J1040" s="18" t="s">
        <v>554</v>
      </c>
      <c r="K1040" s="18" t="s">
        <v>1606</v>
      </c>
      <c r="L1040" s="18" t="s">
        <v>4199</v>
      </c>
      <c r="M1040" s="18" t="s">
        <v>850</v>
      </c>
      <c r="N1040" s="18"/>
      <c r="O1040" s="24"/>
      <c r="P1040" s="18" t="s">
        <v>1606</v>
      </c>
      <c r="Q1040" s="18" t="s">
        <v>1602</v>
      </c>
      <c r="R1040" s="18" t="s">
        <v>850</v>
      </c>
      <c r="S1040" s="18"/>
      <c r="AG1040" s="43"/>
      <c r="AJ1040" s="18"/>
      <c r="AK1040" s="18"/>
      <c r="AL1040" s="18"/>
      <c r="AM1040" s="18"/>
      <c r="AN1040" s="18"/>
      <c r="AO1040" s="18" t="s">
        <v>4198</v>
      </c>
      <c r="AP1040" s="18" t="s">
        <v>258</v>
      </c>
      <c r="AQ1040" s="18" t="s">
        <v>4197</v>
      </c>
      <c r="AR1040" s="18" t="s">
        <v>260</v>
      </c>
      <c r="AX1040" s="1"/>
      <c r="AY1040" s="1"/>
      <c r="AZ1040" s="1"/>
      <c r="BA1040" s="1"/>
      <c r="BB1040" s="1"/>
      <c r="BC1040" s="2"/>
      <c r="BD1040" s="115">
        <v>45060</v>
      </c>
      <c r="BE1040" s="115">
        <v>45049</v>
      </c>
      <c r="BF1040" s="2"/>
      <c r="BG1040" s="2"/>
      <c r="BH1040" s="2"/>
      <c r="BI1040" s="2"/>
      <c r="BJ1040" s="2"/>
      <c r="BK1040" s="2"/>
      <c r="BL1040" s="20">
        <f ca="1">SUM(EB1040)+220</f>
        <v>1242.2363999999998</v>
      </c>
      <c r="BM1040" s="22">
        <f ca="1">PMT(10%/12,12,BL1040,0,0)</f>
        <v>-109.21231525541306</v>
      </c>
      <c r="BN1040" s="22">
        <f ca="1">SUM(BM1040*-1)</f>
        <v>109.21231525541306</v>
      </c>
      <c r="BO1040" s="14">
        <f>SUM(EJ1040*0.0052)/12</f>
        <v>18.026666666666667</v>
      </c>
      <c r="BP1040" s="22">
        <f ca="1">SUM(BN1040+BO1040)</f>
        <v>127.23898192207973</v>
      </c>
      <c r="BQ1040" s="14"/>
      <c r="BR1040" s="14">
        <f>SUM(BQ1040*0.1)</f>
        <v>0</v>
      </c>
      <c r="BS1040" s="14">
        <f ca="1">SUM(BT1040*BU1040)</f>
        <v>0</v>
      </c>
      <c r="BT1040" s="17">
        <f>SUM((BQ1040+BR1040)*0.00833333333333333)</f>
        <v>0</v>
      </c>
      <c r="BU1040" s="23">
        <f ca="1">MONTH(TODAY())+49</f>
        <v>53</v>
      </c>
      <c r="BV1040" s="14">
        <f ca="1">SUM(BQ1040,BR1040,BS1040)</f>
        <v>0</v>
      </c>
      <c r="BW1040" s="14"/>
      <c r="BX1040" s="14">
        <f>SUM(BW1040*0.1)</f>
        <v>0</v>
      </c>
      <c r="BY1040" s="14">
        <f ca="1">SUM(BZ1040*CA1040)</f>
        <v>0</v>
      </c>
      <c r="BZ1040" s="17">
        <f>SUM((BW1040+BX1040)*0.00833333333333333)</f>
        <v>0</v>
      </c>
      <c r="CA1040" s="23">
        <f ca="1">MONTH(TODAY())+37</f>
        <v>41</v>
      </c>
      <c r="CB1040" s="14">
        <f ca="1">SUM(BW1040,BX1040,BY1040)</f>
        <v>0</v>
      </c>
      <c r="CC1040" s="14">
        <v>0</v>
      </c>
      <c r="CD1040" s="14">
        <f>SUM(CC1040*0.1)</f>
        <v>0</v>
      </c>
      <c r="CE1040" s="14">
        <f ca="1">SUM(CF1040*CG1040)</f>
        <v>0</v>
      </c>
      <c r="CF1040" s="17">
        <f>SUM((CC1040+CD1040)*0.00833333333333333)</f>
        <v>0</v>
      </c>
      <c r="CG1040" s="23">
        <f ca="1">MONTH(TODAY())+25</f>
        <v>29</v>
      </c>
      <c r="CH1040" s="14">
        <f ca="1">SUM(CC1040,CD1040,CE1040)</f>
        <v>0</v>
      </c>
      <c r="CI1040" s="14">
        <f>SUM(EG1040*0.0052)</f>
        <v>205.92</v>
      </c>
      <c r="CJ1040" s="14">
        <f>SUM(CI1040*0.1)</f>
        <v>20.591999999999999</v>
      </c>
      <c r="CK1040" s="14">
        <f ca="1">SUM(CL1040*CM1040)</f>
        <v>32.089199999999991</v>
      </c>
      <c r="CL1040" s="17">
        <f>SUM((CI1040+CJ1040)*0.00833333333333333)</f>
        <v>1.8875999999999993</v>
      </c>
      <c r="CM1040" s="23">
        <f ca="1">MONTH(TODAY())+13</f>
        <v>17</v>
      </c>
      <c r="CN1040" s="14">
        <f ca="1">SUM(CI1040,CJ1040,CK1040)</f>
        <v>258.60120000000001</v>
      </c>
      <c r="CO1040" s="14">
        <f>SUM(EG1040*0.0052)/2</f>
        <v>102.96</v>
      </c>
      <c r="CP1040" s="14">
        <f>SUM(CO1040*0.1)</f>
        <v>10.295999999999999</v>
      </c>
      <c r="CQ1040" s="14">
        <f ca="1">SUM(CR1040*CS1040)</f>
        <v>8.4941999999999975</v>
      </c>
      <c r="CR1040" s="17">
        <f>SUM((CO1040+CP1040)*0.00833333333333333)</f>
        <v>0.94379999999999964</v>
      </c>
      <c r="CS1040" s="23">
        <f ca="1">MONTH(TODAY())+5</f>
        <v>9</v>
      </c>
      <c r="CT1040" s="23">
        <f ca="1">SUM(CO1040,CP1040,CQ1040)</f>
        <v>121.75019999999999</v>
      </c>
      <c r="CU1040" s="14">
        <f>SUM(EG1040*0.0052)/2</f>
        <v>102.96</v>
      </c>
      <c r="CV1040" s="14">
        <f>SUM(CU1040*0.1)</f>
        <v>10.295999999999999</v>
      </c>
      <c r="CW1040" s="14">
        <f ca="1">SUM(CX1040*CY1040)</f>
        <v>4.7189999999999985</v>
      </c>
      <c r="CX1040" s="17">
        <f>SUM((CU1040+CV1040)*0.00833333333333333)</f>
        <v>0.94379999999999964</v>
      </c>
      <c r="CY1040" s="23">
        <f ca="1">MONTH(TODAY())+1</f>
        <v>5</v>
      </c>
      <c r="CZ1040" s="23">
        <f ca="1">SUM(CU1040,CV1040,CW1040)</f>
        <v>117.97499999999999</v>
      </c>
      <c r="DA1040" s="14">
        <f>SUM(EJ1040*0.0045)/2</f>
        <v>93.6</v>
      </c>
      <c r="DB1040" s="14">
        <v>0</v>
      </c>
      <c r="DC1040" s="14">
        <v>0</v>
      </c>
      <c r="DD1040" s="17">
        <f>SUM((DA1040+DB1040)*0.00833333333333333)</f>
        <v>0.77999999999999958</v>
      </c>
      <c r="DE1040" s="23">
        <f ca="1">MONTH(TODAY())-5</f>
        <v>-1</v>
      </c>
      <c r="DF1040" s="23">
        <f>SUM(DA1040,DB1040,DC1040)</f>
        <v>93.6</v>
      </c>
      <c r="DG1040" s="14">
        <v>0</v>
      </c>
      <c r="DH1040" s="14">
        <v>0</v>
      </c>
      <c r="DI1040" s="14">
        <v>0</v>
      </c>
      <c r="DJ1040" s="17">
        <f>SUM((DG1040+DH1040)*0.00833333333333333)</f>
        <v>0</v>
      </c>
      <c r="DK1040" s="23">
        <f ca="1">MONTH(TODAY())+1</f>
        <v>5</v>
      </c>
      <c r="DL1040" s="23">
        <f>SUM(DG1040,DH1040,DI1040)</f>
        <v>0</v>
      </c>
      <c r="DM1040" s="14">
        <f>SUM( BQ1040, BW1040, CC1040, CI1040, CO1040,CU1040,DA1040,DG1040)</f>
        <v>505.43999999999994</v>
      </c>
      <c r="DN1040" s="14">
        <f>SUM(BR1040,BX1040,CD1040,CJ1040, CP1040,CV1040,DB1040,DH1040)</f>
        <v>41.183999999999997</v>
      </c>
      <c r="DO1040" s="14">
        <f ca="1">SUM(BS1040,BY1040,CE1040,CK1040, CQ1040,CW1040,DC1040,DI1040)</f>
        <v>45.302399999999992</v>
      </c>
      <c r="DP1040" s="25">
        <f ca="1">SUM(DM1040:DO1040)</f>
        <v>591.92639999999994</v>
      </c>
      <c r="DQ1040" s="47">
        <f ca="1">SUM(DP1040/EG1040)</f>
        <v>1.4947636363636363E-2</v>
      </c>
      <c r="DR1040" s="14">
        <f>20+200</f>
        <v>220</v>
      </c>
      <c r="DS1040" s="32">
        <f>COUNTIF(DX1040, "*")+COUNTIF(AO1040, "*")+COUNTIF(AJ1040, "*")+COUNTIF(AA1040, "*")+COUNTIF(EY1040, "*")+COUNTIF(FE1040, "*")+COUNTIF(FK1040, "*")+COUNTIF(FO1040, "*")+COUNTIF(FV1040, "*")+COUNTIF(AT1040, "*")+COUNTIF(GE1040, "*")+COUNTIF(GP1040, "*")+COUNTIF(HA1040, "*")+COUNTIF(HI1040, "*")+COUNTIF(HQ1040, "*")+COUNTIF(HY1040, "*")+COUNTIF(IG1040, "*")</f>
        <v>3</v>
      </c>
      <c r="DT1040" s="14">
        <f>1.2+DS1040*7.45</f>
        <v>23.55</v>
      </c>
      <c r="DU1040" s="4">
        <v>150</v>
      </c>
      <c r="DV1040" s="4">
        <v>36.76</v>
      </c>
      <c r="DW1040" s="4"/>
      <c r="DX1040" s="4"/>
      <c r="DZ1040" s="4"/>
      <c r="EA1040" s="14">
        <f>SUM(DV1040:DZ1040)</f>
        <v>36.76</v>
      </c>
      <c r="EB1040" s="14">
        <f ca="1">SUM(DP1040,DR1040,EA1040, DU1040, DT1040,GB1040)</f>
        <v>1022.2363999999999</v>
      </c>
      <c r="EC1040" s="24" t="s">
        <v>3879</v>
      </c>
      <c r="ED1040" s="130">
        <v>5.32</v>
      </c>
      <c r="EE1040" s="14">
        <v>33600</v>
      </c>
      <c r="EF1040" s="14">
        <v>6000</v>
      </c>
      <c r="EG1040" s="14">
        <v>39600</v>
      </c>
      <c r="EH1040" s="14">
        <v>35600</v>
      </c>
      <c r="EI1040" s="14">
        <v>6000</v>
      </c>
      <c r="EJ1040" s="14">
        <f>SUM(EH1040+EI1040)</f>
        <v>41600</v>
      </c>
      <c r="EK1040" t="s">
        <v>4696</v>
      </c>
      <c r="EL1040" t="s">
        <v>4697</v>
      </c>
      <c r="FN1040" t="s">
        <v>4698</v>
      </c>
      <c r="FO1040" t="s">
        <v>4699</v>
      </c>
      <c r="FQ1040" t="s">
        <v>4700</v>
      </c>
      <c r="FR1040" t="s">
        <v>1075</v>
      </c>
      <c r="FS1040" s="9">
        <v>39051</v>
      </c>
      <c r="FT1040" t="s">
        <v>4701</v>
      </c>
      <c r="GC1040" t="s">
        <v>421</v>
      </c>
      <c r="GD1040" t="s">
        <v>4704</v>
      </c>
      <c r="GE1040" t="s">
        <v>3579</v>
      </c>
      <c r="GG1040" t="s">
        <v>274</v>
      </c>
      <c r="GH1040" t="s">
        <v>275</v>
      </c>
      <c r="GI1040" s="9">
        <v>44501</v>
      </c>
      <c r="GJ1040" t="s">
        <v>4705</v>
      </c>
      <c r="IM1040" s="9"/>
      <c r="IX1040" s="14">
        <f ca="1">SUM(IN1040-EB1040-GB1040-IV1040)</f>
        <v>-1022.2363999999999</v>
      </c>
      <c r="IY1040" s="9"/>
      <c r="IZ1040" s="9"/>
      <c r="JA1040" s="9"/>
      <c r="JB1040" s="9"/>
      <c r="JC1040" s="9"/>
    </row>
    <row r="1041" spans="1:263" ht="15" customHeight="1">
      <c r="A1041" s="19">
        <v>102022061</v>
      </c>
      <c r="B1041" t="s">
        <v>2807</v>
      </c>
      <c r="D1041" s="1"/>
      <c r="E1041" s="3"/>
      <c r="F1041" s="3"/>
      <c r="J1041" t="s">
        <v>311</v>
      </c>
      <c r="K1041" t="s">
        <v>1149</v>
      </c>
      <c r="L1041" t="s">
        <v>1289</v>
      </c>
      <c r="M1041" t="s">
        <v>354</v>
      </c>
      <c r="AG1041" s="43"/>
      <c r="AJ1041" s="18" t="s">
        <v>328</v>
      </c>
      <c r="AL1041" s="3" t="s">
        <v>279</v>
      </c>
      <c r="AM1041"/>
      <c r="AN1041"/>
      <c r="AO1041" s="3" t="s">
        <v>3036</v>
      </c>
      <c r="AP1041" s="3" t="s">
        <v>258</v>
      </c>
      <c r="AQ1041" t="s">
        <v>3037</v>
      </c>
      <c r="AR1041"/>
      <c r="AS1041" s="1"/>
      <c r="AT1041" s="1"/>
      <c r="AU1041" s="1"/>
      <c r="AV1041" s="1"/>
      <c r="AW1041" s="1"/>
      <c r="AX1041" s="2"/>
      <c r="AY1041" s="115">
        <v>44661</v>
      </c>
      <c r="AZ1041" s="115">
        <v>44649</v>
      </c>
      <c r="BA1041" s="2"/>
      <c r="BB1041" s="2"/>
      <c r="BC1041" s="2"/>
      <c r="BD1041" s="2"/>
      <c r="BE1041" s="2"/>
      <c r="BF1041" s="2"/>
      <c r="BG1041" s="20">
        <f ca="1">SUM(CY1041)+214.5</f>
        <v>1062.5192000000002</v>
      </c>
      <c r="BH1041" s="22">
        <f ca="1">PMT(10%/12,12,BG1041,0,0)</f>
        <v>-93.412318166920016</v>
      </c>
      <c r="BI1041" s="22">
        <f ca="1">SUM(BH1041*-1)</f>
        <v>93.412318166920016</v>
      </c>
      <c r="BJ1041" s="14">
        <f>SUM(DI1041*0.0052)/12</f>
        <v>14.56</v>
      </c>
      <c r="BK1041" s="22">
        <f ca="1">SUM(BI1041+BJ1041)</f>
        <v>107.97231816692002</v>
      </c>
      <c r="BL1041" s="14"/>
      <c r="BM1041" s="14">
        <f>SUM(BL1041*0.1)</f>
        <v>0</v>
      </c>
      <c r="BN1041" s="14">
        <f ca="1">SUM(BO1041*BP1041)</f>
        <v>0</v>
      </c>
      <c r="BO1041" s="17">
        <f>SUM((BL1041+BM1041)*0.00833333333333333)</f>
        <v>0</v>
      </c>
      <c r="BP1041" s="23">
        <f ca="1">MONTH(TODAY())+49</f>
        <v>53</v>
      </c>
      <c r="BQ1041" s="14">
        <f ca="1">SUM(BL1041,BM1041,BN1041)</f>
        <v>0</v>
      </c>
      <c r="BR1041" s="14"/>
      <c r="BS1041" s="14">
        <f>SUM(BR1041*0.1)</f>
        <v>0</v>
      </c>
      <c r="BT1041" s="14">
        <f ca="1">SUM(BU1041*BV1041)</f>
        <v>0</v>
      </c>
      <c r="BU1041" s="17">
        <f>SUM((BR1041+BS1041)*0.00833333333333333)</f>
        <v>0</v>
      </c>
      <c r="BV1041" s="23">
        <f ca="1">MONTH(TODAY())+37</f>
        <v>41</v>
      </c>
      <c r="BW1041" s="14">
        <f ca="1">SUM(BR1041,BS1041,BT1041)</f>
        <v>0</v>
      </c>
      <c r="BX1041" s="14"/>
      <c r="BY1041" s="14">
        <f>SUM(BX1041*0.1)</f>
        <v>0</v>
      </c>
      <c r="BZ1041" s="14">
        <f ca="1">SUM(CA1041*CB1041)</f>
        <v>0</v>
      </c>
      <c r="CA1041" s="17">
        <f>SUM((BX1041+BY1041)*0.00833333333333333)</f>
        <v>0</v>
      </c>
      <c r="CB1041" s="23">
        <f ca="1">MONTH(TODAY())+25</f>
        <v>29</v>
      </c>
      <c r="CC1041" s="14">
        <f ca="1">SUM(BX1041,BY1041,BZ1041)</f>
        <v>0</v>
      </c>
      <c r="CD1041" s="14">
        <f>SUM(DI1041*0.0052)</f>
        <v>174.72</v>
      </c>
      <c r="CE1041" s="14">
        <f>SUM(CD1041*0.1)</f>
        <v>17.472000000000001</v>
      </c>
      <c r="CF1041" s="14">
        <f ca="1">SUM(CG1041*CH1041)</f>
        <v>27.227199999999989</v>
      </c>
      <c r="CG1041" s="17">
        <f>SUM((CD1041+CE1041)*0.00833333333333333)</f>
        <v>1.6015999999999995</v>
      </c>
      <c r="CH1041" s="23">
        <f ca="1">MONTH(TODAY())+13</f>
        <v>17</v>
      </c>
      <c r="CI1041" s="14">
        <f ca="1">SUM(CD1041,CE1041,CF1041)</f>
        <v>219.41919999999999</v>
      </c>
      <c r="CJ1041" s="14">
        <f>SUM(DI1041*0.0052)</f>
        <v>174.72</v>
      </c>
      <c r="CK1041" s="14">
        <f>SUM(CJ1041*0.1)</f>
        <v>17.472000000000001</v>
      </c>
      <c r="CL1041" s="14">
        <f ca="1">SUM(CM1041*CN1041)</f>
        <v>8.0079999999999973</v>
      </c>
      <c r="CM1041" s="17">
        <f>SUM((CJ1041+CK1041)*0.00833333333333333)</f>
        <v>1.6015999999999995</v>
      </c>
      <c r="CN1041" s="23">
        <f ca="1">MONTH(TODAY())+1</f>
        <v>5</v>
      </c>
      <c r="CO1041" s="14">
        <f ca="1">SUM(CJ1041,CK1041,CL1041)</f>
        <v>200.20000000000002</v>
      </c>
      <c r="CP1041" s="14">
        <f>SUM(BL1041, BR1041,BX1041,CD1041,CJ1041)</f>
        <v>349.44</v>
      </c>
      <c r="CQ1041" s="14">
        <f>SUM(BM1041, BS1041,BY1041,CE1041,CK1041)</f>
        <v>34.944000000000003</v>
      </c>
      <c r="CR1041" s="14">
        <f ca="1">SUM(BN1041, BT1041,BZ1041,CF1041,CL1041)</f>
        <v>35.235199999999985</v>
      </c>
      <c r="CS1041" s="14">
        <f ca="1">SUM(CP1041:CR1041)</f>
        <v>419.61919999999998</v>
      </c>
      <c r="CT1041" s="47">
        <f ca="1">SUM(CS1041/DI1041)</f>
        <v>1.2488666666666665E-2</v>
      </c>
      <c r="CU1041" s="14">
        <f>19.5+19.5+195</f>
        <v>234</v>
      </c>
      <c r="CV1041" s="32">
        <f>COUNTIF(DB1041, "*")+COUNTIF(AO1041, "*")+COUNTIF(AJ1041, "*")+COUNTIF(AA1041, "*")+COUNTIF(DY1041, "*")+COUNTIF(EE1041, "*")+COUNTIF(EK1041, "*")+COUNTIF(EO1041, "*")+COUNTIF(EV1041, "*")+COUNTIF(FC1041, "*")+COUNTIF(FJ1041, "*")+COUNTIF(FU1041, "*")+COUNTIF(GF1041, "*")+COUNTIF(GN1041, "*")+COUNTIF(GV1041, "*")+COUNTIF(HD1041, "*")+COUNTIF(HL1041, "*")</f>
        <v>2</v>
      </c>
      <c r="CW1041" s="14">
        <f>CV1041*0.5+CV1041*6.66</f>
        <v>14.32</v>
      </c>
      <c r="CX1041" s="4">
        <v>150</v>
      </c>
      <c r="CY1041" s="14">
        <f ca="1">SUM(CS1041,CU1041,DE1041, CX1041, CW1041,FG1041)</f>
        <v>848.01920000000007</v>
      </c>
      <c r="CZ1041" s="14">
        <v>30.08</v>
      </c>
      <c r="DE1041" s="14">
        <f>SUM(CZ1041:DD1041)</f>
        <v>30.08</v>
      </c>
      <c r="DF1041" s="24" t="s">
        <v>2773</v>
      </c>
      <c r="DG1041" s="4">
        <v>33600</v>
      </c>
      <c r="DH1041" s="4">
        <v>0</v>
      </c>
      <c r="DI1041" s="25">
        <f>SUM(DG1041+DH1041)</f>
        <v>33600</v>
      </c>
      <c r="DJ1041" s="35">
        <v>6.41</v>
      </c>
      <c r="DK1041" t="s">
        <v>3663</v>
      </c>
      <c r="DL1041" t="s">
        <v>3664</v>
      </c>
      <c r="DM1041" t="s">
        <v>3665</v>
      </c>
      <c r="IC1041" s="4"/>
    </row>
    <row r="1042" spans="1:263" s="42" customFormat="1" ht="15" customHeight="1">
      <c r="A1042" s="19">
        <v>102023137</v>
      </c>
      <c r="B1042" s="18" t="s">
        <v>4355</v>
      </c>
      <c r="C1042"/>
      <c r="D1042" s="1"/>
      <c r="E1042" s="3"/>
      <c r="F1042" s="3"/>
      <c r="G1042"/>
      <c r="H1042"/>
      <c r="I1042"/>
      <c r="J1042" s="18" t="s">
        <v>434</v>
      </c>
      <c r="K1042" s="18" t="s">
        <v>1074</v>
      </c>
      <c r="L1042" s="130" t="s">
        <v>1216</v>
      </c>
      <c r="M1042" s="130" t="s">
        <v>448</v>
      </c>
      <c r="N1042" s="130"/>
      <c r="O1042" s="288"/>
      <c r="P1042" s="130" t="s">
        <v>1074</v>
      </c>
      <c r="Q1042" s="130" t="s">
        <v>4484</v>
      </c>
      <c r="R1042" s="130" t="s">
        <v>357</v>
      </c>
      <c r="S1042" s="130"/>
      <c r="T1042"/>
      <c r="U1042" t="s">
        <v>4486</v>
      </c>
      <c r="V1042" t="s">
        <v>4487</v>
      </c>
      <c r="W1042" t="s">
        <v>448</v>
      </c>
      <c r="X1042"/>
      <c r="Y1042"/>
      <c r="Z1042"/>
      <c r="AA1042"/>
      <c r="AB1042"/>
      <c r="AC1042"/>
      <c r="AD1042"/>
      <c r="AE1042"/>
      <c r="AF1042"/>
      <c r="AG1042" s="43"/>
      <c r="AH1042"/>
      <c r="AI1042"/>
      <c r="AJ1042" s="18"/>
      <c r="AK1042"/>
      <c r="AL1042"/>
      <c r="AM1042"/>
      <c r="AN1042"/>
      <c r="AO1042" s="18" t="s">
        <v>4485</v>
      </c>
      <c r="AP1042" s="3" t="s">
        <v>258</v>
      </c>
      <c r="AQ1042" s="18" t="s">
        <v>279</v>
      </c>
      <c r="AR1042" t="s">
        <v>260</v>
      </c>
      <c r="AS1042"/>
      <c r="AT1042"/>
      <c r="AU1042"/>
      <c r="AV1042"/>
      <c r="AW1042"/>
      <c r="AX1042" s="1"/>
      <c r="AY1042" s="1"/>
      <c r="AZ1042" s="1"/>
      <c r="BA1042" s="1"/>
      <c r="BB1042" s="1"/>
      <c r="BC1042" s="2"/>
      <c r="BD1042" s="116"/>
      <c r="BE1042" s="115"/>
      <c r="BF1042" s="2"/>
      <c r="BG1042" s="2"/>
      <c r="BH1042" s="2"/>
      <c r="BI1042" s="2"/>
      <c r="BJ1042" s="2"/>
      <c r="BK1042" s="2"/>
      <c r="BL1042" s="20">
        <f ca="1">SUM(DP1042)+220</f>
        <v>718.79199999999992</v>
      </c>
      <c r="BM1042" s="22">
        <f ca="1">PMT(10%/12,12,BL1042,0,0)</f>
        <v>-63.193236413833048</v>
      </c>
      <c r="BN1042" s="22">
        <f ca="1">SUM(BM1042*-1)</f>
        <v>63.193236413833048</v>
      </c>
      <c r="BO1042" s="14">
        <f>SUM(DX1042*0.0052)/12</f>
        <v>17.333333333333332</v>
      </c>
      <c r="BP1042" s="22">
        <f ca="1">SUM(BN1042+BO1042)</f>
        <v>80.526569747166377</v>
      </c>
      <c r="BQ1042" s="14"/>
      <c r="BR1042" s="14">
        <f>SUM(BQ1042*0.1)</f>
        <v>0</v>
      </c>
      <c r="BS1042" s="14">
        <f ca="1">SUM(BT1042*BU1042)</f>
        <v>0</v>
      </c>
      <c r="BT1042" s="17">
        <f>SUM((BQ1042+BR1042)*0.00833333333333333)</f>
        <v>0</v>
      </c>
      <c r="BU1042" s="23">
        <f ca="1">MONTH(TODAY())+49</f>
        <v>53</v>
      </c>
      <c r="BV1042" s="14">
        <f ca="1">SUM(BQ1042,BR1042,BS1042)</f>
        <v>0</v>
      </c>
      <c r="BW1042" s="14"/>
      <c r="BX1042" s="14">
        <f>SUM(BW1042*0.1)</f>
        <v>0</v>
      </c>
      <c r="BY1042" s="14">
        <f ca="1">SUM(BZ1042*CA1042)</f>
        <v>0</v>
      </c>
      <c r="BZ1042" s="17">
        <f>SUM((BW1042+BX1042)*0.00833333333333333)</f>
        <v>0</v>
      </c>
      <c r="CA1042" s="23">
        <f ca="1">MONTH(TODAY())+37</f>
        <v>41</v>
      </c>
      <c r="CB1042" s="14">
        <f ca="1">SUM(BW1042,BX1042,BY1042)</f>
        <v>0</v>
      </c>
      <c r="CC1042" s="14">
        <v>0</v>
      </c>
      <c r="CD1042" s="14">
        <f>SUM(CC1042*0.1)</f>
        <v>0</v>
      </c>
      <c r="CE1042" s="14">
        <f ca="1">SUM(CF1042*CG1042)</f>
        <v>0</v>
      </c>
      <c r="CF1042" s="17">
        <f>SUM((CC1042+CD1042)*0.00833333333333333)</f>
        <v>0</v>
      </c>
      <c r="CG1042" s="23">
        <f ca="1">MONTH(TODAY())+25</f>
        <v>29</v>
      </c>
      <c r="CH1042" s="14">
        <f ca="1">SUM(CC1042,CD1042,CE1042)</f>
        <v>0</v>
      </c>
      <c r="CI1042" s="14">
        <f>SUM(DU1042*0.0052)</f>
        <v>197.6</v>
      </c>
      <c r="CJ1042" s="14">
        <f>SUM(CI1042*0.1)</f>
        <v>19.760000000000002</v>
      </c>
      <c r="CK1042" s="14">
        <f ca="1">SUM(CL1042*CM1042)</f>
        <v>30.792666666666651</v>
      </c>
      <c r="CL1042" s="17">
        <f>SUM((CI1042+CJ1042)*0.00833333333333333)</f>
        <v>1.8113333333333324</v>
      </c>
      <c r="CM1042" s="23">
        <f ca="1">MONTH(TODAY())+13</f>
        <v>17</v>
      </c>
      <c r="CN1042" s="14">
        <f ca="1">SUM(CI1042,CJ1042,CK1042)</f>
        <v>248.15266666666665</v>
      </c>
      <c r="CO1042" s="14">
        <f>SUM(DU1042*0.0052)/2</f>
        <v>98.8</v>
      </c>
      <c r="CP1042" s="14">
        <f>SUM(CO1042*0.1)</f>
        <v>9.8800000000000008</v>
      </c>
      <c r="CQ1042" s="14">
        <f ca="1">SUM(CR1042*CS1042)</f>
        <v>8.1509999999999962</v>
      </c>
      <c r="CR1042" s="17">
        <f>SUM((CO1042+CP1042)*0.00833333333333333)</f>
        <v>0.90566666666666618</v>
      </c>
      <c r="CS1042" s="23">
        <f ca="1">MONTH(TODAY())+5</f>
        <v>9</v>
      </c>
      <c r="CT1042" s="23">
        <f ca="1">SUM(CO1042,CP1042,CQ1042)</f>
        <v>116.83099999999999</v>
      </c>
      <c r="CU1042" s="14">
        <f>SUM(DU1042*0.0052)/2</f>
        <v>98.8</v>
      </c>
      <c r="CV1042" s="14">
        <f>SUM(CU1042*0.1)</f>
        <v>9.8800000000000008</v>
      </c>
      <c r="CW1042" s="14">
        <f ca="1">SUM(CX1042*CY1042)</f>
        <v>4.5283333333333307</v>
      </c>
      <c r="CX1042" s="17">
        <f>SUM((CU1042+CV1042)*0.00833333333333333)</f>
        <v>0.90566666666666618</v>
      </c>
      <c r="CY1042" s="23">
        <f ca="1">MONTH(TODAY())+1</f>
        <v>5</v>
      </c>
      <c r="CZ1042" s="23">
        <f ca="1">SUM(CU1042,CV1042,CW1042)</f>
        <v>113.20833333333333</v>
      </c>
      <c r="DA1042" s="14">
        <f>SUM( BQ1042, BW1042, CC1042, CI1042, CO1042,CU1042)</f>
        <v>395.2</v>
      </c>
      <c r="DB1042" s="14">
        <f>SUM(BR1042,BX1042,CD1042,CJ1042, CP1042,CV1042)</f>
        <v>39.520000000000003</v>
      </c>
      <c r="DC1042" s="14">
        <f ca="1">SUM(BS1042,BY1042,CE1042,CK1042, CQ1042,CW1042)</f>
        <v>43.471999999999973</v>
      </c>
      <c r="DD1042" s="25">
        <f ca="1">SUM(DA1042:DC1042)</f>
        <v>478.19199999999995</v>
      </c>
      <c r="DE1042" s="47">
        <f ca="1">SUM(DD1042/DU1042)</f>
        <v>1.2583999999999998E-2</v>
      </c>
      <c r="DF1042" s="14">
        <v>20</v>
      </c>
      <c r="DG1042" s="32">
        <f>COUNTIF(DL1042, "*")+COUNTIF(AO1042, "*")+COUNTIF(AJ1042, "*")+COUNTIF(AA1042, "*")+COUNTIF(EM1042, "*")+COUNTIF(ES1042, "*")+COUNTIF(EY1042, "*")+COUNTIF(FC1042, "*")+COUNTIF(FJ1042, "*")+COUNTIF(AT1042, "*")+COUNTIF(FS1042, "*")+COUNTIF(GD1042, "*")+COUNTIF(GO1042, "*")+COUNTIF(GW1042, "*")+COUNTIF(HE1042, "*")+COUNTIF(HM1042, "*")+COUNTIF(HU1042, "*")</f>
        <v>1</v>
      </c>
      <c r="DH1042" s="14">
        <f>DG1042*0.6</f>
        <v>0.6</v>
      </c>
      <c r="DI1042" s="4"/>
      <c r="DJ1042" s="4"/>
      <c r="DK1042" s="4"/>
      <c r="DL1042" s="4"/>
      <c r="DM1042"/>
      <c r="DN1042" s="4"/>
      <c r="DO1042" s="14">
        <f>SUM(DJ1042:DN1042)</f>
        <v>0</v>
      </c>
      <c r="DP1042" s="14">
        <f ca="1">SUM(DD1042,DF1042,DO1042, DI1042, DH1042,FP1042)</f>
        <v>498.79199999999997</v>
      </c>
      <c r="DQ1042" s="24" t="s">
        <v>3879</v>
      </c>
      <c r="DR1042" s="130">
        <v>6.96</v>
      </c>
      <c r="DS1042" s="14">
        <v>32000</v>
      </c>
      <c r="DT1042" s="14">
        <v>6000</v>
      </c>
      <c r="DU1042" s="14">
        <v>38000</v>
      </c>
      <c r="DV1042" s="14">
        <v>34000</v>
      </c>
      <c r="DW1042" s="14">
        <v>6000</v>
      </c>
      <c r="DX1042" s="14">
        <f>SUM(DV1042+DW1042)</f>
        <v>40000</v>
      </c>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s="9"/>
      <c r="IB1042"/>
      <c r="IC1042"/>
      <c r="ID1042"/>
      <c r="IE1042"/>
      <c r="IF1042"/>
      <c r="IG1042"/>
      <c r="IH1042"/>
      <c r="II1042"/>
      <c r="IJ1042"/>
      <c r="IK1042"/>
      <c r="IL1042" s="14">
        <f ca="1">SUM(IB1042-DP1042-FP1042-IJ1042)</f>
        <v>-498.79199999999997</v>
      </c>
      <c r="IM1042" s="9"/>
      <c r="IN1042" s="9"/>
      <c r="IO1042" s="9"/>
      <c r="IP1042" s="9"/>
      <c r="IQ1042" s="9"/>
      <c r="IR1042"/>
      <c r="IS1042"/>
      <c r="IT1042"/>
      <c r="IU1042"/>
      <c r="IV1042"/>
      <c r="IW1042"/>
      <c r="IX1042"/>
      <c r="IY1042"/>
      <c r="IZ1042"/>
      <c r="JA1042"/>
      <c r="JB1042"/>
      <c r="JC1042"/>
    </row>
    <row r="1043" spans="1:263" ht="15" customHeight="1">
      <c r="A1043" s="19">
        <v>102023079</v>
      </c>
      <c r="B1043" s="18" t="s">
        <v>4143</v>
      </c>
      <c r="D1043" s="1"/>
      <c r="E1043" s="3"/>
      <c r="F1043" s="3"/>
      <c r="J1043" s="18" t="s">
        <v>434</v>
      </c>
      <c r="K1043" s="18" t="s">
        <v>3117</v>
      </c>
      <c r="L1043" s="18" t="s">
        <v>996</v>
      </c>
      <c r="M1043" s="18" t="s">
        <v>403</v>
      </c>
      <c r="N1043" s="18"/>
      <c r="O1043" s="24"/>
      <c r="P1043" s="18" t="s">
        <v>4142</v>
      </c>
      <c r="Q1043" s="18" t="s">
        <v>817</v>
      </c>
      <c r="R1043" s="18" t="s">
        <v>354</v>
      </c>
      <c r="S1043" s="18"/>
      <c r="AG1043" s="43"/>
      <c r="AJ1043" s="18" t="s">
        <v>328</v>
      </c>
      <c r="AK1043" s="18"/>
      <c r="AL1043" s="18" t="s">
        <v>279</v>
      </c>
      <c r="AM1043" s="18"/>
      <c r="AN1043" s="18"/>
      <c r="AO1043" s="18" t="s">
        <v>4141</v>
      </c>
      <c r="AP1043" s="18" t="s">
        <v>258</v>
      </c>
      <c r="AQ1043" s="18" t="s">
        <v>279</v>
      </c>
      <c r="AR1043" s="18" t="s">
        <v>260</v>
      </c>
      <c r="AX1043" s="1"/>
      <c r="AY1043" s="1"/>
      <c r="AZ1043" s="1"/>
      <c r="BA1043" s="1"/>
      <c r="BB1043" s="1"/>
      <c r="BC1043" s="2"/>
      <c r="BD1043" s="116"/>
      <c r="BE1043" s="115"/>
      <c r="BF1043" s="2"/>
      <c r="BG1043" s="2"/>
      <c r="BH1043" s="2"/>
      <c r="BI1043" s="2"/>
      <c r="BJ1043" s="2"/>
      <c r="BK1043" s="2"/>
      <c r="BL1043" s="20">
        <f ca="1">SUM(EB1043)+220</f>
        <v>544.43404166666664</v>
      </c>
      <c r="BM1043" s="22">
        <f ca="1">PMT(10%/12,12,BL1043,0,0)</f>
        <v>-47.864401811345012</v>
      </c>
      <c r="BN1043" s="22">
        <f ca="1">SUM(BM1043*-1)</f>
        <v>47.864401811345012</v>
      </c>
      <c r="BO1043" s="14">
        <f>SUM(EJ1043*0.0052)/12</f>
        <v>14.04</v>
      </c>
      <c r="BP1043" s="22">
        <f ca="1">SUM(BN1043+BO1043)</f>
        <v>61.904401811345011</v>
      </c>
      <c r="BQ1043" s="14"/>
      <c r="BR1043" s="14">
        <f>SUM(BQ1043*0.1)</f>
        <v>0</v>
      </c>
      <c r="BS1043" s="14">
        <f ca="1">SUM(BT1043*BU1043)</f>
        <v>0</v>
      </c>
      <c r="BT1043" s="17">
        <f>SUM((BQ1043+BR1043)*0.00833333333333333)</f>
        <v>0</v>
      </c>
      <c r="BU1043" s="23">
        <f ca="1">MONTH(TODAY())+49</f>
        <v>53</v>
      </c>
      <c r="BV1043" s="14">
        <f ca="1">SUM(BQ1043,BR1043,BS1043)</f>
        <v>0</v>
      </c>
      <c r="BW1043" s="14"/>
      <c r="BX1043" s="14">
        <f>SUM(BW1043*0.1)</f>
        <v>0</v>
      </c>
      <c r="BY1043" s="14">
        <f ca="1">SUM(BZ1043*CA1043)</f>
        <v>0</v>
      </c>
      <c r="BZ1043" s="17">
        <f>SUM((BW1043+BX1043)*0.00833333333333333)</f>
        <v>0</v>
      </c>
      <c r="CA1043" s="23">
        <f ca="1">MONTH(TODAY())+37</f>
        <v>41</v>
      </c>
      <c r="CB1043" s="14">
        <f ca="1">SUM(BW1043,BX1043,BY1043)</f>
        <v>0</v>
      </c>
      <c r="CC1043" s="14">
        <v>0</v>
      </c>
      <c r="CD1043" s="14">
        <f>SUM(CC1043*0.1)</f>
        <v>0</v>
      </c>
      <c r="CE1043" s="14">
        <f ca="1">SUM(CF1043*CG1043)</f>
        <v>0</v>
      </c>
      <c r="CF1043" s="17">
        <f>SUM((CC1043+CD1043)*0.00833333333333333)</f>
        <v>0</v>
      </c>
      <c r="CG1043" s="23">
        <f ca="1">MONTH(TODAY())+25</f>
        <v>29</v>
      </c>
      <c r="CH1043" s="14">
        <f ca="1">SUM(CC1043,CD1043,CE1043)</f>
        <v>0</v>
      </c>
      <c r="CI1043" s="14">
        <f>SUM(EG1043*0.0052)-121.21</f>
        <v>36.86999999999999</v>
      </c>
      <c r="CJ1043" s="14">
        <f>SUM(CI1043*0.1)</f>
        <v>3.6869999999999994</v>
      </c>
      <c r="CK1043" s="14">
        <f ca="1">SUM(CL1043*CM1043)</f>
        <v>5.7455749999999961</v>
      </c>
      <c r="CL1043" s="17">
        <f>SUM((CI1043+CJ1043)*0.00833333333333333)</f>
        <v>0.33797499999999975</v>
      </c>
      <c r="CM1043" s="23">
        <f ca="1">MONTH(TODAY())+13</f>
        <v>17</v>
      </c>
      <c r="CN1043" s="14">
        <f ca="1">SUM(CI1043,CJ1043,CK1043)</f>
        <v>46.302574999999983</v>
      </c>
      <c r="CO1043" s="14">
        <f>SUM(EG1043*0.0052)/2</f>
        <v>79.039999999999992</v>
      </c>
      <c r="CP1043" s="14">
        <f>SUM(CO1043*0.1)</f>
        <v>7.9039999999999999</v>
      </c>
      <c r="CQ1043" s="14">
        <f ca="1">SUM(CR1043*CS1043)</f>
        <v>6.5207999999999959</v>
      </c>
      <c r="CR1043" s="17">
        <f>SUM((CO1043+CP1043)*0.00833333333333333)</f>
        <v>0.72453333333333292</v>
      </c>
      <c r="CS1043" s="23">
        <f ca="1">MONTH(TODAY())+5</f>
        <v>9</v>
      </c>
      <c r="CT1043" s="23">
        <f ca="1">SUM(CO1043,CP1043,CQ1043)</f>
        <v>93.464799999999983</v>
      </c>
      <c r="CU1043" s="14">
        <f>SUM(EG1043*0.0052)/2</f>
        <v>79.039999999999992</v>
      </c>
      <c r="CV1043" s="14">
        <f>SUM(CU1043*0.1)</f>
        <v>7.9039999999999999</v>
      </c>
      <c r="CW1043" s="14">
        <f ca="1">SUM(CX1043*CY1043)</f>
        <v>3.6226666666666647</v>
      </c>
      <c r="CX1043" s="17">
        <f>SUM((CU1043+CV1043)*0.00833333333333333)</f>
        <v>0.72453333333333292</v>
      </c>
      <c r="CY1043" s="23">
        <f ca="1">MONTH(TODAY())+1</f>
        <v>5</v>
      </c>
      <c r="CZ1043" s="23">
        <f ca="1">SUM(CU1043,CV1043,CW1043)</f>
        <v>90.566666666666649</v>
      </c>
      <c r="DA1043" s="14">
        <f>SUM(EJ1043*0.0045)/2</f>
        <v>72.899999999999991</v>
      </c>
      <c r="DB1043" s="14">
        <v>0</v>
      </c>
      <c r="DC1043" s="14">
        <v>0</v>
      </c>
      <c r="DD1043" s="17">
        <f>SUM((DA1043+DB1043)*0.00833333333333333)</f>
        <v>0.60749999999999971</v>
      </c>
      <c r="DE1043" s="23">
        <f ca="1">MONTH(TODAY())-5</f>
        <v>-1</v>
      </c>
      <c r="DF1043" s="23">
        <f>SUM(DA1043,DB1043,DC1043)</f>
        <v>72.899999999999991</v>
      </c>
      <c r="DG1043" s="14">
        <v>0</v>
      </c>
      <c r="DH1043" s="14">
        <v>0</v>
      </c>
      <c r="DI1043" s="14">
        <v>0</v>
      </c>
      <c r="DJ1043" s="17">
        <f>SUM((DG1043+DH1043)*0.00833333333333333)</f>
        <v>0</v>
      </c>
      <c r="DK1043" s="23">
        <f ca="1">MONTH(TODAY())+1</f>
        <v>5</v>
      </c>
      <c r="DL1043" s="23">
        <f>SUM(DG1043,DH1043,DI1043)</f>
        <v>0</v>
      </c>
      <c r="DM1043" s="14">
        <f>SUM( BQ1043, BW1043, CC1043, CI1043, CO1043,CU1043,DA1043,DG1043)</f>
        <v>267.84999999999997</v>
      </c>
      <c r="DN1043" s="14">
        <f>SUM(BR1043,BX1043,CD1043,CJ1043, CP1043,CV1043,DB1043,DH1043)</f>
        <v>19.494999999999997</v>
      </c>
      <c r="DO1043" s="14">
        <f ca="1">SUM(BS1043,BY1043,CE1043,CK1043, CQ1043,CW1043,DC1043,DI1043)</f>
        <v>15.889041666666657</v>
      </c>
      <c r="DP1043" s="25">
        <f ca="1">SUM(DM1043:DO1043)</f>
        <v>303.2340416666666</v>
      </c>
      <c r="DQ1043" s="47">
        <f ca="1">SUM(DP1043/EG1043)</f>
        <v>9.9748040021929805E-3</v>
      </c>
      <c r="DR1043" s="14">
        <v>20</v>
      </c>
      <c r="DS1043" s="32">
        <f>COUNTIF(DX1043, "*")+COUNTIF(AO1043, "*")+COUNTIF(AJ1043, "*")+COUNTIF(AA1043, "*")+COUNTIF(EY1043, "*")+COUNTIF(FE1043, "*")+COUNTIF(FK1043, "*")+COUNTIF(FO1043, "*")+COUNTIF(FV1043, "*")+COUNTIF(AT1043, "*")+COUNTIF(GE1043, "*")+COUNTIF(GP1043, "*")+COUNTIF(HA1043, "*")+COUNTIF(HI1043, "*")+COUNTIF(HQ1043, "*")+COUNTIF(HY1043, "*")+COUNTIF(IG1043, "*")</f>
        <v>2</v>
      </c>
      <c r="DT1043" s="14">
        <f>DS1043*0.6</f>
        <v>1.2</v>
      </c>
      <c r="DU1043" s="4"/>
      <c r="DV1043" s="4"/>
      <c r="DW1043" s="4"/>
      <c r="DX1043" s="4"/>
      <c r="DZ1043" s="4"/>
      <c r="EA1043" s="14">
        <f>SUM(DV1043:DZ1043)</f>
        <v>0</v>
      </c>
      <c r="EB1043" s="14">
        <f ca="1">SUM(DP1043,DR1043,EA1043, DU1043, DT1043,GB1043)</f>
        <v>324.43404166666659</v>
      </c>
      <c r="EC1043" s="24" t="s">
        <v>3879</v>
      </c>
      <c r="ED1043" s="130">
        <v>4.5</v>
      </c>
      <c r="EE1043" s="14">
        <v>30100</v>
      </c>
      <c r="EF1043" s="14">
        <v>300</v>
      </c>
      <c r="EG1043" s="14">
        <v>30400</v>
      </c>
      <c r="EH1043" s="14">
        <v>32100</v>
      </c>
      <c r="EI1043" s="14">
        <v>300</v>
      </c>
      <c r="EJ1043" s="14">
        <f>SUM(EH1043+EI1043)</f>
        <v>32400</v>
      </c>
      <c r="IM1043" s="9"/>
      <c r="IX1043" s="14">
        <f ca="1">SUM(IN1043-EB1043-GB1043-IV1043)</f>
        <v>-324.43404166666659</v>
      </c>
      <c r="IY1043" s="9"/>
      <c r="IZ1043" s="9"/>
      <c r="JA1043" s="9"/>
      <c r="JB1043" s="9"/>
      <c r="JC1043" s="9"/>
    </row>
    <row r="1044" spans="1:263" s="200" customFormat="1" ht="15" customHeight="1">
      <c r="A1044" s="19">
        <v>102021047</v>
      </c>
      <c r="B1044" s="18" t="s">
        <v>2059</v>
      </c>
      <c r="C1044" s="18"/>
      <c r="D1044" s="13"/>
      <c r="E1044" s="24"/>
      <c r="F1044" s="24"/>
      <c r="G1044" s="18">
        <v>210001164</v>
      </c>
      <c r="H1044" s="18"/>
      <c r="I1044" s="18"/>
      <c r="J1044" s="18" t="s">
        <v>434</v>
      </c>
      <c r="K1044" s="18" t="s">
        <v>2060</v>
      </c>
      <c r="L1044" s="18" t="s">
        <v>1392</v>
      </c>
      <c r="M1044" s="18" t="s">
        <v>396</v>
      </c>
      <c r="N1044" s="18" t="s">
        <v>470</v>
      </c>
      <c r="O1044" s="18"/>
      <c r="P1044" s="18" t="s">
        <v>2061</v>
      </c>
      <c r="Q1044" s="18" t="s">
        <v>2062</v>
      </c>
      <c r="R1044" s="18" t="s">
        <v>256</v>
      </c>
      <c r="S1044" s="18"/>
      <c r="T1044" s="18"/>
      <c r="U1044" s="18"/>
      <c r="V1044" s="18"/>
      <c r="W1044" s="18"/>
      <c r="X1044" s="18"/>
      <c r="Y1044" s="18"/>
      <c r="Z1044" s="18"/>
      <c r="AA1044" s="18"/>
      <c r="AB1044" s="18"/>
      <c r="AC1044" s="18"/>
      <c r="AD1044" s="18" t="s">
        <v>2212</v>
      </c>
      <c r="AE1044" s="18" t="s">
        <v>253</v>
      </c>
      <c r="AF1044" s="18" t="s">
        <v>2061</v>
      </c>
      <c r="AG1044" s="26" t="s">
        <v>2213</v>
      </c>
      <c r="AH1044" s="18" t="s">
        <v>2214</v>
      </c>
      <c r="AI1044" s="18" t="s">
        <v>600</v>
      </c>
      <c r="AJ1044" s="18" t="s">
        <v>2171</v>
      </c>
      <c r="AK1044" s="18" t="s">
        <v>258</v>
      </c>
      <c r="AL1044" s="18" t="s">
        <v>600</v>
      </c>
      <c r="AM1044" s="18" t="s">
        <v>260</v>
      </c>
      <c r="AN1044" s="18"/>
      <c r="AO1044" s="24" t="s">
        <v>2172</v>
      </c>
      <c r="AP1044" s="24" t="s">
        <v>258</v>
      </c>
      <c r="AQ1044" s="18" t="s">
        <v>600</v>
      </c>
      <c r="AR1044" s="18" t="s">
        <v>260</v>
      </c>
      <c r="AS1044" s="13"/>
      <c r="AT1044" s="13"/>
      <c r="AU1044" s="13"/>
      <c r="AV1044" s="13"/>
      <c r="AW1044" s="13"/>
      <c r="AX1044" s="19"/>
      <c r="AY1044" s="117"/>
      <c r="AZ1044" s="114"/>
      <c r="BA1044" s="19"/>
      <c r="BB1044" s="19"/>
      <c r="BC1044" s="19"/>
      <c r="BD1044" s="19"/>
      <c r="BE1044" s="19"/>
      <c r="BF1044" s="19"/>
      <c r="BG1044" s="20">
        <f ca="1">SUM(CY1044)+214.5</f>
        <v>1737.9809</v>
      </c>
      <c r="BH1044" s="22">
        <f ca="1">PMT(10%/12,12,BG1044,0,0)</f>
        <v>-152.79613281231059</v>
      </c>
      <c r="BI1044" s="22">
        <f ca="1">SUM(BH1044*-1)</f>
        <v>152.79613281231059</v>
      </c>
      <c r="BJ1044" s="14">
        <f>SUM(DI1044*0.0052)/12</f>
        <v>25.349999999999998</v>
      </c>
      <c r="BK1044" s="22">
        <f ca="1">SUM(BI1044+BJ1044)</f>
        <v>178.14613281231058</v>
      </c>
      <c r="BL1044" s="14"/>
      <c r="BM1044" s="14">
        <f>SUM(BL1044*0.1)</f>
        <v>0</v>
      </c>
      <c r="BN1044" s="14">
        <f ca="1">SUM(BO1044*BP1044)</f>
        <v>0</v>
      </c>
      <c r="BO1044" s="17">
        <f>SUM((BL1044+BM1044)*0.00833333333333333)</f>
        <v>0</v>
      </c>
      <c r="BP1044" s="23">
        <f ca="1">MONTH(TODAY())+49</f>
        <v>53</v>
      </c>
      <c r="BQ1044" s="14">
        <f ca="1">SUM(BL1044,BM1044,BN1044)</f>
        <v>0</v>
      </c>
      <c r="BR1044" s="14">
        <v>83.28</v>
      </c>
      <c r="BS1044" s="14">
        <f>SUM(BR1044*0.1)</f>
        <v>8.3280000000000012</v>
      </c>
      <c r="BT1044" s="14">
        <f ca="1">SUM(BU1044*BV1044)</f>
        <v>31.299399999999988</v>
      </c>
      <c r="BU1044" s="17">
        <f>SUM((BR1044+BS1044)*0.00833333333333333)</f>
        <v>0.76339999999999975</v>
      </c>
      <c r="BV1044" s="23">
        <f ca="1">MONTH(TODAY())+37</f>
        <v>41</v>
      </c>
      <c r="BW1044" s="14">
        <f ca="1">SUM(BR1044,BS1044,BT1044)</f>
        <v>122.9074</v>
      </c>
      <c r="BX1044" s="14">
        <f>SUM(DI1044*0.0052)</f>
        <v>304.2</v>
      </c>
      <c r="BY1044" s="14">
        <f>SUM(BX1044*0.1)</f>
        <v>30.42</v>
      </c>
      <c r="BZ1044" s="14">
        <f ca="1">SUM(CA1044*CB1044)</f>
        <v>80.866499999999959</v>
      </c>
      <c r="CA1044" s="17">
        <f>SUM((BX1044+BY1044)*0.00833333333333333)</f>
        <v>2.7884999999999986</v>
      </c>
      <c r="CB1044" s="23">
        <f ca="1">MONTH(TODAY())+25</f>
        <v>29</v>
      </c>
      <c r="CC1044" s="14">
        <f ca="1">SUM(BX1044,BY1044,BZ1044)</f>
        <v>415.48649999999998</v>
      </c>
      <c r="CD1044" s="14">
        <f>SUM(DI1044*0.0052)</f>
        <v>304.2</v>
      </c>
      <c r="CE1044" s="14">
        <f>SUM(CD1044*0.1)</f>
        <v>30.42</v>
      </c>
      <c r="CF1044" s="14">
        <f ca="1">SUM(CG1044*CH1044)</f>
        <v>47.404499999999977</v>
      </c>
      <c r="CG1044" s="17">
        <f>SUM((CD1044+CE1044)*0.00833333333333333)</f>
        <v>2.7884999999999986</v>
      </c>
      <c r="CH1044" s="23">
        <f ca="1">MONTH(TODAY())+13</f>
        <v>17</v>
      </c>
      <c r="CI1044" s="14">
        <f ca="1">SUM(CD1044,CE1044,CF1044)</f>
        <v>382.02449999999999</v>
      </c>
      <c r="CJ1044" s="14">
        <f>SUM(DI1044*0.0052)</f>
        <v>304.2</v>
      </c>
      <c r="CK1044" s="14">
        <f>SUM(CJ1044*0.1)</f>
        <v>30.42</v>
      </c>
      <c r="CL1044" s="14">
        <f ca="1">SUM(CM1044*CN1044)</f>
        <v>13.942499999999994</v>
      </c>
      <c r="CM1044" s="17">
        <f>SUM((CJ1044+CK1044)*0.00833333333333333)</f>
        <v>2.7884999999999986</v>
      </c>
      <c r="CN1044" s="23">
        <f ca="1">MONTH(TODAY())+1</f>
        <v>5</v>
      </c>
      <c r="CO1044" s="14">
        <f ca="1">SUM(CJ1044,CK1044,CL1044)</f>
        <v>348.5625</v>
      </c>
      <c r="CP1044" s="14">
        <f>SUM(BL1044, BR1044,BX1044,CD1044,CJ1044)</f>
        <v>995.88000000000011</v>
      </c>
      <c r="CQ1044" s="14">
        <f>SUM(BM1044, BS1044,BY1044,CE1044,CK1044)</f>
        <v>99.588000000000008</v>
      </c>
      <c r="CR1044" s="14">
        <f ca="1">SUM(BN1044, BT1044,BZ1044,CF1044,CL1044)</f>
        <v>173.51289999999992</v>
      </c>
      <c r="CS1044" s="14">
        <f ca="1">SUM(CP1044:CR1044)</f>
        <v>1268.9809</v>
      </c>
      <c r="CT1044" s="47">
        <f ca="1">SUM(CS1044/DI1044)</f>
        <v>2.1691981196581198E-2</v>
      </c>
      <c r="CU1044" s="14">
        <f>39+58.5+156</f>
        <v>253.5</v>
      </c>
      <c r="CV1044" s="32">
        <f>COUNTIF(DB1044, "*")+COUNTIF(AO1044, "*")+COUNTIF(AJ1044, "*")+COUNTIF(AA1044, "*")+COUNTIF(DY1044, "*")+COUNTIF(EE1044, "*")+COUNTIF(EK1044, "*")+COUNTIF(EO1044, "*")+COUNTIF(EV1044, "*")+COUNTIF(FC1044, "*")+COUNTIF(FJ1044, "*")+COUNTIF(FU1044, "*")+COUNTIF(GF1044, "*")+COUNTIF(GN1044, "*")+COUNTIF(GV1044, "*")+COUNTIF(HD1044, "*")+COUNTIF(HL1044, "*")</f>
        <v>2</v>
      </c>
      <c r="CW1044" s="14">
        <f>CV1044*0.5</f>
        <v>1</v>
      </c>
      <c r="CX1044" s="14"/>
      <c r="CY1044" s="14">
        <f ca="1">SUM(CS1044,CU1044,DE1044, CX1044, CW1044,FG1044)</f>
        <v>1523.4809</v>
      </c>
      <c r="CZ1044" s="14"/>
      <c r="DA1044" s="14"/>
      <c r="DB1044" s="14"/>
      <c r="DC1044" s="23"/>
      <c r="DD1044" s="25"/>
      <c r="DE1044" s="14">
        <f>SUM(CZ1044:DD1044)</f>
        <v>0</v>
      </c>
      <c r="DF1044" s="24" t="s">
        <v>2769</v>
      </c>
      <c r="DG1044" s="25">
        <v>20400</v>
      </c>
      <c r="DH1044" s="25">
        <v>38100</v>
      </c>
      <c r="DI1044" s="25">
        <f>SUM(DG1044+DH1044)</f>
        <v>58500</v>
      </c>
      <c r="DJ1044" s="36">
        <v>1.02</v>
      </c>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4"/>
      <c r="ID1044" s="18"/>
      <c r="IE1044" s="18"/>
      <c r="IF1044" s="18"/>
      <c r="IG1044" s="18"/>
      <c r="IH1044" s="18"/>
      <c r="II1044"/>
      <c r="IJ1044"/>
      <c r="IK1044"/>
      <c r="IL1044" s="18"/>
      <c r="IM1044" s="18"/>
      <c r="IN1044" s="14"/>
      <c r="IO1044" s="14"/>
      <c r="IP1044" s="27">
        <v>44333</v>
      </c>
      <c r="IQ1044" s="18"/>
      <c r="IR1044" s="18"/>
      <c r="IS1044" s="18"/>
      <c r="IT1044" s="18"/>
      <c r="IU1044"/>
      <c r="IV1044"/>
      <c r="IW1044"/>
      <c r="IX1044"/>
      <c r="IY1044"/>
      <c r="IZ1044" s="240"/>
      <c r="JA1044" s="240"/>
      <c r="JB1044" s="240"/>
      <c r="JC1044" s="240"/>
    </row>
    <row r="1045" spans="1:263" s="127" customFormat="1" ht="15" customHeight="1">
      <c r="A1045" s="2">
        <v>102024182</v>
      </c>
      <c r="B1045" t="s">
        <v>5585</v>
      </c>
      <c r="C1045"/>
      <c r="D1045" s="1"/>
      <c r="E1045" s="3"/>
      <c r="F1045"/>
      <c r="G1045" s="3"/>
      <c r="H1045"/>
      <c r="I1045"/>
      <c r="J1045" t="s">
        <v>554</v>
      </c>
      <c r="K1045" t="s">
        <v>4504</v>
      </c>
      <c r="L1045" t="s">
        <v>5586</v>
      </c>
      <c r="M1045" t="s">
        <v>428</v>
      </c>
      <c r="N1045"/>
      <c r="O1045" s="3"/>
      <c r="P1045" t="s">
        <v>4504</v>
      </c>
      <c r="Q1045" t="s">
        <v>992</v>
      </c>
      <c r="R1045"/>
      <c r="S1045"/>
      <c r="T1045"/>
      <c r="U1045"/>
      <c r="V1045"/>
      <c r="W1045"/>
      <c r="X1045"/>
      <c r="Y1045"/>
      <c r="Z1045"/>
      <c r="AA1045"/>
      <c r="AB1045"/>
      <c r="AC1045"/>
      <c r="AD1045"/>
      <c r="AE1045"/>
      <c r="AF1045"/>
      <c r="AG1045" s="43"/>
      <c r="AH1045"/>
      <c r="AI1045"/>
      <c r="AJ1045" s="18" t="s">
        <v>328</v>
      </c>
      <c r="AK1045" s="1"/>
      <c r="AL1045" t="s">
        <v>600</v>
      </c>
      <c r="AM1045"/>
      <c r="AN1045"/>
      <c r="AO1045" t="s">
        <v>5587</v>
      </c>
      <c r="AP1045" s="1" t="s">
        <v>258</v>
      </c>
      <c r="AQ1045" s="18" t="s">
        <v>5728</v>
      </c>
      <c r="AR1045" t="s">
        <v>4831</v>
      </c>
      <c r="AS1045" s="10"/>
      <c r="AT1045" s="10"/>
      <c r="AU1045" s="10"/>
      <c r="AV1045" s="10"/>
      <c r="AW1045" s="10"/>
      <c r="AX1045" s="1"/>
      <c r="AY1045" s="1"/>
      <c r="AZ1045" s="1"/>
      <c r="BA1045" s="1"/>
      <c r="BB1045" s="1"/>
      <c r="BC1045" s="2"/>
      <c r="BD1045" s="115">
        <v>45415</v>
      </c>
      <c r="BE1045" s="144">
        <v>45433</v>
      </c>
      <c r="BF1045" s="2"/>
      <c r="BG1045" s="2"/>
      <c r="BH1045" s="2"/>
      <c r="BI1045" s="2"/>
      <c r="BJ1045" s="2"/>
      <c r="BK1045" s="2"/>
      <c r="BL1045" s="20">
        <f ca="1">SUM(EH1045)+220</f>
        <v>1089.2831999999999</v>
      </c>
      <c r="BM1045" s="22">
        <f ca="1">PMT(10%/12,12,BL1045,0,0)</f>
        <v>-95.765298972743977</v>
      </c>
      <c r="BN1045" s="22">
        <f ca="1">SUM(BM1045*-1)</f>
        <v>95.765298972743977</v>
      </c>
      <c r="BO1045" s="14">
        <f>SUM(EP1045*0.0052)/12</f>
        <v>14.646666666666667</v>
      </c>
      <c r="BP1045" s="22">
        <f ca="1">SUM(BN1045+BO1045)</f>
        <v>110.41196563941064</v>
      </c>
      <c r="BQ1045" s="14"/>
      <c r="BR1045" s="14">
        <f>SUM(BQ1045*0.1)</f>
        <v>0</v>
      </c>
      <c r="BS1045" s="14">
        <f ca="1">SUM(BT1045*BU1045)</f>
        <v>0</v>
      </c>
      <c r="BT1045" s="17">
        <f>SUM((BQ1045+BR1045)*0.00833333333333333)</f>
        <v>0</v>
      </c>
      <c r="BU1045" s="23">
        <f ca="1">MONTH(TODAY())+49</f>
        <v>53</v>
      </c>
      <c r="BV1045" s="14">
        <f ca="1">SUM(BQ1045,BR1045,BS1045)</f>
        <v>0</v>
      </c>
      <c r="BW1045" s="14">
        <v>0</v>
      </c>
      <c r="BX1045" s="14">
        <f>SUM(BW1045*0.1)</f>
        <v>0</v>
      </c>
      <c r="BY1045" s="14">
        <f ca="1">SUM(BZ1045*CA1045)</f>
        <v>0</v>
      </c>
      <c r="BZ1045" s="17">
        <f>SUM((BW1045+BX1045)*0.00833333333333333)</f>
        <v>0</v>
      </c>
      <c r="CA1045" s="23">
        <f ca="1">MONTH(TODAY())+37</f>
        <v>41</v>
      </c>
      <c r="CB1045" s="14">
        <f ca="1">SUM(BW1045,BX1045,BY1045)</f>
        <v>0</v>
      </c>
      <c r="CC1045" s="14">
        <v>0</v>
      </c>
      <c r="CD1045" s="14">
        <f>SUM(CC1045*0.1)</f>
        <v>0</v>
      </c>
      <c r="CE1045" s="14">
        <f ca="1">SUM(CF1045*CG1045)</f>
        <v>0</v>
      </c>
      <c r="CF1045" s="17">
        <f>SUM((CC1045+CD1045)*0.00833333333333333)</f>
        <v>0</v>
      </c>
      <c r="CG1045" s="23">
        <f ca="1">MONTH(TODAY())+25</f>
        <v>29</v>
      </c>
      <c r="CH1045" s="14">
        <f ca="1">SUM(CC1045,CD1045,CE1045)</f>
        <v>0</v>
      </c>
      <c r="CI1045" s="14">
        <f>SUM(EM1045*0.0052)/2</f>
        <v>74.88</v>
      </c>
      <c r="CJ1045" s="14">
        <f>SUM(CI1045*0.1)</f>
        <v>7.4879999999999995</v>
      </c>
      <c r="CK1045" s="14">
        <f ca="1">SUM(CL1045*CM1045)</f>
        <v>14.414399999999993</v>
      </c>
      <c r="CL1045" s="17">
        <f>SUM((CI1045+CJ1045)*0.00833333333333333)</f>
        <v>0.68639999999999968</v>
      </c>
      <c r="CM1045" s="23">
        <f ca="1">MONTH(TODAY())+17</f>
        <v>21</v>
      </c>
      <c r="CN1045" s="23">
        <f ca="1">SUM(CI1045,CJ1045,CK1045)</f>
        <v>96.782399999999996</v>
      </c>
      <c r="CO1045" s="14">
        <f>SUM(EM1045*0.0052)/2</f>
        <v>74.88</v>
      </c>
      <c r="CP1045" s="14">
        <f>SUM(CO1045*0.1)</f>
        <v>7.4879999999999995</v>
      </c>
      <c r="CQ1045" s="14">
        <f ca="1">SUM(CR1045*CS1045)</f>
        <v>11.668799999999994</v>
      </c>
      <c r="CR1045" s="17">
        <f>SUM((CO1045+CP1045)*0.00833333333333333)</f>
        <v>0.68639999999999968</v>
      </c>
      <c r="CS1045" s="23">
        <f ca="1">MONTH(TODAY())+13</f>
        <v>17</v>
      </c>
      <c r="CT1045" s="23">
        <f ca="1">SUM(CO1045,CP1045,CQ1045)</f>
        <v>94.036799999999985</v>
      </c>
      <c r="CU1045" s="14">
        <f>SUM(EP1045*0.0045)/2</f>
        <v>76.05</v>
      </c>
      <c r="CV1045" s="14">
        <f>SUM(CU1045*0.1)</f>
        <v>7.6050000000000004</v>
      </c>
      <c r="CW1045" s="14">
        <f ca="1">SUM(CX1045*CY1045)</f>
        <v>7.6683749999999966</v>
      </c>
      <c r="CX1045" s="17">
        <f>SUM((CU1045+CV1045)*0.00833333333333333)</f>
        <v>0.69712499999999966</v>
      </c>
      <c r="CY1045" s="23">
        <f ca="1">MONTH(TODAY())+7</f>
        <v>11</v>
      </c>
      <c r="CZ1045" s="23">
        <f ca="1">SUM(CU1045,CV1045,CW1045)</f>
        <v>91.323374999999999</v>
      </c>
      <c r="DA1045" s="14">
        <f>SUM(EP1045*0.0045)/2</f>
        <v>76.05</v>
      </c>
      <c r="DB1045" s="14">
        <f>SUM(DA1045*0.1)</f>
        <v>7.6050000000000004</v>
      </c>
      <c r="DC1045" s="14">
        <f ca="1">SUM(DD1045*DE1045)</f>
        <v>3.4856249999999984</v>
      </c>
      <c r="DD1045" s="17">
        <f>SUM((DA1045+DB1045)*0.00833333333333333)</f>
        <v>0.69712499999999966</v>
      </c>
      <c r="DE1045" s="23">
        <f ca="1">MONTH(TODAY())+1</f>
        <v>5</v>
      </c>
      <c r="DF1045" s="14">
        <f ca="1">SUM(DA1045,DB1045,DC1045)</f>
        <v>87.140625</v>
      </c>
      <c r="DG1045" s="14">
        <f>SUM(EP1045*0.0045)/2</f>
        <v>76.05</v>
      </c>
      <c r="DH1045" s="14">
        <f>0</f>
        <v>0</v>
      </c>
      <c r="DI1045" s="14">
        <f>0</f>
        <v>0</v>
      </c>
      <c r="DJ1045" s="17">
        <f>SUM((DG1045+DH1045)*0.00833333333333333)</f>
        <v>0.6337499999999997</v>
      </c>
      <c r="DK1045" s="23">
        <f ca="1">MONTH(TODAY())+7</f>
        <v>11</v>
      </c>
      <c r="DL1045" s="23">
        <f>SUM(DG1045,DH1045,DI1045)</f>
        <v>76.05</v>
      </c>
      <c r="DM1045" s="14">
        <f>0</f>
        <v>0</v>
      </c>
      <c r="DN1045" s="14">
        <f>0</f>
        <v>0</v>
      </c>
      <c r="DO1045" s="14">
        <f ca="1">SUM(DP1045*DQ1045)</f>
        <v>0</v>
      </c>
      <c r="DP1045" s="17">
        <f>SUM((DM1045+DN1045)*0.00833333333333333)</f>
        <v>0</v>
      </c>
      <c r="DQ1045" s="23">
        <f ca="1">MONTH(TODAY())+1</f>
        <v>5</v>
      </c>
      <c r="DR1045" s="14">
        <f ca="1">SUM(DM1045,DN1045,DO1045)</f>
        <v>0</v>
      </c>
      <c r="DS1045" s="14">
        <f>SUM(BQ1045, BW1045, CC1045, CI1045,CO1045,CU1045,DA1045,DG1045,DM1045)</f>
        <v>377.91</v>
      </c>
      <c r="DT1045" s="14">
        <f>SUM(BR1045,BX1045,CD1045, CJ1045,CP1045,CV1045,DB1045,DH1045,DN1045)</f>
        <v>30.186</v>
      </c>
      <c r="DU1045" s="14">
        <f ca="1">SUM(BS1045,BY1045,CE1045, CK1045,CQ1045,CW1045,DC1045,DI1045,DO1045)</f>
        <v>37.23719999999998</v>
      </c>
      <c r="DV1045" s="25">
        <f ca="1">SUM(DS1045:DU1045)</f>
        <v>445.33319999999998</v>
      </c>
      <c r="DW1045" s="47">
        <f ca="1">SUM(DV1045/EM1045)</f>
        <v>1.5462958333333332E-2</v>
      </c>
      <c r="DX1045" s="14">
        <f>20+10+200</f>
        <v>230</v>
      </c>
      <c r="DY1045" s="32">
        <f>COUNTIF(AO1045, "*")+COUNTIF(AJ1045, "*")+COUNTIF(AA1045, "*")+COUNTIF(FA1045, "*")+COUNTIF(FG1045, "*")+COUNTIF(FM1045, "*")+COUNTIF(FQ1045, "*")+COUNTIF(FX1045, "*")+COUNTIF(AT1045, "*")+COUNTIF(GG1045, "*")+COUNTIF(GR1045, "*")+COUNTIF(HC1045, "*")+COUNTIF(HK1045, "*")+COUNTIF(HS1045, "*")+COUNTIF(IA1045, "*")</f>
        <v>2</v>
      </c>
      <c r="DZ1045" s="14">
        <f>1.28+DY1045*8</f>
        <v>17.28</v>
      </c>
      <c r="EA1045" s="4">
        <v>150</v>
      </c>
      <c r="EB1045" s="4">
        <v>26.67</v>
      </c>
      <c r="EC1045" s="4"/>
      <c r="ED1045" s="4"/>
      <c r="EE1045"/>
      <c r="EF1045" s="4"/>
      <c r="EG1045" s="14">
        <f>SUM(EB1045:EF1045)</f>
        <v>26.67</v>
      </c>
      <c r="EH1045" s="14">
        <f ca="1">SUM(DV1045,DX1045,EG1045, EA1045, DZ1045,GD1045)</f>
        <v>869.28319999999997</v>
      </c>
      <c r="EI1045" s="24" t="s">
        <v>4935</v>
      </c>
      <c r="EJ1045" s="23">
        <v>4.4000000000000004</v>
      </c>
      <c r="EK1045" s="14">
        <v>28800</v>
      </c>
      <c r="EL1045" s="14">
        <v>0</v>
      </c>
      <c r="EM1045" s="14">
        <f>SUM(EK1045+EL1045)</f>
        <v>28800</v>
      </c>
      <c r="EN1045" s="14">
        <v>33800</v>
      </c>
      <c r="EO1045" s="14">
        <v>0</v>
      </c>
      <c r="EP1045" s="14">
        <f>SUM(EN1045+EO1045)</f>
        <v>33800</v>
      </c>
      <c r="EQ1045" s="10" t="s">
        <v>5725</v>
      </c>
      <c r="ER1045" s="10" t="s">
        <v>5726</v>
      </c>
      <c r="ES1045" s="10" t="s">
        <v>5727</v>
      </c>
      <c r="ET1045" s="10"/>
      <c r="EU1045" s="10"/>
      <c r="EV1045" s="10"/>
      <c r="EW1045" s="10"/>
      <c r="EX1045" s="10"/>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s="4"/>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s="9"/>
      <c r="IF1045"/>
      <c r="IG1045"/>
      <c r="IH1045"/>
      <c r="II1045"/>
      <c r="IJ1045"/>
      <c r="IK1045"/>
      <c r="IL1045"/>
      <c r="IM1045"/>
      <c r="IN1045" s="4"/>
      <c r="IO1045" s="4"/>
      <c r="IP1045" s="4"/>
      <c r="IQ1045" s="9"/>
      <c r="IR1045" s="9"/>
      <c r="IS1045" s="9"/>
      <c r="IT1045" s="9"/>
      <c r="IU1045" s="9"/>
      <c r="IV1045"/>
      <c r="IW1045"/>
      <c r="IX1045"/>
      <c r="IY1045"/>
      <c r="IZ1045"/>
      <c r="JA1045"/>
      <c r="JB1045"/>
      <c r="JC1045"/>
    </row>
    <row r="1046" spans="1:263" ht="15" customHeight="1">
      <c r="A1046" s="19">
        <v>102019068</v>
      </c>
      <c r="B1046" s="14" t="s">
        <v>674</v>
      </c>
      <c r="C1046" s="13"/>
      <c r="D1046" s="13"/>
      <c r="E1046" s="24" t="s">
        <v>1749</v>
      </c>
      <c r="F1046" s="19">
        <v>200001003</v>
      </c>
      <c r="G1046" s="18"/>
      <c r="H1046" s="18"/>
      <c r="I1046" s="18"/>
      <c r="J1046" s="18" t="s">
        <v>311</v>
      </c>
      <c r="K1046" s="18" t="s">
        <v>675</v>
      </c>
      <c r="L1046" s="18" t="s">
        <v>676</v>
      </c>
      <c r="M1046" s="18" t="s">
        <v>401</v>
      </c>
      <c r="N1046" s="18"/>
      <c r="O1046" s="13"/>
      <c r="P1046" s="18"/>
      <c r="Q1046" s="18"/>
      <c r="R1046" s="18"/>
      <c r="S1046" s="18"/>
      <c r="T1046" s="13"/>
      <c r="U1046" s="18"/>
      <c r="V1046" s="18"/>
      <c r="W1046" s="18"/>
      <c r="X1046" s="18"/>
      <c r="Y1046" s="18"/>
      <c r="Z1046" s="18"/>
      <c r="AA1046" s="18"/>
      <c r="AB1046" s="18"/>
      <c r="AC1046" s="18"/>
      <c r="AD1046" s="18"/>
      <c r="AE1046" s="18"/>
      <c r="AF1046" s="18"/>
      <c r="AG1046" s="231"/>
      <c r="AH1046" s="18"/>
      <c r="AI1046" s="18"/>
      <c r="AJ1046" s="14"/>
      <c r="AK1046" s="14"/>
      <c r="AL1046" s="18"/>
      <c r="AM1046" s="24"/>
      <c r="AN1046" s="24"/>
      <c r="AO1046" s="14"/>
      <c r="AP1046" s="20"/>
      <c r="AQ1046" s="24"/>
      <c r="AR1046" s="24"/>
      <c r="AS1046" s="20"/>
      <c r="AT1046" s="20"/>
      <c r="AU1046" s="13"/>
      <c r="AV1046" s="13"/>
      <c r="AW1046" s="13"/>
      <c r="AX1046" s="48"/>
      <c r="AY1046" s="48"/>
      <c r="AZ1046" s="48"/>
      <c r="BA1046" s="48"/>
      <c r="BB1046" s="19"/>
      <c r="BC1046" s="48"/>
      <c r="BD1046" s="48"/>
      <c r="BE1046" s="48"/>
      <c r="BF1046" s="19"/>
      <c r="BG1046" s="20"/>
      <c r="BH1046" s="22"/>
      <c r="BI1046" s="22"/>
      <c r="BJ1046" s="14"/>
      <c r="BK1046" s="14"/>
      <c r="BL1046" s="14"/>
      <c r="BM1046" s="17"/>
      <c r="BN1046" s="23"/>
      <c r="BO1046" s="14"/>
      <c r="BP1046" s="14"/>
      <c r="BQ1046" s="14"/>
      <c r="BR1046" s="14"/>
      <c r="BS1046" s="17"/>
      <c r="BT1046" s="23"/>
      <c r="BU1046" s="14"/>
      <c r="BV1046" s="14"/>
      <c r="BW1046" s="14"/>
      <c r="BX1046" s="14"/>
      <c r="BY1046" s="17"/>
      <c r="BZ1046" s="23"/>
      <c r="CA1046" s="14"/>
      <c r="CB1046" s="14"/>
      <c r="CC1046" s="14"/>
      <c r="CD1046" s="14"/>
      <c r="CE1046" s="17"/>
      <c r="CF1046" s="23"/>
      <c r="CG1046" s="14"/>
      <c r="CH1046" s="14"/>
      <c r="CI1046" s="14"/>
      <c r="CJ1046" s="14"/>
      <c r="CK1046" s="17"/>
      <c r="CL1046" s="23"/>
      <c r="CM1046" s="14"/>
      <c r="CN1046" s="14"/>
      <c r="CO1046" s="14"/>
      <c r="CP1046" s="14"/>
      <c r="CQ1046" s="17"/>
      <c r="CR1046" s="23"/>
      <c r="CS1046" s="14"/>
      <c r="CT1046" s="14"/>
      <c r="CU1046" s="14"/>
      <c r="CV1046" s="14"/>
      <c r="CW1046" s="17"/>
      <c r="CX1046" s="23"/>
      <c r="CY1046" s="14"/>
      <c r="CZ1046" s="14"/>
      <c r="DA1046" s="14"/>
      <c r="DB1046" s="14"/>
      <c r="DC1046" s="14"/>
      <c r="DD1046" s="14"/>
      <c r="DE1046" s="47"/>
      <c r="DF1046" s="24"/>
      <c r="DG1046" s="14"/>
      <c r="DH1046" s="32"/>
      <c r="DI1046" s="14"/>
      <c r="DJ1046" s="14"/>
      <c r="DK1046" s="14"/>
      <c r="DL1046" s="14"/>
      <c r="DM1046" s="14"/>
      <c r="DN1046" s="14"/>
      <c r="DO1046" s="23"/>
      <c r="DP1046" s="25"/>
      <c r="DQ1046" s="14"/>
      <c r="DR1046" s="25"/>
      <c r="DS1046" s="25"/>
      <c r="DT1046" s="25"/>
      <c r="DU1046" s="36"/>
      <c r="DV1046" s="18"/>
      <c r="DW1046" s="18"/>
      <c r="DX1046" s="18"/>
      <c r="DY1046" s="18"/>
      <c r="DZ1046" s="18"/>
      <c r="EA1046" s="18"/>
      <c r="EB1046" s="18"/>
      <c r="EC1046" s="18"/>
      <c r="ED1046" s="30"/>
      <c r="EE1046" s="18"/>
      <c r="EF1046" s="18"/>
      <c r="EG1046" s="18"/>
      <c r="EH1046" s="18"/>
      <c r="EI1046" s="18"/>
      <c r="EJ1046" s="30"/>
      <c r="EK1046" s="30"/>
      <c r="EL1046" s="14"/>
      <c r="EM1046" s="14"/>
      <c r="EN1046" s="14"/>
      <c r="EO1046" s="14"/>
      <c r="EP1046" s="14"/>
      <c r="EQ1046" s="14"/>
      <c r="ER1046" s="14"/>
      <c r="ES1046" s="14"/>
      <c r="ET1046" s="14"/>
      <c r="EU1046" s="14"/>
      <c r="EV1046" s="14"/>
      <c r="EW1046" s="14"/>
      <c r="EX1046" s="14"/>
      <c r="EY1046" s="14"/>
      <c r="EZ1046" s="14"/>
      <c r="FA1046" s="18"/>
      <c r="FB1046" s="18"/>
      <c r="FC1046" s="18"/>
      <c r="FD1046" s="27"/>
      <c r="FE1046" s="18"/>
      <c r="FF1046" s="18"/>
      <c r="FG1046" s="18"/>
      <c r="FH1046" s="18"/>
      <c r="FI1046" s="18"/>
      <c r="FJ1046" s="18"/>
      <c r="FK1046" s="18"/>
      <c r="FL1046" s="18"/>
      <c r="FM1046" s="27"/>
      <c r="FN1046" s="18"/>
      <c r="FO1046" s="18"/>
      <c r="FP1046" s="18"/>
      <c r="FQ1046" s="18"/>
      <c r="FR1046" s="18"/>
      <c r="FS1046" s="14"/>
      <c r="FT1046" s="18"/>
      <c r="FU1046" s="18"/>
      <c r="FV1046" s="18"/>
      <c r="FW1046" s="18"/>
      <c r="FX1046" s="28"/>
      <c r="FY1046" s="18"/>
      <c r="FZ1046" s="27"/>
      <c r="GA1046" s="18"/>
      <c r="GB1046" s="18"/>
      <c r="GC1046" s="18"/>
      <c r="GD1046" s="18"/>
      <c r="GE1046" s="18"/>
      <c r="GF1046" s="18"/>
      <c r="GG1046" s="18"/>
      <c r="GH1046" s="18"/>
      <c r="GI1046" s="28"/>
      <c r="GJ1046" s="18"/>
      <c r="GK1046" s="27"/>
      <c r="GL1046" s="18"/>
      <c r="GM1046" s="18"/>
      <c r="GN1046" s="18"/>
      <c r="GO1046" s="18"/>
      <c r="GP1046" s="18"/>
      <c r="GQ1046" s="18"/>
      <c r="GR1046" s="18"/>
      <c r="GS1046" s="18"/>
      <c r="GT1046" s="18"/>
      <c r="GU1046" s="18"/>
      <c r="GV1046" s="18"/>
      <c r="GW1046" s="27"/>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27"/>
      <c r="IE1046" s="14"/>
      <c r="IF1046" s="14"/>
      <c r="IG1046" s="27"/>
      <c r="IH1046" s="18"/>
      <c r="II1046" s="18"/>
      <c r="IJ1046" s="18"/>
      <c r="IK1046" s="18"/>
      <c r="IL1046" s="4"/>
      <c r="IM1046" s="4"/>
    </row>
    <row r="1047" spans="1:263" s="127" customFormat="1" ht="15" customHeight="1">
      <c r="A1047" s="19">
        <v>102022026</v>
      </c>
      <c r="B1047" t="s">
        <v>2790</v>
      </c>
      <c r="C1047" s="10"/>
      <c r="D1047" s="161"/>
      <c r="E1047" s="147"/>
      <c r="F1047" s="160"/>
      <c r="G1047" s="147">
        <v>220001328</v>
      </c>
      <c r="H1047" s="10"/>
      <c r="I1047" s="10"/>
      <c r="J1047" s="10" t="s">
        <v>311</v>
      </c>
      <c r="K1047" s="10" t="s">
        <v>2060</v>
      </c>
      <c r="L1047" s="10" t="s">
        <v>1392</v>
      </c>
      <c r="M1047" s="10" t="s">
        <v>396</v>
      </c>
      <c r="N1047" s="10"/>
      <c r="O1047" s="147"/>
      <c r="P1047" s="10"/>
      <c r="Q1047" s="10"/>
      <c r="R1047" s="10"/>
      <c r="S1047" s="10"/>
      <c r="T1047" s="10"/>
      <c r="U1047" s="10"/>
      <c r="V1047" s="10"/>
      <c r="W1047" s="10"/>
      <c r="X1047" s="10"/>
      <c r="Y1047" s="10"/>
      <c r="Z1047" s="10"/>
      <c r="AA1047" s="10"/>
      <c r="AB1047" s="10"/>
      <c r="AC1047" s="10"/>
      <c r="AD1047" s="10" t="s">
        <v>3344</v>
      </c>
      <c r="AE1047" s="10" t="s">
        <v>253</v>
      </c>
      <c r="AF1047" s="10" t="s">
        <v>3345</v>
      </c>
      <c r="AG1047" s="141" t="s">
        <v>2213</v>
      </c>
      <c r="AH1047" s="10" t="s">
        <v>2214</v>
      </c>
      <c r="AI1047" s="10" t="s">
        <v>600</v>
      </c>
      <c r="AJ1047" t="s">
        <v>328</v>
      </c>
      <c r="AK1047" s="1"/>
      <c r="AL1047" t="s">
        <v>600</v>
      </c>
      <c r="AM1047"/>
      <c r="AN1047"/>
      <c r="AO1047" t="s">
        <v>2965</v>
      </c>
      <c r="AP1047" s="1" t="s">
        <v>258</v>
      </c>
      <c r="AQ1047" t="s">
        <v>600</v>
      </c>
      <c r="AR1047" t="s">
        <v>260</v>
      </c>
      <c r="AS1047"/>
      <c r="AT1047"/>
      <c r="AU1047"/>
      <c r="AV1047"/>
      <c r="AW1047"/>
      <c r="AX1047" s="1"/>
      <c r="AY1047" s="1"/>
      <c r="AZ1047" s="1"/>
      <c r="BA1047" s="1"/>
      <c r="BB1047" s="1"/>
      <c r="BC1047" s="70"/>
      <c r="BD1047" s="115"/>
      <c r="BE1047" s="144"/>
      <c r="BF1047" s="70"/>
      <c r="BG1047" s="2"/>
      <c r="BH1047" s="70"/>
      <c r="BI1047" s="70"/>
      <c r="BJ1047" s="70"/>
      <c r="BK1047" s="70"/>
      <c r="BL1047" s="20">
        <f ca="1">SUM(EH1047)+220</f>
        <v>752.29712499999994</v>
      </c>
      <c r="BM1047" s="22">
        <f ca="1">PMT(10%/12,12,BL1047,0,0)</f>
        <v>-66.138869204960429</v>
      </c>
      <c r="BN1047" s="22">
        <f ca="1">SUM(BM1047*-1)</f>
        <v>66.138869204960429</v>
      </c>
      <c r="BO1047" s="14">
        <f>SUM(EP1047*0.0052)/12</f>
        <v>11.656666666666666</v>
      </c>
      <c r="BP1047" s="22">
        <f ca="1">SUM(BN1047+BO1047)</f>
        <v>77.795535871627095</v>
      </c>
      <c r="BQ1047" s="14">
        <v>0</v>
      </c>
      <c r="BR1047" s="14">
        <f>SUM(BQ1047*0.1)</f>
        <v>0</v>
      </c>
      <c r="BS1047" s="14">
        <v>0</v>
      </c>
      <c r="BT1047" s="17">
        <f>SUM((BQ1047+BR1047)*0.00833333333333333)</f>
        <v>0</v>
      </c>
      <c r="BU1047" s="23">
        <f ca="1">MONTH(TODAY())+49</f>
        <v>53</v>
      </c>
      <c r="BV1047" s="14">
        <f>SUM(BQ1047,BR1047,BS1047)</f>
        <v>0</v>
      </c>
      <c r="BW1047" s="14">
        <v>0</v>
      </c>
      <c r="BX1047" s="14">
        <v>0</v>
      </c>
      <c r="BY1047" s="14">
        <v>0</v>
      </c>
      <c r="BZ1047" s="17">
        <f>SUM((BW1047+BX1047)*0.00833333333333333)</f>
        <v>0</v>
      </c>
      <c r="CA1047" s="23">
        <f ca="1">MONTH(TODAY())+37</f>
        <v>41</v>
      </c>
      <c r="CB1047" s="14">
        <f>SUM(BW1047,BX1047,BY1047)</f>
        <v>0</v>
      </c>
      <c r="CC1047" s="14">
        <v>0</v>
      </c>
      <c r="CD1047" s="14">
        <f>SUM(CC1047*0.1)</f>
        <v>0</v>
      </c>
      <c r="CE1047" s="14">
        <f ca="1">SUM(CF1047*CG1047)</f>
        <v>0</v>
      </c>
      <c r="CF1047" s="17">
        <f>SUM((CC1047+CD1047)*0.00833333333333333)</f>
        <v>0</v>
      </c>
      <c r="CG1047" s="23">
        <f ca="1">MONTH(TODAY())+25</f>
        <v>29</v>
      </c>
      <c r="CH1047" s="14">
        <v>0</v>
      </c>
      <c r="CI1047" s="14">
        <v>0</v>
      </c>
      <c r="CJ1047" s="14">
        <f>SUM(CI1047*0.1)</f>
        <v>0</v>
      </c>
      <c r="CK1047" s="14">
        <f ca="1">SUM(CL1047*CM1047)</f>
        <v>0</v>
      </c>
      <c r="CL1047" s="17">
        <f>SUM((CI1047+CJ1047)*0.00833333333333333)</f>
        <v>0</v>
      </c>
      <c r="CM1047" s="23">
        <f ca="1">MONTH(TODAY())+17</f>
        <v>21</v>
      </c>
      <c r="CN1047" s="23">
        <f ca="1">SUM(CI1047,CJ1047,CK1047)</f>
        <v>0</v>
      </c>
      <c r="CO1047" s="14">
        <v>0</v>
      </c>
      <c r="CP1047" s="14">
        <f>SUM(CO1047*0.1)</f>
        <v>0</v>
      </c>
      <c r="CQ1047" s="14">
        <v>0</v>
      </c>
      <c r="CR1047" s="17">
        <f>SUM((CO1047+CP1047)*0.00833333333333333)</f>
        <v>0</v>
      </c>
      <c r="CS1047" s="23">
        <f ca="1">MONTH(TODAY())+13</f>
        <v>17</v>
      </c>
      <c r="CT1047" s="14">
        <f>SUM(CO1047,CP1047,CQ1047)</f>
        <v>0</v>
      </c>
      <c r="CU1047" s="14">
        <f>SUM(EP1047*0.0045)/2</f>
        <v>60.524999999999999</v>
      </c>
      <c r="CV1047" s="14">
        <f>SUM(CU1047*0.1)</f>
        <v>6.0525000000000002</v>
      </c>
      <c r="CW1047" s="14">
        <v>0</v>
      </c>
      <c r="CX1047" s="17">
        <f>SUM((CU1047+CV1047)*0.00833333333333333)</f>
        <v>0.55481249999999982</v>
      </c>
      <c r="CY1047" s="23">
        <f ca="1">MONTH(TODAY())+7</f>
        <v>11</v>
      </c>
      <c r="CZ1047" s="14">
        <f>SUM(CU1047,CV1047,CW1047)</f>
        <v>66.577500000000001</v>
      </c>
      <c r="DA1047" s="14">
        <f>SUM(EP1047*0.0045)/2</f>
        <v>60.524999999999999</v>
      </c>
      <c r="DB1047" s="14">
        <f>SUM(DA1047*0.1)</f>
        <v>6.0525000000000002</v>
      </c>
      <c r="DC1047" s="14">
        <f ca="1">SUM(DD1047*DE1047)</f>
        <v>2.774062499999999</v>
      </c>
      <c r="DD1047" s="17">
        <f>SUM((DA1047+DB1047)*0.00833333333333333)</f>
        <v>0.55481249999999982</v>
      </c>
      <c r="DE1047" s="23">
        <f ca="1">MONTH(TODAY())+1</f>
        <v>5</v>
      </c>
      <c r="DF1047" s="14">
        <f ca="1">SUM(DA1047,DB1047,DC1047)</f>
        <v>69.3515625</v>
      </c>
      <c r="DG1047" s="14">
        <f>SUM(EP1047*0.0045)/2</f>
        <v>60.524999999999999</v>
      </c>
      <c r="DH1047" s="14">
        <f>SUM(DG1047*0.1)</f>
        <v>6.0525000000000002</v>
      </c>
      <c r="DI1047" s="14">
        <f ca="1">SUM(DJ1047*DK1047)</f>
        <v>-1.6644374999999996</v>
      </c>
      <c r="DJ1047" s="17">
        <f>SUM((DG1047+DH1047)*0.00833333333333333)</f>
        <v>0.55481249999999982</v>
      </c>
      <c r="DK1047" s="23">
        <f ca="1">MONTH(TODAY())-7</f>
        <v>-3</v>
      </c>
      <c r="DL1047" s="14">
        <f ca="1">SUM(DG1047,DH1047,DI1047)</f>
        <v>64.913062499999995</v>
      </c>
      <c r="DM1047" s="14">
        <f>SUM(EP1047*0.0045)/2</f>
        <v>60.524999999999999</v>
      </c>
      <c r="DN1047" s="14">
        <f>0</f>
        <v>0</v>
      </c>
      <c r="DO1047" s="14">
        <f>SUM(DP1047*DQ1047)</f>
        <v>0</v>
      </c>
      <c r="DP1047" s="17">
        <f>SUM((DM1047+DN1047)*0.00833333333333333)</f>
        <v>0.5043749999999998</v>
      </c>
      <c r="DQ1047" s="23">
        <v>0</v>
      </c>
      <c r="DR1047" s="14">
        <f>SUM(DM1047,DN1047,DO1047)</f>
        <v>60.524999999999999</v>
      </c>
      <c r="DS1047" s="14">
        <f>SUM(BQ1047, BW1047, CC1047, CI1047,CO1047,CU1047,DA1047,DG1047,DM1047)</f>
        <v>242.1</v>
      </c>
      <c r="DT1047" s="14">
        <f>SUM(BR1047,BX1047,CD1047, CJ1047,CP1047,CV1047,DB1047,DH1047,DN1047)</f>
        <v>18.157499999999999</v>
      </c>
      <c r="DU1047" s="14">
        <f ca="1">SUM(BS1047,BY1047,CE1047, CK1047,CQ1047,CW1047,DC1047,DI1047,DO1047)</f>
        <v>1.1096249999999994</v>
      </c>
      <c r="DV1047" s="25">
        <f ca="1">SUM(DS1047:DU1047)</f>
        <v>261.36712499999999</v>
      </c>
      <c r="DW1047" s="47">
        <f ca="1">SUM(DV1047/EM1047)</f>
        <v>1.0496671686746988E-2</v>
      </c>
      <c r="DX1047" s="14">
        <f>19.5+156+40</f>
        <v>215.5</v>
      </c>
      <c r="DY1047" s="32">
        <f>COUNTIF(AO1047, "*")+COUNTIF(AJ1047, "*")+COUNTIF(AA1047, "*")+COUNTIF(FA1047, "*")+COUNTIF(FG1047, "*")+COUNTIF(FM1047, "*")+COUNTIF(FQ1047, "*")+COUNTIF(FX1047, "*")+COUNTIF(AT1047, "*")+COUNTIF(GG1047, "*")+COUNTIF(GR1047, "*")+COUNTIF(HC1047, "*")+COUNTIF(HK1047, "*")+COUNTIF(HS1047, "*")+COUNTIF(IA1047, "*")</f>
        <v>2</v>
      </c>
      <c r="DZ1047" s="14">
        <f>DY1047*0.5</f>
        <v>1</v>
      </c>
      <c r="EA1047" s="4">
        <v>54.43</v>
      </c>
      <c r="EB1047" s="4"/>
      <c r="EC1047" s="4"/>
      <c r="ED1047" s="4"/>
      <c r="EE1047" s="4"/>
      <c r="EF1047" s="4"/>
      <c r="EG1047" s="14">
        <f>SUM(EA1047:EF1047)</f>
        <v>54.43</v>
      </c>
      <c r="EH1047" s="14">
        <f ca="1">SUM(DV1047,DX1047,EG1047,DZ1047,GD1047)</f>
        <v>532.29712499999994</v>
      </c>
      <c r="EI1047" s="24" t="s">
        <v>2770</v>
      </c>
      <c r="EJ1047" s="7">
        <v>2.4</v>
      </c>
      <c r="EK1047" s="4">
        <v>24900</v>
      </c>
      <c r="EL1047" s="4">
        <v>0</v>
      </c>
      <c r="EM1047" s="14">
        <f>SUM(EK1047+EL1047)</f>
        <v>24900</v>
      </c>
      <c r="EN1047" s="14">
        <v>26900</v>
      </c>
      <c r="EO1047" s="14">
        <v>0</v>
      </c>
      <c r="EP1047" s="14">
        <f>SUM(EN1047+EO1047)</f>
        <v>26900</v>
      </c>
      <c r="EQ1047" s="10"/>
      <c r="ER1047" s="10"/>
      <c r="ES1047" s="10"/>
      <c r="ET1047" s="10"/>
      <c r="EU1047" s="10"/>
      <c r="EV1047" s="10"/>
      <c r="EW1047" s="10"/>
      <c r="EX1047" s="10"/>
      <c r="EY1047" s="10"/>
      <c r="EZ1047" s="10"/>
      <c r="FA1047" s="10"/>
      <c r="FB1047" s="10"/>
      <c r="FC1047" s="10"/>
      <c r="FD1047" s="10"/>
      <c r="FE1047" s="10"/>
      <c r="FF1047" s="10"/>
      <c r="FG1047" s="10"/>
      <c r="FH1047" s="10"/>
      <c r="FI1047" s="10"/>
      <c r="FJ1047" s="10"/>
      <c r="FK1047" s="10"/>
      <c r="FL1047" s="10"/>
      <c r="FM1047" s="10"/>
      <c r="FN1047" s="10"/>
      <c r="FO1047" s="10"/>
      <c r="FP1047" s="10"/>
      <c r="FQ1047" s="10"/>
      <c r="FR1047" s="10"/>
      <c r="FS1047" s="10"/>
      <c r="FT1047" s="10"/>
      <c r="FU1047" s="9"/>
      <c r="FV1047" s="10"/>
      <c r="FW1047" s="10"/>
      <c r="FX1047" s="10"/>
      <c r="FY1047" s="10"/>
      <c r="FZ1047" s="10"/>
      <c r="GA1047" s="10"/>
      <c r="GB1047" s="9"/>
      <c r="GC1047" s="10"/>
      <c r="GD1047" s="10"/>
      <c r="GE1047" s="10"/>
      <c r="GF1047" s="10"/>
      <c r="GG1047" s="10"/>
      <c r="GH1047" s="10"/>
      <c r="GI1047" s="10"/>
      <c r="GJ1047" s="10"/>
      <c r="GK1047" s="9"/>
      <c r="GL1047" s="10"/>
      <c r="GM1047" s="10"/>
      <c r="GN1047" s="10"/>
      <c r="GO1047" s="10"/>
      <c r="GP1047" s="10"/>
      <c r="GQ1047" s="10"/>
      <c r="GR1047" s="10"/>
      <c r="GS1047" s="10"/>
      <c r="GT1047" s="10"/>
      <c r="GU1047" s="10"/>
      <c r="GV1047" s="9"/>
      <c r="GW1047" s="10"/>
      <c r="GX1047" s="10"/>
      <c r="GY1047" s="10"/>
      <c r="GZ1047" s="10"/>
      <c r="HA1047" s="10"/>
      <c r="HB1047" s="10"/>
      <c r="HC1047" s="10"/>
      <c r="HD1047" s="10"/>
      <c r="HE1047" s="10"/>
      <c r="HF1047" s="10"/>
      <c r="HG1047" s="9"/>
      <c r="HH1047" s="10"/>
      <c r="HI1047" s="10"/>
      <c r="HJ1047" s="10"/>
      <c r="HK1047" s="10"/>
      <c r="HL1047" s="10"/>
      <c r="HM1047" s="10"/>
      <c r="HN1047" s="10"/>
      <c r="HO1047" s="9"/>
      <c r="HP1047" s="10"/>
      <c r="HQ1047" s="10"/>
      <c r="HR1047" s="10"/>
      <c r="HS1047" s="10"/>
      <c r="HT1047" s="10"/>
      <c r="HU1047" s="10"/>
      <c r="HV1047" s="10"/>
      <c r="HW1047" s="9"/>
      <c r="HX1047" s="10"/>
      <c r="HY1047" s="10"/>
      <c r="HZ1047" s="10"/>
      <c r="IA1047" s="10"/>
      <c r="IB1047" s="10"/>
      <c r="IC1047" s="10"/>
      <c r="ID1047" s="10"/>
      <c r="IE1047" s="9"/>
      <c r="IF1047" s="4"/>
      <c r="IG1047" s="4"/>
      <c r="IH1047" s="10"/>
      <c r="II1047" s="10"/>
      <c r="IJ1047" s="10"/>
      <c r="IK1047" s="10"/>
      <c r="IL1047" s="4"/>
      <c r="IM1047" s="4"/>
      <c r="IN1047" s="14">
        <f ca="1">SUM(IF1047-EH1047-GD1047-IL1047)</f>
        <v>-532.29712499999994</v>
      </c>
      <c r="IO1047" s="14"/>
      <c r="IP1047" s="14"/>
      <c r="IQ1047" s="9"/>
      <c r="IR1047" s="9"/>
      <c r="IS1047" s="9"/>
      <c r="IT1047" s="9"/>
      <c r="IU1047" s="9"/>
      <c r="IV1047" t="s">
        <v>5913</v>
      </c>
      <c r="IW1047"/>
      <c r="IX1047"/>
      <c r="IY1047"/>
      <c r="IZ1047"/>
      <c r="JA1047"/>
      <c r="JB1047"/>
      <c r="JC1047"/>
    </row>
    <row r="1048" spans="1:263" ht="15" customHeight="1">
      <c r="A1048" s="2">
        <v>102017016</v>
      </c>
      <c r="B1048" t="s">
        <v>5058</v>
      </c>
      <c r="J1048" t="s">
        <v>796</v>
      </c>
      <c r="K1048" t="s">
        <v>810</v>
      </c>
      <c r="L1048" t="s">
        <v>811</v>
      </c>
      <c r="M1048" t="s">
        <v>326</v>
      </c>
      <c r="S1048" s="5"/>
      <c r="T1048" s="16"/>
      <c r="U1048" s="16"/>
      <c r="W1048" s="1"/>
      <c r="AL1048" s="1"/>
      <c r="AW1048" s="4"/>
      <c r="AX1048" s="4"/>
      <c r="AY1048" s="6"/>
      <c r="AZ1048" s="7"/>
      <c r="BA1048" s="4"/>
      <c r="BC1048" s="4"/>
      <c r="BD1048" s="4"/>
      <c r="BE1048" s="6"/>
      <c r="BF1048" s="7"/>
      <c r="BG1048" s="4"/>
      <c r="BH1048" s="4"/>
      <c r="BI1048" s="4"/>
      <c r="BJ1048" s="4"/>
      <c r="BK1048" s="6"/>
      <c r="BL1048" s="7"/>
      <c r="BM1048" s="4"/>
      <c r="BO1048" s="4"/>
      <c r="BP1048" s="4"/>
      <c r="BQ1048" s="6"/>
      <c r="BR1048" s="7"/>
      <c r="BS1048" s="4"/>
      <c r="BT1048" s="4"/>
      <c r="BU1048" s="4"/>
      <c r="BV1048" s="4"/>
      <c r="BW1048" s="6"/>
      <c r="BX1048" s="7"/>
      <c r="BY1048" s="4"/>
      <c r="BZ1048" s="4"/>
      <c r="CA1048" s="4"/>
      <c r="CB1048" s="4"/>
      <c r="CC1048" s="6"/>
      <c r="CD1048" s="7"/>
      <c r="CE1048" s="4"/>
      <c r="CF1048" s="4"/>
      <c r="CG1048" s="4"/>
      <c r="CH1048" s="4"/>
      <c r="CI1048" s="6"/>
      <c r="CJ1048" s="7"/>
      <c r="CK1048" s="4"/>
      <c r="CL1048" s="4"/>
      <c r="CM1048" s="4"/>
      <c r="CN1048" s="4"/>
      <c r="CO1048" s="6"/>
      <c r="CP1048" s="7"/>
      <c r="CQ1048" s="4"/>
      <c r="CR1048" s="4"/>
      <c r="CS1048" s="4"/>
      <c r="CT1048" s="4"/>
      <c r="CU1048" s="6"/>
      <c r="CV1048" s="7"/>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T1048" s="4"/>
      <c r="EA1048" s="4"/>
      <c r="EB1048" s="4"/>
      <c r="EE1048" s="4"/>
      <c r="EF1048" s="4"/>
      <c r="EG1048" s="4"/>
      <c r="EH1048" s="3"/>
      <c r="EI1048" s="11"/>
      <c r="EK1048" s="236"/>
      <c r="EL1048" s="236"/>
      <c r="EM1048" s="236"/>
      <c r="FR1048" s="10"/>
      <c r="FY1048" s="10"/>
      <c r="GK1048" s="9"/>
    </row>
    <row r="1049" spans="1:263" s="200" customFormat="1" ht="15" customHeight="1">
      <c r="A1049" s="2">
        <v>102017017</v>
      </c>
      <c r="B1049" t="s">
        <v>5058</v>
      </c>
      <c r="C1049"/>
      <c r="D1049"/>
      <c r="E1049"/>
      <c r="F1049"/>
      <c r="G1049"/>
      <c r="H1049"/>
      <c r="I1049"/>
      <c r="J1049" t="s">
        <v>305</v>
      </c>
      <c r="K1049" t="s">
        <v>815</v>
      </c>
      <c r="L1049" t="s">
        <v>816</v>
      </c>
      <c r="M1049" t="s">
        <v>326</v>
      </c>
      <c r="N1049"/>
      <c r="O1049"/>
      <c r="P1049" t="s">
        <v>815</v>
      </c>
      <c r="Q1049" t="s">
        <v>817</v>
      </c>
      <c r="R1049" t="s">
        <v>256</v>
      </c>
      <c r="S1049"/>
      <c r="T1049"/>
      <c r="U1049"/>
      <c r="V1049"/>
      <c r="W1049"/>
      <c r="X1049"/>
      <c r="Y1049"/>
      <c r="Z1049"/>
      <c r="AA1049"/>
      <c r="AB1049"/>
      <c r="AC1049"/>
      <c r="AD1049"/>
      <c r="AE1049"/>
      <c r="AF1049"/>
      <c r="AG1049" s="3"/>
      <c r="AH1049"/>
      <c r="AI1049"/>
      <c r="AJ1049"/>
      <c r="AK1049"/>
      <c r="AL1049"/>
      <c r="AM1049" s="3"/>
      <c r="AN1049" s="3"/>
      <c r="AO1049"/>
      <c r="AP1049" s="1"/>
      <c r="AQ1049" s="3"/>
      <c r="AR1049" s="3"/>
      <c r="AS1049"/>
      <c r="AT1049"/>
      <c r="AU1049"/>
      <c r="AV1049"/>
      <c r="AW1049"/>
      <c r="AX1049"/>
      <c r="AY1049"/>
      <c r="AZ1049"/>
      <c r="BA1049"/>
      <c r="BB1049"/>
      <c r="BC1049"/>
      <c r="BD1049"/>
      <c r="BE1049"/>
      <c r="BF1049"/>
      <c r="BG1049" s="4"/>
      <c r="BH1049" s="4"/>
      <c r="BI1049" s="6"/>
      <c r="BJ1049" s="7"/>
      <c r="BK1049" s="4"/>
      <c r="BL1049"/>
      <c r="BM1049" s="4"/>
      <c r="BN1049" s="4"/>
      <c r="BO1049" s="6"/>
      <c r="BP1049" s="7"/>
      <c r="BQ1049" s="4"/>
      <c r="BR1049" s="4"/>
      <c r="BS1049" s="4"/>
      <c r="BT1049" s="4"/>
      <c r="BU1049" s="6"/>
      <c r="BV1049" s="7"/>
      <c r="BW1049" s="4"/>
      <c r="BX1049"/>
      <c r="BY1049" s="4"/>
      <c r="BZ1049" s="4"/>
      <c r="CA1049" s="6"/>
      <c r="CB1049" s="7"/>
      <c r="CC1049" s="4"/>
      <c r="CD1049" s="4"/>
      <c r="CE1049" s="4"/>
      <c r="CF1049" s="4"/>
      <c r="CG1049" s="6"/>
      <c r="CH1049" s="7"/>
      <c r="CI1049" s="4"/>
      <c r="CJ1049" s="4"/>
      <c r="CK1049" s="4"/>
      <c r="CL1049" s="4"/>
      <c r="CM1049" s="6"/>
      <c r="CN1049" s="7"/>
      <c r="CO1049" s="4"/>
      <c r="CP1049" s="4"/>
      <c r="CQ1049" s="4"/>
      <c r="CR1049" s="4"/>
      <c r="CS1049" s="6"/>
      <c r="CT1049" s="7"/>
      <c r="CU1049" s="4"/>
      <c r="CV1049" s="4"/>
      <c r="CW1049" s="4"/>
      <c r="CX1049" s="4"/>
      <c r="CY1049" s="6"/>
      <c r="CZ1049" s="7"/>
      <c r="DA1049" s="4"/>
      <c r="DB1049" s="4"/>
      <c r="DC1049" s="4"/>
      <c r="DD1049" s="4"/>
      <c r="DE1049" s="6"/>
      <c r="DF1049" s="7"/>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c r="EC1049"/>
      <c r="ED1049"/>
      <c r="EE1049"/>
      <c r="EF1049"/>
      <c r="EG1049"/>
      <c r="EH1049" s="4"/>
      <c r="EI1049" s="4"/>
      <c r="EJ1049" s="4"/>
      <c r="EK1049" s="3"/>
      <c r="EL1049" s="11"/>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s="9"/>
      <c r="IM1049"/>
      <c r="IN1049"/>
      <c r="IO1049"/>
      <c r="IP1049"/>
      <c r="IQ1049"/>
      <c r="IR1049"/>
      <c r="IS1049" s="4"/>
      <c r="IT1049" s="4"/>
      <c r="IU1049"/>
      <c r="IV1049"/>
      <c r="IW1049"/>
      <c r="IX1049"/>
      <c r="IY1049"/>
      <c r="IZ1049"/>
      <c r="JA1049"/>
      <c r="JB1049"/>
      <c r="JC1049"/>
    </row>
    <row r="1050" spans="1:263" ht="15" customHeight="1">
      <c r="A1050" s="2">
        <v>102017035</v>
      </c>
      <c r="B1050" s="18" t="s">
        <v>5058</v>
      </c>
      <c r="J1050" t="s">
        <v>510</v>
      </c>
      <c r="K1050" t="s">
        <v>564</v>
      </c>
      <c r="L1050" t="s">
        <v>871</v>
      </c>
      <c r="BG1050" s="4"/>
      <c r="BH1050" s="4"/>
      <c r="BI1050" s="6"/>
      <c r="BJ1050" s="7"/>
      <c r="BK1050" s="4"/>
      <c r="BM1050" s="4"/>
      <c r="BN1050" s="4"/>
      <c r="BO1050" s="6"/>
      <c r="BP1050" s="7"/>
      <c r="BQ1050" s="4"/>
      <c r="BR1050" s="4"/>
      <c r="BS1050" s="4"/>
      <c r="BT1050" s="4"/>
      <c r="BU1050" s="6"/>
      <c r="BV1050" s="7"/>
      <c r="BW1050" s="4"/>
      <c r="BY1050" s="4"/>
      <c r="BZ1050" s="4"/>
      <c r="CA1050" s="6"/>
      <c r="CB1050" s="7"/>
      <c r="CC1050" s="4"/>
      <c r="CD1050" s="4"/>
      <c r="CE1050" s="4"/>
      <c r="CF1050" s="4"/>
      <c r="CG1050" s="6"/>
      <c r="CH1050" s="7"/>
      <c r="CI1050" s="4"/>
      <c r="CJ1050" s="4"/>
      <c r="CK1050" s="4"/>
      <c r="CL1050" s="4"/>
      <c r="CM1050" s="6"/>
      <c r="CN1050" s="7"/>
      <c r="CO1050" s="4"/>
      <c r="CP1050" s="4"/>
      <c r="CQ1050" s="4"/>
      <c r="CR1050" s="4"/>
      <c r="CS1050" s="6"/>
      <c r="CT1050" s="7"/>
      <c r="CU1050" s="4"/>
      <c r="CV1050" s="4"/>
      <c r="CW1050" s="4"/>
      <c r="CX1050" s="4"/>
      <c r="CY1050" s="6"/>
      <c r="CZ1050" s="7"/>
      <c r="DA1050" s="4"/>
      <c r="DB1050" s="4"/>
      <c r="DC1050" s="4"/>
      <c r="DD1050" s="4"/>
      <c r="DE1050" s="6"/>
      <c r="DF1050" s="7"/>
      <c r="DG1050" s="4"/>
      <c r="DH1050" s="4"/>
      <c r="DI1050" s="4"/>
      <c r="DJ1050" s="4"/>
      <c r="DK1050" s="4"/>
      <c r="DL1050" s="4"/>
      <c r="DM1050" s="4"/>
      <c r="DN1050" s="4"/>
      <c r="DO1050" s="4"/>
      <c r="DP1050" s="4"/>
      <c r="DQ1050" s="4"/>
      <c r="DR1050" s="4"/>
      <c r="DS1050" s="4"/>
      <c r="DT1050" s="4"/>
      <c r="DU1050" s="4"/>
      <c r="DV1050" s="4"/>
      <c r="DW1050" s="4"/>
      <c r="DX1050" s="4"/>
      <c r="DY1050" s="4"/>
      <c r="DZ1050" s="4"/>
      <c r="EA1050" s="4"/>
      <c r="EH1050" s="4"/>
      <c r="EI1050" s="4"/>
      <c r="EJ1050" s="4"/>
      <c r="EK1050" s="3"/>
      <c r="EL1050" s="11"/>
      <c r="IL1050" s="18"/>
      <c r="IM1050" s="18"/>
      <c r="IN1050" s="14"/>
      <c r="IO1050" s="14"/>
      <c r="IP1050" s="18"/>
      <c r="IQ1050" s="18"/>
      <c r="IR1050" s="18"/>
      <c r="IS1050" s="18"/>
      <c r="IT1050" s="18"/>
      <c r="IU1050" s="18"/>
      <c r="IV1050" s="18"/>
    </row>
    <row r="1051" spans="1:263" ht="15" customHeight="1">
      <c r="A1051" s="211">
        <v>102025001</v>
      </c>
      <c r="B1051" s="200" t="s">
        <v>5991</v>
      </c>
      <c r="C1051" s="201"/>
      <c r="D1051" s="202"/>
      <c r="E1051" s="203"/>
      <c r="F1051" s="204"/>
      <c r="G1051" s="203"/>
      <c r="H1051" s="201"/>
      <c r="I1051" s="209"/>
      <c r="J1051" s="201" t="s">
        <v>253</v>
      </c>
      <c r="K1051" s="201" t="s">
        <v>1580</v>
      </c>
      <c r="L1051" s="201" t="s">
        <v>1712</v>
      </c>
      <c r="M1051" s="201" t="s">
        <v>650</v>
      </c>
      <c r="N1051" s="201"/>
      <c r="O1051" s="203"/>
      <c r="P1051" s="201"/>
      <c r="Q1051" s="201"/>
      <c r="R1051" s="201"/>
      <c r="S1051" s="201"/>
      <c r="T1051" s="201"/>
      <c r="U1051" s="200"/>
      <c r="V1051" s="206"/>
      <c r="W1051" s="200"/>
      <c r="X1051" s="200"/>
      <c r="Y1051" s="200"/>
      <c r="Z1051" s="200" t="s">
        <v>6061</v>
      </c>
      <c r="AA1051" s="206" t="s">
        <v>258</v>
      </c>
      <c r="AB1051" s="200" t="s">
        <v>1800</v>
      </c>
      <c r="AC1051" s="200" t="s">
        <v>260</v>
      </c>
      <c r="AD1051" s="201"/>
      <c r="AE1051" s="201"/>
      <c r="AF1051" s="201"/>
      <c r="AG1051" s="201"/>
      <c r="AH1051" s="201"/>
      <c r="AI1051" s="201"/>
      <c r="AJ1051" s="201"/>
      <c r="AK1051" s="201"/>
      <c r="AL1051" s="201"/>
      <c r="AM1051" s="200"/>
      <c r="AN1051" s="200"/>
      <c r="AO1051" s="200"/>
      <c r="AP1051" s="200"/>
      <c r="AQ1051" s="200"/>
      <c r="AR1051" s="201"/>
      <c r="AS1051" s="201"/>
      <c r="AT1051" s="201"/>
      <c r="AU1051" s="205"/>
      <c r="AV1051" s="201"/>
      <c r="AW1051" s="201"/>
      <c r="AX1051" s="206"/>
      <c r="AY1051" s="206"/>
      <c r="AZ1051" s="206"/>
      <c r="BA1051" s="206"/>
      <c r="BB1051" s="206"/>
      <c r="BC1051" s="207"/>
      <c r="BD1051" s="210"/>
      <c r="BE1051" s="227"/>
      <c r="BF1051" s="207"/>
      <c r="BG1051" s="211"/>
      <c r="BH1051" s="207"/>
      <c r="BI1051" s="207"/>
      <c r="BJ1051" s="207"/>
      <c r="BK1051" s="207"/>
      <c r="BL1051" s="190">
        <f ca="1">SUM(EB1051)+220</f>
        <v>1584.0098</v>
      </c>
      <c r="BM1051" s="191">
        <f ca="1">PMT(10%/12,12,BL1051,0,0)</f>
        <v>-139.25962694803005</v>
      </c>
      <c r="BN1051" s="191">
        <f ca="1">SUM(BM1051*-1)</f>
        <v>139.25962694803005</v>
      </c>
      <c r="BO1051" s="192">
        <f>SUM(EJ1051*0.0052)/12</f>
        <v>48.143333333333338</v>
      </c>
      <c r="BP1051" s="191">
        <f ca="1">SUM(BN1051+BO1051)</f>
        <v>187.40296028136339</v>
      </c>
      <c r="BQ1051" s="192">
        <v>0</v>
      </c>
      <c r="BR1051" s="192">
        <f>SUM(BQ1051*0.1)</f>
        <v>0</v>
      </c>
      <c r="BS1051" s="192">
        <f ca="1">SUM(BT1051*BU1051)</f>
        <v>0</v>
      </c>
      <c r="BT1051" s="193">
        <f>SUM((BQ1051+BR1051)*0.00833333333333333)</f>
        <v>0</v>
      </c>
      <c r="BU1051" s="23">
        <f ca="1">MONTH(TODAY())+49</f>
        <v>53</v>
      </c>
      <c r="BV1051" s="192">
        <f ca="1">SUM(BQ1051,BR1051,BS1051)</f>
        <v>0</v>
      </c>
      <c r="BW1051" s="192">
        <v>0</v>
      </c>
      <c r="BX1051" s="192">
        <f>SUM(BW1051*0.1)</f>
        <v>0</v>
      </c>
      <c r="BY1051" s="192">
        <f ca="1">SUM(BZ1051*CA1051)</f>
        <v>0</v>
      </c>
      <c r="BZ1051" s="193">
        <f>SUM((BW1051+BX1051)*0.00833333333333333)</f>
        <v>0</v>
      </c>
      <c r="CA1051" s="194">
        <f ca="1">MONTH(TODAY())+37</f>
        <v>41</v>
      </c>
      <c r="CB1051" s="192">
        <f ca="1">SUM(BW1051,BX1051,BY1051)</f>
        <v>0</v>
      </c>
      <c r="CC1051" s="192">
        <v>0</v>
      </c>
      <c r="CD1051" s="192">
        <f>SUM(CC1051*0.1)</f>
        <v>0</v>
      </c>
      <c r="CE1051" s="192">
        <f ca="1">SUM(CF1051*CG1051)</f>
        <v>0</v>
      </c>
      <c r="CF1051" s="193">
        <f>SUM((CC1051+CD1051)*0.00833333333333333)</f>
        <v>0</v>
      </c>
      <c r="CG1051" s="194">
        <f ca="1">MONTH(TODAY())+29</f>
        <v>33</v>
      </c>
      <c r="CH1051" s="194">
        <f ca="1">SUM(CC1051,CD1051,CE1051)</f>
        <v>0</v>
      </c>
      <c r="CI1051" s="192">
        <f>SUM(EG1051*0.0052)/2-173.23</f>
        <v>72.990000000000009</v>
      </c>
      <c r="CJ1051" s="192">
        <f>SUM(CI1051*0.1)</f>
        <v>7.2990000000000013</v>
      </c>
      <c r="CK1051" s="192">
        <f ca="1">SUM(CL1051*CM1051)</f>
        <v>19.403174999999997</v>
      </c>
      <c r="CL1051" s="193">
        <f>SUM((CI1051+CJ1051)*0.00833333333333333)</f>
        <v>0.66907499999999986</v>
      </c>
      <c r="CM1051" s="194">
        <f ca="1">MONTH(TODAY())+25</f>
        <v>29</v>
      </c>
      <c r="CN1051" s="192">
        <f ca="1">SUM(CI1051,CJ1051,CK1051)</f>
        <v>99.69217500000002</v>
      </c>
      <c r="CO1051" s="192">
        <f>SUM(EJ1051*0.0045)/2</f>
        <v>249.97499999999999</v>
      </c>
      <c r="CP1051" s="192">
        <f>SUM(CO1051*0.1)</f>
        <v>24.997500000000002</v>
      </c>
      <c r="CQ1051" s="192">
        <f ca="1">SUM(CR1051*CS1051)</f>
        <v>52.703062499999973</v>
      </c>
      <c r="CR1051" s="193">
        <f>SUM((CO1051+CP1051)*0.00833333333333333)</f>
        <v>2.2914374999999989</v>
      </c>
      <c r="CS1051" s="194">
        <f ca="1">MONTH(TODAY())+19</f>
        <v>23</v>
      </c>
      <c r="CT1051" s="192">
        <f ca="1">SUM(CO1051,CP1051,CQ1051)</f>
        <v>327.67556249999996</v>
      </c>
      <c r="CU1051" s="192">
        <f>SUM(EJ1051*0.0045)/2</f>
        <v>249.97499999999999</v>
      </c>
      <c r="CV1051" s="192">
        <f>SUM(CU1051*0.1)</f>
        <v>24.997500000000002</v>
      </c>
      <c r="CW1051" s="192">
        <f ca="1">SUM(CX1051*CY1051)</f>
        <v>38.954437499999983</v>
      </c>
      <c r="CX1051" s="193">
        <f>SUM((CU1051+CV1051)*0.00833333333333333)</f>
        <v>2.2914374999999989</v>
      </c>
      <c r="CY1051" s="194">
        <f ca="1">MONTH(TODAY())+13</f>
        <v>17</v>
      </c>
      <c r="CZ1051" s="192">
        <f ca="1">SUM(CU1051,CV1051,CW1051)</f>
        <v>313.92693749999995</v>
      </c>
      <c r="DA1051" s="192">
        <f>SUM(EJ1051*0.0045)/2</f>
        <v>249.97499999999999</v>
      </c>
      <c r="DB1051" s="192">
        <f>SUM(DA1051*0.1)</f>
        <v>24.997500000000002</v>
      </c>
      <c r="DC1051" s="192">
        <f ca="1">SUM(DD1051*DE1051)</f>
        <v>20.622937499999992</v>
      </c>
      <c r="DD1051" s="193">
        <f>SUM((DA1051+DB1051)*0.00833333333333333)</f>
        <v>2.2914374999999989</v>
      </c>
      <c r="DE1051" s="194">
        <f ca="1">MONTH(TODAY())+5</f>
        <v>9</v>
      </c>
      <c r="DF1051" s="192">
        <f ca="1">SUM(DA1051,DB1051,DC1051)</f>
        <v>295.59543749999995</v>
      </c>
      <c r="DG1051" s="192">
        <f>SUM(EJ1051*0.0045)/2</f>
        <v>249.97499999999999</v>
      </c>
      <c r="DH1051" s="192">
        <f>SUM(DG1051*0.1)</f>
        <v>24.997500000000002</v>
      </c>
      <c r="DI1051" s="192">
        <f ca="1">SUM(DJ1051*DK1051)</f>
        <v>11.457187499999995</v>
      </c>
      <c r="DJ1051" s="193">
        <f>SUM((DG1051+DH1051)*0.00833333333333333)</f>
        <v>2.2914374999999989</v>
      </c>
      <c r="DK1051" s="194">
        <f ca="1">MONTH(TODAY())+1</f>
        <v>5</v>
      </c>
      <c r="DL1051" s="192">
        <f ca="1">SUM(DG1051,DH1051,DI1051)</f>
        <v>286.42968749999994</v>
      </c>
      <c r="DM1051" s="192">
        <f>SUM(BQ1051, BW1051, CC1051,CI1051,CO1051,CU1051,DA1051,DG1051)</f>
        <v>1072.8900000000001</v>
      </c>
      <c r="DN1051" s="192">
        <f>SUM(BR1051,BX1051, CD1051,CJ1051,CP1051,CV1051,DB1051,DH1051)</f>
        <v>107.28900000000002</v>
      </c>
      <c r="DO1051" s="192">
        <f ca="1">SUM(BS1051,BY1051, CE1051,CK1051,CQ1051,CW1051,DC1051,DI1051)</f>
        <v>143.14079999999993</v>
      </c>
      <c r="DP1051" s="195">
        <f ca="1">SUM(DM1051:DO1051)</f>
        <v>1323.3198</v>
      </c>
      <c r="DQ1051" s="292">
        <f ca="1">SUM(DP1051/EG1051)</f>
        <v>1.3973809926082366E-2</v>
      </c>
      <c r="DR1051" s="208">
        <v>40</v>
      </c>
      <c r="DS1051" s="32">
        <f>COUNTIF(Z1051, "*")+COUNTIF(U1051, "*")+COUNTIF(AJ1051, "*")+COUNTIF(EU1051, "*")+COUNTIF(FA1051, "*")+COUNTIF(FG1051, "*")+COUNTIF(FK1051, "*")+COUNTIF(FR1051, "*")+COUNTIF(AN1051, "*")+COUNTIF(GA1051, "*")+COUNTIF(GL1051, "*")+COUNTIF(GW1051, "*")+COUNTIF(HE1051, "*")+COUNTIF(HM1051, "*")+COUNTIF(HU1051, "*")</f>
        <v>1</v>
      </c>
      <c r="DT1051" s="208">
        <f>DS1051*0.69</f>
        <v>0.69</v>
      </c>
      <c r="DU1051" s="208"/>
      <c r="DV1051" s="208"/>
      <c r="DW1051" s="208"/>
      <c r="DX1051" s="208"/>
      <c r="DY1051" s="208"/>
      <c r="DZ1051" s="208"/>
      <c r="EA1051" s="14">
        <f>SUM(DU1051:DZ1051)</f>
        <v>0</v>
      </c>
      <c r="EB1051" s="14">
        <f ca="1">SUM(DP1051,DR1051,EA1051,DT1051,FX1051)</f>
        <v>1364.0098</v>
      </c>
      <c r="EC1051" s="24" t="s">
        <v>5914</v>
      </c>
      <c r="ED1051" s="23">
        <v>3.12</v>
      </c>
      <c r="EE1051" s="14">
        <v>29500</v>
      </c>
      <c r="EF1051" s="14">
        <v>65200</v>
      </c>
      <c r="EG1051" s="14">
        <f>SUM(EE1051+EF1051)</f>
        <v>94700</v>
      </c>
      <c r="EH1051" s="14">
        <v>32600</v>
      </c>
      <c r="EI1051" s="14">
        <v>78500</v>
      </c>
      <c r="EJ1051" s="14">
        <f>SUM(EH1051+EI1051)</f>
        <v>111100</v>
      </c>
      <c r="EK1051" s="201"/>
      <c r="EL1051" s="201"/>
      <c r="EM1051" s="201"/>
      <c r="EN1051" s="201"/>
      <c r="EO1051" s="201"/>
      <c r="EP1051" s="201"/>
      <c r="EQ1051" s="201"/>
      <c r="ER1051" s="201"/>
      <c r="ES1051" s="201"/>
      <c r="ET1051" s="201"/>
      <c r="EU1051" s="201"/>
      <c r="EV1051" s="201"/>
      <c r="EW1051" s="201"/>
      <c r="EX1051" s="201"/>
      <c r="EY1051" s="201"/>
      <c r="EZ1051" s="201"/>
      <c r="FA1051" s="201"/>
      <c r="FB1051" s="201"/>
      <c r="FC1051" s="201"/>
      <c r="FD1051" s="201"/>
      <c r="FE1051" s="201"/>
      <c r="FF1051" s="201"/>
      <c r="FG1051" s="201"/>
      <c r="FH1051" s="201"/>
      <c r="FI1051" s="201"/>
      <c r="FJ1051" s="201"/>
      <c r="FK1051" s="201"/>
      <c r="FL1051" s="201"/>
      <c r="FM1051" s="201"/>
      <c r="FN1051" s="201"/>
      <c r="FO1051" s="209"/>
      <c r="FP1051" s="201"/>
      <c r="FQ1051" s="201"/>
      <c r="FR1051" s="201"/>
      <c r="FS1051" s="201"/>
      <c r="FT1051" s="201"/>
      <c r="FU1051" s="201"/>
      <c r="FV1051" s="209"/>
      <c r="FW1051" s="201"/>
      <c r="FX1051" s="201"/>
      <c r="FY1051" s="201"/>
      <c r="FZ1051" s="201"/>
      <c r="GA1051" s="201"/>
      <c r="GB1051" s="201"/>
      <c r="GC1051" s="201"/>
      <c r="GD1051" s="201"/>
      <c r="GE1051" s="209"/>
      <c r="GF1051" s="201"/>
      <c r="GG1051" s="201"/>
      <c r="GH1051" s="201"/>
      <c r="GI1051" s="201"/>
      <c r="GJ1051" s="201"/>
      <c r="GK1051" s="201"/>
      <c r="GL1051" s="201"/>
      <c r="GM1051" s="201"/>
      <c r="GN1051" s="201"/>
      <c r="GO1051" s="201"/>
      <c r="GP1051" s="209"/>
      <c r="GQ1051" s="201"/>
      <c r="GR1051" s="201"/>
      <c r="GS1051" s="201"/>
      <c r="GT1051" s="201"/>
      <c r="GU1051" s="201"/>
      <c r="GV1051" s="201"/>
      <c r="GW1051" s="201"/>
      <c r="GX1051" s="201"/>
      <c r="GY1051" s="201"/>
      <c r="GZ1051" s="201"/>
      <c r="HA1051" s="209"/>
      <c r="HB1051" s="201"/>
      <c r="HC1051" s="201"/>
      <c r="HD1051" s="201"/>
      <c r="HE1051" s="201"/>
      <c r="HF1051" s="201"/>
      <c r="HG1051" s="201"/>
      <c r="HH1051" s="201"/>
      <c r="HI1051" s="209"/>
      <c r="HJ1051" s="201"/>
      <c r="HK1051" s="201"/>
      <c r="HL1051" s="201"/>
      <c r="HM1051" s="201"/>
      <c r="HN1051" s="201"/>
      <c r="HO1051" s="201"/>
      <c r="HP1051" s="201"/>
      <c r="HQ1051" s="209"/>
      <c r="HR1051" s="201"/>
      <c r="HS1051" s="201"/>
      <c r="HT1051" s="201"/>
      <c r="HU1051" s="201"/>
      <c r="HV1051" s="201"/>
      <c r="HW1051" s="201"/>
      <c r="HX1051" s="201"/>
      <c r="HY1051" s="209"/>
      <c r="HZ1051" s="208"/>
      <c r="IA1051" s="208"/>
      <c r="IB1051" s="201"/>
      <c r="IC1051" s="201"/>
      <c r="ID1051" s="201"/>
      <c r="IE1051" s="201"/>
      <c r="IF1051" s="208"/>
      <c r="IG1051" s="208"/>
      <c r="IH1051" s="208"/>
      <c r="II1051" s="208"/>
      <c r="IJ1051" s="208"/>
      <c r="IK1051" s="209"/>
      <c r="IL1051" s="209"/>
      <c r="IM1051" s="209"/>
      <c r="IN1051" s="209"/>
      <c r="IO1051" s="209"/>
      <c r="IP1051" s="200" t="s">
        <v>5913</v>
      </c>
      <c r="IQ1051" s="9"/>
    </row>
  </sheetData>
  <sortState xmlns:xlrd2="http://schemas.microsoft.com/office/spreadsheetml/2017/richdata2" ref="A2:JC1050">
    <sortCondition ref="B2:B1050"/>
  </sortState>
  <conditionalFormatting sqref="G319:I319">
    <cfRule type="cellIs" dxfId="0" priority="1" operator="equal">
      <formula>"Unknown."</formula>
    </cfRule>
  </conditionalFormatting>
  <hyperlinks>
    <hyperlink ref="AH922" r:id="rId1" xr:uid="{6BAE8B06-71F8-4D18-8F2F-5C50A33FC62D}"/>
    <hyperlink ref="AH952" r:id="rId2" xr:uid="{E1089153-199F-49FA-97F5-658EF42D5E65}"/>
    <hyperlink ref="AH272" r:id="rId3" xr:uid="{314CE838-B00E-4629-9675-37383DC2F485}"/>
    <hyperlink ref="AH23" r:id="rId4" xr:uid="{8A1000D7-A8C8-4648-B293-55D7AC8CD7F4}"/>
    <hyperlink ref="AH650" r:id="rId5" xr:uid="{3CAFEF25-9933-493F-8285-1AD7DE3F07E5}"/>
    <hyperlink ref="AH651" r:id="rId6" xr:uid="{8DC43E92-D6F5-4F04-933A-2E2D6C5DEA36}"/>
    <hyperlink ref="AH587" r:id="rId7" xr:uid="{929A60CF-2222-4AE3-B140-44F3F1A1DE21}"/>
    <hyperlink ref="AH911" r:id="rId8" xr:uid="{E4295D8B-09F5-4F21-AB27-CF5A4A88557B}"/>
    <hyperlink ref="AH375" r:id="rId9" xr:uid="{0C483261-E8E6-4D4E-BF96-D1E46027F7F5}"/>
    <hyperlink ref="AH358" r:id="rId10" xr:uid="{474C7B50-9458-4F70-8BAE-95C42698197B}"/>
    <hyperlink ref="AH863" r:id="rId11" xr:uid="{98056EC0-9EC1-469E-BF41-3DD290295A6B}"/>
    <hyperlink ref="AH678" r:id="rId12" xr:uid="{42AD7E22-A719-489F-A5E1-8799552565D5}"/>
    <hyperlink ref="AH339" r:id="rId13" xr:uid="{AC6DBA62-54DF-44DF-BD55-E4D2F05FB26B}"/>
    <hyperlink ref="AH112" r:id="rId14" xr:uid="{E7A693AD-5E57-443B-A2DF-FC971BB2D208}"/>
    <hyperlink ref="AH500" r:id="rId15" xr:uid="{F7B76E4D-4F54-40E3-8D96-D4D5565558A8}"/>
    <hyperlink ref="AH474" r:id="rId16" xr:uid="{D23EB2E2-2E20-4285-97C9-63642B423BA3}"/>
    <hyperlink ref="AH567" r:id="rId17" xr:uid="{DC8382A7-43D2-46E0-B159-DB1DA934F736}"/>
    <hyperlink ref="AH269" r:id="rId18" xr:uid="{E27A6D83-8619-4B6A-82D3-72824E79F124}"/>
  </hyperlinks>
  <pageMargins left="0.7" right="0.7" top="0.75" bottom="0.75" header="0.3" footer="0.3"/>
  <pageSetup orientation="portrait" horizontalDpi="1200" verticalDpi="1200" r:id="rId19"/>
  <legacy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697F-042D-9040-B03F-FB2D817AF52A}">
  <dimension ref="A1:IW19"/>
  <sheetViews>
    <sheetView zoomScaleNormal="100" workbookViewId="0">
      <pane ySplit="1" topLeftCell="A2" activePane="bottomLeft" state="frozen"/>
      <selection pane="bottomLeft" sqref="A1:XFD1"/>
    </sheetView>
  </sheetViews>
  <sheetFormatPr defaultColWidth="10.85546875" defaultRowHeight="15"/>
  <cols>
    <col min="1" max="1" width="10" bestFit="1" customWidth="1"/>
    <col min="2" max="2" width="18.85546875" bestFit="1" customWidth="1"/>
    <col min="3" max="3" width="6.28515625" bestFit="1" customWidth="1"/>
    <col min="4" max="4" width="16" bestFit="1" customWidth="1"/>
    <col min="5" max="5" width="13.85546875" bestFit="1" customWidth="1"/>
    <col min="6" max="6" width="15.7109375" style="10" bestFit="1" customWidth="1"/>
    <col min="7" max="7" width="16.42578125" bestFit="1" customWidth="1"/>
    <col min="8" max="8" width="17.85546875" bestFit="1" customWidth="1"/>
    <col min="9" max="9" width="14.42578125" bestFit="1" customWidth="1"/>
    <col min="10" max="10" width="10.140625" bestFit="1" customWidth="1"/>
    <col min="11" max="11" width="20.5703125" bestFit="1" customWidth="1"/>
    <col min="12" max="12" width="10.5703125" bestFit="1" customWidth="1"/>
    <col min="13" max="13" width="10" bestFit="1" customWidth="1"/>
    <col min="14" max="14" width="6.140625" bestFit="1" customWidth="1"/>
    <col min="15" max="15" width="12" bestFit="1" customWidth="1"/>
    <col min="16" max="16" width="11.5703125" bestFit="1" customWidth="1"/>
    <col min="17" max="17" width="12" bestFit="1" customWidth="1"/>
    <col min="18" max="18" width="11.42578125" bestFit="1" customWidth="1"/>
    <col min="19" max="19" width="7.5703125" bestFit="1" customWidth="1"/>
    <col min="20" max="20" width="12" bestFit="1" customWidth="1"/>
    <col min="21" max="21" width="11.5703125" bestFit="1" customWidth="1"/>
    <col min="22" max="22" width="12" bestFit="1" customWidth="1"/>
    <col min="23" max="23" width="11.42578125" bestFit="1" customWidth="1"/>
    <col min="24" max="24" width="7.5703125" bestFit="1" customWidth="1"/>
    <col min="25" max="25" width="12" bestFit="1" customWidth="1"/>
    <col min="26" max="26" width="16.42578125" bestFit="1" customWidth="1"/>
    <col min="27" max="27" width="11.85546875" bestFit="1" customWidth="1"/>
    <col min="28" max="28" width="7.85546875" bestFit="1" customWidth="1"/>
    <col min="29" max="29" width="15.42578125" bestFit="1" customWidth="1"/>
    <col min="30" max="30" width="9" bestFit="1" customWidth="1"/>
    <col min="31" max="31" width="12.5703125" bestFit="1" customWidth="1"/>
    <col min="32" max="32" width="12.7109375" bestFit="1" customWidth="1"/>
    <col min="33" max="33" width="7.85546875" bestFit="1" customWidth="1"/>
    <col min="34" max="34" width="10.7109375" bestFit="1" customWidth="1"/>
    <col min="35" max="35" width="12.5703125" bestFit="1" customWidth="1"/>
    <col min="36" max="36" width="17.85546875" bestFit="1" customWidth="1"/>
    <col min="37" max="37" width="20" bestFit="1" customWidth="1"/>
    <col min="38" max="38" width="22.5703125" bestFit="1" customWidth="1"/>
    <col min="39" max="39" width="16.28515625" bestFit="1" customWidth="1"/>
    <col min="40" max="40" width="17.28515625" bestFit="1" customWidth="1"/>
    <col min="41" max="41" width="24.28515625" bestFit="1" customWidth="1"/>
    <col min="42" max="42" width="20.5703125" bestFit="1" customWidth="1"/>
    <col min="43" max="43" width="25.7109375" bestFit="1" customWidth="1"/>
    <col min="44" max="44" width="18.28515625" bestFit="1" customWidth="1"/>
    <col min="45" max="45" width="25.85546875" bestFit="1" customWidth="1"/>
    <col min="46" max="46" width="19.140625" bestFit="1" customWidth="1"/>
    <col min="47" max="47" width="19.5703125" bestFit="1" customWidth="1"/>
    <col min="48" max="48" width="19.7109375" bestFit="1" customWidth="1"/>
    <col min="49" max="49" width="23.140625" bestFit="1" customWidth="1"/>
    <col min="50" max="50" width="18.28515625" bestFit="1" customWidth="1"/>
    <col min="51" max="51" width="18.85546875" bestFit="1" customWidth="1"/>
    <col min="52" max="52" width="16.42578125" bestFit="1" customWidth="1"/>
    <col min="53" max="53" width="10" bestFit="1" customWidth="1"/>
    <col min="54" max="54" width="16.7109375" bestFit="1" customWidth="1"/>
    <col min="55" max="55" width="10" bestFit="1" customWidth="1"/>
    <col min="56" max="56" width="15.7109375" bestFit="1" customWidth="1"/>
    <col min="58" max="58" width="19.42578125" bestFit="1" customWidth="1"/>
    <col min="59" max="59" width="19.7109375" bestFit="1" customWidth="1"/>
    <col min="60" max="61" width="15.5703125" bestFit="1" customWidth="1"/>
    <col min="62" max="62" width="22.5703125" bestFit="1" customWidth="1"/>
    <col min="63" max="63" width="22.85546875" bestFit="1" customWidth="1"/>
    <col min="64" max="64" width="16.140625" bestFit="1" customWidth="1"/>
    <col min="65" max="65" width="9" bestFit="1" customWidth="1"/>
    <col min="66" max="66" width="16.42578125" bestFit="1" customWidth="1"/>
    <col min="67" max="67" width="15.7109375" bestFit="1" customWidth="1"/>
    <col min="68" max="68" width="13.42578125" bestFit="1" customWidth="1"/>
    <col min="69" max="69" width="8.42578125" bestFit="1" customWidth="1"/>
    <col min="70" max="70" width="12.140625" bestFit="1" customWidth="1"/>
    <col min="71" max="71" width="12.42578125" bestFit="1" customWidth="1"/>
    <col min="72" max="72" width="23" bestFit="1" customWidth="1"/>
    <col min="73" max="73" width="13.85546875" bestFit="1" customWidth="1"/>
    <col min="74" max="74" width="9.85546875" bestFit="1" customWidth="1"/>
    <col min="75" max="75" width="8.42578125" bestFit="1" customWidth="1"/>
    <col min="76" max="76" width="12.140625" bestFit="1" customWidth="1"/>
    <col min="77" max="77" width="12.42578125" bestFit="1" customWidth="1"/>
    <col min="78" max="78" width="23" bestFit="1" customWidth="1"/>
    <col min="79" max="79" width="13.85546875" bestFit="1" customWidth="1"/>
    <col min="80" max="80" width="9.85546875" bestFit="1" customWidth="1"/>
    <col min="81" max="81" width="8.42578125" bestFit="1" customWidth="1"/>
    <col min="82" max="82" width="12.140625" bestFit="1" customWidth="1"/>
    <col min="83" max="83" width="12.42578125" bestFit="1" customWidth="1"/>
    <col min="84" max="84" width="23" bestFit="1" customWidth="1"/>
    <col min="85" max="85" width="13.85546875" bestFit="1" customWidth="1"/>
    <col min="86" max="86" width="9.85546875" bestFit="1" customWidth="1"/>
    <col min="87" max="87" width="11.42578125" bestFit="1" customWidth="1"/>
    <col min="88" max="88" width="15.28515625" bestFit="1" customWidth="1"/>
    <col min="89" max="89" width="15.5703125" bestFit="1" customWidth="1"/>
    <col min="90" max="90" width="23" bestFit="1" customWidth="1"/>
    <col min="91" max="91" width="16.85546875" bestFit="1" customWidth="1"/>
    <col min="92" max="92" width="12.85546875" bestFit="1" customWidth="1"/>
    <col min="93" max="93" width="12.140625" bestFit="1" customWidth="1"/>
    <col min="94" max="94" width="16" bestFit="1" customWidth="1"/>
    <col min="95" max="95" width="16.28515625" bestFit="1" customWidth="1"/>
    <col min="96" max="96" width="23" bestFit="1" customWidth="1"/>
    <col min="97" max="97" width="17.7109375" bestFit="1" customWidth="1"/>
    <col min="98" max="98" width="13.7109375" bestFit="1" customWidth="1"/>
    <col min="99" max="99" width="11.42578125" bestFit="1" customWidth="1"/>
    <col min="100" max="100" width="15.28515625" bestFit="1" customWidth="1"/>
    <col min="101" max="101" width="15.5703125" bestFit="1" customWidth="1"/>
    <col min="102" max="102" width="23" bestFit="1" customWidth="1"/>
    <col min="103" max="103" width="16.85546875" bestFit="1" customWidth="1"/>
    <col min="104" max="104" width="12.85546875" bestFit="1" customWidth="1"/>
    <col min="105" max="105" width="12.140625" bestFit="1" customWidth="1"/>
    <col min="106" max="106" width="16" bestFit="1" customWidth="1"/>
    <col min="107" max="107" width="16.28515625" bestFit="1" customWidth="1"/>
    <col min="108" max="108" width="23" bestFit="1" customWidth="1"/>
    <col min="109" max="109" width="17.7109375" bestFit="1" customWidth="1"/>
    <col min="110" max="110" width="13.7109375" bestFit="1" customWidth="1"/>
    <col min="111" max="111" width="11.42578125" bestFit="1" customWidth="1"/>
    <col min="112" max="112" width="15.28515625" bestFit="1" customWidth="1"/>
    <col min="113" max="113" width="15.5703125" bestFit="1" customWidth="1"/>
    <col min="114" max="114" width="23" bestFit="1" customWidth="1"/>
    <col min="115" max="115" width="16.85546875" bestFit="1" customWidth="1"/>
    <col min="116" max="116" width="12.85546875" bestFit="1" customWidth="1"/>
    <col min="117" max="117" width="12.140625" bestFit="1" customWidth="1"/>
    <col min="118" max="118" width="16" bestFit="1" customWidth="1"/>
    <col min="119" max="119" width="16.28515625" bestFit="1" customWidth="1"/>
    <col min="120" max="120" width="23" bestFit="1" customWidth="1"/>
    <col min="121" max="121" width="17.7109375" bestFit="1" customWidth="1"/>
    <col min="122" max="122" width="13.7109375" bestFit="1" customWidth="1"/>
    <col min="123" max="123" width="9.28515625" bestFit="1" customWidth="1"/>
    <col min="124" max="124" width="12.5703125" bestFit="1" customWidth="1"/>
    <col min="125" max="125" width="12.85546875" bestFit="1" customWidth="1"/>
    <col min="126" max="126" width="9.140625" bestFit="1" customWidth="1"/>
    <col min="127" max="127" width="16.7109375" bestFit="1" customWidth="1"/>
    <col min="128" max="128" width="9.140625" bestFit="1" customWidth="1"/>
    <col min="129" max="129" width="9.5703125" bestFit="1" customWidth="1"/>
    <col min="130" max="130" width="12.7109375" bestFit="1" customWidth="1"/>
    <col min="131" max="131" width="16.28515625" bestFit="1" customWidth="1"/>
    <col min="132" max="132" width="10.140625" bestFit="1" customWidth="1"/>
    <col min="133" max="133" width="8.140625" bestFit="1" customWidth="1"/>
    <col min="134" max="134" width="15.5703125" bestFit="1" customWidth="1"/>
    <col min="135" max="135" width="14.140625" bestFit="1" customWidth="1"/>
    <col min="136" max="136" width="18.42578125" bestFit="1" customWidth="1"/>
    <col min="137" max="137" width="18.7109375" bestFit="1" customWidth="1"/>
    <col min="138" max="138" width="10.140625" bestFit="1" customWidth="1"/>
    <col min="139" max="139" width="9.7109375" bestFit="1" customWidth="1"/>
    <col min="140" max="140" width="12.42578125" bestFit="1" customWidth="1"/>
    <col min="141" max="141" width="19.140625" bestFit="1" customWidth="1"/>
    <col min="142" max="142" width="22" bestFit="1" customWidth="1"/>
    <col min="143" max="143" width="18.42578125" bestFit="1" customWidth="1"/>
    <col min="144" max="144" width="19.140625" bestFit="1" customWidth="1"/>
    <col min="145" max="145" width="22" bestFit="1" customWidth="1"/>
    <col min="146" max="146" width="18.42578125" bestFit="1" customWidth="1"/>
    <col min="147" max="151" width="255.7109375" bestFit="1" customWidth="1"/>
    <col min="152" max="153" width="14.5703125" bestFit="1" customWidth="1"/>
    <col min="154" max="154" width="34.28515625" bestFit="1" customWidth="1"/>
    <col min="155" max="155" width="16.28515625" bestFit="1" customWidth="1"/>
    <col min="156" max="156" width="21.5703125" bestFit="1" customWidth="1"/>
    <col min="157" max="157" width="17.5703125" bestFit="1" customWidth="1"/>
    <col min="158" max="158" width="18.42578125" bestFit="1" customWidth="1"/>
    <col min="159" max="159" width="18.28515625" bestFit="1" customWidth="1"/>
    <col min="160" max="160" width="22.5703125" bestFit="1" customWidth="1"/>
    <col min="161" max="161" width="16.28515625" bestFit="1" customWidth="1"/>
    <col min="162" max="162" width="23" bestFit="1" customWidth="1"/>
    <col min="163" max="163" width="24.42578125" bestFit="1" customWidth="1"/>
    <col min="164" max="164" width="19.7109375" bestFit="1" customWidth="1"/>
    <col min="165" max="165" width="16.28515625" bestFit="1" customWidth="1"/>
    <col min="166" max="166" width="22.5703125" bestFit="1" customWidth="1"/>
    <col min="167" max="167" width="16.28515625" bestFit="1" customWidth="1"/>
    <col min="168" max="168" width="23.42578125" bestFit="1" customWidth="1"/>
    <col min="169" max="169" width="19.7109375" bestFit="1" customWidth="1"/>
    <col min="170" max="170" width="16.28515625" bestFit="1" customWidth="1"/>
    <col min="171" max="171" width="50.140625" bestFit="1" customWidth="1"/>
    <col min="172" max="172" width="32.42578125" bestFit="1" customWidth="1"/>
    <col min="173" max="173" width="16.85546875" bestFit="1" customWidth="1"/>
    <col min="174" max="174" width="20.42578125" bestFit="1" customWidth="1"/>
    <col min="175" max="175" width="19" bestFit="1" customWidth="1"/>
    <col min="176" max="176" width="14.28515625" bestFit="1" customWidth="1"/>
    <col min="177" max="177" width="22.140625" bestFit="1" customWidth="1"/>
    <col min="178" max="178" width="9.140625" bestFit="1" customWidth="1"/>
    <col min="179" max="180" width="18.42578125" bestFit="1" customWidth="1"/>
    <col min="181" max="181" width="12.7109375" bestFit="1" customWidth="1"/>
    <col min="182" max="182" width="20.42578125" bestFit="1" customWidth="1"/>
    <col min="183" max="183" width="14.28515625" bestFit="1" customWidth="1"/>
    <col min="185" max="185" width="19.5703125" style="4" bestFit="1" customWidth="1"/>
    <col min="186" max="186" width="26.140625" bestFit="1" customWidth="1"/>
    <col min="187" max="187" width="41.28515625" bestFit="1" customWidth="1"/>
    <col min="188" max="188" width="40" bestFit="1" customWidth="1"/>
    <col min="189" max="189" width="27.140625" bestFit="1" customWidth="1"/>
    <col min="190" max="190" width="19.5703125" bestFit="1" customWidth="1"/>
    <col min="191" max="191" width="16.28515625" bestFit="1" customWidth="1"/>
    <col min="192" max="192" width="11.7109375" bestFit="1" customWidth="1"/>
    <col min="193" max="193" width="255.7109375" bestFit="1" customWidth="1"/>
    <col min="194" max="194" width="12.85546875" bestFit="1" customWidth="1"/>
    <col min="195" max="195" width="15.28515625" bestFit="1" customWidth="1"/>
    <col min="196" max="196" width="11.7109375" bestFit="1" customWidth="1"/>
    <col min="197" max="197" width="32.140625" bestFit="1" customWidth="1"/>
    <col min="198" max="198" width="41.28515625" bestFit="1" customWidth="1"/>
    <col min="199" max="199" width="21.85546875" bestFit="1" customWidth="1"/>
    <col min="200" max="200" width="23.28515625" bestFit="1" customWidth="1"/>
    <col min="201" max="201" width="19.5703125" bestFit="1" customWidth="1"/>
    <col min="202" max="202" width="16.28515625" bestFit="1" customWidth="1"/>
    <col min="203" max="203" width="13.28515625" bestFit="1" customWidth="1"/>
    <col min="204" max="204" width="255.28515625" bestFit="1" customWidth="1"/>
    <col min="205" max="205" width="14.42578125" bestFit="1" customWidth="1"/>
    <col min="206" max="206" width="26.85546875" bestFit="1" customWidth="1"/>
    <col min="207" max="207" width="21.42578125" bestFit="1" customWidth="1"/>
    <col min="208" max="208" width="21.85546875" bestFit="1" customWidth="1"/>
    <col min="209" max="209" width="23.28515625" bestFit="1" customWidth="1"/>
    <col min="210" max="210" width="19.7109375" bestFit="1" customWidth="1"/>
    <col min="211" max="211" width="16.28515625" bestFit="1" customWidth="1"/>
    <col min="212" max="212" width="13.28515625" bestFit="1" customWidth="1"/>
    <col min="213" max="213" width="24.28515625" bestFit="1" customWidth="1"/>
    <col min="214" max="214" width="38.85546875" bestFit="1" customWidth="1"/>
    <col min="215" max="215" width="35.5703125" bestFit="1" customWidth="1"/>
    <col min="216" max="216" width="21.85546875" bestFit="1" customWidth="1"/>
    <col min="217" max="217" width="23.28515625" bestFit="1" customWidth="1"/>
    <col min="218" max="218" width="19.7109375" bestFit="1" customWidth="1"/>
    <col min="219" max="219" width="16.28515625" bestFit="1" customWidth="1"/>
    <col min="220" max="220" width="13.28515625" bestFit="1" customWidth="1"/>
    <col min="221" max="221" width="24.28515625" bestFit="1" customWidth="1"/>
    <col min="222" max="222" width="18.42578125" bestFit="1" customWidth="1"/>
    <col min="223" max="223" width="21.42578125" bestFit="1" customWidth="1"/>
    <col min="224" max="224" width="21.85546875" bestFit="1" customWidth="1"/>
    <col min="225" max="225" width="23.28515625" bestFit="1" customWidth="1"/>
    <col min="226" max="226" width="17.7109375" bestFit="1" customWidth="1"/>
    <col min="227" max="227" width="15.140625" bestFit="1" customWidth="1"/>
    <col min="228" max="228" width="13.28515625" bestFit="1" customWidth="1"/>
    <col min="229" max="229" width="9.85546875" bestFit="1" customWidth="1"/>
    <col min="230" max="231" width="19.42578125" bestFit="1" customWidth="1"/>
    <col min="232" max="232" width="15.28515625" bestFit="1" customWidth="1"/>
    <col min="233" max="233" width="10.42578125" bestFit="1" customWidth="1"/>
    <col min="234" max="234" width="18.28515625" bestFit="1" customWidth="1"/>
    <col min="235" max="235" width="14.140625" bestFit="1" customWidth="1"/>
    <col min="236" max="236" width="11.5703125" bestFit="1" customWidth="1"/>
    <col min="237" max="237" width="11.28515625" bestFit="1" customWidth="1"/>
    <col min="238" max="238" width="12.5703125" bestFit="1" customWidth="1"/>
    <col min="239" max="239" width="51.5703125" bestFit="1" customWidth="1"/>
    <col min="240" max="240" width="20.140625" bestFit="1" customWidth="1"/>
    <col min="241" max="241" width="25.140625" bestFit="1" customWidth="1"/>
    <col min="242" max="242" width="36.28515625" bestFit="1" customWidth="1"/>
    <col min="243" max="243" width="12.28515625" bestFit="1" customWidth="1"/>
    <col min="244" max="244" width="17.5703125" bestFit="1" customWidth="1"/>
    <col min="245" max="245" width="13.85546875" bestFit="1" customWidth="1"/>
    <col min="246" max="246" width="28.5703125" bestFit="1" customWidth="1"/>
    <col min="247" max="247" width="13.85546875" bestFit="1" customWidth="1"/>
    <col min="248" max="248" width="15.140625" bestFit="1" customWidth="1"/>
    <col min="249" max="249" width="14.85546875" bestFit="1" customWidth="1"/>
    <col min="250" max="250" width="12.7109375" bestFit="1" customWidth="1"/>
    <col min="251" max="251" width="15.5703125" bestFit="1" customWidth="1"/>
    <col min="252" max="252" width="21.7109375" bestFit="1" customWidth="1"/>
    <col min="253" max="253" width="18.140625" bestFit="1" customWidth="1"/>
    <col min="254" max="254" width="31.42578125" bestFit="1" customWidth="1"/>
    <col min="255" max="255" width="26.85546875" bestFit="1" customWidth="1"/>
    <col min="256" max="256" width="15.7109375" bestFit="1" customWidth="1"/>
    <col min="257" max="257" width="5.42578125" bestFit="1" customWidth="1"/>
  </cols>
  <sheetData>
    <row r="1" spans="1:257" s="336" customFormat="1">
      <c r="A1" s="322" t="s">
        <v>0</v>
      </c>
      <c r="B1" s="322" t="s">
        <v>1</v>
      </c>
      <c r="C1" s="344" t="s">
        <v>2</v>
      </c>
      <c r="D1" s="345" t="s">
        <v>1519</v>
      </c>
      <c r="E1" s="345" t="s">
        <v>3</v>
      </c>
      <c r="F1" s="345" t="s">
        <v>4</v>
      </c>
      <c r="G1" s="345" t="s">
        <v>5</v>
      </c>
      <c r="H1" s="335" t="s">
        <v>6</v>
      </c>
      <c r="I1" s="335" t="s">
        <v>7</v>
      </c>
      <c r="J1" s="335" t="s">
        <v>8</v>
      </c>
      <c r="K1" s="335" t="s">
        <v>9</v>
      </c>
      <c r="L1" s="335" t="s">
        <v>10</v>
      </c>
      <c r="M1" s="335" t="s">
        <v>11</v>
      </c>
      <c r="N1" s="335" t="s">
        <v>12</v>
      </c>
      <c r="O1" s="345" t="s">
        <v>13</v>
      </c>
      <c r="P1" s="335" t="s">
        <v>14</v>
      </c>
      <c r="Q1" s="335" t="s">
        <v>15</v>
      </c>
      <c r="R1" s="335" t="s">
        <v>16</v>
      </c>
      <c r="S1" s="335" t="s">
        <v>17</v>
      </c>
      <c r="T1" s="345" t="s">
        <v>18</v>
      </c>
      <c r="U1" s="335" t="s">
        <v>19</v>
      </c>
      <c r="V1" s="335" t="s">
        <v>20</v>
      </c>
      <c r="W1" s="335" t="s">
        <v>21</v>
      </c>
      <c r="X1" s="335" t="s">
        <v>22</v>
      </c>
      <c r="Y1" s="345" t="s">
        <v>23</v>
      </c>
      <c r="Z1" s="335" t="s">
        <v>24</v>
      </c>
      <c r="AA1" s="335" t="s">
        <v>25</v>
      </c>
      <c r="AB1" s="335" t="s">
        <v>26</v>
      </c>
      <c r="AC1" s="335" t="s">
        <v>27</v>
      </c>
      <c r="AD1" s="335" t="s">
        <v>28</v>
      </c>
      <c r="AE1" s="335" t="s">
        <v>29</v>
      </c>
      <c r="AF1" s="335" t="s">
        <v>30</v>
      </c>
      <c r="AG1" s="346" t="s">
        <v>31</v>
      </c>
      <c r="AH1" s="335" t="s">
        <v>32</v>
      </c>
      <c r="AI1" s="335" t="s">
        <v>33</v>
      </c>
      <c r="AJ1" s="322" t="s">
        <v>34</v>
      </c>
      <c r="AK1" s="323" t="s">
        <v>35</v>
      </c>
      <c r="AL1" s="322" t="s">
        <v>36</v>
      </c>
      <c r="AM1" s="322" t="s">
        <v>37</v>
      </c>
      <c r="AN1" s="322" t="s">
        <v>38</v>
      </c>
      <c r="AO1" s="322" t="s">
        <v>39</v>
      </c>
      <c r="AP1" s="323" t="s">
        <v>40</v>
      </c>
      <c r="AQ1" s="322" t="s">
        <v>41</v>
      </c>
      <c r="AR1" s="322" t="s">
        <v>42</v>
      </c>
      <c r="AS1" s="322" t="s">
        <v>166</v>
      </c>
      <c r="AT1" s="322" t="s">
        <v>167</v>
      </c>
      <c r="AU1" s="322" t="s">
        <v>168</v>
      </c>
      <c r="AV1" s="322" t="s">
        <v>169</v>
      </c>
      <c r="AW1" s="322" t="s">
        <v>170</v>
      </c>
      <c r="AX1" s="323" t="s">
        <v>43</v>
      </c>
      <c r="AY1" s="323" t="s">
        <v>44</v>
      </c>
      <c r="AZ1" s="323" t="s">
        <v>45</v>
      </c>
      <c r="BA1" s="323" t="s">
        <v>46</v>
      </c>
      <c r="BB1" s="323" t="s">
        <v>47</v>
      </c>
      <c r="BC1" s="342" t="s">
        <v>48</v>
      </c>
      <c r="BD1" s="330" t="s">
        <v>49</v>
      </c>
      <c r="BE1" s="347" t="s">
        <v>50</v>
      </c>
      <c r="BF1" s="342" t="s">
        <v>51</v>
      </c>
      <c r="BG1" s="324" t="s">
        <v>52</v>
      </c>
      <c r="BH1" s="342" t="s">
        <v>53</v>
      </c>
      <c r="BI1" s="342" t="s">
        <v>54</v>
      </c>
      <c r="BJ1" s="342" t="s">
        <v>55</v>
      </c>
      <c r="BK1" s="342" t="s">
        <v>56</v>
      </c>
      <c r="BL1" s="324" t="s">
        <v>57</v>
      </c>
      <c r="BM1" s="324" t="s">
        <v>58</v>
      </c>
      <c r="BN1" s="324" t="s">
        <v>59</v>
      </c>
      <c r="BO1" s="324" t="s">
        <v>2418</v>
      </c>
      <c r="BP1" s="324" t="s">
        <v>2419</v>
      </c>
      <c r="BQ1" s="326" t="s">
        <v>96</v>
      </c>
      <c r="BR1" s="326" t="s">
        <v>97</v>
      </c>
      <c r="BS1" s="326" t="s">
        <v>98</v>
      </c>
      <c r="BT1" s="331" t="s">
        <v>99</v>
      </c>
      <c r="BU1" s="332" t="s">
        <v>100</v>
      </c>
      <c r="BV1" s="326" t="s">
        <v>101</v>
      </c>
      <c r="BW1" s="326" t="s">
        <v>1908</v>
      </c>
      <c r="BX1" s="326" t="s">
        <v>1989</v>
      </c>
      <c r="BY1" s="326" t="s">
        <v>1990</v>
      </c>
      <c r="BZ1" s="331" t="s">
        <v>1991</v>
      </c>
      <c r="CA1" s="332" t="s">
        <v>1992</v>
      </c>
      <c r="CB1" s="326" t="s">
        <v>1993</v>
      </c>
      <c r="CC1" s="326" t="s">
        <v>2544</v>
      </c>
      <c r="CD1" s="326" t="s">
        <v>2551</v>
      </c>
      <c r="CE1" s="326" t="s">
        <v>2552</v>
      </c>
      <c r="CF1" s="331" t="s">
        <v>2553</v>
      </c>
      <c r="CG1" s="332" t="s">
        <v>2554</v>
      </c>
      <c r="CH1" s="326" t="s">
        <v>2555</v>
      </c>
      <c r="CI1" s="326" t="s">
        <v>3876</v>
      </c>
      <c r="CJ1" s="326" t="s">
        <v>3910</v>
      </c>
      <c r="CK1" s="326" t="s">
        <v>3909</v>
      </c>
      <c r="CL1" s="331" t="s">
        <v>3911</v>
      </c>
      <c r="CM1" s="332" t="s">
        <v>3912</v>
      </c>
      <c r="CN1" s="326" t="s">
        <v>3913</v>
      </c>
      <c r="CO1" s="326" t="s">
        <v>3942</v>
      </c>
      <c r="CP1" s="326" t="s">
        <v>3943</v>
      </c>
      <c r="CQ1" s="326" t="s">
        <v>3944</v>
      </c>
      <c r="CR1" s="331" t="s">
        <v>3945</v>
      </c>
      <c r="CS1" s="332" t="s">
        <v>3946</v>
      </c>
      <c r="CT1" s="326" t="s">
        <v>3947</v>
      </c>
      <c r="CU1" s="326" t="s">
        <v>4751</v>
      </c>
      <c r="CV1" s="326" t="s">
        <v>4752</v>
      </c>
      <c r="CW1" s="326" t="s">
        <v>4754</v>
      </c>
      <c r="CX1" s="331" t="s">
        <v>4753</v>
      </c>
      <c r="CY1" s="332" t="s">
        <v>4755</v>
      </c>
      <c r="CZ1" s="326" t="s">
        <v>4756</v>
      </c>
      <c r="DA1" s="326" t="s">
        <v>4757</v>
      </c>
      <c r="DB1" s="326" t="s">
        <v>4758</v>
      </c>
      <c r="DC1" s="326" t="s">
        <v>4759</v>
      </c>
      <c r="DD1" s="331" t="s">
        <v>4760</v>
      </c>
      <c r="DE1" s="332" t="s">
        <v>4761</v>
      </c>
      <c r="DF1" s="326" t="s">
        <v>4762</v>
      </c>
      <c r="DG1" s="326" t="s">
        <v>5600</v>
      </c>
      <c r="DH1" s="326" t="s">
        <v>5601</v>
      </c>
      <c r="DI1" s="326" t="s">
        <v>5602</v>
      </c>
      <c r="DJ1" s="331" t="s">
        <v>5603</v>
      </c>
      <c r="DK1" s="332" t="s">
        <v>5604</v>
      </c>
      <c r="DL1" s="326" t="s">
        <v>5605</v>
      </c>
      <c r="DM1" s="326" t="s">
        <v>5606</v>
      </c>
      <c r="DN1" s="326" t="s">
        <v>5607</v>
      </c>
      <c r="DO1" s="326" t="s">
        <v>5608</v>
      </c>
      <c r="DP1" s="331" t="s">
        <v>5609</v>
      </c>
      <c r="DQ1" s="332" t="s">
        <v>5610</v>
      </c>
      <c r="DR1" s="326" t="s">
        <v>5611</v>
      </c>
      <c r="DS1" s="326" t="s">
        <v>102</v>
      </c>
      <c r="DT1" s="326" t="s">
        <v>103</v>
      </c>
      <c r="DU1" s="326" t="s">
        <v>104</v>
      </c>
      <c r="DV1" s="327" t="s">
        <v>105</v>
      </c>
      <c r="DW1" s="326" t="s">
        <v>1909</v>
      </c>
      <c r="DX1" s="326" t="s">
        <v>107</v>
      </c>
      <c r="DY1" s="332" t="s">
        <v>108</v>
      </c>
      <c r="DZ1" s="336" t="s">
        <v>109</v>
      </c>
      <c r="EA1" s="326" t="s">
        <v>113</v>
      </c>
      <c r="EB1" s="326" t="s">
        <v>110</v>
      </c>
      <c r="EC1" s="326" t="s">
        <v>112</v>
      </c>
      <c r="ED1" s="326" t="s">
        <v>114</v>
      </c>
      <c r="EE1" s="326" t="s">
        <v>115</v>
      </c>
      <c r="EF1" s="333" t="s">
        <v>116</v>
      </c>
      <c r="EG1" s="326" t="s">
        <v>117</v>
      </c>
      <c r="EH1" s="326" t="s">
        <v>111</v>
      </c>
      <c r="EI1" s="324" t="s">
        <v>106</v>
      </c>
      <c r="EJ1" s="332" t="s">
        <v>121</v>
      </c>
      <c r="EK1" s="326" t="s">
        <v>4491</v>
      </c>
      <c r="EL1" s="326" t="s">
        <v>4492</v>
      </c>
      <c r="EM1" s="326" t="s">
        <v>4493</v>
      </c>
      <c r="EN1" s="326" t="s">
        <v>4494</v>
      </c>
      <c r="EO1" s="326" t="s">
        <v>4495</v>
      </c>
      <c r="EP1" s="326" t="s">
        <v>4496</v>
      </c>
      <c r="EQ1" s="335" t="s">
        <v>122</v>
      </c>
      <c r="ER1" s="335" t="s">
        <v>123</v>
      </c>
      <c r="ES1" s="335" t="s">
        <v>124</v>
      </c>
      <c r="ET1" s="335" t="s">
        <v>125</v>
      </c>
      <c r="EU1" s="335" t="s">
        <v>126</v>
      </c>
      <c r="EV1" s="335" t="s">
        <v>127</v>
      </c>
      <c r="EW1" s="335" t="s">
        <v>128</v>
      </c>
      <c r="EX1" s="335" t="s">
        <v>134</v>
      </c>
      <c r="EY1" s="335" t="s">
        <v>135</v>
      </c>
      <c r="EZ1" s="335" t="s">
        <v>5943</v>
      </c>
      <c r="FA1" s="335" t="s">
        <v>5944</v>
      </c>
      <c r="FB1" s="335" t="s">
        <v>5945</v>
      </c>
      <c r="FC1" s="335" t="s">
        <v>139</v>
      </c>
      <c r="FD1" s="335" t="s">
        <v>140</v>
      </c>
      <c r="FE1" s="335" t="s">
        <v>141</v>
      </c>
      <c r="FF1" s="335" t="s">
        <v>5946</v>
      </c>
      <c r="FG1" s="335" t="s">
        <v>5947</v>
      </c>
      <c r="FH1" s="335" t="s">
        <v>5948</v>
      </c>
      <c r="FI1" s="335" t="s">
        <v>145</v>
      </c>
      <c r="FJ1" s="335" t="s">
        <v>146</v>
      </c>
      <c r="FK1" s="335" t="s">
        <v>147</v>
      </c>
      <c r="FL1" s="335" t="s">
        <v>148</v>
      </c>
      <c r="FM1" s="335" t="s">
        <v>149</v>
      </c>
      <c r="FN1" s="335" t="s">
        <v>150</v>
      </c>
      <c r="FO1" s="335" t="s">
        <v>151</v>
      </c>
      <c r="FP1" s="335" t="s">
        <v>152</v>
      </c>
      <c r="FQ1" s="335" t="s">
        <v>153</v>
      </c>
      <c r="FR1" s="335" t="s">
        <v>154</v>
      </c>
      <c r="FS1" s="335" t="s">
        <v>155</v>
      </c>
      <c r="FT1" s="334" t="s">
        <v>156</v>
      </c>
      <c r="FU1" s="335" t="s">
        <v>157</v>
      </c>
      <c r="FV1" s="335" t="s">
        <v>158</v>
      </c>
      <c r="FW1" s="335" t="s">
        <v>159</v>
      </c>
      <c r="FX1" s="335" t="s">
        <v>160</v>
      </c>
      <c r="FY1" s="335" t="s">
        <v>161</v>
      </c>
      <c r="FZ1" s="335" t="s">
        <v>162</v>
      </c>
      <c r="GA1" s="334" t="s">
        <v>163</v>
      </c>
      <c r="GB1" s="335" t="s">
        <v>164</v>
      </c>
      <c r="GC1" s="326" t="s">
        <v>171</v>
      </c>
      <c r="GD1" s="335" t="s">
        <v>172</v>
      </c>
      <c r="GE1" s="335" t="s">
        <v>173</v>
      </c>
      <c r="GF1" s="335" t="s">
        <v>174</v>
      </c>
      <c r="GG1" s="335" t="s">
        <v>175</v>
      </c>
      <c r="GH1" s="335" t="s">
        <v>176</v>
      </c>
      <c r="GI1" s="335" t="s">
        <v>177</v>
      </c>
      <c r="GJ1" s="334" t="s">
        <v>178</v>
      </c>
      <c r="GK1" s="335" t="s">
        <v>179</v>
      </c>
      <c r="GL1" s="335" t="s">
        <v>180</v>
      </c>
      <c r="GM1" s="335" t="s">
        <v>181</v>
      </c>
      <c r="GN1" s="335" t="s">
        <v>182</v>
      </c>
      <c r="GO1" s="335" t="s">
        <v>183</v>
      </c>
      <c r="GP1" s="335" t="s">
        <v>184</v>
      </c>
      <c r="GQ1" s="335" t="s">
        <v>185</v>
      </c>
      <c r="GR1" s="335" t="s">
        <v>186</v>
      </c>
      <c r="GS1" s="335" t="s">
        <v>187</v>
      </c>
      <c r="GT1" s="335" t="s">
        <v>188</v>
      </c>
      <c r="GU1" s="334" t="s">
        <v>189</v>
      </c>
      <c r="GV1" s="335" t="s">
        <v>190</v>
      </c>
      <c r="GW1" s="335" t="s">
        <v>191</v>
      </c>
      <c r="GX1" s="335" t="s">
        <v>194</v>
      </c>
      <c r="GY1" s="335" t="s">
        <v>195</v>
      </c>
      <c r="GZ1" s="335" t="s">
        <v>196</v>
      </c>
      <c r="HA1" s="335" t="s">
        <v>197</v>
      </c>
      <c r="HB1" s="335" t="s">
        <v>198</v>
      </c>
      <c r="HC1" s="335" t="s">
        <v>199</v>
      </c>
      <c r="HD1" s="334" t="s">
        <v>200</v>
      </c>
      <c r="HE1" s="335" t="s">
        <v>201</v>
      </c>
      <c r="HF1" s="335" t="s">
        <v>202</v>
      </c>
      <c r="HG1" s="335" t="s">
        <v>203</v>
      </c>
      <c r="HH1" s="335" t="s">
        <v>204</v>
      </c>
      <c r="HI1" s="335" t="s">
        <v>205</v>
      </c>
      <c r="HJ1" s="335" t="s">
        <v>206</v>
      </c>
      <c r="HK1" s="335" t="s">
        <v>207</v>
      </c>
      <c r="HL1" s="334" t="s">
        <v>208</v>
      </c>
      <c r="HM1" s="335" t="s">
        <v>209</v>
      </c>
      <c r="HN1" s="335" t="s">
        <v>210</v>
      </c>
      <c r="HO1" s="335" t="s">
        <v>211</v>
      </c>
      <c r="HP1" s="335" t="s">
        <v>212</v>
      </c>
      <c r="HQ1" s="335" t="s">
        <v>213</v>
      </c>
      <c r="HR1" s="335" t="s">
        <v>214</v>
      </c>
      <c r="HS1" s="335" t="s">
        <v>215</v>
      </c>
      <c r="HT1" s="334" t="s">
        <v>216</v>
      </c>
      <c r="HU1" s="335" t="s">
        <v>217</v>
      </c>
      <c r="HV1" s="335" t="s">
        <v>5156</v>
      </c>
      <c r="HW1" s="335" t="s">
        <v>5157</v>
      </c>
      <c r="HX1" s="335" t="s">
        <v>5158</v>
      </c>
      <c r="HY1" s="335" t="s">
        <v>5159</v>
      </c>
      <c r="HZ1" s="335" t="s">
        <v>5160</v>
      </c>
      <c r="IA1" s="335" t="s">
        <v>5161</v>
      </c>
      <c r="IB1" s="334" t="s">
        <v>234</v>
      </c>
      <c r="IC1" s="326" t="s">
        <v>235</v>
      </c>
      <c r="ID1" s="326" t="s">
        <v>236</v>
      </c>
      <c r="IE1" s="335" t="s">
        <v>239</v>
      </c>
      <c r="IF1" s="335" t="s">
        <v>240</v>
      </c>
      <c r="IG1" s="335" t="s">
        <v>241</v>
      </c>
      <c r="IH1" s="335" t="s">
        <v>242</v>
      </c>
      <c r="II1" s="326" t="s">
        <v>243</v>
      </c>
      <c r="IJ1" s="326" t="s">
        <v>5955</v>
      </c>
      <c r="IK1" s="326" t="s">
        <v>5956</v>
      </c>
      <c r="IL1" s="326" t="s">
        <v>5957</v>
      </c>
      <c r="IM1" s="326" t="s">
        <v>5958</v>
      </c>
      <c r="IN1" s="326" t="s">
        <v>244</v>
      </c>
      <c r="IO1" s="326" t="s">
        <v>245</v>
      </c>
      <c r="IP1" s="326" t="s">
        <v>5010</v>
      </c>
      <c r="IQ1" s="326" t="s">
        <v>5009</v>
      </c>
      <c r="IR1" s="334" t="s">
        <v>246</v>
      </c>
      <c r="IS1" s="334" t="s">
        <v>247</v>
      </c>
      <c r="IT1" s="334" t="s">
        <v>248</v>
      </c>
      <c r="IU1" s="334" t="s">
        <v>249</v>
      </c>
      <c r="IV1" s="334" t="s">
        <v>250</v>
      </c>
      <c r="IW1" s="334" t="s">
        <v>5913</v>
      </c>
    </row>
    <row r="2" spans="1:257" s="38" customFormat="1" ht="15.75">
      <c r="A2" s="39">
        <v>102023053</v>
      </c>
      <c r="B2" s="39" t="s">
        <v>4227</v>
      </c>
      <c r="C2" s="138"/>
      <c r="D2" s="162"/>
      <c r="E2" s="138" t="s">
        <v>4919</v>
      </c>
      <c r="F2" s="163">
        <v>230002974</v>
      </c>
      <c r="G2" s="158"/>
      <c r="H2" s="138"/>
      <c r="I2" s="138"/>
      <c r="J2" s="62" t="s">
        <v>311</v>
      </c>
      <c r="K2" s="62" t="s">
        <v>1142</v>
      </c>
      <c r="L2" s="62" t="s">
        <v>4226</v>
      </c>
      <c r="M2" s="138"/>
      <c r="N2" s="62"/>
      <c r="O2" s="218"/>
      <c r="P2" s="62"/>
      <c r="Q2" s="62"/>
      <c r="R2" s="62"/>
      <c r="S2" s="62"/>
      <c r="T2" s="138"/>
      <c r="U2" s="138"/>
      <c r="V2" s="138"/>
      <c r="W2" s="138"/>
      <c r="X2" s="138"/>
      <c r="Y2" s="138"/>
      <c r="Z2" s="138"/>
      <c r="AA2" s="138"/>
      <c r="AB2" s="138"/>
      <c r="AC2" s="138"/>
      <c r="AD2" s="138"/>
      <c r="AE2" s="138"/>
      <c r="AF2" s="138"/>
      <c r="AG2" s="164"/>
      <c r="AH2" s="138"/>
      <c r="AI2" s="138"/>
      <c r="AJ2" s="39" t="s">
        <v>4225</v>
      </c>
      <c r="AK2" s="51" t="s">
        <v>258</v>
      </c>
      <c r="AL2" s="39" t="s">
        <v>349</v>
      </c>
      <c r="AM2" s="39" t="s">
        <v>260</v>
      </c>
      <c r="AN2" s="39" t="s">
        <v>4280</v>
      </c>
      <c r="AO2" s="39" t="s">
        <v>4224</v>
      </c>
      <c r="AP2" s="51" t="s">
        <v>258</v>
      </c>
      <c r="AQ2" s="39" t="s">
        <v>567</v>
      </c>
      <c r="AR2" s="39" t="s">
        <v>821</v>
      </c>
      <c r="AX2" s="133"/>
      <c r="AY2" s="133"/>
      <c r="AZ2" s="133" t="s">
        <v>258</v>
      </c>
      <c r="BA2" s="133" t="s">
        <v>258</v>
      </c>
      <c r="BB2" s="133" t="s">
        <v>258</v>
      </c>
      <c r="BC2" s="142">
        <v>45096</v>
      </c>
      <c r="BD2" s="140">
        <v>45060</v>
      </c>
      <c r="BE2" s="145">
        <v>45056</v>
      </c>
      <c r="BF2" s="142">
        <v>45251</v>
      </c>
      <c r="BG2" s="38" t="s">
        <v>318</v>
      </c>
      <c r="BH2" s="136">
        <v>45240</v>
      </c>
      <c r="BI2" s="136">
        <v>45240</v>
      </c>
      <c r="BJ2" s="142">
        <v>45268</v>
      </c>
      <c r="BK2" s="142" t="s">
        <v>319</v>
      </c>
      <c r="BL2" s="49">
        <f t="shared" ref="BL2:BL14" ca="1" si="0">SUM(EH2)+220</f>
        <v>5902.748008333333</v>
      </c>
      <c r="BM2" s="50">
        <f t="shared" ref="BM2:BM14" ca="1" si="1">PMT(10%/12,12,BL2,0,0)</f>
        <v>-518.94532824779697</v>
      </c>
      <c r="BN2" s="50">
        <f t="shared" ref="BN2:BN14" ca="1" si="2">SUM(BM2*-1)</f>
        <v>518.94532824779697</v>
      </c>
      <c r="BO2" s="40">
        <f t="shared" ref="BO2:BO14" si="3">SUM(EP2*0.0052)/12</f>
        <v>13.606666666666667</v>
      </c>
      <c r="BP2" s="50">
        <f t="shared" ref="BP2:BP14" ca="1" si="4">SUM(BN2+BO2)</f>
        <v>532.55199491446365</v>
      </c>
      <c r="BQ2" s="40"/>
      <c r="BR2" s="40">
        <f t="shared" ref="BR2:BR14" si="5">SUM(BQ2*0.1)</f>
        <v>0</v>
      </c>
      <c r="BS2" s="40">
        <f t="shared" ref="BS2:BS14" ca="1" si="6">SUM(BT2*BU2)</f>
        <v>0</v>
      </c>
      <c r="BT2" s="57">
        <f t="shared" ref="BT2:BT14" si="7">SUM((BQ2+BR2)*0.00833333333333333)</f>
        <v>0</v>
      </c>
      <c r="BU2" s="58">
        <f t="shared" ref="BU2:BU11" ca="1" si="8">MONTH(TODAY())+49</f>
        <v>53</v>
      </c>
      <c r="BV2" s="40">
        <f t="shared" ref="BV2:BV14" ca="1" si="9">SUM(BQ2,BR2,BS2)</f>
        <v>0</v>
      </c>
      <c r="BW2" s="40">
        <v>0</v>
      </c>
      <c r="BX2" s="40">
        <f t="shared" ref="BX2:BX14" si="10">SUM(BW2*0.1)</f>
        <v>0</v>
      </c>
      <c r="BY2" s="40">
        <f t="shared" ref="BY2:BY14" ca="1" si="11">SUM(BZ2*CA2)</f>
        <v>0</v>
      </c>
      <c r="BZ2" s="57">
        <f t="shared" ref="BZ2:BZ14" si="12">SUM((BW2+BX2)*0.00833333333333333)</f>
        <v>0</v>
      </c>
      <c r="CA2" s="58">
        <f t="shared" ref="CA2:CA11" ca="1" si="13">MONTH(TODAY())+37</f>
        <v>41</v>
      </c>
      <c r="CB2" s="40">
        <f t="shared" ref="CB2:CB14" ca="1" si="14">SUM(BW2,BX2,BY2)</f>
        <v>0</v>
      </c>
      <c r="CC2" s="40">
        <f>SUM(EM2*0.0052)-79.06</f>
        <v>56.66</v>
      </c>
      <c r="CD2" s="40">
        <f t="shared" ref="CD2:CD14" si="15">SUM(CC2*0.1)</f>
        <v>5.6660000000000004</v>
      </c>
      <c r="CE2" s="40">
        <f t="shared" ref="CE2:CE14" si="16">SUM(CF2*CG2)</f>
        <v>19.217183333333324</v>
      </c>
      <c r="CF2" s="57">
        <f t="shared" ref="CF2:CF14" si="17">SUM((CC2+CD2)*0.00833333333333333)</f>
        <v>0.51938333333333309</v>
      </c>
      <c r="CG2" s="58">
        <v>37</v>
      </c>
      <c r="CH2" s="40">
        <f t="shared" ref="CH2:CH14" si="18">SUM(CC2,CD2,CE2)</f>
        <v>81.543183333333317</v>
      </c>
      <c r="CI2" s="40">
        <f t="shared" ref="CI2" si="19">SUM(EM2*0.0052)/2</f>
        <v>67.86</v>
      </c>
      <c r="CJ2" s="40">
        <f t="shared" ref="CJ2:CJ14" si="20">SUM(CI2*0.1)</f>
        <v>6.7860000000000005</v>
      </c>
      <c r="CK2" s="40">
        <f t="shared" ref="CK2:CK14" si="21">SUM(CL2*CM2)</f>
        <v>18.039449999999995</v>
      </c>
      <c r="CL2" s="57">
        <f t="shared" ref="CL2:CL14" si="22">SUM((CI2+CJ2)*0.00833333333333333)</f>
        <v>0.62204999999999977</v>
      </c>
      <c r="CM2" s="58">
        <v>29</v>
      </c>
      <c r="CN2" s="58">
        <f t="shared" ref="CN2:CN14" si="23">SUM(CI2,CJ2,CK2)</f>
        <v>92.685450000000003</v>
      </c>
      <c r="CO2" s="40">
        <f t="shared" ref="CO2:CO10" si="24">SUM(EM2*0.0052)/2</f>
        <v>67.86</v>
      </c>
      <c r="CP2" s="40">
        <f t="shared" ref="CP2:CP14" si="25">SUM(CO2*0.1)</f>
        <v>6.7860000000000005</v>
      </c>
      <c r="CQ2" s="40">
        <f t="shared" ref="CQ2:CQ14" si="26">SUM(CR2*CS2)</f>
        <v>15.551249999999994</v>
      </c>
      <c r="CR2" s="57">
        <f t="shared" ref="CR2:CR14" si="27">SUM((CO2+CP2)*0.00833333333333333)</f>
        <v>0.62204999999999977</v>
      </c>
      <c r="CS2" s="58">
        <v>25</v>
      </c>
      <c r="CT2" s="40">
        <f t="shared" ref="CT2:CT14" si="28">SUM(CO2,CP2,CQ2)</f>
        <v>90.197249999999997</v>
      </c>
      <c r="CU2" s="40">
        <f>SUM(EP2*0.0045)/2</f>
        <v>70.649999999999991</v>
      </c>
      <c r="CV2" s="40">
        <f t="shared" ref="CV2:CV14" si="29">SUM(CU2*0.1)</f>
        <v>7.0649999999999995</v>
      </c>
      <c r="CW2" s="40">
        <f t="shared" ref="CW2:CW14" si="30">SUM(CX2*CY2)</f>
        <v>12.304874999999994</v>
      </c>
      <c r="CX2" s="57">
        <f t="shared" ref="CX2:CX14" si="31">SUM((CU2+CV2)*0.00833333333333333)</f>
        <v>0.64762499999999967</v>
      </c>
      <c r="CY2" s="58">
        <v>19</v>
      </c>
      <c r="CZ2" s="40">
        <f t="shared" ref="CZ2:CZ14" si="32">SUM(CU2,CV2,CW2)</f>
        <v>90.019874999999985</v>
      </c>
      <c r="DA2" s="40">
        <f t="shared" ref="DA2:DA14" si="33">SUM(EP2*0.0045)/2</f>
        <v>70.649999999999991</v>
      </c>
      <c r="DB2" s="40">
        <f t="shared" ref="DB2:DB14" si="34">SUM(DA2*0.1)</f>
        <v>7.0649999999999995</v>
      </c>
      <c r="DC2" s="40">
        <f t="shared" ref="DC2:DC14" si="35">SUM(DD2*DE2)</f>
        <v>8.4191249999999958</v>
      </c>
      <c r="DD2" s="57">
        <f t="shared" ref="DD2:DD14" si="36">SUM((DA2+DB2)*0.00833333333333333)</f>
        <v>0.64762499999999967</v>
      </c>
      <c r="DE2" s="58">
        <v>13</v>
      </c>
      <c r="DF2" s="40">
        <f t="shared" ref="DF2:DF14" si="37">SUM(DA2,DB2,DC2)</f>
        <v>86.134124999999983</v>
      </c>
      <c r="DG2" s="40">
        <f t="shared" ref="DG2:DG14" si="38">SUM(EP2*0.0045)/2</f>
        <v>70.649999999999991</v>
      </c>
      <c r="DH2" s="40">
        <f t="shared" ref="DH2:DH14" si="39">SUM(DG2*0.1)</f>
        <v>7.0649999999999995</v>
      </c>
      <c r="DI2" s="40">
        <f t="shared" ref="DI2:DI14" si="40">SUM(DJ2*DK2)</f>
        <v>3.2381249999999984</v>
      </c>
      <c r="DJ2" s="57">
        <f t="shared" ref="DJ2:DJ14" si="41">SUM((DG2+DH2)*0.00833333333333333)</f>
        <v>0.64762499999999967</v>
      </c>
      <c r="DK2" s="58">
        <v>5</v>
      </c>
      <c r="DL2" s="40">
        <f t="shared" ref="DL2:DL14" si="42">SUM(DG2,DH2,DI2)</f>
        <v>80.953124999999986</v>
      </c>
      <c r="DM2" s="40">
        <f t="shared" ref="DM2:DM14" si="43">SUM(EP2*0.0045)/2</f>
        <v>70.649999999999991</v>
      </c>
      <c r="DN2" s="40">
        <f t="shared" ref="DN2:DN14" si="44">SUM(DM2*0.1)</f>
        <v>7.0649999999999995</v>
      </c>
      <c r="DO2" s="40">
        <v>0</v>
      </c>
      <c r="DP2" s="57">
        <f t="shared" ref="DP2:DP14" si="45">SUM((DM2+DN2)*0.00833333333333333)</f>
        <v>0.64762499999999967</v>
      </c>
      <c r="DQ2" s="58">
        <v>1</v>
      </c>
      <c r="DR2" s="40">
        <f t="shared" ref="DR2:DR14" si="46">SUM(DM2,DN2,DO2)</f>
        <v>77.714999999999989</v>
      </c>
      <c r="DS2" s="40">
        <f t="shared" ref="DS2:DS14" si="47">SUM(BQ2, BW2, CC2, CI2,CO2,CU2,DA2,DG2,DM2)</f>
        <v>474.9799999999999</v>
      </c>
      <c r="DT2" s="40">
        <f t="shared" ref="DT2:DT14" si="48">SUM(BR2,BX2,CD2, CJ2,CP2,CV2,DB2,DH2,DN2)</f>
        <v>47.497999999999998</v>
      </c>
      <c r="DU2" s="40">
        <f t="shared" ref="DU2:DU14" ca="1" si="49">SUM(BS2,BY2,CE2, CK2,CQ2,CW2,DC2,DI2,DO2)</f>
        <v>76.770008333333294</v>
      </c>
      <c r="DV2" s="59">
        <f t="shared" ref="DV2:DV10" ca="1" si="50">SUM(DS2:DU2)</f>
        <v>599.24800833333325</v>
      </c>
      <c r="DW2" s="64">
        <f t="shared" ref="DW2:DW14" ca="1" si="51">SUM(DV2/EM2)</f>
        <v>2.2959693805874835E-2</v>
      </c>
      <c r="DX2" s="40">
        <f>20+200+10+200+40+40+40+80+100+40+40+240+60+40+40+40+40+40+100+100+200+20+140+80+100</f>
        <v>2050</v>
      </c>
      <c r="DY2" s="65">
        <f>COUNTIF(AO2, "*")+COUNTIF(AJ2, "*")+COUNTIF(AA2, "*")+COUNTIF(EZ2, "*")+COUNTIF(FF2, "*")+COUNTIF(FL2, "*")+COUNTIF(FP2, "*")+COUNTIF(FW2, "*")+COUNTIF(AT2, "*")+COUNTIF(GF2, "*")+COUNTIF(GQ2, "*")+COUNTIF(GZ2, "*")+COUNTIF(HH2, "*")+COUNTIF(HP2, "*")+COUNTIF(HX2, "*")</f>
        <v>2</v>
      </c>
      <c r="DZ2" s="219">
        <f>69.83+38.92</f>
        <v>108.75</v>
      </c>
      <c r="EA2" s="135">
        <f>36.76+415.6+756.2+332.34</f>
        <v>1540.8999999999999</v>
      </c>
      <c r="EB2" s="135">
        <v>300</v>
      </c>
      <c r="EC2" s="135">
        <f>93.75+182.5</f>
        <v>276.25</v>
      </c>
      <c r="ED2" s="135">
        <v>172</v>
      </c>
      <c r="EE2" s="40">
        <f t="shared" ref="EE2:EE10" si="52">IF(SUM(EP2*0.004)&lt;100, 100, SUM(EP2*0.004))</f>
        <v>125.60000000000001</v>
      </c>
      <c r="EF2" s="135">
        <v>510</v>
      </c>
      <c r="EG2" s="40">
        <f t="shared" ref="EG2:EG14" si="53">SUM(EC2:EF2,EA2)</f>
        <v>2624.75</v>
      </c>
      <c r="EH2" s="40">
        <f ca="1">SUM(DV2,DX2,EB2,EG2,DZ2,GC2)</f>
        <v>5682.748008333333</v>
      </c>
      <c r="EI2" s="56" t="s">
        <v>5892</v>
      </c>
      <c r="EJ2" s="58">
        <v>2.4</v>
      </c>
      <c r="EK2" s="40">
        <v>25600</v>
      </c>
      <c r="EL2" s="40">
        <v>500</v>
      </c>
      <c r="EM2" s="40">
        <v>26100</v>
      </c>
      <c r="EN2" s="40">
        <v>30900</v>
      </c>
      <c r="EO2" s="40">
        <v>500</v>
      </c>
      <c r="EP2" s="40">
        <f t="shared" ref="EP2:EP14" si="54">SUM(EN2+EO2)</f>
        <v>31400</v>
      </c>
      <c r="EQ2" s="138" t="s">
        <v>4807</v>
      </c>
      <c r="ER2" s="138" t="s">
        <v>5979</v>
      </c>
      <c r="ES2" s="138" t="s">
        <v>4812</v>
      </c>
      <c r="ET2" s="138" t="s">
        <v>4813</v>
      </c>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6"/>
      <c r="FU2" s="138"/>
      <c r="FV2" s="138"/>
      <c r="FW2" s="138"/>
      <c r="FX2" s="138"/>
      <c r="FY2" s="138"/>
      <c r="FZ2" s="138"/>
      <c r="GA2" s="136"/>
      <c r="GB2" s="138"/>
      <c r="GC2" s="225"/>
      <c r="GD2" s="138"/>
      <c r="GE2" s="138"/>
      <c r="GF2" s="138"/>
      <c r="GG2" s="138"/>
      <c r="GH2" s="138"/>
      <c r="GI2" s="138"/>
      <c r="GJ2" s="136"/>
      <c r="GK2" s="138"/>
      <c r="GL2" s="138"/>
      <c r="GM2" s="138"/>
      <c r="GN2" s="138"/>
      <c r="GO2" s="138"/>
      <c r="GP2" s="138"/>
      <c r="GQ2" s="138"/>
      <c r="GR2" s="138"/>
      <c r="GS2" s="138"/>
      <c r="GT2" s="138"/>
      <c r="GU2" s="136"/>
      <c r="GV2" s="138"/>
      <c r="GW2" s="138"/>
      <c r="GX2" s="138"/>
      <c r="GY2" s="138"/>
      <c r="GZ2" s="138"/>
      <c r="HA2" s="138"/>
      <c r="HB2" s="138"/>
      <c r="HC2" s="138"/>
      <c r="HD2" s="136"/>
      <c r="HE2" s="138"/>
      <c r="HF2" s="138"/>
      <c r="HG2" s="138"/>
      <c r="HH2" s="138"/>
      <c r="HI2" s="138"/>
      <c r="HJ2" s="138"/>
      <c r="HK2" s="138"/>
      <c r="HL2" s="136"/>
      <c r="HM2" s="138"/>
      <c r="HN2" s="138"/>
      <c r="HO2" s="138"/>
      <c r="HP2" s="138"/>
      <c r="HQ2" s="138"/>
      <c r="HR2" s="138"/>
      <c r="HS2" s="138"/>
      <c r="HT2" s="136"/>
      <c r="HU2" s="138"/>
      <c r="HV2" s="138"/>
      <c r="HW2" s="138"/>
      <c r="HX2" s="138"/>
      <c r="HY2" s="138"/>
      <c r="HZ2" s="138"/>
      <c r="IA2" s="138"/>
      <c r="IB2" s="136">
        <v>45619</v>
      </c>
      <c r="IC2" s="226">
        <v>31000</v>
      </c>
      <c r="ID2" s="135">
        <v>4000</v>
      </c>
      <c r="IE2" s="38" t="s">
        <v>5984</v>
      </c>
      <c r="IF2" s="138" t="s">
        <v>3949</v>
      </c>
      <c r="IG2" s="138" t="s">
        <v>5978</v>
      </c>
      <c r="IH2" s="138"/>
      <c r="II2" s="135"/>
      <c r="IJ2" s="135"/>
      <c r="IK2" s="135"/>
      <c r="IL2" s="135"/>
      <c r="IM2" s="135"/>
      <c r="IN2" s="135">
        <v>183.17</v>
      </c>
      <c r="IO2" s="40">
        <f t="shared" ref="IO2:IO14" ca="1" si="55">SUM(IC2-EH2-GC2-II2)</f>
        <v>25317.251991666668</v>
      </c>
      <c r="IP2" s="40"/>
      <c r="IQ2" s="40"/>
      <c r="IR2" s="136">
        <v>45278</v>
      </c>
      <c r="IS2" s="136">
        <v>45302</v>
      </c>
      <c r="IT2" s="136">
        <v>45621</v>
      </c>
      <c r="IU2" s="136">
        <v>45632</v>
      </c>
      <c r="IV2" s="136"/>
      <c r="IW2" s="54" t="s">
        <v>5913</v>
      </c>
    </row>
    <row r="3" spans="1:257" s="38" customFormat="1" ht="15.75">
      <c r="A3" s="38">
        <v>102024150</v>
      </c>
      <c r="B3" s="38" t="s">
        <v>5517</v>
      </c>
      <c r="C3" s="138"/>
      <c r="D3" s="162"/>
      <c r="E3" s="158" t="s">
        <v>5885</v>
      </c>
      <c r="F3" s="163">
        <v>240003193</v>
      </c>
      <c r="G3" s="158"/>
      <c r="H3" s="138"/>
      <c r="I3" s="138"/>
      <c r="J3" s="138" t="s">
        <v>311</v>
      </c>
      <c r="K3" s="138" t="s">
        <v>5518</v>
      </c>
      <c r="L3" s="138" t="s">
        <v>5519</v>
      </c>
      <c r="M3" s="138" t="s">
        <v>256</v>
      </c>
      <c r="N3" s="138"/>
      <c r="O3" s="158"/>
      <c r="P3" s="138"/>
      <c r="Q3" s="138"/>
      <c r="R3" s="138"/>
      <c r="S3" s="138"/>
      <c r="T3" s="138"/>
      <c r="U3" s="138"/>
      <c r="V3" s="138"/>
      <c r="W3" s="138"/>
      <c r="X3" s="138"/>
      <c r="Y3" s="138"/>
      <c r="Z3" s="138"/>
      <c r="AA3" s="138"/>
      <c r="AB3" s="138"/>
      <c r="AC3" s="138"/>
      <c r="AD3" s="138"/>
      <c r="AE3" s="138"/>
      <c r="AF3" s="138"/>
      <c r="AG3" s="164"/>
      <c r="AH3" s="138"/>
      <c r="AI3" s="138"/>
      <c r="AJ3" s="38" t="s">
        <v>5520</v>
      </c>
      <c r="AK3" s="133" t="s">
        <v>258</v>
      </c>
      <c r="AL3" s="38" t="s">
        <v>438</v>
      </c>
      <c r="AM3" s="38" t="s">
        <v>260</v>
      </c>
      <c r="AO3" s="38" t="s">
        <v>5521</v>
      </c>
      <c r="AP3" s="133" t="s">
        <v>258</v>
      </c>
      <c r="AQ3" s="39" t="s">
        <v>438</v>
      </c>
      <c r="AR3" s="38" t="s">
        <v>260</v>
      </c>
      <c r="AS3" s="38" t="s">
        <v>473</v>
      </c>
      <c r="AT3" s="38" t="s">
        <v>474</v>
      </c>
      <c r="AU3" s="38" t="s">
        <v>475</v>
      </c>
      <c r="AV3" s="38" t="s">
        <v>438</v>
      </c>
      <c r="AW3" s="133" t="s">
        <v>260</v>
      </c>
      <c r="AX3" s="133" t="s">
        <v>258</v>
      </c>
      <c r="AY3" s="133" t="s">
        <v>258</v>
      </c>
      <c r="AZ3" s="133"/>
      <c r="BA3" s="133"/>
      <c r="BB3" s="133"/>
      <c r="BC3" s="142">
        <v>45474</v>
      </c>
      <c r="BD3" s="140">
        <v>45415</v>
      </c>
      <c r="BE3" s="145">
        <v>45432</v>
      </c>
      <c r="BF3" s="142"/>
      <c r="BG3" s="137"/>
      <c r="BH3" s="142"/>
      <c r="BI3" s="142"/>
      <c r="BJ3" s="142">
        <v>45545</v>
      </c>
      <c r="BK3" s="142" t="s">
        <v>5895</v>
      </c>
      <c r="BL3" s="49">
        <f ca="1">SUM(EH3)+220</f>
        <v>4334.0290249999998</v>
      </c>
      <c r="BM3" s="50">
        <f ca="1">PMT(10%/12,12,BL3,0,0)</f>
        <v>-381.03000701348839</v>
      </c>
      <c r="BN3" s="50">
        <f ca="1">SUM(BM3*-1)</f>
        <v>381.03000701348839</v>
      </c>
      <c r="BO3" s="40">
        <f>SUM(EP3*0.0052)/12</f>
        <v>21.926666666666666</v>
      </c>
      <c r="BP3" s="50">
        <f ca="1">SUM(BN3+BO3)</f>
        <v>402.95667368015506</v>
      </c>
      <c r="BQ3" s="40"/>
      <c r="BR3" s="40">
        <f>SUM(BQ3*0.1)</f>
        <v>0</v>
      </c>
      <c r="BS3" s="40">
        <f ca="1">SUM(BT3*BU3)</f>
        <v>0</v>
      </c>
      <c r="BT3" s="57">
        <f>SUM((BQ3+BR3)*0.00833333333333333)</f>
        <v>0</v>
      </c>
      <c r="BU3" s="58">
        <f t="shared" ca="1" si="8"/>
        <v>53</v>
      </c>
      <c r="BV3" s="40">
        <f ca="1">SUM(BQ3,BR3,BS3)</f>
        <v>0</v>
      </c>
      <c r="BW3" s="40">
        <v>0</v>
      </c>
      <c r="BX3" s="40">
        <f>SUM(BW3*0.1)</f>
        <v>0</v>
      </c>
      <c r="BY3" s="40">
        <f ca="1">SUM(BZ3*CA3)</f>
        <v>0</v>
      </c>
      <c r="BZ3" s="57">
        <f>SUM((BW3+BX3)*0.00833333333333333)</f>
        <v>0</v>
      </c>
      <c r="CA3" s="58">
        <f t="shared" ca="1" si="13"/>
        <v>41</v>
      </c>
      <c r="CB3" s="40">
        <f ca="1">SUM(BW3,BX3,BY3)</f>
        <v>0</v>
      </c>
      <c r="CC3" s="40">
        <v>0</v>
      </c>
      <c r="CD3" s="40">
        <f>SUM(CC3*0.1)</f>
        <v>0</v>
      </c>
      <c r="CE3" s="40">
        <f>SUM(CF3*CG3)</f>
        <v>0</v>
      </c>
      <c r="CF3" s="57">
        <f>SUM((CC3+CD3)*0.00833333333333333)</f>
        <v>0</v>
      </c>
      <c r="CG3" s="58">
        <v>37</v>
      </c>
      <c r="CH3" s="40">
        <f>SUM(CC3,CD3,CE3)</f>
        <v>0</v>
      </c>
      <c r="CI3" s="40">
        <f>SUM(EM3*0.0052)/2</f>
        <v>105.82</v>
      </c>
      <c r="CJ3" s="40">
        <f>SUM(CI3*0.1)</f>
        <v>10.582000000000001</v>
      </c>
      <c r="CK3" s="40">
        <f>SUM(CL3*CM3)</f>
        <v>28.13048333333332</v>
      </c>
      <c r="CL3" s="57">
        <f>SUM((CI3+CJ3)*0.00833333333333333)</f>
        <v>0.97001666666666619</v>
      </c>
      <c r="CM3" s="58">
        <v>29</v>
      </c>
      <c r="CN3" s="58">
        <f>SUM(CI3,CJ3,CK3)</f>
        <v>144.53248333333332</v>
      </c>
      <c r="CO3" s="40">
        <f>SUM(EM3*0.0052)/2</f>
        <v>105.82</v>
      </c>
      <c r="CP3" s="40">
        <f>SUM(CO3*0.1)</f>
        <v>10.582000000000001</v>
      </c>
      <c r="CQ3" s="40">
        <f>SUM(CR3*CS3)</f>
        <v>24.250416666666656</v>
      </c>
      <c r="CR3" s="57">
        <f>SUM((CO3+CP3)*0.00833333333333333)</f>
        <v>0.97001666666666619</v>
      </c>
      <c r="CS3" s="58">
        <v>25</v>
      </c>
      <c r="CT3" s="40">
        <f>SUM(CO3,CP3,CQ3)</f>
        <v>140.65241666666665</v>
      </c>
      <c r="CU3" s="40">
        <f>SUM(EP3*0.0045)/2</f>
        <v>113.85</v>
      </c>
      <c r="CV3" s="40">
        <f>SUM(CU3*0.1)</f>
        <v>11.385</v>
      </c>
      <c r="CW3" s="40">
        <f>SUM(CX3*CY3)</f>
        <v>19.828874999999993</v>
      </c>
      <c r="CX3" s="57">
        <f>SUM((CU3+CV3)*0.00833333333333333)</f>
        <v>1.0436249999999996</v>
      </c>
      <c r="CY3" s="58">
        <v>19</v>
      </c>
      <c r="CZ3" s="40">
        <f>SUM(CU3,CV3,CW3)</f>
        <v>145.063875</v>
      </c>
      <c r="DA3" s="40">
        <f>SUM(EP3*0.0045)/2</f>
        <v>113.85</v>
      </c>
      <c r="DB3" s="40">
        <f>SUM(DA3*0.1)</f>
        <v>11.385</v>
      </c>
      <c r="DC3" s="40">
        <f>SUM(DD3*DE3)</f>
        <v>13.567124999999994</v>
      </c>
      <c r="DD3" s="57">
        <f>SUM((DA3+DB3)*0.00833333333333333)</f>
        <v>1.0436249999999996</v>
      </c>
      <c r="DE3" s="58">
        <v>13</v>
      </c>
      <c r="DF3" s="40">
        <f>SUM(DA3,DB3,DC3)</f>
        <v>138.80212499999999</v>
      </c>
      <c r="DG3" s="40">
        <f>SUM(EP3*0.0045)/2</f>
        <v>113.85</v>
      </c>
      <c r="DH3" s="40">
        <f>SUM(DG3*0.1)</f>
        <v>11.385</v>
      </c>
      <c r="DI3" s="40">
        <f>SUM(DJ3*DK3)</f>
        <v>5.2181249999999979</v>
      </c>
      <c r="DJ3" s="57">
        <f>SUM((DG3+DH3)*0.00833333333333333)</f>
        <v>1.0436249999999996</v>
      </c>
      <c r="DK3" s="58">
        <v>5</v>
      </c>
      <c r="DL3" s="40">
        <f>SUM(DG3,DH3,DI3)</f>
        <v>130.453125</v>
      </c>
      <c r="DM3" s="40">
        <f>SUM(EP3*0.0045)/2</f>
        <v>113.85</v>
      </c>
      <c r="DN3" s="40">
        <f>SUM(DM3*0.1)</f>
        <v>11.385</v>
      </c>
      <c r="DO3" s="40">
        <v>0</v>
      </c>
      <c r="DP3" s="57">
        <f>SUM((DM3+DN3)*0.00833333333333333)</f>
        <v>1.0436249999999996</v>
      </c>
      <c r="DQ3" s="58">
        <v>1</v>
      </c>
      <c r="DR3" s="40">
        <f>SUM(DM3,DN3,DO3)</f>
        <v>125.235</v>
      </c>
      <c r="DS3" s="40">
        <f>SUM(BQ3, BW3, CC3, CI3,CO3,CU3,DA3,DG3,DM3)</f>
        <v>667.04000000000008</v>
      </c>
      <c r="DT3" s="40">
        <f t="shared" ref="DT3:DU5" si="56">SUM(BR3,BX3,CD3, CJ3,CP3,CV3,DB3,DH3,DN3)</f>
        <v>66.703999999999994</v>
      </c>
      <c r="DU3" s="40">
        <f t="shared" ca="1" si="56"/>
        <v>90.995024999999956</v>
      </c>
      <c r="DV3" s="59">
        <f ca="1">SUM(DS3:DU3)</f>
        <v>824.73902499999997</v>
      </c>
      <c r="DW3" s="64">
        <f ca="1">SUM(DV3/EM3)</f>
        <v>2.0263858108108108E-2</v>
      </c>
      <c r="DX3" s="40">
        <f>20+10+200+200+40+40+100+100+40+40+200+20+100+60+100+80+140+100</f>
        <v>1590</v>
      </c>
      <c r="DY3" s="65">
        <f>COUNTIF(AO3, "*")+COUNTIF(AJ3, "*")+COUNTIF(AA3, "*")+COUNTIF(EZ3, "*")+COUNTIF(FF3, "*")+COUNTIF(FL3, "*")+COUNTIF(FP3, "*")+COUNTIF(FW3, "*")+COUNTIF(AT3, "*")+COUNTIF(GF3, "*")+COUNTIF(GQ3, "*")+COUNTIF(GZ3, "*")+COUNTIF(HH3, "*")+COUNTIF(HP3, "*")+COUNTIF(HX3, "*")</f>
        <v>8</v>
      </c>
      <c r="DZ3" s="219">
        <f>119.01+38.92</f>
        <v>157.93</v>
      </c>
      <c r="EA3" s="135">
        <f>26.67+332.34</f>
        <v>359.01</v>
      </c>
      <c r="EB3" s="135">
        <v>320</v>
      </c>
      <c r="EC3" s="135">
        <v>0</v>
      </c>
      <c r="ED3" s="135">
        <v>199.95</v>
      </c>
      <c r="EE3" s="40">
        <f>IF(SUM(EP3*0.004)&lt;100, 100, SUM(EP3*0.004))</f>
        <v>202.4</v>
      </c>
      <c r="EF3" s="135">
        <v>460</v>
      </c>
      <c r="EG3" s="40">
        <f>SUM(EC3:EF3,EA3)</f>
        <v>1221.3600000000001</v>
      </c>
      <c r="EH3" s="40">
        <f ca="1">SUM(DV3,DX3,EB3,EG3,DZ3)</f>
        <v>4114.0290249999998</v>
      </c>
      <c r="EI3" s="56" t="s">
        <v>5914</v>
      </c>
      <c r="EJ3" s="58">
        <v>0.23</v>
      </c>
      <c r="EK3" s="40">
        <v>4800</v>
      </c>
      <c r="EL3" s="40">
        <v>35900</v>
      </c>
      <c r="EM3" s="40">
        <f>SUM(EK3+EL3)</f>
        <v>40700</v>
      </c>
      <c r="EN3" s="40">
        <v>12000</v>
      </c>
      <c r="EO3" s="40">
        <v>38600</v>
      </c>
      <c r="EP3" s="40">
        <f>SUM(EN3+EO3)</f>
        <v>50600</v>
      </c>
      <c r="EQ3" s="138" t="s">
        <v>5713</v>
      </c>
      <c r="ER3" s="138" t="s">
        <v>5857</v>
      </c>
      <c r="ES3" s="138"/>
      <c r="ET3" s="138"/>
      <c r="EU3" s="138"/>
      <c r="EV3" s="138"/>
      <c r="EW3" s="138"/>
      <c r="EX3" s="138"/>
      <c r="EY3" s="138"/>
      <c r="EZ3" s="138"/>
      <c r="FA3" s="138"/>
      <c r="FB3" s="138"/>
      <c r="FC3" s="138"/>
      <c r="FD3" s="138"/>
      <c r="FE3" s="138"/>
      <c r="FF3" s="138"/>
      <c r="FG3" s="138"/>
      <c r="FH3" s="138"/>
      <c r="FI3" s="138"/>
      <c r="FJ3" s="138"/>
      <c r="FK3" s="138"/>
      <c r="FL3" s="138"/>
      <c r="FM3" s="138"/>
      <c r="FN3" s="138"/>
      <c r="FO3" s="138" t="s">
        <v>5711</v>
      </c>
      <c r="FP3" s="138" t="s">
        <v>1854</v>
      </c>
      <c r="FQ3" s="138" t="s">
        <v>936</v>
      </c>
      <c r="FR3" s="138" t="s">
        <v>386</v>
      </c>
      <c r="FS3" s="138" t="s">
        <v>260</v>
      </c>
      <c r="FT3" s="136">
        <v>44358</v>
      </c>
      <c r="FU3" s="138" t="s">
        <v>5712</v>
      </c>
      <c r="FV3" s="138"/>
      <c r="FW3" s="138"/>
      <c r="FX3" s="138"/>
      <c r="FY3" s="138"/>
      <c r="FZ3" s="138"/>
      <c r="GA3" s="136"/>
      <c r="GB3" s="138"/>
      <c r="GC3" s="225">
        <v>432.37</v>
      </c>
      <c r="GD3" s="62" t="s">
        <v>382</v>
      </c>
      <c r="GE3" s="62" t="s">
        <v>383</v>
      </c>
      <c r="GF3" s="62" t="s">
        <v>384</v>
      </c>
      <c r="GG3" s="62" t="s">
        <v>385</v>
      </c>
      <c r="GH3" s="62" t="s">
        <v>386</v>
      </c>
      <c r="GI3" s="62" t="s">
        <v>260</v>
      </c>
      <c r="GJ3" s="136">
        <v>41520</v>
      </c>
      <c r="GK3" s="138" t="s">
        <v>5706</v>
      </c>
      <c r="GL3" s="138"/>
      <c r="GM3" s="138"/>
      <c r="GN3" s="138"/>
      <c r="GO3" s="138" t="s">
        <v>421</v>
      </c>
      <c r="GP3" s="138" t="s">
        <v>5707</v>
      </c>
      <c r="GQ3" s="62" t="s">
        <v>5261</v>
      </c>
      <c r="GR3" s="138"/>
      <c r="GS3" s="138" t="s">
        <v>274</v>
      </c>
      <c r="GT3" s="138" t="s">
        <v>275</v>
      </c>
      <c r="GU3" s="136">
        <v>41597</v>
      </c>
      <c r="GV3" s="138" t="s">
        <v>5708</v>
      </c>
      <c r="GW3" s="138"/>
      <c r="GX3" s="138" t="s">
        <v>4876</v>
      </c>
      <c r="GY3" s="138" t="s">
        <v>834</v>
      </c>
      <c r="GZ3" s="138" t="s">
        <v>266</v>
      </c>
      <c r="HA3" s="138"/>
      <c r="HB3" s="138" t="s">
        <v>267</v>
      </c>
      <c r="HC3" s="138" t="s">
        <v>268</v>
      </c>
      <c r="HD3" s="136">
        <v>41645</v>
      </c>
      <c r="HE3" s="138" t="s">
        <v>5912</v>
      </c>
      <c r="HF3" s="138" t="s">
        <v>5709</v>
      </c>
      <c r="HG3" s="138" t="s">
        <v>375</v>
      </c>
      <c r="HH3" s="138" t="s">
        <v>381</v>
      </c>
      <c r="HI3" s="138"/>
      <c r="HJ3" s="138" t="s">
        <v>267</v>
      </c>
      <c r="HK3" s="138" t="s">
        <v>268</v>
      </c>
      <c r="HL3" s="136">
        <v>42754</v>
      </c>
      <c r="HM3" s="138" t="s">
        <v>5710</v>
      </c>
      <c r="HN3" s="138" t="s">
        <v>5716</v>
      </c>
      <c r="HO3" s="138"/>
      <c r="HP3" s="138"/>
      <c r="HQ3" s="138"/>
      <c r="HR3" s="138"/>
      <c r="HS3" s="138"/>
      <c r="HT3" s="136"/>
      <c r="HU3" s="138"/>
      <c r="HV3" s="138"/>
      <c r="HW3" s="138"/>
      <c r="HX3" s="138"/>
      <c r="HY3" s="138"/>
      <c r="HZ3" s="138"/>
      <c r="IA3" s="138"/>
      <c r="IB3" s="136">
        <v>45619</v>
      </c>
      <c r="IC3" s="226">
        <v>19000</v>
      </c>
      <c r="ID3" s="135">
        <v>1900</v>
      </c>
      <c r="IE3" s="38" t="s">
        <v>5986</v>
      </c>
      <c r="IF3" s="138" t="s">
        <v>5987</v>
      </c>
      <c r="IG3" s="138" t="s">
        <v>3508</v>
      </c>
      <c r="IH3" s="138" t="s">
        <v>5959</v>
      </c>
      <c r="II3" s="135">
        <v>8964.11</v>
      </c>
      <c r="IJ3" s="135" t="s">
        <v>834</v>
      </c>
      <c r="IK3" s="135">
        <v>2723.13</v>
      </c>
      <c r="IL3" s="135" t="s">
        <v>3767</v>
      </c>
      <c r="IM3" s="135">
        <v>1591.84</v>
      </c>
      <c r="IN3" s="135">
        <v>266.67</v>
      </c>
      <c r="IO3" s="40">
        <f ca="1">SUM(IC3-EH3-GC3-II3)</f>
        <v>5489.4909749999988</v>
      </c>
      <c r="IP3" s="135"/>
      <c r="IQ3" s="135"/>
      <c r="IR3" s="136">
        <v>45561</v>
      </c>
      <c r="IS3" s="136">
        <v>45588</v>
      </c>
      <c r="IT3" s="136">
        <v>45621</v>
      </c>
      <c r="IU3" s="136">
        <v>45635</v>
      </c>
      <c r="IV3" s="136"/>
      <c r="IW3" s="38" t="s">
        <v>5913</v>
      </c>
    </row>
    <row r="4" spans="1:257" s="38" customFormat="1">
      <c r="A4" s="38">
        <v>102024164</v>
      </c>
      <c r="B4" s="38" t="s">
        <v>5548</v>
      </c>
      <c r="C4" s="138"/>
      <c r="D4" s="162"/>
      <c r="E4" s="158" t="s">
        <v>5889</v>
      </c>
      <c r="F4" s="163">
        <v>240003194</v>
      </c>
      <c r="G4" s="158"/>
      <c r="H4" s="138"/>
      <c r="I4" s="138"/>
      <c r="J4" s="138" t="s">
        <v>253</v>
      </c>
      <c r="K4" s="138" t="s">
        <v>5549</v>
      </c>
      <c r="L4" s="138" t="s">
        <v>443</v>
      </c>
      <c r="M4" s="138" t="s">
        <v>403</v>
      </c>
      <c r="N4" s="138"/>
      <c r="O4" s="158"/>
      <c r="P4" s="138"/>
      <c r="Q4" s="138"/>
      <c r="R4" s="138"/>
      <c r="S4" s="138"/>
      <c r="T4" s="138"/>
      <c r="U4" s="138"/>
      <c r="V4" s="138"/>
      <c r="W4" s="138"/>
      <c r="X4" s="138"/>
      <c r="Y4" s="138"/>
      <c r="Z4" s="138"/>
      <c r="AA4" s="138"/>
      <c r="AB4" s="138"/>
      <c r="AC4" s="138"/>
      <c r="AD4" s="138"/>
      <c r="AE4" s="138"/>
      <c r="AF4" s="138"/>
      <c r="AG4" s="164"/>
      <c r="AH4" s="138"/>
      <c r="AI4" s="138"/>
      <c r="AJ4" s="39" t="s">
        <v>328</v>
      </c>
      <c r="AK4" s="133"/>
      <c r="AL4" s="39" t="s">
        <v>329</v>
      </c>
      <c r="AN4" s="38" t="s">
        <v>5597</v>
      </c>
      <c r="AO4" s="38" t="s">
        <v>5550</v>
      </c>
      <c r="AP4" s="133" t="s">
        <v>258</v>
      </c>
      <c r="AQ4" s="39" t="s">
        <v>756</v>
      </c>
      <c r="AR4" s="38" t="s">
        <v>757</v>
      </c>
      <c r="AX4" s="133"/>
      <c r="AY4" s="133"/>
      <c r="AZ4" s="133" t="s">
        <v>258</v>
      </c>
      <c r="BA4" s="133" t="s">
        <v>258</v>
      </c>
      <c r="BB4" s="133" t="s">
        <v>258</v>
      </c>
      <c r="BC4" s="142">
        <v>45475</v>
      </c>
      <c r="BD4" s="140">
        <v>45415</v>
      </c>
      <c r="BE4" s="145">
        <v>45433</v>
      </c>
      <c r="BF4" s="142">
        <v>45534</v>
      </c>
      <c r="BG4" s="49" t="s">
        <v>319</v>
      </c>
      <c r="BH4" s="41">
        <v>45520</v>
      </c>
      <c r="BI4" s="41">
        <v>45527</v>
      </c>
      <c r="BJ4" s="142">
        <v>45548</v>
      </c>
      <c r="BK4" s="142" t="s">
        <v>319</v>
      </c>
      <c r="BL4" s="49">
        <f ca="1">SUM(EH4)+220</f>
        <v>4984.3368499999997</v>
      </c>
      <c r="BM4" s="50">
        <f ca="1">PMT(10%/12,12,BL4,0,0)</f>
        <v>-438.20239642098124</v>
      </c>
      <c r="BN4" s="50">
        <f ca="1">SUM(BM4*-1)</f>
        <v>438.20239642098124</v>
      </c>
      <c r="BO4" s="40">
        <f>SUM(EP4*0.0052)/12</f>
        <v>14.04</v>
      </c>
      <c r="BP4" s="50">
        <f ca="1">SUM(BN4+BO4)</f>
        <v>452.24239642098127</v>
      </c>
      <c r="BQ4" s="40"/>
      <c r="BR4" s="40">
        <f>SUM(BQ4*0.1)</f>
        <v>0</v>
      </c>
      <c r="BS4" s="40">
        <f ca="1">SUM(BT4*BU4)</f>
        <v>0</v>
      </c>
      <c r="BT4" s="57">
        <f>SUM((BQ4+BR4)*0.00833333333333333)</f>
        <v>0</v>
      </c>
      <c r="BU4" s="58">
        <f t="shared" ca="1" si="8"/>
        <v>53</v>
      </c>
      <c r="BV4" s="40">
        <f ca="1">SUM(BQ4,BR4,BS4)</f>
        <v>0</v>
      </c>
      <c r="BW4" s="40">
        <v>0</v>
      </c>
      <c r="BX4" s="40">
        <f>SUM(BW4*0.1)</f>
        <v>0</v>
      </c>
      <c r="BY4" s="40">
        <f ca="1">SUM(BZ4*CA4)</f>
        <v>0</v>
      </c>
      <c r="BZ4" s="57">
        <f>SUM((BW4+BX4)*0.00833333333333333)</f>
        <v>0</v>
      </c>
      <c r="CA4" s="58">
        <f t="shared" ca="1" si="13"/>
        <v>41</v>
      </c>
      <c r="CB4" s="40">
        <f ca="1">SUM(BW4,BX4,BY4)</f>
        <v>0</v>
      </c>
      <c r="CC4" s="40">
        <v>0</v>
      </c>
      <c r="CD4" s="40">
        <f>SUM(CC4*0.1)</f>
        <v>0</v>
      </c>
      <c r="CE4" s="40">
        <f>SUM(CF4*CG4)</f>
        <v>0</v>
      </c>
      <c r="CF4" s="57">
        <f>SUM((CC4+CD4)*0.00833333333333333)</f>
        <v>0</v>
      </c>
      <c r="CG4" s="58">
        <v>37</v>
      </c>
      <c r="CH4" s="40">
        <f>SUM(CC4,CD4,CE4)</f>
        <v>0</v>
      </c>
      <c r="CI4" s="40">
        <f>SUM(EM4*0.0052)/2</f>
        <v>74.88</v>
      </c>
      <c r="CJ4" s="40">
        <f>SUM(CI4*0.1)</f>
        <v>7.4879999999999995</v>
      </c>
      <c r="CK4" s="40">
        <f>SUM(CL4*CM4)</f>
        <v>19.905599999999989</v>
      </c>
      <c r="CL4" s="57">
        <f>SUM((CI4+CJ4)*0.00833333333333333)</f>
        <v>0.68639999999999968</v>
      </c>
      <c r="CM4" s="58">
        <v>29</v>
      </c>
      <c r="CN4" s="58">
        <f>SUM(CI4,CJ4,CK4)</f>
        <v>102.27359999999999</v>
      </c>
      <c r="CO4" s="40">
        <f>SUM(EM4*0.0052)/2</f>
        <v>74.88</v>
      </c>
      <c r="CP4" s="40">
        <f>SUM(CO4*0.1)</f>
        <v>7.4879999999999995</v>
      </c>
      <c r="CQ4" s="40">
        <f>SUM(CR4*CS4)</f>
        <v>17.159999999999993</v>
      </c>
      <c r="CR4" s="57">
        <f>SUM((CO4+CP4)*0.00833333333333333)</f>
        <v>0.68639999999999968</v>
      </c>
      <c r="CS4" s="58">
        <v>25</v>
      </c>
      <c r="CT4" s="40">
        <f>SUM(CO4,CP4,CQ4)</f>
        <v>99.527999999999992</v>
      </c>
      <c r="CU4" s="40">
        <f>SUM(EP4*0.0045)/2</f>
        <v>72.899999999999991</v>
      </c>
      <c r="CV4" s="40">
        <f>SUM(CU4*0.1)</f>
        <v>7.2899999999999991</v>
      </c>
      <c r="CW4" s="40">
        <f>SUM(CX4*CY4)</f>
        <v>12.696749999999994</v>
      </c>
      <c r="CX4" s="57">
        <f>SUM((CU4+CV4)*0.00833333333333333)</f>
        <v>0.66824999999999968</v>
      </c>
      <c r="CY4" s="58">
        <v>19</v>
      </c>
      <c r="CZ4" s="40">
        <f>SUM(CU4,CV4,CW4)</f>
        <v>92.886749999999992</v>
      </c>
      <c r="DA4" s="40">
        <f>SUM(EP4*0.0045)/2</f>
        <v>72.899999999999991</v>
      </c>
      <c r="DB4" s="40">
        <f>SUM(DA4*0.1)</f>
        <v>7.2899999999999991</v>
      </c>
      <c r="DC4" s="40">
        <f>SUM(DD4*DE4)</f>
        <v>8.6872499999999953</v>
      </c>
      <c r="DD4" s="57">
        <f>SUM((DA4+DB4)*0.00833333333333333)</f>
        <v>0.66824999999999968</v>
      </c>
      <c r="DE4" s="58">
        <v>13</v>
      </c>
      <c r="DF4" s="40">
        <f>SUM(DA4,DB4,DC4)</f>
        <v>88.877249999999989</v>
      </c>
      <c r="DG4" s="40">
        <f>SUM(EP4*0.0045)/2</f>
        <v>72.899999999999991</v>
      </c>
      <c r="DH4" s="40">
        <f>SUM(DG4*0.1)</f>
        <v>7.2899999999999991</v>
      </c>
      <c r="DI4" s="40">
        <f>SUM(DJ4*DK4)</f>
        <v>3.3412499999999983</v>
      </c>
      <c r="DJ4" s="57">
        <f>SUM((DG4+DH4)*0.00833333333333333)</f>
        <v>0.66824999999999968</v>
      </c>
      <c r="DK4" s="58">
        <v>5</v>
      </c>
      <c r="DL4" s="40">
        <f>SUM(DG4,DH4,DI4)</f>
        <v>83.53125</v>
      </c>
      <c r="DM4" s="40">
        <f>SUM(EP4*0.0045)/2</f>
        <v>72.899999999999991</v>
      </c>
      <c r="DN4" s="40">
        <f>SUM(DM4*0.1)</f>
        <v>7.2899999999999991</v>
      </c>
      <c r="DO4" s="40">
        <v>0</v>
      </c>
      <c r="DP4" s="57">
        <f>SUM((DM4+DN4)*0.00833333333333333)</f>
        <v>0.66824999999999968</v>
      </c>
      <c r="DQ4" s="58">
        <v>1</v>
      </c>
      <c r="DR4" s="40">
        <f>SUM(DM4,DN4,DO4)</f>
        <v>80.19</v>
      </c>
      <c r="DS4" s="40">
        <f>SUM(BQ4, BW4, CC4, CI4,CO4,CU4,DA4,DG4,DM4)</f>
        <v>441.3599999999999</v>
      </c>
      <c r="DT4" s="40">
        <f t="shared" si="56"/>
        <v>44.135999999999996</v>
      </c>
      <c r="DU4" s="40">
        <f t="shared" ca="1" si="56"/>
        <v>61.790849999999971</v>
      </c>
      <c r="DV4" s="59">
        <f ca="1">SUM(DS4:DU4)</f>
        <v>547.28684999999984</v>
      </c>
      <c r="DW4" s="64">
        <f ca="1">SUM(DV4/EM4)</f>
        <v>1.9003015624999994E-2</v>
      </c>
      <c r="DX4" s="40">
        <f>20+10+200+200+40+40+100+40+100+40+40+200+20+100+60+100+80+140+100</f>
        <v>1630</v>
      </c>
      <c r="DY4" s="65">
        <f>COUNTIF(AO4, "*")+COUNTIF(AJ4, "*")+COUNTIF(AA4, "*")+COUNTIF(EZ4, "*")+COUNTIF(FF4, "*")+COUNTIF(FL4, "*")+COUNTIF(FP4, "*")+COUNTIF(FW4, "*")+COUNTIF(AT4, "*")+COUNTIF(GF4, "*")+COUNTIF(GQ4, "*")+COUNTIF(GZ4, "*")+COUNTIF(HH4, "*")+COUNTIF(HP4, "*")+COUNTIF(HX4, "*")</f>
        <v>3</v>
      </c>
      <c r="DZ4" s="219">
        <f>79.01+38.92</f>
        <v>117.93</v>
      </c>
      <c r="EA4" s="135">
        <f>26.67+867.26+332.34</f>
        <v>1226.27</v>
      </c>
      <c r="EB4" s="135">
        <v>253</v>
      </c>
      <c r="EC4" s="135">
        <f>93.75+172.5</f>
        <v>266.25</v>
      </c>
      <c r="ED4" s="135">
        <v>134</v>
      </c>
      <c r="EE4" s="40">
        <f>IF(SUM(EP4*0.004)&lt;100, 100, SUM(EP4*0.004))</f>
        <v>129.6</v>
      </c>
      <c r="EF4" s="135">
        <v>460</v>
      </c>
      <c r="EG4" s="40">
        <f>SUM(EC4:EF4,EA4)</f>
        <v>2216.12</v>
      </c>
      <c r="EH4" s="40">
        <f ca="1">SUM(DV4,DX4,EB4,EG4,DZ4)</f>
        <v>4764.3368499999997</v>
      </c>
      <c r="EI4" s="56" t="s">
        <v>5914</v>
      </c>
      <c r="EJ4" s="58">
        <f>1.05+0.95</f>
        <v>2</v>
      </c>
      <c r="EK4" s="40">
        <f>15100+13700</f>
        <v>28800</v>
      </c>
      <c r="EL4" s="40">
        <v>0</v>
      </c>
      <c r="EM4" s="40">
        <f>SUM(EK4+EL4)</f>
        <v>28800</v>
      </c>
      <c r="EN4" s="40">
        <f>17000+15400</f>
        <v>32400</v>
      </c>
      <c r="EO4" s="40">
        <v>0</v>
      </c>
      <c r="EP4" s="40">
        <f>SUM(EN4+EO4)</f>
        <v>32400</v>
      </c>
      <c r="EQ4" s="138" t="s">
        <v>5737</v>
      </c>
      <c r="ER4" s="138" t="s">
        <v>5738</v>
      </c>
      <c r="ES4" s="138"/>
      <c r="ET4" s="138"/>
      <c r="EU4" s="138"/>
      <c r="EV4" s="138"/>
      <c r="EW4" s="138"/>
      <c r="EX4" s="138" t="s">
        <v>5858</v>
      </c>
      <c r="EY4" s="138"/>
      <c r="EZ4" s="138" t="s">
        <v>5859</v>
      </c>
      <c r="FA4" s="138"/>
      <c r="FB4" s="138" t="s">
        <v>756</v>
      </c>
      <c r="FC4" s="138" t="s">
        <v>757</v>
      </c>
      <c r="FD4" s="138"/>
      <c r="FE4" s="138"/>
      <c r="FF4" s="138"/>
      <c r="FG4" s="138"/>
      <c r="FH4" s="138"/>
      <c r="FI4" s="138"/>
      <c r="FJ4" s="138"/>
      <c r="FK4" s="138"/>
      <c r="FL4" s="138"/>
      <c r="FM4" s="138"/>
      <c r="FN4" s="138"/>
      <c r="FO4" s="138"/>
      <c r="FP4" s="138"/>
      <c r="FQ4" s="138"/>
      <c r="FR4" s="138"/>
      <c r="FS4" s="138"/>
      <c r="FT4" s="136"/>
      <c r="FU4" s="138"/>
      <c r="FV4" s="138"/>
      <c r="FW4" s="138"/>
      <c r="FX4" s="138"/>
      <c r="FY4" s="138"/>
      <c r="FZ4" s="138"/>
      <c r="GA4" s="136"/>
      <c r="GB4" s="138"/>
      <c r="GC4" s="225"/>
      <c r="GD4" s="138"/>
      <c r="GE4" s="138"/>
      <c r="GF4" s="138"/>
      <c r="GG4" s="138"/>
      <c r="GH4" s="138"/>
      <c r="GI4" s="138"/>
      <c r="GJ4" s="136"/>
      <c r="GK4" s="138"/>
      <c r="GL4" s="138"/>
      <c r="GM4" s="138"/>
      <c r="GN4" s="138"/>
      <c r="GO4" s="138"/>
      <c r="GP4" s="138"/>
      <c r="GQ4" s="138"/>
      <c r="GR4" s="138"/>
      <c r="GS4" s="138"/>
      <c r="GT4" s="138"/>
      <c r="GU4" s="136"/>
      <c r="GV4" s="138"/>
      <c r="GW4" s="138"/>
      <c r="GX4" s="138"/>
      <c r="GY4" s="138"/>
      <c r="GZ4" s="138"/>
      <c r="HA4" s="138"/>
      <c r="HB4" s="138"/>
      <c r="HC4" s="138"/>
      <c r="HD4" s="136"/>
      <c r="HE4" s="138"/>
      <c r="HF4" s="138"/>
      <c r="HG4" s="138"/>
      <c r="HH4" s="138"/>
      <c r="HI4" s="138"/>
      <c r="HJ4" s="138"/>
      <c r="HK4" s="138"/>
      <c r="HL4" s="136"/>
      <c r="HM4" s="138"/>
      <c r="HN4" s="138"/>
      <c r="HO4" s="138"/>
      <c r="HP4" s="138"/>
      <c r="HQ4" s="138"/>
      <c r="HR4" s="138"/>
      <c r="HS4" s="138"/>
      <c r="HT4" s="136"/>
      <c r="HU4" s="138"/>
      <c r="HV4" s="138"/>
      <c r="HW4" s="138"/>
      <c r="HX4" s="138"/>
      <c r="HY4" s="138"/>
      <c r="HZ4" s="138"/>
      <c r="IA4" s="138"/>
      <c r="IB4" s="136">
        <v>45619</v>
      </c>
      <c r="IC4" s="135">
        <v>32000</v>
      </c>
      <c r="ID4" s="135">
        <v>3200</v>
      </c>
      <c r="IE4" s="38" t="s">
        <v>5981</v>
      </c>
      <c r="IF4" s="138" t="s">
        <v>5973</v>
      </c>
      <c r="IG4" s="138" t="s">
        <v>3136</v>
      </c>
      <c r="IH4" s="138"/>
      <c r="II4" s="135"/>
      <c r="IJ4" s="135"/>
      <c r="IK4" s="135"/>
      <c r="IL4" s="135"/>
      <c r="IM4" s="135"/>
      <c r="IN4" s="135">
        <v>187.5</v>
      </c>
      <c r="IO4" s="40">
        <f ca="1">SUM(IC4-EH4-GC4-II4)</f>
        <v>27235.66315</v>
      </c>
      <c r="IP4" s="135"/>
      <c r="IQ4" s="135"/>
      <c r="IR4" s="136">
        <v>45561</v>
      </c>
      <c r="IS4" s="136">
        <v>45586</v>
      </c>
      <c r="IT4" s="136">
        <v>45621</v>
      </c>
      <c r="IU4" s="136">
        <v>45632</v>
      </c>
      <c r="IV4" s="136"/>
      <c r="IW4" s="38" t="s">
        <v>5913</v>
      </c>
    </row>
    <row r="5" spans="1:257" s="38" customFormat="1" ht="15.75">
      <c r="A5" s="38">
        <v>102024171</v>
      </c>
      <c r="B5" s="38" t="s">
        <v>5567</v>
      </c>
      <c r="C5" s="138"/>
      <c r="D5" s="162"/>
      <c r="E5" s="158" t="s">
        <v>5909</v>
      </c>
      <c r="F5" s="163">
        <v>240003254</v>
      </c>
      <c r="G5" s="158"/>
      <c r="H5" s="138"/>
      <c r="I5" s="138"/>
      <c r="J5" s="138" t="s">
        <v>253</v>
      </c>
      <c r="K5" s="138" t="s">
        <v>5568</v>
      </c>
      <c r="L5" s="138" t="s">
        <v>5569</v>
      </c>
      <c r="M5" s="138" t="s">
        <v>326</v>
      </c>
      <c r="N5" s="138"/>
      <c r="O5" s="158"/>
      <c r="P5" s="138"/>
      <c r="Q5" s="138"/>
      <c r="R5" s="138"/>
      <c r="S5" s="138"/>
      <c r="T5" s="138"/>
      <c r="U5" s="138"/>
      <c r="V5" s="138"/>
      <c r="W5" s="138"/>
      <c r="X5" s="138"/>
      <c r="Y5" s="138"/>
      <c r="Z5" s="138"/>
      <c r="AA5" s="138"/>
      <c r="AB5" s="138"/>
      <c r="AC5" s="138"/>
      <c r="AD5" s="138"/>
      <c r="AE5" s="138"/>
      <c r="AF5" s="138"/>
      <c r="AG5" s="164"/>
      <c r="AH5" s="138"/>
      <c r="AI5" s="138"/>
      <c r="AJ5" s="39" t="s">
        <v>328</v>
      </c>
      <c r="AK5" s="133"/>
      <c r="AL5" s="39" t="s">
        <v>349</v>
      </c>
      <c r="AO5" s="38" t="s">
        <v>5570</v>
      </c>
      <c r="AP5" s="133" t="s">
        <v>258</v>
      </c>
      <c r="AQ5" s="39" t="s">
        <v>5571</v>
      </c>
      <c r="AX5" s="133"/>
      <c r="AY5" s="133" t="s">
        <v>258</v>
      </c>
      <c r="AZ5" s="133"/>
      <c r="BA5" s="133"/>
      <c r="BB5" s="133"/>
      <c r="BC5" s="142">
        <v>45482</v>
      </c>
      <c r="BD5" s="140">
        <v>45415</v>
      </c>
      <c r="BE5" s="145">
        <v>45442</v>
      </c>
      <c r="BF5" s="142"/>
      <c r="BG5" s="137"/>
      <c r="BH5" s="142"/>
      <c r="BI5" s="142"/>
      <c r="BJ5" s="142">
        <v>45545</v>
      </c>
      <c r="BK5" s="142" t="s">
        <v>5895</v>
      </c>
      <c r="BL5" s="49">
        <f ca="1">SUM(EH5)+220</f>
        <v>3633.3578541666661</v>
      </c>
      <c r="BM5" s="50">
        <f ca="1">PMT(10%/12,12,BL5,0,0)</f>
        <v>-319.42987937318622</v>
      </c>
      <c r="BN5" s="50">
        <f ca="1">SUM(BM5*-1)</f>
        <v>319.42987937318622</v>
      </c>
      <c r="BO5" s="40">
        <f>SUM(EP5*0.0052)/12</f>
        <v>7.41</v>
      </c>
      <c r="BP5" s="50">
        <f ca="1">SUM(BN5+BO5)</f>
        <v>326.83987937318625</v>
      </c>
      <c r="BQ5" s="40"/>
      <c r="BR5" s="40">
        <f>SUM(BQ5*0.1)</f>
        <v>0</v>
      </c>
      <c r="BS5" s="40">
        <f ca="1">SUM(BT5*BU5)</f>
        <v>0</v>
      </c>
      <c r="BT5" s="57">
        <f>SUM((BQ5+BR5)*0.00833333333333333)</f>
        <v>0</v>
      </c>
      <c r="BU5" s="58">
        <f t="shared" ca="1" si="8"/>
        <v>53</v>
      </c>
      <c r="BV5" s="40">
        <f ca="1">SUM(BQ5,BR5,BS5)</f>
        <v>0</v>
      </c>
      <c r="BW5" s="40">
        <v>0</v>
      </c>
      <c r="BX5" s="40">
        <f>SUM(BW5*0.1)</f>
        <v>0</v>
      </c>
      <c r="BY5" s="40">
        <f ca="1">SUM(BZ5*CA5)</f>
        <v>0</v>
      </c>
      <c r="BZ5" s="57">
        <f>SUM((BW5+BX5)*0.00833333333333333)</f>
        <v>0</v>
      </c>
      <c r="CA5" s="58">
        <f t="shared" ca="1" si="13"/>
        <v>41</v>
      </c>
      <c r="CB5" s="40">
        <f ca="1">SUM(BW5,BX5,BY5)</f>
        <v>0</v>
      </c>
      <c r="CC5" s="40">
        <v>0</v>
      </c>
      <c r="CD5" s="40">
        <f>SUM(CC5*0.1)</f>
        <v>0</v>
      </c>
      <c r="CE5" s="40">
        <f>SUM(CF5*CG5)</f>
        <v>0</v>
      </c>
      <c r="CF5" s="57">
        <f>SUM((CC5+CD5)*0.00833333333333333)</f>
        <v>0</v>
      </c>
      <c r="CG5" s="58">
        <v>37</v>
      </c>
      <c r="CH5" s="40">
        <f>SUM(CC5,CD5,CE5)</f>
        <v>0</v>
      </c>
      <c r="CI5" s="40">
        <v>0</v>
      </c>
      <c r="CJ5" s="40">
        <f>SUM(CI5*0.1)</f>
        <v>0</v>
      </c>
      <c r="CK5" s="40">
        <f>SUM(CL5*CM5)</f>
        <v>0</v>
      </c>
      <c r="CL5" s="57">
        <f>SUM((CI5+CJ5)*0.00833333333333333)</f>
        <v>0</v>
      </c>
      <c r="CM5" s="58">
        <v>29</v>
      </c>
      <c r="CN5" s="58">
        <f>SUM(CI5,CJ5,CK5)</f>
        <v>0</v>
      </c>
      <c r="CO5" s="40">
        <v>10.78</v>
      </c>
      <c r="CP5" s="40">
        <f>SUM(CO5*0.1)</f>
        <v>1.0780000000000001</v>
      </c>
      <c r="CQ5" s="40">
        <f>SUM(CR5*CS5)</f>
        <v>2.4704166666666652</v>
      </c>
      <c r="CR5" s="57">
        <f>SUM((CO5+CP5)*0.00833333333333333)</f>
        <v>9.8816666666666608E-2</v>
      </c>
      <c r="CS5" s="58">
        <v>25</v>
      </c>
      <c r="CT5" s="40">
        <f>SUM(CO5,CP5,CQ5)</f>
        <v>14.328416666666664</v>
      </c>
      <c r="CU5" s="40">
        <f>SUM(EP5*0.0045)/2</f>
        <v>38.474999999999994</v>
      </c>
      <c r="CV5" s="40">
        <f>SUM(CU5*0.1)</f>
        <v>3.8474999999999997</v>
      </c>
      <c r="CW5" s="40">
        <f>SUM(CX5*CY5)</f>
        <v>6.7010624999999955</v>
      </c>
      <c r="CX5" s="57">
        <f>SUM((CU5+CV5)*0.00833333333333333)</f>
        <v>0.35268749999999977</v>
      </c>
      <c r="CY5" s="58">
        <v>19</v>
      </c>
      <c r="CZ5" s="40">
        <f>SUM(CU5,CV5,CW5)</f>
        <v>49.023562499999983</v>
      </c>
      <c r="DA5" s="40">
        <f>SUM(EP5*0.0045)/2</f>
        <v>38.474999999999994</v>
      </c>
      <c r="DB5" s="40">
        <f>SUM(DA5*0.1)</f>
        <v>3.8474999999999997</v>
      </c>
      <c r="DC5" s="40">
        <f>SUM(DD5*DE5)</f>
        <v>4.584937499999997</v>
      </c>
      <c r="DD5" s="57">
        <f>SUM((DA5+DB5)*0.00833333333333333)</f>
        <v>0.35268749999999977</v>
      </c>
      <c r="DE5" s="58">
        <v>13</v>
      </c>
      <c r="DF5" s="40">
        <f>SUM(DA5,DB5,DC5)</f>
        <v>46.907437499999986</v>
      </c>
      <c r="DG5" s="40">
        <f>SUM(EP5*0.0045)/2</f>
        <v>38.474999999999994</v>
      </c>
      <c r="DH5" s="40">
        <f>SUM(DG5*0.1)</f>
        <v>3.8474999999999997</v>
      </c>
      <c r="DI5" s="40">
        <f>SUM(DJ5*DK5)</f>
        <v>1.7634374999999989</v>
      </c>
      <c r="DJ5" s="57">
        <f>SUM((DG5+DH5)*0.00833333333333333)</f>
        <v>0.35268749999999977</v>
      </c>
      <c r="DK5" s="58">
        <v>5</v>
      </c>
      <c r="DL5" s="40">
        <f>SUM(DG5,DH5,DI5)</f>
        <v>44.085937499999993</v>
      </c>
      <c r="DM5" s="40">
        <f>SUM(EP5*0.0045)/2</f>
        <v>38.474999999999994</v>
      </c>
      <c r="DN5" s="40">
        <f>SUM(DM5*0.1)</f>
        <v>3.8474999999999997</v>
      </c>
      <c r="DO5" s="40">
        <v>0</v>
      </c>
      <c r="DP5" s="57">
        <f>SUM((DM5+DN5)*0.00833333333333333)</f>
        <v>0.35268749999999977</v>
      </c>
      <c r="DQ5" s="58">
        <v>1</v>
      </c>
      <c r="DR5" s="40">
        <f>SUM(DM5,DN5,DO5)</f>
        <v>42.322499999999991</v>
      </c>
      <c r="DS5" s="40">
        <f>SUM(BQ5, BW5, CC5, CI5,CO5,CU5,DA5,DG5,DM5)</f>
        <v>164.67999999999998</v>
      </c>
      <c r="DT5" s="40">
        <f t="shared" si="56"/>
        <v>16.468</v>
      </c>
      <c r="DU5" s="40">
        <f t="shared" ca="1" si="56"/>
        <v>15.519854166666656</v>
      </c>
      <c r="DV5" s="59">
        <f ca="1">SUM(DS5:DU5)</f>
        <v>196.66785416666661</v>
      </c>
      <c r="DW5" s="64">
        <f ca="1">SUM(DV5/EM5)</f>
        <v>1.5485657808398947E-2</v>
      </c>
      <c r="DX5" s="40">
        <f>20+10+200+200+40+40+100+100+40+40+200+20+100+60+100+80+140+40+40+40+40+100</f>
        <v>1750</v>
      </c>
      <c r="DY5" s="65">
        <f>COUNTIF(AO5, "*")+COUNTIF(AJ5, "*")+COUNTIF(AA5, "*")+COUNTIF(EZ5, "*")+COUNTIF(FF5, "*")+COUNTIF(FL5, "*")+COUNTIF(FP5, "*")+COUNTIF(FW5, "*")+COUNTIF(AS5, "*")+COUNTIF(GF5, "*")+COUNTIF(GQ5, "*")+COUNTIF(GZ5, "*")+COUNTIF(HH5, "*")+COUNTIF(HP5, "*")+COUNTIF(HX5, "*")</f>
        <v>2</v>
      </c>
      <c r="DZ5" s="219">
        <f>71.01+38.92</f>
        <v>109.93</v>
      </c>
      <c r="EA5" s="135">
        <f>26.67+332.34</f>
        <v>359.01</v>
      </c>
      <c r="EB5" s="59">
        <v>317</v>
      </c>
      <c r="EC5" s="135">
        <v>0</v>
      </c>
      <c r="ED5" s="135">
        <v>120.75</v>
      </c>
      <c r="EE5" s="40">
        <f>IF(SUM(EP5*0.004)&lt;100, 100, SUM(EP5*0.004))</f>
        <v>100</v>
      </c>
      <c r="EF5" s="135">
        <v>460</v>
      </c>
      <c r="EG5" s="40">
        <f>SUM(EC5:EF5,EA5)</f>
        <v>1039.76</v>
      </c>
      <c r="EH5" s="40">
        <f ca="1">SUM(DV5,DX5,EB5,EG5,DZ5)</f>
        <v>3413.3578541666661</v>
      </c>
      <c r="EI5" s="56" t="s">
        <v>5914</v>
      </c>
      <c r="EJ5" s="58">
        <v>1.84</v>
      </c>
      <c r="EK5" s="40">
        <v>12700</v>
      </c>
      <c r="EL5" s="40">
        <v>0</v>
      </c>
      <c r="EM5" s="40">
        <f>SUM(EK5+EL5)</f>
        <v>12700</v>
      </c>
      <c r="EN5" s="40">
        <v>17100</v>
      </c>
      <c r="EO5" s="40">
        <v>0</v>
      </c>
      <c r="EP5" s="40">
        <f>SUM(EN5+EO5)</f>
        <v>17100</v>
      </c>
      <c r="EQ5" s="138" t="s">
        <v>5797</v>
      </c>
      <c r="ER5" s="138" t="s">
        <v>5798</v>
      </c>
      <c r="ES5" s="138" t="s">
        <v>5799</v>
      </c>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6"/>
      <c r="FU5" s="138"/>
      <c r="FV5" s="138"/>
      <c r="FW5" s="138"/>
      <c r="FX5" s="138"/>
      <c r="FY5" s="138"/>
      <c r="FZ5" s="138"/>
      <c r="GA5" s="136"/>
      <c r="GB5" s="138"/>
      <c r="GC5" s="225"/>
      <c r="GD5" s="138"/>
      <c r="GE5" s="138"/>
      <c r="GF5" s="138"/>
      <c r="GG5" s="138"/>
      <c r="GH5" s="138"/>
      <c r="GI5" s="138"/>
      <c r="GJ5" s="136"/>
      <c r="GK5" s="138"/>
      <c r="GL5" s="138"/>
      <c r="GM5" s="138"/>
      <c r="GN5" s="138"/>
      <c r="GO5" s="138"/>
      <c r="GP5" s="138"/>
      <c r="GQ5" s="138"/>
      <c r="GR5" s="138"/>
      <c r="GS5" s="138"/>
      <c r="GT5" s="138"/>
      <c r="GU5" s="136"/>
      <c r="GV5" s="138"/>
      <c r="GW5" s="138"/>
      <c r="GX5" s="138"/>
      <c r="GY5" s="138"/>
      <c r="GZ5" s="138"/>
      <c r="HA5" s="138"/>
      <c r="HB5" s="138"/>
      <c r="HC5" s="138"/>
      <c r="HD5" s="136"/>
      <c r="HE5" s="138"/>
      <c r="HF5" s="138"/>
      <c r="HG5" s="138"/>
      <c r="HH5" s="138"/>
      <c r="HI5" s="138"/>
      <c r="HJ5" s="138"/>
      <c r="HK5" s="138"/>
      <c r="HL5" s="136"/>
      <c r="HM5" s="138"/>
      <c r="HN5" s="138"/>
      <c r="HO5" s="138"/>
      <c r="HP5" s="138"/>
      <c r="HQ5" s="138"/>
      <c r="HR5" s="138"/>
      <c r="HS5" s="138"/>
      <c r="HT5" s="136"/>
      <c r="HU5" s="138"/>
      <c r="HV5" s="138"/>
      <c r="HW5" s="138"/>
      <c r="HX5" s="138"/>
      <c r="HY5" s="138"/>
      <c r="HZ5" s="138"/>
      <c r="IA5" s="138"/>
      <c r="IB5" s="136">
        <v>45619</v>
      </c>
      <c r="IC5" s="226">
        <v>11000</v>
      </c>
      <c r="ID5" s="135">
        <v>1600</v>
      </c>
      <c r="IE5" s="38" t="s">
        <v>5970</v>
      </c>
      <c r="IF5" s="138" t="s">
        <v>5971</v>
      </c>
      <c r="IG5" s="138" t="s">
        <v>5972</v>
      </c>
      <c r="II5" s="135"/>
      <c r="IJ5" s="135"/>
      <c r="IK5" s="135"/>
      <c r="IL5" s="135"/>
      <c r="IM5" s="135"/>
      <c r="IN5" s="135">
        <v>121.5</v>
      </c>
      <c r="IO5" s="40">
        <f ca="1">SUM(IC5-EH5-GC5-II5)</f>
        <v>7586.6421458333334</v>
      </c>
      <c r="IP5" s="135"/>
      <c r="IQ5" s="135"/>
      <c r="IR5" s="136">
        <v>45561</v>
      </c>
      <c r="IS5" s="136">
        <v>45587</v>
      </c>
      <c r="IT5" s="136">
        <v>45621</v>
      </c>
      <c r="IU5" s="136">
        <v>45623</v>
      </c>
      <c r="IV5" s="136"/>
      <c r="IW5" s="54" t="s">
        <v>5913</v>
      </c>
    </row>
    <row r="6" spans="1:257" ht="15.75">
      <c r="A6">
        <v>102024093</v>
      </c>
      <c r="B6" t="s">
        <v>5395</v>
      </c>
      <c r="C6" s="10"/>
      <c r="D6" s="161"/>
      <c r="E6" s="147" t="s">
        <v>5879</v>
      </c>
      <c r="F6" s="160">
        <v>240003054</v>
      </c>
      <c r="G6" s="147"/>
      <c r="H6" s="10"/>
      <c r="I6" s="10"/>
      <c r="J6" s="10" t="s">
        <v>554</v>
      </c>
      <c r="K6" s="10" t="s">
        <v>1481</v>
      </c>
      <c r="L6" s="10" t="s">
        <v>2082</v>
      </c>
      <c r="M6" s="10" t="s">
        <v>428</v>
      </c>
      <c r="N6" s="10"/>
      <c r="O6" s="147"/>
      <c r="P6" s="10" t="s">
        <v>1481</v>
      </c>
      <c r="Q6" s="10" t="s">
        <v>1054</v>
      </c>
      <c r="R6" s="10" t="s">
        <v>598</v>
      </c>
      <c r="S6" s="10"/>
      <c r="T6" s="10"/>
      <c r="U6" s="10"/>
      <c r="V6" s="10"/>
      <c r="W6" s="10"/>
      <c r="X6" s="10"/>
      <c r="Y6" s="10"/>
      <c r="Z6" s="10"/>
      <c r="AA6" s="10"/>
      <c r="AB6" s="10"/>
      <c r="AC6" s="10"/>
      <c r="AD6" s="10"/>
      <c r="AE6" s="10"/>
      <c r="AF6" s="10"/>
      <c r="AG6" s="141"/>
      <c r="AH6" s="10"/>
      <c r="AI6" s="10"/>
      <c r="AK6" s="1"/>
      <c r="AO6" t="s">
        <v>5396</v>
      </c>
      <c r="AP6" s="1" t="s">
        <v>258</v>
      </c>
      <c r="AQ6" s="18" t="s">
        <v>329</v>
      </c>
      <c r="AR6" t="s">
        <v>260</v>
      </c>
      <c r="AW6" s="1"/>
      <c r="AY6" s="1" t="s">
        <v>258</v>
      </c>
      <c r="AZ6" s="1" t="s">
        <v>258</v>
      </c>
      <c r="BA6" s="1" t="s">
        <v>258</v>
      </c>
      <c r="BB6" s="1" t="s">
        <v>258</v>
      </c>
      <c r="BC6" s="48">
        <v>45469</v>
      </c>
      <c r="BD6" s="115">
        <v>45408</v>
      </c>
      <c r="BE6" s="144">
        <v>45425</v>
      </c>
      <c r="BF6" s="70">
        <v>45534</v>
      </c>
      <c r="BG6" s="20" t="s">
        <v>319</v>
      </c>
      <c r="BH6" s="21">
        <v>45520</v>
      </c>
      <c r="BI6" s="21">
        <v>45527</v>
      </c>
      <c r="BJ6" s="70">
        <v>45545</v>
      </c>
      <c r="BK6" s="70" t="s">
        <v>5895</v>
      </c>
      <c r="BL6" s="20">
        <f t="shared" ca="1" si="0"/>
        <v>5997.4686874999998</v>
      </c>
      <c r="BM6" s="22">
        <f t="shared" ca="1" si="1"/>
        <v>-527.27278079576365</v>
      </c>
      <c r="BN6" s="22">
        <f t="shared" ca="1" si="2"/>
        <v>527.27278079576365</v>
      </c>
      <c r="BO6" s="14">
        <f t="shared" si="3"/>
        <v>41.21</v>
      </c>
      <c r="BP6" s="22">
        <f t="shared" ca="1" si="4"/>
        <v>568.48278079576369</v>
      </c>
      <c r="BQ6" s="14"/>
      <c r="BR6" s="14">
        <f t="shared" si="5"/>
        <v>0</v>
      </c>
      <c r="BS6" s="14">
        <f t="shared" ca="1" si="6"/>
        <v>0</v>
      </c>
      <c r="BT6" s="17">
        <f t="shared" si="7"/>
        <v>0</v>
      </c>
      <c r="BU6" s="23">
        <f t="shared" ca="1" si="8"/>
        <v>53</v>
      </c>
      <c r="BV6" s="14">
        <f t="shared" ca="1" si="9"/>
        <v>0</v>
      </c>
      <c r="BW6" s="14">
        <v>0</v>
      </c>
      <c r="BX6" s="14">
        <f t="shared" si="10"/>
        <v>0</v>
      </c>
      <c r="BY6" s="14">
        <f t="shared" ca="1" si="11"/>
        <v>0</v>
      </c>
      <c r="BZ6" s="17">
        <f t="shared" si="12"/>
        <v>0</v>
      </c>
      <c r="CA6" s="23">
        <f t="shared" ca="1" si="13"/>
        <v>41</v>
      </c>
      <c r="CB6" s="14">
        <f t="shared" ca="1" si="14"/>
        <v>0</v>
      </c>
      <c r="CC6" s="14">
        <v>0</v>
      </c>
      <c r="CD6" s="14">
        <f t="shared" si="15"/>
        <v>0</v>
      </c>
      <c r="CE6" s="14">
        <f t="shared" si="16"/>
        <v>0</v>
      </c>
      <c r="CF6" s="17">
        <f t="shared" si="17"/>
        <v>0</v>
      </c>
      <c r="CG6" s="23">
        <v>37</v>
      </c>
      <c r="CH6" s="14">
        <f t="shared" si="18"/>
        <v>0</v>
      </c>
      <c r="CI6" s="14">
        <f>SUM(EM6*0.0052)/2</f>
        <v>198.89999999999998</v>
      </c>
      <c r="CJ6" s="14">
        <f t="shared" si="20"/>
        <v>19.89</v>
      </c>
      <c r="CK6" s="14">
        <f t="shared" si="21"/>
        <v>52.874249999999968</v>
      </c>
      <c r="CL6" s="17">
        <f t="shared" si="22"/>
        <v>1.8232499999999989</v>
      </c>
      <c r="CM6" s="23">
        <v>29</v>
      </c>
      <c r="CN6" s="23">
        <f t="shared" si="23"/>
        <v>271.66424999999992</v>
      </c>
      <c r="CO6" s="14">
        <f t="shared" si="24"/>
        <v>198.89999999999998</v>
      </c>
      <c r="CP6" s="14">
        <f t="shared" si="25"/>
        <v>19.89</v>
      </c>
      <c r="CQ6" s="14">
        <f t="shared" si="26"/>
        <v>45.581249999999976</v>
      </c>
      <c r="CR6" s="17">
        <f t="shared" si="27"/>
        <v>1.8232499999999989</v>
      </c>
      <c r="CS6" s="23">
        <v>25</v>
      </c>
      <c r="CT6" s="14">
        <f t="shared" si="28"/>
        <v>264.37124999999992</v>
      </c>
      <c r="CU6" s="14">
        <f t="shared" ref="CU6:CU14" si="57">SUM(EP6*0.0045)/2</f>
        <v>213.97499999999999</v>
      </c>
      <c r="CV6" s="14">
        <f t="shared" si="29"/>
        <v>21.397500000000001</v>
      </c>
      <c r="CW6" s="14">
        <f t="shared" si="30"/>
        <v>37.267312499999989</v>
      </c>
      <c r="CX6" s="17">
        <f t="shared" si="31"/>
        <v>1.9614374999999993</v>
      </c>
      <c r="CY6" s="23">
        <v>19</v>
      </c>
      <c r="CZ6" s="14">
        <f t="shared" si="32"/>
        <v>272.63981250000001</v>
      </c>
      <c r="DA6" s="14">
        <f t="shared" si="33"/>
        <v>213.97499999999999</v>
      </c>
      <c r="DB6" s="14">
        <f t="shared" si="34"/>
        <v>21.397500000000001</v>
      </c>
      <c r="DC6" s="14">
        <f t="shared" si="35"/>
        <v>25.498687499999992</v>
      </c>
      <c r="DD6" s="17">
        <f t="shared" si="36"/>
        <v>1.9614374999999993</v>
      </c>
      <c r="DE6" s="23">
        <v>13</v>
      </c>
      <c r="DF6" s="14">
        <f t="shared" si="37"/>
        <v>260.87118750000002</v>
      </c>
      <c r="DG6" s="14">
        <f t="shared" si="38"/>
        <v>213.97499999999999</v>
      </c>
      <c r="DH6" s="14">
        <f t="shared" si="39"/>
        <v>21.397500000000001</v>
      </c>
      <c r="DI6" s="14">
        <f t="shared" si="40"/>
        <v>9.8071874999999959</v>
      </c>
      <c r="DJ6" s="17">
        <f t="shared" si="41"/>
        <v>1.9614374999999993</v>
      </c>
      <c r="DK6" s="23">
        <v>5</v>
      </c>
      <c r="DL6" s="14">
        <f t="shared" si="42"/>
        <v>245.1796875</v>
      </c>
      <c r="DM6" s="14">
        <f t="shared" si="43"/>
        <v>213.97499999999999</v>
      </c>
      <c r="DN6" s="14">
        <f t="shared" si="44"/>
        <v>21.397500000000001</v>
      </c>
      <c r="DO6" s="14">
        <v>0</v>
      </c>
      <c r="DP6" s="17">
        <f t="shared" si="45"/>
        <v>1.9614374999999993</v>
      </c>
      <c r="DQ6" s="23">
        <v>1</v>
      </c>
      <c r="DR6" s="14">
        <f t="shared" si="46"/>
        <v>235.3725</v>
      </c>
      <c r="DS6" s="14">
        <f t="shared" si="47"/>
        <v>1253.6999999999998</v>
      </c>
      <c r="DT6" s="14">
        <f t="shared" si="48"/>
        <v>125.37</v>
      </c>
      <c r="DU6" s="14">
        <f t="shared" ca="1" si="49"/>
        <v>171.0286874999999</v>
      </c>
      <c r="DV6" s="25">
        <f t="shared" ca="1" si="50"/>
        <v>1550.0986874999996</v>
      </c>
      <c r="DW6" s="47">
        <f t="shared" ca="1" si="51"/>
        <v>2.0262727941176464E-2</v>
      </c>
      <c r="DX6" s="14">
        <f>20+10+200+200+100+40+40+100+40+40+200+40+40+20+100+60+100+80+140+40+100</f>
        <v>1710</v>
      </c>
      <c r="DY6" s="32">
        <f t="shared" ref="DY6:DY10" si="58">COUNTIF(AO6, "*")+COUNTIF(AJ6, "*")+COUNTIF(AA6, "*")+COUNTIF(EZ6, "*")+COUNTIF(FF6, "*")+COUNTIF(FL6, "*")+COUNTIF(FP6, "*")+COUNTIF(FW6, "*")+COUNTIF(AS6, "*")+COUNTIF(GF6, "*")+COUNTIF(GQ6, "*")+COUNTIF(GZ6, "*")+COUNTIF(HH6, "*")+COUNTIF(HP6, "*")+COUNTIF(HX6, "*")</f>
        <v>6</v>
      </c>
      <c r="DZ6" s="66">
        <f>102.37+38.92</f>
        <v>141.29000000000002</v>
      </c>
      <c r="EA6" s="4">
        <f>32.53+827</f>
        <v>859.53</v>
      </c>
      <c r="EB6" s="4">
        <v>200</v>
      </c>
      <c r="EC6" s="4">
        <f>93.75+177.5</f>
        <v>271.25</v>
      </c>
      <c r="ED6" s="4">
        <v>204.9</v>
      </c>
      <c r="EE6" s="14">
        <f t="shared" si="52"/>
        <v>380.40000000000003</v>
      </c>
      <c r="EF6" s="4">
        <v>460</v>
      </c>
      <c r="EG6" s="14">
        <f t="shared" si="53"/>
        <v>2176.08</v>
      </c>
      <c r="EH6" s="14">
        <f ca="1">SUM(DV6,DX6,EB6,EG6,DZ6,GC6)</f>
        <v>5777.4686874999998</v>
      </c>
      <c r="EI6" s="24" t="s">
        <v>5914</v>
      </c>
      <c r="EJ6" s="23">
        <v>5</v>
      </c>
      <c r="EK6" s="14">
        <v>36000</v>
      </c>
      <c r="EL6" s="14">
        <v>40500</v>
      </c>
      <c r="EM6" s="14">
        <f t="shared" ref="EM6:EM14" si="59">SUM(EK6+EL6)</f>
        <v>76500</v>
      </c>
      <c r="EN6" s="14">
        <v>38000</v>
      </c>
      <c r="EO6" s="14">
        <v>57100</v>
      </c>
      <c r="EP6" s="14">
        <f t="shared" si="54"/>
        <v>95100</v>
      </c>
      <c r="EQ6" s="10" t="s">
        <v>5639</v>
      </c>
      <c r="ER6" s="10" t="s">
        <v>5640</v>
      </c>
      <c r="ES6" s="10" t="s">
        <v>5641</v>
      </c>
      <c r="ET6" s="10"/>
      <c r="EU6" s="10"/>
      <c r="EV6" s="10"/>
      <c r="EW6" s="10"/>
      <c r="EX6" s="10" t="s">
        <v>5642</v>
      </c>
      <c r="EY6" s="10"/>
      <c r="EZ6" s="10" t="s">
        <v>5396</v>
      </c>
      <c r="FA6" s="10"/>
      <c r="FB6" s="10" t="s">
        <v>329</v>
      </c>
      <c r="FC6" s="10" t="s">
        <v>260</v>
      </c>
      <c r="FD6" s="10" t="s">
        <v>5643</v>
      </c>
      <c r="FE6" s="10"/>
      <c r="FF6" s="10" t="s">
        <v>5644</v>
      </c>
      <c r="FG6" s="10"/>
      <c r="FH6" s="10" t="s">
        <v>267</v>
      </c>
      <c r="FI6" s="10" t="s">
        <v>260</v>
      </c>
      <c r="FJ6" s="10" t="s">
        <v>5645</v>
      </c>
      <c r="FK6" s="10"/>
      <c r="FL6" s="10" t="s">
        <v>5646</v>
      </c>
      <c r="FM6" s="10" t="s">
        <v>438</v>
      </c>
      <c r="FN6" s="10" t="s">
        <v>260</v>
      </c>
      <c r="FO6" s="10"/>
      <c r="FP6" s="10"/>
      <c r="FQ6" s="10"/>
      <c r="FR6" s="10"/>
      <c r="FS6" s="10"/>
      <c r="FT6" s="9"/>
      <c r="FU6" s="10"/>
      <c r="FV6" s="10"/>
      <c r="FW6" s="10"/>
      <c r="FX6" s="10"/>
      <c r="FY6" s="10"/>
      <c r="FZ6" s="10"/>
      <c r="GA6" s="9"/>
      <c r="GB6" s="10"/>
      <c r="GC6" s="8"/>
      <c r="GD6" s="10" t="s">
        <v>297</v>
      </c>
      <c r="GE6" s="10" t="s">
        <v>5647</v>
      </c>
      <c r="GF6" s="10" t="s">
        <v>553</v>
      </c>
      <c r="GG6" s="10"/>
      <c r="GH6" s="10" t="s">
        <v>5648</v>
      </c>
      <c r="GI6" s="10" t="s">
        <v>301</v>
      </c>
      <c r="GJ6" s="9">
        <v>41778</v>
      </c>
      <c r="GK6" s="10" t="s">
        <v>5649</v>
      </c>
      <c r="GL6" s="10"/>
      <c r="GM6" s="10"/>
      <c r="GN6" s="10"/>
      <c r="GO6" s="10" t="s">
        <v>382</v>
      </c>
      <c r="GP6" s="10" t="s">
        <v>383</v>
      </c>
      <c r="GQ6" s="10" t="s">
        <v>384</v>
      </c>
      <c r="GR6" s="10" t="s">
        <v>385</v>
      </c>
      <c r="GS6" s="10" t="s">
        <v>386</v>
      </c>
      <c r="GT6" s="10" t="s">
        <v>260</v>
      </c>
      <c r="GU6" s="9">
        <v>44749</v>
      </c>
      <c r="GV6" s="10" t="s">
        <v>5650</v>
      </c>
      <c r="GW6" s="10"/>
      <c r="GX6" s="10"/>
      <c r="GY6" s="10"/>
      <c r="GZ6" s="10"/>
      <c r="HA6" s="10"/>
      <c r="HB6" s="10"/>
      <c r="HC6" s="10"/>
      <c r="HD6" s="9"/>
      <c r="HE6" s="10"/>
      <c r="HF6" s="10"/>
      <c r="HG6" s="10"/>
      <c r="HH6" s="10"/>
      <c r="HI6" s="10"/>
      <c r="HJ6" s="10"/>
      <c r="HK6" s="10"/>
      <c r="HL6" s="9"/>
      <c r="HM6" s="10"/>
      <c r="HN6" s="10"/>
      <c r="HO6" s="10"/>
      <c r="HP6" s="10"/>
      <c r="HQ6" s="10"/>
      <c r="HR6" s="10"/>
      <c r="HS6" s="10"/>
      <c r="HT6" s="9"/>
      <c r="HU6" s="10"/>
      <c r="HV6" s="10"/>
      <c r="HW6" s="10"/>
      <c r="HX6" s="10"/>
      <c r="HY6" s="10"/>
      <c r="HZ6" s="10"/>
      <c r="IA6" s="10"/>
      <c r="IB6" s="9">
        <v>45619</v>
      </c>
      <c r="IC6" s="224">
        <v>30000</v>
      </c>
      <c r="ID6" s="4">
        <v>3000</v>
      </c>
      <c r="IE6" t="s">
        <v>5967</v>
      </c>
      <c r="IF6" s="10" t="s">
        <v>1153</v>
      </c>
      <c r="IG6" s="10" t="s">
        <v>5961</v>
      </c>
      <c r="IH6" s="10"/>
      <c r="II6" s="4"/>
      <c r="IJ6" s="4"/>
      <c r="IK6" s="4"/>
      <c r="IL6" s="4"/>
      <c r="IM6" s="4"/>
      <c r="IN6" s="4">
        <v>459.5</v>
      </c>
      <c r="IO6" s="14">
        <f t="shared" ca="1" si="55"/>
        <v>24222.531312499999</v>
      </c>
      <c r="IP6" s="4"/>
      <c r="IQ6" s="4"/>
      <c r="IR6" s="9">
        <v>45561</v>
      </c>
      <c r="IS6" s="9">
        <v>45586</v>
      </c>
      <c r="IT6" s="9">
        <v>45621</v>
      </c>
      <c r="IU6" s="9">
        <v>45632</v>
      </c>
      <c r="IV6" s="9"/>
      <c r="IW6" s="27" t="s">
        <v>5913</v>
      </c>
    </row>
    <row r="7" spans="1:257" s="38" customFormat="1" ht="15.75">
      <c r="A7" s="38">
        <v>102024099</v>
      </c>
      <c r="B7" s="38" t="s">
        <v>5402</v>
      </c>
      <c r="C7" s="138"/>
      <c r="D7" s="162"/>
      <c r="E7" s="158" t="s">
        <v>5907</v>
      </c>
      <c r="F7" s="163">
        <v>240003256</v>
      </c>
      <c r="G7" s="158"/>
      <c r="H7" s="138"/>
      <c r="I7" s="138"/>
      <c r="J7" s="138" t="s">
        <v>253</v>
      </c>
      <c r="K7" s="138" t="s">
        <v>5821</v>
      </c>
      <c r="L7" s="138" t="s">
        <v>5403</v>
      </c>
      <c r="M7" s="138"/>
      <c r="N7" s="138"/>
      <c r="O7" s="158"/>
      <c r="P7" s="138"/>
      <c r="Q7" s="138"/>
      <c r="R7" s="138"/>
      <c r="S7" s="138"/>
      <c r="T7" s="138"/>
      <c r="U7" s="138"/>
      <c r="V7" s="138"/>
      <c r="W7" s="138"/>
      <c r="X7" s="138"/>
      <c r="Y7" s="138"/>
      <c r="Z7" s="138"/>
      <c r="AA7" s="138"/>
      <c r="AB7" s="138"/>
      <c r="AC7" s="138"/>
      <c r="AD7" s="138"/>
      <c r="AE7" s="138"/>
      <c r="AF7" s="138"/>
      <c r="AG7" s="164"/>
      <c r="AH7" s="138"/>
      <c r="AI7" s="138"/>
      <c r="AJ7" s="39" t="s">
        <v>328</v>
      </c>
      <c r="AK7" s="133"/>
      <c r="AL7" s="38" t="s">
        <v>259</v>
      </c>
      <c r="AO7" s="38" t="s">
        <v>5404</v>
      </c>
      <c r="AP7" s="133" t="s">
        <v>258</v>
      </c>
      <c r="AQ7" s="39" t="s">
        <v>5405</v>
      </c>
      <c r="AS7" s="38" t="s">
        <v>372</v>
      </c>
      <c r="AT7" s="38" t="s">
        <v>373</v>
      </c>
      <c r="AU7" s="38" t="s">
        <v>374</v>
      </c>
      <c r="AV7" s="38" t="s">
        <v>259</v>
      </c>
      <c r="AW7" s="133" t="s">
        <v>260</v>
      </c>
      <c r="AY7" s="133"/>
      <c r="AZ7" s="133" t="s">
        <v>258</v>
      </c>
      <c r="BA7" s="133" t="s">
        <v>258</v>
      </c>
      <c r="BB7" s="133" t="s">
        <v>258</v>
      </c>
      <c r="BC7" s="142">
        <v>45482</v>
      </c>
      <c r="BD7" s="140">
        <v>45415</v>
      </c>
      <c r="BE7" s="145">
        <v>45446</v>
      </c>
      <c r="BF7" s="142">
        <v>45534</v>
      </c>
      <c r="BG7" s="49" t="s">
        <v>319</v>
      </c>
      <c r="BH7" s="41">
        <v>45520</v>
      </c>
      <c r="BI7" s="41">
        <v>45527</v>
      </c>
      <c r="BJ7" s="142">
        <v>45548</v>
      </c>
      <c r="BK7" s="142" t="s">
        <v>319</v>
      </c>
      <c r="BL7" s="49">
        <f t="shared" ca="1" si="0"/>
        <v>4414.09</v>
      </c>
      <c r="BM7" s="50">
        <f t="shared" ca="1" si="1"/>
        <v>-388.06863866311306</v>
      </c>
      <c r="BN7" s="50">
        <f t="shared" ca="1" si="2"/>
        <v>388.06863866311306</v>
      </c>
      <c r="BO7" s="40">
        <f t="shared" si="3"/>
        <v>8.6666666666666661</v>
      </c>
      <c r="BP7" s="50">
        <f t="shared" ca="1" si="4"/>
        <v>396.73530532977975</v>
      </c>
      <c r="BQ7" s="40"/>
      <c r="BR7" s="40">
        <f t="shared" si="5"/>
        <v>0</v>
      </c>
      <c r="BS7" s="40">
        <f t="shared" ca="1" si="6"/>
        <v>0</v>
      </c>
      <c r="BT7" s="57">
        <f t="shared" si="7"/>
        <v>0</v>
      </c>
      <c r="BU7" s="58">
        <f t="shared" ca="1" si="8"/>
        <v>53</v>
      </c>
      <c r="BV7" s="40">
        <f t="shared" ca="1" si="9"/>
        <v>0</v>
      </c>
      <c r="BW7" s="40">
        <v>0</v>
      </c>
      <c r="BX7" s="40">
        <f t="shared" si="10"/>
        <v>0</v>
      </c>
      <c r="BY7" s="40">
        <f t="shared" ca="1" si="11"/>
        <v>0</v>
      </c>
      <c r="BZ7" s="57">
        <f t="shared" si="12"/>
        <v>0</v>
      </c>
      <c r="CA7" s="58">
        <f t="shared" ca="1" si="13"/>
        <v>41</v>
      </c>
      <c r="CB7" s="40">
        <f t="shared" ca="1" si="14"/>
        <v>0</v>
      </c>
      <c r="CC7" s="40">
        <v>0</v>
      </c>
      <c r="CD7" s="40">
        <f t="shared" si="15"/>
        <v>0</v>
      </c>
      <c r="CE7" s="40">
        <f t="shared" si="16"/>
        <v>0</v>
      </c>
      <c r="CF7" s="57">
        <f t="shared" si="17"/>
        <v>0</v>
      </c>
      <c r="CG7" s="58">
        <v>37</v>
      </c>
      <c r="CH7" s="40">
        <f t="shared" si="18"/>
        <v>0</v>
      </c>
      <c r="CI7" s="40">
        <v>0</v>
      </c>
      <c r="CJ7" s="40">
        <f t="shared" si="20"/>
        <v>0</v>
      </c>
      <c r="CK7" s="40">
        <f t="shared" si="21"/>
        <v>0</v>
      </c>
      <c r="CL7" s="57">
        <f t="shared" si="22"/>
        <v>0</v>
      </c>
      <c r="CM7" s="58">
        <v>29</v>
      </c>
      <c r="CN7" s="58">
        <f t="shared" si="23"/>
        <v>0</v>
      </c>
      <c r="CO7" s="40">
        <f t="shared" si="24"/>
        <v>39</v>
      </c>
      <c r="CP7" s="40">
        <f t="shared" si="25"/>
        <v>3.9000000000000004</v>
      </c>
      <c r="CQ7" s="40">
        <f t="shared" si="26"/>
        <v>8.9374999999999947</v>
      </c>
      <c r="CR7" s="57">
        <f t="shared" si="27"/>
        <v>0.35749999999999982</v>
      </c>
      <c r="CS7" s="58">
        <v>25</v>
      </c>
      <c r="CT7" s="40">
        <f t="shared" si="28"/>
        <v>51.837499999999991</v>
      </c>
      <c r="CU7" s="40">
        <f t="shared" si="57"/>
        <v>45</v>
      </c>
      <c r="CV7" s="40">
        <f t="shared" si="29"/>
        <v>4.5</v>
      </c>
      <c r="CW7" s="40">
        <f t="shared" si="30"/>
        <v>7.8374999999999968</v>
      </c>
      <c r="CX7" s="57">
        <f t="shared" si="31"/>
        <v>0.41249999999999981</v>
      </c>
      <c r="CY7" s="58">
        <v>19</v>
      </c>
      <c r="CZ7" s="40">
        <f t="shared" si="32"/>
        <v>57.337499999999999</v>
      </c>
      <c r="DA7" s="40">
        <f t="shared" si="33"/>
        <v>45</v>
      </c>
      <c r="DB7" s="40">
        <f t="shared" si="34"/>
        <v>4.5</v>
      </c>
      <c r="DC7" s="40">
        <f t="shared" si="35"/>
        <v>5.3624999999999972</v>
      </c>
      <c r="DD7" s="57">
        <f t="shared" si="36"/>
        <v>0.41249999999999981</v>
      </c>
      <c r="DE7" s="58">
        <v>13</v>
      </c>
      <c r="DF7" s="40">
        <f t="shared" si="37"/>
        <v>54.862499999999997</v>
      </c>
      <c r="DG7" s="40">
        <f t="shared" si="38"/>
        <v>45</v>
      </c>
      <c r="DH7" s="40">
        <f t="shared" si="39"/>
        <v>4.5</v>
      </c>
      <c r="DI7" s="40">
        <f t="shared" si="40"/>
        <v>2.0624999999999991</v>
      </c>
      <c r="DJ7" s="57">
        <f t="shared" si="41"/>
        <v>0.41249999999999981</v>
      </c>
      <c r="DK7" s="58">
        <v>5</v>
      </c>
      <c r="DL7" s="40">
        <f t="shared" si="42"/>
        <v>51.5625</v>
      </c>
      <c r="DM7" s="40">
        <f t="shared" si="43"/>
        <v>45</v>
      </c>
      <c r="DN7" s="40">
        <f t="shared" si="44"/>
        <v>4.5</v>
      </c>
      <c r="DO7" s="40">
        <v>0</v>
      </c>
      <c r="DP7" s="57">
        <f t="shared" si="45"/>
        <v>0.41249999999999981</v>
      </c>
      <c r="DQ7" s="58">
        <v>1</v>
      </c>
      <c r="DR7" s="40">
        <f t="shared" si="46"/>
        <v>49.5</v>
      </c>
      <c r="DS7" s="40">
        <f t="shared" si="47"/>
        <v>219</v>
      </c>
      <c r="DT7" s="40">
        <f t="shared" si="48"/>
        <v>21.9</v>
      </c>
      <c r="DU7" s="40">
        <f t="shared" ca="1" si="49"/>
        <v>24.199999999999989</v>
      </c>
      <c r="DV7" s="59">
        <f t="shared" ca="1" si="50"/>
        <v>265.10000000000002</v>
      </c>
      <c r="DW7" s="64">
        <f t="shared" ca="1" si="51"/>
        <v>1.7673333333333336E-2</v>
      </c>
      <c r="DX7" s="40">
        <f>20+10+200+200+40+40+100+40+100+40+40+200+20+40+100+60+100+80+140+40+100</f>
        <v>1710</v>
      </c>
      <c r="DY7" s="65">
        <f t="shared" si="58"/>
        <v>7</v>
      </c>
      <c r="DZ7" s="219">
        <f>111.65+38.92</f>
        <v>150.57</v>
      </c>
      <c r="EA7" s="135">
        <f>26.67+471.66+332.34</f>
        <v>830.67000000000007</v>
      </c>
      <c r="EB7" s="59">
        <v>253.5</v>
      </c>
      <c r="EC7" s="135">
        <f>93.75+147.5</f>
        <v>241.25</v>
      </c>
      <c r="ED7" s="135">
        <v>183</v>
      </c>
      <c r="EE7" s="40">
        <f t="shared" si="52"/>
        <v>100</v>
      </c>
      <c r="EF7" s="135">
        <v>460</v>
      </c>
      <c r="EG7" s="40">
        <f t="shared" si="53"/>
        <v>1814.92</v>
      </c>
      <c r="EH7" s="40">
        <f ca="1">SUM(DV7,DX7,EB7,EG7,DZ7,GC7)</f>
        <v>4194.09</v>
      </c>
      <c r="EI7" s="56" t="s">
        <v>5914</v>
      </c>
      <c r="EJ7" s="58">
        <v>0.38</v>
      </c>
      <c r="EK7" s="40">
        <v>15000</v>
      </c>
      <c r="EL7" s="40">
        <v>0</v>
      </c>
      <c r="EM7" s="40">
        <f t="shared" si="59"/>
        <v>15000</v>
      </c>
      <c r="EN7" s="40">
        <v>20000</v>
      </c>
      <c r="EO7" s="40">
        <v>0</v>
      </c>
      <c r="EP7" s="40">
        <f t="shared" si="54"/>
        <v>20000</v>
      </c>
      <c r="EQ7" s="138" t="s">
        <v>5819</v>
      </c>
      <c r="ER7" s="138" t="s">
        <v>5820</v>
      </c>
      <c r="ES7" s="138"/>
      <c r="ET7" s="138"/>
      <c r="EU7" s="138"/>
      <c r="EV7" s="138"/>
      <c r="EW7" s="138"/>
      <c r="EX7" s="138" t="s">
        <v>5822</v>
      </c>
      <c r="EY7" s="138"/>
      <c r="EZ7" s="138" t="s">
        <v>463</v>
      </c>
      <c r="FA7" s="138"/>
      <c r="FB7" s="138"/>
      <c r="FC7" s="138"/>
      <c r="FD7" s="138" t="s">
        <v>5823</v>
      </c>
      <c r="FE7" s="138"/>
      <c r="FF7" s="138" t="s">
        <v>463</v>
      </c>
      <c r="FG7" s="138"/>
      <c r="FH7" s="138"/>
      <c r="FI7" s="138"/>
      <c r="FJ7" s="138" t="s">
        <v>5824</v>
      </c>
      <c r="FK7" s="138"/>
      <c r="FL7" s="138" t="s">
        <v>463</v>
      </c>
      <c r="FM7" s="138"/>
      <c r="FN7" s="138"/>
      <c r="FO7" s="138" t="s">
        <v>5826</v>
      </c>
      <c r="FP7" s="138" t="s">
        <v>5825</v>
      </c>
      <c r="FQ7" s="138"/>
      <c r="FR7" s="138" t="s">
        <v>5827</v>
      </c>
      <c r="FS7" s="138"/>
      <c r="FT7" s="136"/>
      <c r="FU7" s="138"/>
      <c r="FV7" s="138"/>
      <c r="FW7" s="138"/>
      <c r="FX7" s="138"/>
      <c r="FY7" s="138"/>
      <c r="FZ7" s="138"/>
      <c r="GA7" s="136"/>
      <c r="GB7" s="138"/>
      <c r="GC7" s="225" t="s">
        <v>5954</v>
      </c>
      <c r="GD7" s="138"/>
      <c r="GE7" s="138"/>
      <c r="GF7" s="138"/>
      <c r="GG7" s="138"/>
      <c r="GH7" s="138"/>
      <c r="GI7" s="138"/>
      <c r="GJ7" s="136"/>
      <c r="GK7" s="138"/>
      <c r="GL7" s="138"/>
      <c r="GM7" s="138"/>
      <c r="GN7" s="138"/>
      <c r="GO7" s="138"/>
      <c r="GP7" s="138"/>
      <c r="GQ7" s="138"/>
      <c r="GR7" s="138"/>
      <c r="GS7" s="138"/>
      <c r="GT7" s="138"/>
      <c r="GU7" s="136"/>
      <c r="GV7" s="138"/>
      <c r="GW7" s="138"/>
      <c r="GX7" s="138"/>
      <c r="GY7" s="138"/>
      <c r="GZ7" s="138"/>
      <c r="HA7" s="138"/>
      <c r="HB7" s="138"/>
      <c r="HC7" s="138"/>
      <c r="HD7" s="136"/>
      <c r="HE7" s="138"/>
      <c r="HF7" s="138"/>
      <c r="HG7" s="138"/>
      <c r="HH7" s="138"/>
      <c r="HI7" s="138"/>
      <c r="HJ7" s="138"/>
      <c r="HK7" s="138"/>
      <c r="HL7" s="136"/>
      <c r="HM7" s="138"/>
      <c r="HN7" s="138"/>
      <c r="HO7" s="138"/>
      <c r="HP7" s="138"/>
      <c r="HQ7" s="138"/>
      <c r="HR7" s="138"/>
      <c r="HS7" s="138"/>
      <c r="HT7" s="136"/>
      <c r="HU7" s="138"/>
      <c r="HV7" s="138"/>
      <c r="HW7" s="138"/>
      <c r="HX7" s="138"/>
      <c r="HY7" s="138"/>
      <c r="HZ7" s="138"/>
      <c r="IA7" s="138"/>
      <c r="IB7" s="136">
        <v>45619</v>
      </c>
      <c r="IC7" s="226">
        <v>12000</v>
      </c>
      <c r="ID7" s="135">
        <v>5800</v>
      </c>
      <c r="IE7" s="38" t="s">
        <v>5968</v>
      </c>
      <c r="IF7" s="138" t="s">
        <v>809</v>
      </c>
      <c r="IG7" s="138" t="s">
        <v>5961</v>
      </c>
      <c r="IH7" s="138"/>
      <c r="II7" s="135"/>
      <c r="IJ7" s="135"/>
      <c r="IK7" s="135"/>
      <c r="IL7" s="135"/>
      <c r="IM7" s="135"/>
      <c r="IN7" s="135">
        <v>133.66999999999999</v>
      </c>
      <c r="IO7" s="40">
        <f t="shared" ca="1" si="55"/>
        <v>7736.66</v>
      </c>
      <c r="IP7" s="135"/>
      <c r="IQ7" s="135"/>
      <c r="IR7" s="136">
        <v>45561</v>
      </c>
      <c r="IS7" s="136">
        <v>45586</v>
      </c>
      <c r="IT7" s="136">
        <v>45621</v>
      </c>
      <c r="IU7" s="136">
        <v>45632</v>
      </c>
      <c r="IV7" s="136"/>
      <c r="IW7" s="38" t="s">
        <v>5913</v>
      </c>
    </row>
    <row r="8" spans="1:257" ht="15.75">
      <c r="A8">
        <v>102024136</v>
      </c>
      <c r="B8" t="s">
        <v>5471</v>
      </c>
      <c r="C8" s="10"/>
      <c r="D8" s="161"/>
      <c r="E8" s="147" t="s">
        <v>5878</v>
      </c>
      <c r="F8" s="160">
        <v>240003056</v>
      </c>
      <c r="G8" s="147"/>
      <c r="H8" s="10"/>
      <c r="I8" s="10"/>
      <c r="J8" s="10" t="s">
        <v>253</v>
      </c>
      <c r="K8" s="10" t="s">
        <v>5472</v>
      </c>
      <c r="L8" s="10" t="s">
        <v>1388</v>
      </c>
      <c r="M8" s="10" t="s">
        <v>598</v>
      </c>
      <c r="N8" s="10"/>
      <c r="O8" s="147"/>
      <c r="P8" s="10"/>
      <c r="Q8" s="10"/>
      <c r="R8" s="10"/>
      <c r="S8" s="10"/>
      <c r="T8" s="10"/>
      <c r="U8" s="10"/>
      <c r="V8" s="10"/>
      <c r="W8" s="10"/>
      <c r="X8" s="10"/>
      <c r="Y8" s="10"/>
      <c r="Z8" s="10"/>
      <c r="AA8" s="10"/>
      <c r="AB8" s="10"/>
      <c r="AC8" s="10"/>
      <c r="AD8" s="10"/>
      <c r="AE8" s="10"/>
      <c r="AF8" s="10"/>
      <c r="AG8" s="141"/>
      <c r="AH8" s="10"/>
      <c r="AI8" s="10"/>
      <c r="AK8" s="1"/>
      <c r="AO8" t="s">
        <v>5473</v>
      </c>
      <c r="AP8" s="1" t="s">
        <v>258</v>
      </c>
      <c r="AQ8" s="18" t="s">
        <v>438</v>
      </c>
      <c r="AR8" t="s">
        <v>260</v>
      </c>
      <c r="AS8" t="s">
        <v>473</v>
      </c>
      <c r="AT8" t="s">
        <v>474</v>
      </c>
      <c r="AU8" t="s">
        <v>475</v>
      </c>
      <c r="AV8" t="s">
        <v>438</v>
      </c>
      <c r="AW8" s="1" t="s">
        <v>260</v>
      </c>
      <c r="AY8" s="1" t="s">
        <v>258</v>
      </c>
      <c r="AZ8" s="1"/>
      <c r="BA8" s="1" t="s">
        <v>258</v>
      </c>
      <c r="BB8" s="1" t="s">
        <v>258</v>
      </c>
      <c r="BC8" s="27">
        <v>45469</v>
      </c>
      <c r="BD8" s="144">
        <v>45408</v>
      </c>
      <c r="BE8" s="144">
        <v>45426</v>
      </c>
      <c r="BF8" s="48">
        <v>45534</v>
      </c>
      <c r="BG8" s="20" t="s">
        <v>319</v>
      </c>
      <c r="BH8" s="21">
        <v>45520</v>
      </c>
      <c r="BI8" s="21">
        <v>45527</v>
      </c>
      <c r="BJ8" s="70">
        <v>45545</v>
      </c>
      <c r="BK8" s="70" t="s">
        <v>5895</v>
      </c>
      <c r="BL8" s="20">
        <f t="shared" ca="1" si="0"/>
        <v>6134.5197750000007</v>
      </c>
      <c r="BM8" s="22">
        <f t="shared" ca="1" si="1"/>
        <v>-539.32174874916382</v>
      </c>
      <c r="BN8" s="22">
        <f t="shared" ca="1" si="2"/>
        <v>539.32174874916382</v>
      </c>
      <c r="BO8" s="14">
        <f t="shared" si="3"/>
        <v>35.966666666666661</v>
      </c>
      <c r="BP8" s="22">
        <f t="shared" ca="1" si="4"/>
        <v>575.28841541583051</v>
      </c>
      <c r="BQ8" s="14"/>
      <c r="BR8" s="14">
        <f t="shared" si="5"/>
        <v>0</v>
      </c>
      <c r="BS8" s="14">
        <f t="shared" ca="1" si="6"/>
        <v>0</v>
      </c>
      <c r="BT8" s="17">
        <f t="shared" si="7"/>
        <v>0</v>
      </c>
      <c r="BU8" s="23">
        <f t="shared" ca="1" si="8"/>
        <v>53</v>
      </c>
      <c r="BV8" s="14">
        <f t="shared" ca="1" si="9"/>
        <v>0</v>
      </c>
      <c r="BW8" s="14">
        <v>0</v>
      </c>
      <c r="BX8" s="14">
        <f t="shared" si="10"/>
        <v>0</v>
      </c>
      <c r="BY8" s="14">
        <f t="shared" ca="1" si="11"/>
        <v>0</v>
      </c>
      <c r="BZ8" s="17">
        <f t="shared" si="12"/>
        <v>0</v>
      </c>
      <c r="CA8" s="23">
        <f t="shared" ca="1" si="13"/>
        <v>41</v>
      </c>
      <c r="CB8" s="14">
        <f t="shared" ca="1" si="14"/>
        <v>0</v>
      </c>
      <c r="CC8" s="14">
        <v>0</v>
      </c>
      <c r="CD8" s="14">
        <f t="shared" si="15"/>
        <v>0</v>
      </c>
      <c r="CE8" s="14">
        <f t="shared" si="16"/>
        <v>0</v>
      </c>
      <c r="CF8" s="17">
        <f t="shared" si="17"/>
        <v>0</v>
      </c>
      <c r="CG8" s="23">
        <v>37</v>
      </c>
      <c r="CH8" s="14">
        <f t="shared" si="18"/>
        <v>0</v>
      </c>
      <c r="CI8" s="14">
        <f>SUM(EM8*0.0052)/2</f>
        <v>174.72</v>
      </c>
      <c r="CJ8" s="14">
        <f t="shared" si="20"/>
        <v>17.472000000000001</v>
      </c>
      <c r="CK8" s="14">
        <f t="shared" si="21"/>
        <v>46.446399999999983</v>
      </c>
      <c r="CL8" s="17">
        <f t="shared" si="22"/>
        <v>1.6015999999999995</v>
      </c>
      <c r="CM8" s="23">
        <v>29</v>
      </c>
      <c r="CN8" s="23">
        <f t="shared" si="23"/>
        <v>238.63839999999999</v>
      </c>
      <c r="CO8" s="14">
        <f t="shared" si="24"/>
        <v>174.72</v>
      </c>
      <c r="CP8" s="14">
        <f t="shared" si="25"/>
        <v>17.472000000000001</v>
      </c>
      <c r="CQ8" s="14">
        <f t="shared" si="26"/>
        <v>40.039999999999985</v>
      </c>
      <c r="CR8" s="17">
        <f t="shared" si="27"/>
        <v>1.6015999999999995</v>
      </c>
      <c r="CS8" s="23">
        <v>25</v>
      </c>
      <c r="CT8" s="14">
        <f t="shared" si="28"/>
        <v>232.232</v>
      </c>
      <c r="CU8" s="14">
        <f t="shared" si="57"/>
        <v>186.75</v>
      </c>
      <c r="CV8" s="14">
        <f t="shared" si="29"/>
        <v>18.675000000000001</v>
      </c>
      <c r="CW8" s="14">
        <f t="shared" si="30"/>
        <v>32.525624999999991</v>
      </c>
      <c r="CX8" s="17">
        <f t="shared" si="31"/>
        <v>1.7118749999999994</v>
      </c>
      <c r="CY8" s="23">
        <v>19</v>
      </c>
      <c r="CZ8" s="14">
        <f t="shared" si="32"/>
        <v>237.950625</v>
      </c>
      <c r="DA8" s="14">
        <f t="shared" si="33"/>
        <v>186.75</v>
      </c>
      <c r="DB8" s="14">
        <f t="shared" si="34"/>
        <v>18.675000000000001</v>
      </c>
      <c r="DC8" s="14">
        <f t="shared" si="35"/>
        <v>22.254374999999992</v>
      </c>
      <c r="DD8" s="17">
        <f t="shared" si="36"/>
        <v>1.7118749999999994</v>
      </c>
      <c r="DE8" s="23">
        <v>13</v>
      </c>
      <c r="DF8" s="14">
        <f t="shared" si="37"/>
        <v>227.67937499999999</v>
      </c>
      <c r="DG8" s="14">
        <f t="shared" si="38"/>
        <v>186.75</v>
      </c>
      <c r="DH8" s="14">
        <f t="shared" si="39"/>
        <v>18.675000000000001</v>
      </c>
      <c r="DI8" s="14">
        <f t="shared" si="40"/>
        <v>8.5593749999999975</v>
      </c>
      <c r="DJ8" s="17">
        <f t="shared" si="41"/>
        <v>1.7118749999999994</v>
      </c>
      <c r="DK8" s="23">
        <v>5</v>
      </c>
      <c r="DL8" s="14">
        <f t="shared" si="42"/>
        <v>213.984375</v>
      </c>
      <c r="DM8" s="14">
        <f t="shared" si="43"/>
        <v>186.75</v>
      </c>
      <c r="DN8" s="14">
        <f t="shared" si="44"/>
        <v>18.675000000000001</v>
      </c>
      <c r="DO8" s="14">
        <v>0</v>
      </c>
      <c r="DP8" s="17">
        <f t="shared" si="45"/>
        <v>1.7118749999999994</v>
      </c>
      <c r="DQ8" s="23">
        <v>1</v>
      </c>
      <c r="DR8" s="14">
        <f t="shared" si="46"/>
        <v>205.42500000000001</v>
      </c>
      <c r="DS8" s="14">
        <f t="shared" si="47"/>
        <v>1096.44</v>
      </c>
      <c r="DT8" s="14">
        <f t="shared" si="48"/>
        <v>109.64399999999999</v>
      </c>
      <c r="DU8" s="14">
        <f t="shared" ca="1" si="49"/>
        <v>149.82577499999994</v>
      </c>
      <c r="DV8" s="25">
        <f t="shared" ca="1" si="50"/>
        <v>1355.9097750000001</v>
      </c>
      <c r="DW8" s="47">
        <f t="shared" ca="1" si="51"/>
        <v>2.0177228794642857E-2</v>
      </c>
      <c r="DX8" s="14">
        <f>20+10+200+200+40+100+100+40+40+200+20+100+60+100+80+140+100</f>
        <v>1550</v>
      </c>
      <c r="DY8" s="32">
        <f t="shared" si="58"/>
        <v>3</v>
      </c>
      <c r="DZ8" s="66">
        <f>79.01+38.92</f>
        <v>117.93</v>
      </c>
      <c r="EA8" s="4">
        <f>32.53+867.26+332.34</f>
        <v>1232.1299999999999</v>
      </c>
      <c r="EB8" s="4">
        <v>150</v>
      </c>
      <c r="EC8" s="4">
        <f>93.75+407.5</f>
        <v>501.25</v>
      </c>
      <c r="ED8" s="4">
        <v>165.3</v>
      </c>
      <c r="EE8" s="14">
        <f t="shared" si="52"/>
        <v>332</v>
      </c>
      <c r="EF8" s="4">
        <v>510</v>
      </c>
      <c r="EG8" s="14">
        <f t="shared" si="53"/>
        <v>2740.68</v>
      </c>
      <c r="EH8" s="14">
        <f ca="1">SUM(DV8,DX8,EB8,EG8,DZ8)</f>
        <v>5914.5197750000007</v>
      </c>
      <c r="EI8" s="24" t="s">
        <v>5914</v>
      </c>
      <c r="EJ8" s="23">
        <v>0.37</v>
      </c>
      <c r="EK8" s="14">
        <v>8800</v>
      </c>
      <c r="EL8" s="14">
        <v>58400</v>
      </c>
      <c r="EM8" s="14">
        <f t="shared" si="59"/>
        <v>67200</v>
      </c>
      <c r="EN8" s="14">
        <v>8800</v>
      </c>
      <c r="EO8" s="14">
        <v>74200</v>
      </c>
      <c r="EP8" s="14">
        <f t="shared" si="54"/>
        <v>83000</v>
      </c>
      <c r="EQ8" s="10" t="s">
        <v>5653</v>
      </c>
      <c r="ER8" s="28" t="s">
        <v>5654</v>
      </c>
      <c r="ES8" s="10"/>
      <c r="ET8" s="10"/>
      <c r="EU8" s="10"/>
      <c r="EV8" s="10"/>
      <c r="EW8" s="10"/>
      <c r="EX8" s="10"/>
      <c r="EY8" s="10"/>
      <c r="EZ8" s="10"/>
      <c r="FA8" s="10"/>
      <c r="FB8" s="10"/>
      <c r="FC8" s="10"/>
      <c r="FD8" s="10"/>
      <c r="FE8" s="10"/>
      <c r="FF8" s="10"/>
      <c r="FG8" s="10"/>
      <c r="FH8" s="10"/>
      <c r="FI8" s="10"/>
      <c r="FJ8" s="10"/>
      <c r="FK8" s="10"/>
      <c r="FL8" s="10"/>
      <c r="FM8" s="10"/>
      <c r="FN8" s="10"/>
      <c r="FO8" s="10" t="s">
        <v>5658</v>
      </c>
      <c r="FP8" s="10" t="s">
        <v>5655</v>
      </c>
      <c r="FQ8" s="10"/>
      <c r="FR8" s="10" t="s">
        <v>5656</v>
      </c>
      <c r="FS8" s="10" t="s">
        <v>544</v>
      </c>
      <c r="FT8" s="9">
        <v>34340</v>
      </c>
      <c r="FU8" s="10" t="s">
        <v>5657</v>
      </c>
      <c r="FV8" s="10"/>
      <c r="FW8" s="10"/>
      <c r="FX8" s="10"/>
      <c r="FY8" s="10"/>
      <c r="FZ8" s="10"/>
      <c r="GA8" s="9"/>
      <c r="GB8" s="10"/>
      <c r="GC8" s="8">
        <f>SUM(461.25+340.87)</f>
        <v>802.12</v>
      </c>
      <c r="GD8" s="10"/>
      <c r="GE8" s="10"/>
      <c r="GF8" s="10"/>
      <c r="GG8" s="10"/>
      <c r="GH8" s="10"/>
      <c r="GI8" s="10"/>
      <c r="GJ8" s="9"/>
      <c r="GK8" s="10"/>
      <c r="GL8" s="10"/>
      <c r="GM8" s="10"/>
      <c r="GN8" s="10"/>
      <c r="GO8" s="10"/>
      <c r="GP8" s="10"/>
      <c r="GQ8" s="10"/>
      <c r="GR8" s="10"/>
      <c r="GS8" s="10"/>
      <c r="GT8" s="10"/>
      <c r="GU8" s="9"/>
      <c r="GV8" s="10"/>
      <c r="GW8" s="10"/>
      <c r="GX8" s="10"/>
      <c r="GY8" s="10"/>
      <c r="GZ8" s="10"/>
      <c r="HA8" s="10"/>
      <c r="HB8" s="10"/>
      <c r="HC8" s="10"/>
      <c r="HD8" s="9"/>
      <c r="HE8" s="10"/>
      <c r="HF8" s="10"/>
      <c r="HG8" s="10"/>
      <c r="HH8" s="10"/>
      <c r="HI8" s="10"/>
      <c r="HJ8" s="10"/>
      <c r="HK8" s="10"/>
      <c r="HL8" s="9"/>
      <c r="HM8" s="10"/>
      <c r="HN8" s="10"/>
      <c r="HO8" s="10"/>
      <c r="HP8" s="10"/>
      <c r="HQ8" s="10"/>
      <c r="HR8" s="10"/>
      <c r="HS8" s="10"/>
      <c r="HT8" s="9"/>
      <c r="HU8" s="10"/>
      <c r="HV8" s="10"/>
      <c r="HW8" s="10"/>
      <c r="HX8" s="10"/>
      <c r="HY8" s="10"/>
      <c r="HZ8" s="10"/>
      <c r="IA8" s="10"/>
      <c r="IB8" s="9">
        <v>45619</v>
      </c>
      <c r="IC8" s="224">
        <v>45000</v>
      </c>
      <c r="ID8" s="4">
        <v>4500</v>
      </c>
      <c r="IE8" t="s">
        <v>4998</v>
      </c>
      <c r="IF8" s="10" t="s">
        <v>5977</v>
      </c>
      <c r="IG8" s="10" t="s">
        <v>4613</v>
      </c>
      <c r="IH8" s="10"/>
      <c r="II8" s="4"/>
      <c r="IJ8" s="4"/>
      <c r="IK8" s="4"/>
      <c r="IL8" s="4"/>
      <c r="IM8" s="4"/>
      <c r="IN8" s="4">
        <v>406.67</v>
      </c>
      <c r="IO8" s="14">
        <f t="shared" ca="1" si="55"/>
        <v>38283.360224999997</v>
      </c>
      <c r="IP8" s="4"/>
      <c r="IQ8" s="4"/>
      <c r="IR8" s="9">
        <v>45561</v>
      </c>
      <c r="IS8" s="9">
        <v>45586</v>
      </c>
      <c r="IT8" s="9">
        <v>45621</v>
      </c>
      <c r="IU8" s="9">
        <v>45632</v>
      </c>
      <c r="IV8" s="9"/>
      <c r="IW8" s="27" t="s">
        <v>5913</v>
      </c>
    </row>
    <row r="9" spans="1:257" s="38" customFormat="1" ht="15" customHeight="1">
      <c r="A9" s="38">
        <v>102024138</v>
      </c>
      <c r="B9" s="38" t="s">
        <v>2653</v>
      </c>
      <c r="C9" s="138"/>
      <c r="D9" s="162"/>
      <c r="E9" s="158" t="s">
        <v>5908</v>
      </c>
      <c r="F9" s="163">
        <v>240003259</v>
      </c>
      <c r="G9" s="158"/>
      <c r="H9" s="138"/>
      <c r="I9" s="138"/>
      <c r="J9" s="138" t="s">
        <v>253</v>
      </c>
      <c r="K9" s="138" t="s">
        <v>2654</v>
      </c>
      <c r="L9" s="138" t="s">
        <v>657</v>
      </c>
      <c r="M9" s="138"/>
      <c r="N9" s="138"/>
      <c r="O9" s="158" t="s">
        <v>258</v>
      </c>
      <c r="P9" s="138" t="s">
        <v>2655</v>
      </c>
      <c r="Q9" s="138" t="s">
        <v>2656</v>
      </c>
      <c r="R9" s="138" t="s">
        <v>392</v>
      </c>
      <c r="S9" s="138"/>
      <c r="T9" s="138"/>
      <c r="U9" s="138" t="s">
        <v>2655</v>
      </c>
      <c r="V9" s="138" t="s">
        <v>340</v>
      </c>
      <c r="W9" s="138" t="s">
        <v>357</v>
      </c>
      <c r="X9" s="138"/>
      <c r="Y9" s="138"/>
      <c r="Z9" s="138"/>
      <c r="AA9" s="138"/>
      <c r="AB9" s="138"/>
      <c r="AC9" s="138"/>
      <c r="AD9" s="138"/>
      <c r="AE9" s="138"/>
      <c r="AF9" s="138"/>
      <c r="AG9" s="164"/>
      <c r="AH9" s="138"/>
      <c r="AI9" s="138"/>
      <c r="AK9" s="133"/>
      <c r="AN9" s="38" t="s">
        <v>5599</v>
      </c>
      <c r="AO9" s="38" t="s">
        <v>2657</v>
      </c>
      <c r="AP9" s="133" t="s">
        <v>258</v>
      </c>
      <c r="AQ9" s="39" t="s">
        <v>600</v>
      </c>
      <c r="AR9" s="38" t="s">
        <v>260</v>
      </c>
      <c r="AW9" s="133"/>
      <c r="AY9" s="133" t="s">
        <v>258</v>
      </c>
      <c r="AZ9" s="133"/>
      <c r="BA9" s="133" t="s">
        <v>258</v>
      </c>
      <c r="BB9" s="133" t="s">
        <v>258</v>
      </c>
      <c r="BC9" s="142">
        <v>45482</v>
      </c>
      <c r="BD9" s="140">
        <v>45415</v>
      </c>
      <c r="BE9" s="145">
        <v>45441</v>
      </c>
      <c r="BF9" s="142">
        <v>45534</v>
      </c>
      <c r="BG9" s="49" t="s">
        <v>319</v>
      </c>
      <c r="BH9" s="41">
        <v>45520</v>
      </c>
      <c r="BI9" s="41">
        <v>45527</v>
      </c>
      <c r="BJ9" s="142">
        <v>45548</v>
      </c>
      <c r="BK9" s="142" t="s">
        <v>319</v>
      </c>
      <c r="BL9" s="49">
        <f t="shared" ca="1" si="0"/>
        <v>4402.7402375000001</v>
      </c>
      <c r="BM9" s="50">
        <f t="shared" ca="1" si="1"/>
        <v>-387.07081422307567</v>
      </c>
      <c r="BN9" s="50">
        <f t="shared" ca="1" si="2"/>
        <v>387.07081422307567</v>
      </c>
      <c r="BO9" s="40">
        <f t="shared" si="3"/>
        <v>8.7966666666666651</v>
      </c>
      <c r="BP9" s="50">
        <f t="shared" ca="1" si="4"/>
        <v>395.86748088974235</v>
      </c>
      <c r="BQ9" s="40"/>
      <c r="BR9" s="40">
        <f t="shared" si="5"/>
        <v>0</v>
      </c>
      <c r="BS9" s="40">
        <f t="shared" ca="1" si="6"/>
        <v>0</v>
      </c>
      <c r="BT9" s="57">
        <f t="shared" si="7"/>
        <v>0</v>
      </c>
      <c r="BU9" s="58">
        <f t="shared" ca="1" si="8"/>
        <v>53</v>
      </c>
      <c r="BV9" s="40">
        <f t="shared" ca="1" si="9"/>
        <v>0</v>
      </c>
      <c r="BW9" s="40">
        <v>0</v>
      </c>
      <c r="BX9" s="40">
        <f t="shared" si="10"/>
        <v>0</v>
      </c>
      <c r="BY9" s="40">
        <f t="shared" ca="1" si="11"/>
        <v>0</v>
      </c>
      <c r="BZ9" s="57">
        <f t="shared" si="12"/>
        <v>0</v>
      </c>
      <c r="CA9" s="58">
        <f t="shared" ca="1" si="13"/>
        <v>41</v>
      </c>
      <c r="CB9" s="40">
        <f t="shared" ca="1" si="14"/>
        <v>0</v>
      </c>
      <c r="CC9" s="40">
        <v>0</v>
      </c>
      <c r="CD9" s="40">
        <f t="shared" si="15"/>
        <v>0</v>
      </c>
      <c r="CE9" s="40">
        <f t="shared" si="16"/>
        <v>0</v>
      </c>
      <c r="CF9" s="57">
        <f t="shared" si="17"/>
        <v>0</v>
      </c>
      <c r="CG9" s="58">
        <v>37</v>
      </c>
      <c r="CH9" s="40">
        <f t="shared" si="18"/>
        <v>0</v>
      </c>
      <c r="CI9" s="40">
        <f>SUM(EM9*0.0052)/2</f>
        <v>47.839999999999996</v>
      </c>
      <c r="CJ9" s="40">
        <f t="shared" si="20"/>
        <v>4.7839999999999998</v>
      </c>
      <c r="CK9" s="40">
        <f t="shared" si="21"/>
        <v>12.71746666666666</v>
      </c>
      <c r="CL9" s="57">
        <f t="shared" si="22"/>
        <v>0.43853333333333311</v>
      </c>
      <c r="CM9" s="58">
        <v>29</v>
      </c>
      <c r="CN9" s="58">
        <f t="shared" si="23"/>
        <v>65.341466666666662</v>
      </c>
      <c r="CO9" s="40">
        <f t="shared" si="24"/>
        <v>47.839999999999996</v>
      </c>
      <c r="CP9" s="40">
        <f t="shared" si="25"/>
        <v>4.7839999999999998</v>
      </c>
      <c r="CQ9" s="40">
        <f t="shared" si="26"/>
        <v>10.963333333333328</v>
      </c>
      <c r="CR9" s="57">
        <f t="shared" si="27"/>
        <v>0.43853333333333311</v>
      </c>
      <c r="CS9" s="58">
        <v>25</v>
      </c>
      <c r="CT9" s="40">
        <f t="shared" si="28"/>
        <v>63.587333333333319</v>
      </c>
      <c r="CU9" s="40">
        <f t="shared" si="57"/>
        <v>45.674999999999997</v>
      </c>
      <c r="CV9" s="40">
        <f t="shared" si="29"/>
        <v>4.5674999999999999</v>
      </c>
      <c r="CW9" s="40">
        <f t="shared" si="30"/>
        <v>7.9550624999999968</v>
      </c>
      <c r="CX9" s="57">
        <f t="shared" si="31"/>
        <v>0.41868749999999982</v>
      </c>
      <c r="CY9" s="58">
        <v>19</v>
      </c>
      <c r="CZ9" s="40">
        <f t="shared" si="32"/>
        <v>58.197562499999997</v>
      </c>
      <c r="DA9" s="40">
        <f t="shared" si="33"/>
        <v>45.674999999999997</v>
      </c>
      <c r="DB9" s="40">
        <f t="shared" si="34"/>
        <v>4.5674999999999999</v>
      </c>
      <c r="DC9" s="40">
        <f t="shared" si="35"/>
        <v>5.4429374999999975</v>
      </c>
      <c r="DD9" s="57">
        <f t="shared" si="36"/>
        <v>0.41868749999999982</v>
      </c>
      <c r="DE9" s="58">
        <v>13</v>
      </c>
      <c r="DF9" s="40">
        <f t="shared" si="37"/>
        <v>55.685437499999999</v>
      </c>
      <c r="DG9" s="40">
        <f t="shared" si="38"/>
        <v>45.674999999999997</v>
      </c>
      <c r="DH9" s="40">
        <f t="shared" si="39"/>
        <v>4.5674999999999999</v>
      </c>
      <c r="DI9" s="40">
        <f t="shared" si="40"/>
        <v>2.093437499999999</v>
      </c>
      <c r="DJ9" s="57">
        <f t="shared" si="41"/>
        <v>0.41868749999999982</v>
      </c>
      <c r="DK9" s="58">
        <v>5</v>
      </c>
      <c r="DL9" s="40">
        <f t="shared" si="42"/>
        <v>52.3359375</v>
      </c>
      <c r="DM9" s="40">
        <f t="shared" si="43"/>
        <v>45.674999999999997</v>
      </c>
      <c r="DN9" s="40">
        <f t="shared" si="44"/>
        <v>4.5674999999999999</v>
      </c>
      <c r="DO9" s="40">
        <v>0</v>
      </c>
      <c r="DP9" s="57">
        <f t="shared" si="45"/>
        <v>0.41868749999999982</v>
      </c>
      <c r="DQ9" s="58">
        <v>1</v>
      </c>
      <c r="DR9" s="40">
        <f t="shared" si="46"/>
        <v>50.2425</v>
      </c>
      <c r="DS9" s="40">
        <f t="shared" si="47"/>
        <v>278.38</v>
      </c>
      <c r="DT9" s="40">
        <f t="shared" si="48"/>
        <v>27.837999999999997</v>
      </c>
      <c r="DU9" s="40">
        <f t="shared" ca="1" si="49"/>
        <v>39.17223749999998</v>
      </c>
      <c r="DV9" s="59">
        <f t="shared" ca="1" si="50"/>
        <v>345.39023750000001</v>
      </c>
      <c r="DW9" s="64">
        <f t="shared" ca="1" si="51"/>
        <v>1.877120855978261E-2</v>
      </c>
      <c r="DX9" s="40">
        <f>20+10+200+200+40+40+100+40+100+40+40+200+20+100+60+100+80+140+100</f>
        <v>1630</v>
      </c>
      <c r="DY9" s="65">
        <f t="shared" si="58"/>
        <v>4</v>
      </c>
      <c r="DZ9" s="219">
        <f>87.01+38.92</f>
        <v>125.93</v>
      </c>
      <c r="EA9" s="135">
        <f>26.67+471.66+332.34</f>
        <v>830.67000000000007</v>
      </c>
      <c r="EB9" s="59">
        <v>253</v>
      </c>
      <c r="EC9" s="135">
        <v>93.75</v>
      </c>
      <c r="ED9" s="135">
        <v>344</v>
      </c>
      <c r="EE9" s="40">
        <f t="shared" si="52"/>
        <v>100</v>
      </c>
      <c r="EF9" s="135">
        <v>460</v>
      </c>
      <c r="EG9" s="40">
        <f t="shared" si="53"/>
        <v>1828.42</v>
      </c>
      <c r="EH9" s="40">
        <f ca="1">SUM(DV9,DX9,EB9,EG9,DZ9,GC9)</f>
        <v>4182.7402375000001</v>
      </c>
      <c r="EI9" s="56" t="s">
        <v>5914</v>
      </c>
      <c r="EJ9" s="58">
        <v>1</v>
      </c>
      <c r="EK9" s="40">
        <v>16000</v>
      </c>
      <c r="EL9" s="40">
        <v>2400</v>
      </c>
      <c r="EM9" s="40">
        <f t="shared" si="59"/>
        <v>18400</v>
      </c>
      <c r="EN9" s="40">
        <v>17600</v>
      </c>
      <c r="EO9" s="40">
        <v>2700</v>
      </c>
      <c r="EP9" s="40">
        <f t="shared" si="54"/>
        <v>20300</v>
      </c>
      <c r="EQ9" s="138" t="s">
        <v>5785</v>
      </c>
      <c r="ER9" s="138" t="s">
        <v>5786</v>
      </c>
      <c r="ES9" s="138" t="s">
        <v>5788</v>
      </c>
      <c r="ET9" s="138" t="s">
        <v>5787</v>
      </c>
      <c r="EU9" s="138" t="s">
        <v>5789</v>
      </c>
      <c r="EV9" s="138"/>
      <c r="EW9" s="138"/>
      <c r="EX9" s="138" t="s">
        <v>5599</v>
      </c>
      <c r="EY9" s="138"/>
      <c r="EZ9" s="138" t="s">
        <v>2657</v>
      </c>
      <c r="FA9" s="138"/>
      <c r="FB9" s="138" t="s">
        <v>600</v>
      </c>
      <c r="FC9" s="138" t="s">
        <v>260</v>
      </c>
      <c r="FD9" s="138"/>
      <c r="FE9" s="138"/>
      <c r="FF9" s="138"/>
      <c r="FG9" s="138"/>
      <c r="FH9" s="138"/>
      <c r="FI9" s="138"/>
      <c r="FJ9" s="138"/>
      <c r="FK9" s="138"/>
      <c r="FL9" s="138"/>
      <c r="FM9" s="138"/>
      <c r="FN9" s="138"/>
      <c r="FO9" s="138"/>
      <c r="FP9" s="138"/>
      <c r="FQ9" s="138"/>
      <c r="FR9" s="138"/>
      <c r="FS9" s="138"/>
      <c r="FT9" s="136"/>
      <c r="FU9" s="138"/>
      <c r="FV9" s="138"/>
      <c r="FW9" s="138"/>
      <c r="FX9" s="138"/>
      <c r="FY9" s="138"/>
      <c r="FZ9" s="138"/>
      <c r="GA9" s="136"/>
      <c r="GB9" s="138"/>
      <c r="GC9" s="225"/>
      <c r="GD9" s="138" t="s">
        <v>439</v>
      </c>
      <c r="GE9" s="138" t="s">
        <v>3638</v>
      </c>
      <c r="GF9" s="138" t="s">
        <v>298</v>
      </c>
      <c r="GG9" s="138" t="s">
        <v>440</v>
      </c>
      <c r="GH9" s="138" t="s">
        <v>274</v>
      </c>
      <c r="GI9" s="138" t="s">
        <v>275</v>
      </c>
      <c r="GJ9" s="136">
        <v>40186</v>
      </c>
      <c r="GK9" s="138" t="s">
        <v>5921</v>
      </c>
      <c r="GL9" s="138"/>
      <c r="GM9" s="138"/>
      <c r="GN9" s="138"/>
      <c r="GO9" s="62" t="s">
        <v>382</v>
      </c>
      <c r="GP9" s="62" t="s">
        <v>383</v>
      </c>
      <c r="GQ9" s="62" t="s">
        <v>384</v>
      </c>
      <c r="GR9" s="62" t="s">
        <v>385</v>
      </c>
      <c r="GS9" s="62" t="s">
        <v>386</v>
      </c>
      <c r="GT9" s="62" t="s">
        <v>260</v>
      </c>
      <c r="GU9" s="136">
        <v>41739</v>
      </c>
      <c r="GV9" s="138" t="s">
        <v>5922</v>
      </c>
      <c r="GW9" s="138"/>
      <c r="GX9" s="138"/>
      <c r="GY9" s="138"/>
      <c r="GZ9" s="138"/>
      <c r="HA9" s="138"/>
      <c r="HB9" s="138"/>
      <c r="HC9" s="138"/>
      <c r="HD9" s="136"/>
      <c r="HE9" s="138"/>
      <c r="HF9" s="138"/>
      <c r="HG9" s="138"/>
      <c r="HH9" s="138"/>
      <c r="HI9" s="138"/>
      <c r="HJ9" s="138"/>
      <c r="HK9" s="138"/>
      <c r="HL9" s="136"/>
      <c r="HM9" s="138"/>
      <c r="HN9" s="138"/>
      <c r="HO9" s="138"/>
      <c r="HP9" s="138"/>
      <c r="HQ9" s="138"/>
      <c r="HR9" s="138"/>
      <c r="HS9" s="138"/>
      <c r="HT9" s="136"/>
      <c r="HU9" s="138"/>
      <c r="HV9" s="138"/>
      <c r="HW9" s="138"/>
      <c r="HX9" s="138"/>
      <c r="HY9" s="138"/>
      <c r="HZ9" s="138"/>
      <c r="IA9" s="138"/>
      <c r="IB9" s="136">
        <v>45619</v>
      </c>
      <c r="IC9" s="226">
        <v>6000</v>
      </c>
      <c r="ID9" s="135">
        <v>600</v>
      </c>
      <c r="IE9" s="38" t="s">
        <v>5969</v>
      </c>
      <c r="IF9" s="138" t="s">
        <v>5976</v>
      </c>
      <c r="IG9" s="138" t="s">
        <v>3508</v>
      </c>
      <c r="IH9" s="138" t="s">
        <v>1530</v>
      </c>
      <c r="II9" s="135">
        <f>8686.4-6869.14</f>
        <v>1817.2599999999993</v>
      </c>
      <c r="IJ9" s="135"/>
      <c r="IK9" s="135"/>
      <c r="IL9" s="135"/>
      <c r="IM9" s="135"/>
      <c r="IN9" s="135">
        <v>135.16999999999999</v>
      </c>
      <c r="IO9" s="40">
        <f t="shared" ca="1" si="55"/>
        <v>-2.3749999945721356E-4</v>
      </c>
      <c r="IP9" s="135"/>
      <c r="IQ9" s="135"/>
      <c r="IR9" s="136">
        <v>45587</v>
      </c>
      <c r="IS9" s="136">
        <v>45600</v>
      </c>
      <c r="IT9" s="136">
        <v>45621</v>
      </c>
      <c r="IU9" s="136">
        <v>45639</v>
      </c>
      <c r="IV9" s="136"/>
      <c r="IW9" s="54" t="s">
        <v>5913</v>
      </c>
    </row>
    <row r="10" spans="1:257" ht="15.75">
      <c r="A10">
        <v>102024145</v>
      </c>
      <c r="B10" t="s">
        <v>5503</v>
      </c>
      <c r="C10" s="10"/>
      <c r="D10" s="161"/>
      <c r="E10" s="147" t="s">
        <v>5904</v>
      </c>
      <c r="F10" s="160">
        <v>240003250</v>
      </c>
      <c r="G10" s="147"/>
      <c r="H10" s="10"/>
      <c r="I10" s="10"/>
      <c r="J10" s="10" t="s">
        <v>253</v>
      </c>
      <c r="K10" s="10" t="s">
        <v>5504</v>
      </c>
      <c r="L10" s="10" t="s">
        <v>5505</v>
      </c>
      <c r="M10" s="10" t="s">
        <v>403</v>
      </c>
      <c r="N10" s="10"/>
      <c r="O10" s="147"/>
      <c r="P10" s="10"/>
      <c r="Q10" s="10"/>
      <c r="R10" s="10"/>
      <c r="S10" s="10"/>
      <c r="T10" s="10"/>
      <c r="U10" s="10"/>
      <c r="V10" s="10"/>
      <c r="W10" s="10"/>
      <c r="X10" s="10"/>
      <c r="Y10" s="10"/>
      <c r="Z10" s="10"/>
      <c r="AA10" s="10"/>
      <c r="AB10" s="10"/>
      <c r="AC10" s="10"/>
      <c r="AD10" s="10"/>
      <c r="AE10" s="10"/>
      <c r="AF10" s="10"/>
      <c r="AG10" s="141"/>
      <c r="AH10" s="10"/>
      <c r="AI10" s="10"/>
      <c r="AJ10" s="18" t="s">
        <v>328</v>
      </c>
      <c r="AK10" s="1"/>
      <c r="AL10" s="18" t="s">
        <v>344</v>
      </c>
      <c r="AN10" t="s">
        <v>5598</v>
      </c>
      <c r="AO10" t="s">
        <v>5506</v>
      </c>
      <c r="AP10" s="1"/>
      <c r="AQ10" s="18" t="s">
        <v>5507</v>
      </c>
      <c r="AX10" s="1"/>
      <c r="AY10" s="1" t="s">
        <v>258</v>
      </c>
      <c r="AZ10" s="1"/>
      <c r="BA10" s="1"/>
      <c r="BB10" s="1"/>
      <c r="BC10" s="70">
        <v>45476</v>
      </c>
      <c r="BD10" s="115">
        <v>45415</v>
      </c>
      <c r="BE10" s="144">
        <v>45434</v>
      </c>
      <c r="BF10" s="70"/>
      <c r="BG10" s="2"/>
      <c r="BH10" s="70"/>
      <c r="BI10" s="70"/>
      <c r="BJ10" s="70">
        <v>45548</v>
      </c>
      <c r="BK10" s="70" t="s">
        <v>319</v>
      </c>
      <c r="BL10" s="20">
        <f t="shared" ca="1" si="0"/>
        <v>3591.1776416666667</v>
      </c>
      <c r="BM10" s="22">
        <f t="shared" ca="1" si="1"/>
        <v>-315.72156856769845</v>
      </c>
      <c r="BN10" s="22">
        <f t="shared" ca="1" si="2"/>
        <v>315.72156856769845</v>
      </c>
      <c r="BO10" s="14">
        <f t="shared" si="3"/>
        <v>6.0666666666666664</v>
      </c>
      <c r="BP10" s="22">
        <f t="shared" ca="1" si="4"/>
        <v>321.78823523436512</v>
      </c>
      <c r="BQ10" s="14"/>
      <c r="BR10" s="14">
        <f t="shared" si="5"/>
        <v>0</v>
      </c>
      <c r="BS10" s="14">
        <f t="shared" ca="1" si="6"/>
        <v>0</v>
      </c>
      <c r="BT10" s="17">
        <f t="shared" si="7"/>
        <v>0</v>
      </c>
      <c r="BU10" s="23">
        <f t="shared" ca="1" si="8"/>
        <v>53</v>
      </c>
      <c r="BV10" s="14">
        <f t="shared" ca="1" si="9"/>
        <v>0</v>
      </c>
      <c r="BW10" s="14">
        <v>0</v>
      </c>
      <c r="BX10" s="14">
        <f t="shared" si="10"/>
        <v>0</v>
      </c>
      <c r="BY10" s="14">
        <f t="shared" ca="1" si="11"/>
        <v>0</v>
      </c>
      <c r="BZ10" s="17">
        <f t="shared" si="12"/>
        <v>0</v>
      </c>
      <c r="CA10" s="23">
        <f t="shared" ca="1" si="13"/>
        <v>41</v>
      </c>
      <c r="CB10" s="14">
        <f t="shared" ca="1" si="14"/>
        <v>0</v>
      </c>
      <c r="CC10" s="14">
        <v>0</v>
      </c>
      <c r="CD10" s="14">
        <f t="shared" si="15"/>
        <v>0</v>
      </c>
      <c r="CE10" s="14">
        <f t="shared" si="16"/>
        <v>0</v>
      </c>
      <c r="CF10" s="17">
        <f t="shared" si="17"/>
        <v>0</v>
      </c>
      <c r="CG10" s="23">
        <v>37</v>
      </c>
      <c r="CH10" s="14">
        <f t="shared" si="18"/>
        <v>0</v>
      </c>
      <c r="CI10" s="14">
        <f>SUM(EM10*0.0052)/2-29.23</f>
        <v>73.72999999999999</v>
      </c>
      <c r="CJ10" s="14">
        <f t="shared" si="20"/>
        <v>7.3729999999999993</v>
      </c>
      <c r="CK10" s="14">
        <f t="shared" si="21"/>
        <v>19.599891666666657</v>
      </c>
      <c r="CL10" s="17">
        <f t="shared" si="22"/>
        <v>0.67585833333333301</v>
      </c>
      <c r="CM10" s="23">
        <v>29</v>
      </c>
      <c r="CN10" s="23">
        <f t="shared" si="23"/>
        <v>100.70289166666666</v>
      </c>
      <c r="CO10" s="14">
        <f t="shared" si="24"/>
        <v>102.96</v>
      </c>
      <c r="CP10" s="14">
        <f t="shared" si="25"/>
        <v>10.295999999999999</v>
      </c>
      <c r="CQ10" s="14">
        <f t="shared" si="26"/>
        <v>23.594999999999992</v>
      </c>
      <c r="CR10" s="17">
        <f t="shared" si="27"/>
        <v>0.94379999999999964</v>
      </c>
      <c r="CS10" s="23">
        <v>25</v>
      </c>
      <c r="CT10" s="14">
        <f t="shared" si="28"/>
        <v>136.851</v>
      </c>
      <c r="CU10" s="14">
        <f t="shared" si="57"/>
        <v>31.499999999999996</v>
      </c>
      <c r="CV10" s="14">
        <f t="shared" si="29"/>
        <v>3.15</v>
      </c>
      <c r="CW10" s="14">
        <f t="shared" si="30"/>
        <v>5.4862499999999965</v>
      </c>
      <c r="CX10" s="17">
        <f t="shared" si="31"/>
        <v>0.28874999999999984</v>
      </c>
      <c r="CY10" s="23">
        <v>19</v>
      </c>
      <c r="CZ10" s="14">
        <f t="shared" si="32"/>
        <v>40.136249999999997</v>
      </c>
      <c r="DA10" s="14">
        <f t="shared" si="33"/>
        <v>31.499999999999996</v>
      </c>
      <c r="DB10" s="14">
        <f t="shared" si="34"/>
        <v>3.15</v>
      </c>
      <c r="DC10" s="14">
        <f t="shared" si="35"/>
        <v>3.7537499999999979</v>
      </c>
      <c r="DD10" s="17">
        <f t="shared" si="36"/>
        <v>0.28874999999999984</v>
      </c>
      <c r="DE10" s="23">
        <v>13</v>
      </c>
      <c r="DF10" s="14">
        <f t="shared" si="37"/>
        <v>38.403749999999995</v>
      </c>
      <c r="DG10" s="14">
        <f t="shared" si="38"/>
        <v>31.499999999999996</v>
      </c>
      <c r="DH10" s="14">
        <f t="shared" si="39"/>
        <v>3.15</v>
      </c>
      <c r="DI10" s="14">
        <f t="shared" si="40"/>
        <v>1.4437499999999992</v>
      </c>
      <c r="DJ10" s="17">
        <f t="shared" si="41"/>
        <v>0.28874999999999984</v>
      </c>
      <c r="DK10" s="23">
        <v>5</v>
      </c>
      <c r="DL10" s="14">
        <f t="shared" si="42"/>
        <v>36.09375</v>
      </c>
      <c r="DM10" s="14">
        <f t="shared" si="43"/>
        <v>31.499999999999996</v>
      </c>
      <c r="DN10" s="14">
        <f t="shared" si="44"/>
        <v>3.15</v>
      </c>
      <c r="DO10" s="14">
        <v>0</v>
      </c>
      <c r="DP10" s="17">
        <f t="shared" si="45"/>
        <v>0.28874999999999984</v>
      </c>
      <c r="DQ10" s="23">
        <v>1</v>
      </c>
      <c r="DR10" s="14">
        <f t="shared" si="46"/>
        <v>34.65</v>
      </c>
      <c r="DS10" s="14">
        <f t="shared" si="47"/>
        <v>302.69</v>
      </c>
      <c r="DT10" s="14">
        <f t="shared" si="48"/>
        <v>30.268999999999991</v>
      </c>
      <c r="DU10" s="14">
        <f t="shared" ca="1" si="49"/>
        <v>53.878641666666645</v>
      </c>
      <c r="DV10" s="25">
        <f t="shared" ca="1" si="50"/>
        <v>386.83764166666663</v>
      </c>
      <c r="DW10" s="47">
        <f t="shared" ca="1" si="51"/>
        <v>9.7686273148148133E-3</v>
      </c>
      <c r="DX10" s="14">
        <f>20+10+200+200+40+40+100+100+40+40+200+20+100+60+100+80+140+100-41.6</f>
        <v>1548.4</v>
      </c>
      <c r="DY10" s="32">
        <f t="shared" si="58"/>
        <v>4</v>
      </c>
      <c r="DZ10" s="66">
        <f>87.01+38.92</f>
        <v>125.93</v>
      </c>
      <c r="EA10" s="4">
        <f>26.67+332.34</f>
        <v>359.01</v>
      </c>
      <c r="EB10" s="25">
        <v>250</v>
      </c>
      <c r="EC10" s="4">
        <v>0</v>
      </c>
      <c r="ED10" s="4">
        <v>141</v>
      </c>
      <c r="EE10" s="14">
        <f t="shared" si="52"/>
        <v>100</v>
      </c>
      <c r="EF10" s="4">
        <v>460</v>
      </c>
      <c r="EG10" s="14">
        <f t="shared" si="53"/>
        <v>1060.01</v>
      </c>
      <c r="EH10" s="14">
        <f ca="1">SUM(DV10,DX10,EB10,EG10,DZ10,GC10)</f>
        <v>3371.1776416666667</v>
      </c>
      <c r="EI10" s="24" t="s">
        <v>5914</v>
      </c>
      <c r="EJ10" s="23">
        <v>1.48</v>
      </c>
      <c r="EK10" s="14">
        <v>39600</v>
      </c>
      <c r="EL10" s="14">
        <v>0</v>
      </c>
      <c r="EM10" s="14">
        <f t="shared" si="59"/>
        <v>39600</v>
      </c>
      <c r="EN10" s="14">
        <v>14000</v>
      </c>
      <c r="EO10" s="14">
        <v>0</v>
      </c>
      <c r="EP10" s="14">
        <f t="shared" si="54"/>
        <v>14000</v>
      </c>
      <c r="EQ10" s="10" t="s">
        <v>5980</v>
      </c>
      <c r="ER10" s="28" t="s">
        <v>5760</v>
      </c>
      <c r="ES10" s="10"/>
      <c r="ET10" s="10"/>
      <c r="EU10" s="10"/>
      <c r="EV10" s="10"/>
      <c r="EW10" s="10"/>
      <c r="EX10" s="10"/>
      <c r="EY10" s="10"/>
      <c r="EZ10" s="10"/>
      <c r="FA10" s="10"/>
      <c r="FB10" s="10"/>
      <c r="FC10" s="10"/>
      <c r="FD10" s="10"/>
      <c r="FE10" s="10"/>
      <c r="FF10" s="10"/>
      <c r="FG10" s="10"/>
      <c r="FH10" s="10"/>
      <c r="FI10" s="10"/>
      <c r="FJ10" s="10"/>
      <c r="FK10" s="10"/>
      <c r="FL10" s="10"/>
      <c r="FM10" s="10"/>
      <c r="FN10" s="10"/>
      <c r="FO10" s="10" t="s">
        <v>5761</v>
      </c>
      <c r="FP10" s="10" t="s">
        <v>5762</v>
      </c>
      <c r="FQ10" s="10"/>
      <c r="FR10" s="10" t="s">
        <v>5763</v>
      </c>
      <c r="FS10" s="10" t="s">
        <v>1668</v>
      </c>
      <c r="FT10" s="9">
        <v>39772</v>
      </c>
      <c r="FU10" s="10" t="s">
        <v>5764</v>
      </c>
      <c r="FV10" s="10"/>
      <c r="FW10" s="10"/>
      <c r="FX10" s="10"/>
      <c r="FY10" s="10"/>
      <c r="FZ10" s="10"/>
      <c r="GA10" s="9"/>
      <c r="GB10" s="10"/>
      <c r="GC10" s="8"/>
      <c r="GD10" s="10" t="s">
        <v>3557</v>
      </c>
      <c r="GE10" s="10" t="s">
        <v>411</v>
      </c>
      <c r="GF10" s="10" t="s">
        <v>3558</v>
      </c>
      <c r="GG10" s="10"/>
      <c r="GH10" s="10" t="s">
        <v>259</v>
      </c>
      <c r="GI10" s="10" t="s">
        <v>260</v>
      </c>
      <c r="GJ10" s="9">
        <v>44417</v>
      </c>
      <c r="GK10" s="10" t="s">
        <v>5765</v>
      </c>
      <c r="GL10" s="10"/>
      <c r="GM10" s="10"/>
      <c r="GN10" s="10"/>
      <c r="GO10" s="10"/>
      <c r="GP10" s="10"/>
      <c r="GQ10" s="10"/>
      <c r="GR10" s="10"/>
      <c r="GS10" s="10"/>
      <c r="GT10" s="10"/>
      <c r="GU10" s="9"/>
      <c r="GV10" s="10"/>
      <c r="GW10" s="10"/>
      <c r="GX10" s="10"/>
      <c r="GY10" s="10"/>
      <c r="GZ10" s="10"/>
      <c r="HA10" s="10"/>
      <c r="HB10" s="10"/>
      <c r="HC10" s="10"/>
      <c r="HD10" s="9"/>
      <c r="HE10" s="10"/>
      <c r="HF10" s="10"/>
      <c r="HG10" s="10"/>
      <c r="HH10" s="10"/>
      <c r="HI10" s="10"/>
      <c r="HJ10" s="10"/>
      <c r="HK10" s="10"/>
      <c r="HL10" s="9"/>
      <c r="HM10" s="10"/>
      <c r="HN10" s="10"/>
      <c r="HO10" s="10"/>
      <c r="HP10" s="10"/>
      <c r="HQ10" s="10"/>
      <c r="HR10" s="10"/>
      <c r="HS10" s="10"/>
      <c r="HT10" s="9"/>
      <c r="HU10" s="10"/>
      <c r="HV10" s="10"/>
      <c r="HW10" s="10"/>
      <c r="HX10" s="10"/>
      <c r="HY10" s="10"/>
      <c r="HZ10" s="10"/>
      <c r="IA10" s="10"/>
      <c r="IB10" s="9">
        <v>45619</v>
      </c>
      <c r="IC10" s="224">
        <v>3371.1776416666662</v>
      </c>
      <c r="ID10" s="4">
        <v>0</v>
      </c>
      <c r="IE10" t="s">
        <v>5985</v>
      </c>
      <c r="IF10" s="10" t="s">
        <v>5974</v>
      </c>
      <c r="IG10" s="10" t="s">
        <v>5975</v>
      </c>
      <c r="IH10" s="10"/>
      <c r="II10" s="4"/>
      <c r="IJ10" s="4"/>
      <c r="IK10" s="4"/>
      <c r="IL10" s="4"/>
      <c r="IM10" s="4"/>
      <c r="IN10" s="4">
        <v>107.67</v>
      </c>
      <c r="IO10" s="14">
        <f t="shared" ca="1" si="55"/>
        <v>-4.5474735088646412E-13</v>
      </c>
      <c r="IP10" s="4"/>
      <c r="IQ10" s="4"/>
      <c r="IR10" s="9">
        <v>45561</v>
      </c>
      <c r="IS10" s="9">
        <v>45593</v>
      </c>
      <c r="IT10" s="9">
        <v>45621</v>
      </c>
      <c r="IU10" s="9">
        <v>45635</v>
      </c>
      <c r="IV10" s="9"/>
      <c r="IW10" s="27" t="s">
        <v>5913</v>
      </c>
    </row>
    <row r="11" spans="1:257" s="38" customFormat="1" ht="15.75">
      <c r="A11" s="38">
        <v>102024087</v>
      </c>
      <c r="B11" s="38" t="s">
        <v>5388</v>
      </c>
      <c r="C11" s="138"/>
      <c r="D11" s="162"/>
      <c r="E11" s="158" t="s">
        <v>5880</v>
      </c>
      <c r="F11" s="163">
        <v>240003196</v>
      </c>
      <c r="G11" s="158"/>
      <c r="H11" s="138"/>
      <c r="I11" s="138"/>
      <c r="J11" s="138" t="s">
        <v>554</v>
      </c>
      <c r="K11" s="138" t="s">
        <v>5389</v>
      </c>
      <c r="L11" s="138" t="s">
        <v>420</v>
      </c>
      <c r="M11" s="138" t="s">
        <v>357</v>
      </c>
      <c r="N11" s="138"/>
      <c r="O11" s="158"/>
      <c r="P11" s="138" t="s">
        <v>5390</v>
      </c>
      <c r="Q11" s="138" t="s">
        <v>5391</v>
      </c>
      <c r="R11" s="138" t="s">
        <v>426</v>
      </c>
      <c r="S11" s="138"/>
      <c r="T11" s="138"/>
      <c r="U11" s="138"/>
      <c r="V11" s="138"/>
      <c r="W11" s="138"/>
      <c r="X11" s="138"/>
      <c r="Y11" s="138"/>
      <c r="Z11" s="138"/>
      <c r="AA11" s="138"/>
      <c r="AB11" s="138"/>
      <c r="AC11" s="138"/>
      <c r="AD11" s="138"/>
      <c r="AE11" s="138"/>
      <c r="AF11" s="138"/>
      <c r="AG11" s="164"/>
      <c r="AH11" s="138"/>
      <c r="AI11" s="138"/>
      <c r="AJ11" s="39" t="s">
        <v>328</v>
      </c>
      <c r="AK11" s="133"/>
      <c r="AL11" s="39" t="s">
        <v>344</v>
      </c>
      <c r="AO11" s="38" t="s">
        <v>5392</v>
      </c>
      <c r="AP11" s="133"/>
      <c r="AQ11" s="39" t="s">
        <v>5393</v>
      </c>
      <c r="AW11" s="133"/>
      <c r="AY11" s="133" t="s">
        <v>258</v>
      </c>
      <c r="AZ11" s="133" t="s">
        <v>258</v>
      </c>
      <c r="BA11" s="133" t="s">
        <v>258</v>
      </c>
      <c r="BB11" s="133" t="s">
        <v>258</v>
      </c>
      <c r="BC11" s="142">
        <v>45475</v>
      </c>
      <c r="BD11" s="140">
        <v>45415</v>
      </c>
      <c r="BE11" s="145">
        <v>45434</v>
      </c>
      <c r="BF11" s="142">
        <v>45534</v>
      </c>
      <c r="BG11" s="49" t="s">
        <v>319</v>
      </c>
      <c r="BH11" s="41">
        <v>45520</v>
      </c>
      <c r="BI11" s="41">
        <v>45527</v>
      </c>
      <c r="BJ11" s="142">
        <v>45548</v>
      </c>
      <c r="BK11" s="142" t="s">
        <v>319</v>
      </c>
      <c r="BL11" s="49">
        <f ca="1">SUM(EH11)+220</f>
        <v>4633.6866250000003</v>
      </c>
      <c r="BM11" s="50">
        <f ca="1">PMT(10%/12,12,BL11,0,0)</f>
        <v>-407.37467078270379</v>
      </c>
      <c r="BN11" s="50">
        <f ca="1">SUM(BM11*-1)</f>
        <v>407.37467078270379</v>
      </c>
      <c r="BO11" s="40">
        <f>SUM(EP11*0.0052)/12</f>
        <v>14.993333333333332</v>
      </c>
      <c r="BP11" s="50">
        <f ca="1">SUM(BN11+BO11)</f>
        <v>422.36800411603713</v>
      </c>
      <c r="BQ11" s="40"/>
      <c r="BR11" s="40">
        <f>SUM(BQ11*0.1)</f>
        <v>0</v>
      </c>
      <c r="BS11" s="40">
        <f ca="1">SUM(BT11*BU11)</f>
        <v>0</v>
      </c>
      <c r="BT11" s="57">
        <f>SUM((BQ11+BR11)*0.00833333333333333)</f>
        <v>0</v>
      </c>
      <c r="BU11" s="58">
        <f t="shared" ca="1" si="8"/>
        <v>53</v>
      </c>
      <c r="BV11" s="40">
        <f ca="1">SUM(BQ11,BR11,BS11)</f>
        <v>0</v>
      </c>
      <c r="BW11" s="40">
        <v>0</v>
      </c>
      <c r="BX11" s="40">
        <f>SUM(BW11*0.1)</f>
        <v>0</v>
      </c>
      <c r="BY11" s="40">
        <f ca="1">SUM(BZ11*CA11)</f>
        <v>0</v>
      </c>
      <c r="BZ11" s="57">
        <f>SUM((BW11+BX11)*0.00833333333333333)</f>
        <v>0</v>
      </c>
      <c r="CA11" s="58">
        <f t="shared" ca="1" si="13"/>
        <v>41</v>
      </c>
      <c r="CB11" s="40">
        <f ca="1">SUM(BW11,BX11,BY11)</f>
        <v>0</v>
      </c>
      <c r="CC11" s="40">
        <v>0</v>
      </c>
      <c r="CD11" s="40">
        <f>SUM(CC11*0.1)</f>
        <v>0</v>
      </c>
      <c r="CE11" s="40">
        <f>SUM(CF11*CG11)</f>
        <v>0</v>
      </c>
      <c r="CF11" s="57">
        <f>SUM((CC11+CD11)*0.00833333333333333)</f>
        <v>0</v>
      </c>
      <c r="CG11" s="58">
        <v>37</v>
      </c>
      <c r="CH11" s="40">
        <f>SUM(CC11,CD11,CE11)</f>
        <v>0</v>
      </c>
      <c r="CI11" s="40">
        <v>0</v>
      </c>
      <c r="CJ11" s="40">
        <f>SUM(CI11*0.1)</f>
        <v>0</v>
      </c>
      <c r="CK11" s="40">
        <f>SUM(CL11*CM11)</f>
        <v>0</v>
      </c>
      <c r="CL11" s="57">
        <f>SUM((CI11+CJ11)*0.00833333333333333)</f>
        <v>0</v>
      </c>
      <c r="CM11" s="58">
        <v>29</v>
      </c>
      <c r="CN11" s="58">
        <f>SUM(CI11,CJ11,CK11)</f>
        <v>0</v>
      </c>
      <c r="CO11" s="40">
        <f>SUM(EM11*0.0052)/2</f>
        <v>117</v>
      </c>
      <c r="CP11" s="40">
        <f>SUM(CO11*0.1)</f>
        <v>11.700000000000001</v>
      </c>
      <c r="CQ11" s="40">
        <f>SUM(CR11*CS11)</f>
        <v>26.812499999999982</v>
      </c>
      <c r="CR11" s="57">
        <f>SUM((CO11+CP11)*0.00833333333333333)</f>
        <v>1.0724999999999993</v>
      </c>
      <c r="CS11" s="58">
        <v>25</v>
      </c>
      <c r="CT11" s="40">
        <f>SUM(CO11,CP11,CQ11)</f>
        <v>155.51249999999996</v>
      </c>
      <c r="CU11" s="40">
        <f>SUM(EP11*0.0045)/2</f>
        <v>77.849999999999994</v>
      </c>
      <c r="CV11" s="40">
        <f>SUM(CU11*0.1)</f>
        <v>7.7850000000000001</v>
      </c>
      <c r="CW11" s="40">
        <f>SUM(CX11*CY11)</f>
        <v>13.558874999999993</v>
      </c>
      <c r="CX11" s="57">
        <f>SUM((CU11+CV11)*0.00833333333333333)</f>
        <v>0.71362499999999962</v>
      </c>
      <c r="CY11" s="58">
        <v>19</v>
      </c>
      <c r="CZ11" s="40">
        <f>SUM(CU11,CV11,CW11)</f>
        <v>99.193874999999991</v>
      </c>
      <c r="DA11" s="40">
        <f>SUM(EP11*0.0045)/2</f>
        <v>77.849999999999994</v>
      </c>
      <c r="DB11" s="40">
        <f>SUM(DA11*0.1)</f>
        <v>7.7850000000000001</v>
      </c>
      <c r="DC11" s="40">
        <f>SUM(DD11*DE11)</f>
        <v>9.2771249999999945</v>
      </c>
      <c r="DD11" s="57">
        <f>SUM((DA11+DB11)*0.00833333333333333)</f>
        <v>0.71362499999999962</v>
      </c>
      <c r="DE11" s="58">
        <v>13</v>
      </c>
      <c r="DF11" s="40">
        <f>SUM(DA11,DB11,DC11)</f>
        <v>94.912124999999989</v>
      </c>
      <c r="DG11" s="40">
        <f>SUM(EP11*0.0045)/2</f>
        <v>77.849999999999994</v>
      </c>
      <c r="DH11" s="40">
        <f>SUM(DG11*0.1)</f>
        <v>7.7850000000000001</v>
      </c>
      <c r="DI11" s="40">
        <f>SUM(DJ11*DK11)</f>
        <v>3.568124999999998</v>
      </c>
      <c r="DJ11" s="57">
        <f>SUM((DG11+DH11)*0.00833333333333333)</f>
        <v>0.71362499999999962</v>
      </c>
      <c r="DK11" s="58">
        <v>5</v>
      </c>
      <c r="DL11" s="40">
        <f>SUM(DG11,DH11,DI11)</f>
        <v>89.203124999999986</v>
      </c>
      <c r="DM11" s="40">
        <f>SUM(EP11*0.0045)/2</f>
        <v>77.849999999999994</v>
      </c>
      <c r="DN11" s="40">
        <f>SUM(DM11*0.1)</f>
        <v>7.7850000000000001</v>
      </c>
      <c r="DO11" s="40">
        <v>0</v>
      </c>
      <c r="DP11" s="57">
        <f>SUM((DM11+DN11)*0.00833333333333333)</f>
        <v>0.71362499999999962</v>
      </c>
      <c r="DQ11" s="58">
        <v>1</v>
      </c>
      <c r="DR11" s="40">
        <f>SUM(DM11,DN11,DO11)</f>
        <v>85.634999999999991</v>
      </c>
      <c r="DS11" s="40">
        <f>SUM(BQ11, BW11, CC11, CI11,CO11,CU11,DA11,DG11,DM11)</f>
        <v>428.4</v>
      </c>
      <c r="DT11" s="40">
        <f>SUM(BR11,BX11,CD11, CJ11,CP11,CV11,DB11,DH11,DN11)</f>
        <v>42.84</v>
      </c>
      <c r="DU11" s="40">
        <f ca="1">SUM(BS11,BY11,CE11, CK11,CQ11,CW11,DC11,DI11,DO11)</f>
        <v>53.216624999999965</v>
      </c>
      <c r="DV11" s="59">
        <f ca="1">SUM(DS11:DU11)</f>
        <v>524.45662500000003</v>
      </c>
      <c r="DW11" s="64">
        <f ca="1">SUM(DV11/EM11)</f>
        <v>1.1654591666666667E-2</v>
      </c>
      <c r="DX11" s="40">
        <f>20+10+200+200+40+40+100+40+100+40+40+200+20+100+60+100+80+140+100</f>
        <v>1630</v>
      </c>
      <c r="DY11" s="65">
        <f>COUNTIF(AO11, "*")+COUNTIF(AJ11, "*")+COUNTIF(AA11, "*")+COUNTIF(EZ11, "*")+COUNTIF(FF11, "*")+COUNTIF(FL11, "*")+COUNTIF(FP11, "*")+COUNTIF(FW11, "*")+COUNTIF(AS11, "*")+COUNTIF(GF11, "*")+COUNTIF(GQ11, "*")+COUNTIF(GZ11, "*")+COUNTIF(HH11, "*")+COUNTIF(HP11, "*")+COUNTIF(HX11, "*")</f>
        <v>4</v>
      </c>
      <c r="DZ11" s="219">
        <f>87.01+38.92</f>
        <v>125.93</v>
      </c>
      <c r="EA11" s="135">
        <f>26.67+847.48</f>
        <v>874.15</v>
      </c>
      <c r="EB11" s="59">
        <v>259</v>
      </c>
      <c r="EC11" s="135">
        <f>93.75+160</f>
        <v>253.75</v>
      </c>
      <c r="ED11" s="135">
        <v>148</v>
      </c>
      <c r="EE11" s="40">
        <f>IF(SUM(EP11*0.004)&lt;100, 100, SUM(EP11*0.004))</f>
        <v>138.4</v>
      </c>
      <c r="EF11" s="135">
        <v>460</v>
      </c>
      <c r="EG11" s="40">
        <f>SUM(EC11:EF11,EA11)</f>
        <v>1874.3</v>
      </c>
      <c r="EH11" s="40">
        <f ca="1">SUM(DV11,DX11,EB11,EG11,DZ11,GC11)</f>
        <v>4413.6866250000003</v>
      </c>
      <c r="EI11" s="56" t="s">
        <v>5914</v>
      </c>
      <c r="EJ11" s="58">
        <v>7.47</v>
      </c>
      <c r="EK11" s="40">
        <v>45000</v>
      </c>
      <c r="EL11" s="40">
        <v>0</v>
      </c>
      <c r="EM11" s="40">
        <f>SUM(EK11+EL11)</f>
        <v>45000</v>
      </c>
      <c r="EN11" s="40">
        <v>34600</v>
      </c>
      <c r="EO11" s="40">
        <v>0</v>
      </c>
      <c r="EP11" s="40">
        <f>SUM(EN11+EO11)</f>
        <v>34600</v>
      </c>
      <c r="EQ11" s="138" t="s">
        <v>5983</v>
      </c>
      <c r="ER11" s="62" t="s">
        <v>5751</v>
      </c>
      <c r="ES11" s="138"/>
      <c r="ET11" s="138"/>
      <c r="EU11" s="138"/>
      <c r="EV11" s="138"/>
      <c r="EW11" s="138"/>
      <c r="EX11" s="138" t="s">
        <v>5752</v>
      </c>
      <c r="EY11" s="138"/>
      <c r="EZ11" s="138" t="s">
        <v>5753</v>
      </c>
      <c r="FA11" s="138"/>
      <c r="FB11" s="138" t="s">
        <v>5393</v>
      </c>
      <c r="FC11" s="138"/>
      <c r="FD11" s="138"/>
      <c r="FE11" s="138"/>
      <c r="FF11" s="138"/>
      <c r="FG11" s="138"/>
      <c r="FH11" s="138"/>
      <c r="FI11" s="138"/>
      <c r="FJ11" s="138"/>
      <c r="FK11" s="138"/>
      <c r="FL11" s="138"/>
      <c r="FM11" s="138"/>
      <c r="FN11" s="138"/>
      <c r="FO11" s="138"/>
      <c r="FP11" s="138"/>
      <c r="FQ11" s="138"/>
      <c r="FR11" s="138"/>
      <c r="FS11" s="138"/>
      <c r="FT11" s="136"/>
      <c r="FU11" s="138"/>
      <c r="FV11" s="138"/>
      <c r="FW11" s="138"/>
      <c r="FX11" s="138"/>
      <c r="FY11" s="138"/>
      <c r="FZ11" s="138"/>
      <c r="GA11" s="136"/>
      <c r="GB11" s="138"/>
      <c r="GC11" s="225"/>
      <c r="GD11" s="138" t="s">
        <v>3557</v>
      </c>
      <c r="GE11" s="138" t="s">
        <v>411</v>
      </c>
      <c r="GF11" s="138" t="s">
        <v>3558</v>
      </c>
      <c r="GG11" s="138"/>
      <c r="GH11" s="138" t="s">
        <v>259</v>
      </c>
      <c r="GI11" s="138" t="s">
        <v>260</v>
      </c>
      <c r="GJ11" s="136">
        <v>45113</v>
      </c>
      <c r="GK11" s="138" t="s">
        <v>5749</v>
      </c>
      <c r="GL11" s="138"/>
      <c r="GM11" s="138"/>
      <c r="GN11" s="138"/>
      <c r="GO11" s="138"/>
      <c r="GP11" s="138"/>
      <c r="GQ11" s="138"/>
      <c r="GR11" s="138"/>
      <c r="GS11" s="138"/>
      <c r="GT11" s="138"/>
      <c r="GU11" s="136"/>
      <c r="GV11" s="138"/>
      <c r="GW11" s="138"/>
      <c r="GX11" s="138"/>
      <c r="GY11" s="138"/>
      <c r="GZ11" s="138"/>
      <c r="HA11" s="138"/>
      <c r="HB11" s="138"/>
      <c r="HC11" s="138"/>
      <c r="HD11" s="136"/>
      <c r="HE11" s="138"/>
      <c r="HF11" s="138"/>
      <c r="HG11" s="138"/>
      <c r="HH11" s="138"/>
      <c r="HI11" s="138"/>
      <c r="HJ11" s="138"/>
      <c r="HK11" s="138"/>
      <c r="HL11" s="136"/>
      <c r="HM11" s="138"/>
      <c r="HN11" s="138"/>
      <c r="HO11" s="138"/>
      <c r="HP11" s="138"/>
      <c r="HQ11" s="138"/>
      <c r="HR11" s="138"/>
      <c r="HS11" s="138"/>
      <c r="HT11" s="136"/>
      <c r="HU11" s="138"/>
      <c r="HV11" s="138"/>
      <c r="HW11" s="138"/>
      <c r="HX11" s="138"/>
      <c r="HY11" s="138"/>
      <c r="HZ11" s="138"/>
      <c r="IA11" s="138"/>
      <c r="IB11" s="136">
        <v>45619</v>
      </c>
      <c r="IC11" s="226">
        <v>10000</v>
      </c>
      <c r="ID11" s="135">
        <v>2000</v>
      </c>
      <c r="IE11" s="38" t="s">
        <v>5984</v>
      </c>
      <c r="IF11" s="138" t="s">
        <v>3949</v>
      </c>
      <c r="IG11" s="138" t="s">
        <v>5978</v>
      </c>
      <c r="IH11" s="138" t="s">
        <v>5960</v>
      </c>
      <c r="II11" s="135">
        <v>641.19000000000005</v>
      </c>
      <c r="IL11" s="40"/>
      <c r="IM11" s="135"/>
      <c r="IN11" s="135">
        <v>197.33</v>
      </c>
      <c r="IO11" s="40">
        <f ca="1">SUM(IC11-EH11-GC11-II11)</f>
        <v>4945.1233749999992</v>
      </c>
      <c r="IP11" s="135"/>
      <c r="IQ11" s="135"/>
      <c r="IR11" s="136">
        <v>45561</v>
      </c>
      <c r="IS11" s="136">
        <v>45595</v>
      </c>
      <c r="IT11" s="136">
        <v>45621</v>
      </c>
      <c r="IU11" s="136">
        <v>45636</v>
      </c>
      <c r="IV11" s="136"/>
      <c r="IW11" s="54" t="s">
        <v>5913</v>
      </c>
    </row>
    <row r="12" spans="1:257">
      <c r="A12" s="18">
        <v>102022010</v>
      </c>
      <c r="B12" t="s">
        <v>2942</v>
      </c>
      <c r="C12" s="10" t="s">
        <v>258</v>
      </c>
      <c r="D12" s="161"/>
      <c r="E12" s="147"/>
      <c r="F12" s="160"/>
      <c r="G12" s="147"/>
      <c r="H12" s="10"/>
      <c r="I12" s="10"/>
      <c r="J12" s="10"/>
      <c r="K12" s="10" t="s">
        <v>2943</v>
      </c>
      <c r="L12" s="10"/>
      <c r="M12" s="10"/>
      <c r="N12" s="10"/>
      <c r="O12" s="147"/>
      <c r="P12" s="10"/>
      <c r="Q12" s="10"/>
      <c r="R12" s="10"/>
      <c r="S12" s="10"/>
      <c r="T12" s="10"/>
      <c r="U12" s="10"/>
      <c r="V12" s="10"/>
      <c r="W12" s="10"/>
      <c r="X12" s="10"/>
      <c r="Y12" s="10"/>
      <c r="Z12" s="10"/>
      <c r="AA12" s="10"/>
      <c r="AB12" s="10"/>
      <c r="AC12" s="10"/>
      <c r="AD12" s="10"/>
      <c r="AE12" s="10"/>
      <c r="AF12" s="10"/>
      <c r="AG12" s="141"/>
      <c r="AH12" s="10"/>
      <c r="AI12" s="10"/>
      <c r="AJ12" s="18" t="s">
        <v>328</v>
      </c>
      <c r="AK12" s="1"/>
      <c r="AL12" t="s">
        <v>438</v>
      </c>
      <c r="AO12" t="s">
        <v>2944</v>
      </c>
      <c r="AP12" s="1" t="s">
        <v>258</v>
      </c>
      <c r="AQ12" t="s">
        <v>2945</v>
      </c>
      <c r="AS12" s="38" t="s">
        <v>473</v>
      </c>
      <c r="AT12" s="38" t="s">
        <v>474</v>
      </c>
      <c r="AU12" s="38" t="s">
        <v>475</v>
      </c>
      <c r="AV12" s="38" t="s">
        <v>438</v>
      </c>
      <c r="AW12" s="133" t="s">
        <v>260</v>
      </c>
      <c r="AX12" s="1"/>
      <c r="AY12" s="1"/>
      <c r="AZ12" s="1"/>
      <c r="BA12" s="1"/>
      <c r="BB12" s="1"/>
      <c r="BC12" s="70"/>
      <c r="BD12" s="115">
        <v>45060</v>
      </c>
      <c r="BE12" s="144">
        <v>45061</v>
      </c>
      <c r="BF12" s="70"/>
      <c r="BG12" s="2"/>
      <c r="BH12" s="70"/>
      <c r="BI12" s="70"/>
      <c r="BJ12" s="70"/>
      <c r="BK12" s="70"/>
      <c r="BL12" s="20">
        <f t="shared" si="0"/>
        <v>2066.9493625</v>
      </c>
      <c r="BM12" s="22">
        <f t="shared" si="1"/>
        <v>-181.71768706369025</v>
      </c>
      <c r="BN12" s="22">
        <f t="shared" si="2"/>
        <v>181.71768706369025</v>
      </c>
      <c r="BO12" s="14">
        <f t="shared" si="3"/>
        <v>7.1499999999999995</v>
      </c>
      <c r="BP12" s="22">
        <f t="shared" si="4"/>
        <v>188.86768706369025</v>
      </c>
      <c r="BQ12" s="14">
        <f>SUM(EM12*0.0052)</f>
        <v>50.44</v>
      </c>
      <c r="BR12" s="14">
        <f t="shared" si="5"/>
        <v>5.0440000000000005</v>
      </c>
      <c r="BS12" s="14">
        <f t="shared" si="6"/>
        <v>28.204366666666651</v>
      </c>
      <c r="BT12" s="17">
        <f t="shared" si="7"/>
        <v>0.46236666666666643</v>
      </c>
      <c r="BU12" s="23">
        <v>61</v>
      </c>
      <c r="BV12" s="14">
        <f t="shared" si="9"/>
        <v>83.688366666666639</v>
      </c>
      <c r="BW12" s="14">
        <f>SUM(EM12*0.0052)</f>
        <v>50.44</v>
      </c>
      <c r="BX12" s="14">
        <f t="shared" si="10"/>
        <v>5.0440000000000005</v>
      </c>
      <c r="BY12" s="14">
        <f t="shared" si="11"/>
        <v>22.655966666666654</v>
      </c>
      <c r="BZ12" s="17">
        <f t="shared" si="12"/>
        <v>0.46236666666666643</v>
      </c>
      <c r="CA12" s="23">
        <v>49</v>
      </c>
      <c r="CB12" s="14">
        <f t="shared" si="14"/>
        <v>78.139966666666652</v>
      </c>
      <c r="CC12" s="14">
        <f>SUM(EM12*0.0052)</f>
        <v>50.44</v>
      </c>
      <c r="CD12" s="14">
        <f t="shared" si="15"/>
        <v>5.0440000000000005</v>
      </c>
      <c r="CE12" s="14">
        <f t="shared" si="16"/>
        <v>17.107566666666656</v>
      </c>
      <c r="CF12" s="17">
        <f t="shared" si="17"/>
        <v>0.46236666666666643</v>
      </c>
      <c r="CG12" s="23">
        <v>37</v>
      </c>
      <c r="CH12" s="14">
        <f t="shared" si="18"/>
        <v>72.591566666666651</v>
      </c>
      <c r="CI12" s="14">
        <f>SUM(EM12*0.0052)/2</f>
        <v>25.22</v>
      </c>
      <c r="CJ12" s="14">
        <f t="shared" si="20"/>
        <v>2.5220000000000002</v>
      </c>
      <c r="CK12" s="14">
        <f t="shared" si="21"/>
        <v>6.7043166666666636</v>
      </c>
      <c r="CL12" s="17">
        <f t="shared" si="22"/>
        <v>0.23118333333333321</v>
      </c>
      <c r="CM12" s="23">
        <v>29</v>
      </c>
      <c r="CN12" s="23">
        <f t="shared" si="23"/>
        <v>34.446316666666661</v>
      </c>
      <c r="CO12" s="14">
        <f>SUM(EM12*0.0052)/2</f>
        <v>25.22</v>
      </c>
      <c r="CP12" s="14">
        <f t="shared" si="25"/>
        <v>2.5220000000000002</v>
      </c>
      <c r="CQ12" s="14">
        <f t="shared" si="26"/>
        <v>5.7795833333333304</v>
      </c>
      <c r="CR12" s="17">
        <f t="shared" si="27"/>
        <v>0.23118333333333321</v>
      </c>
      <c r="CS12" s="23">
        <v>25</v>
      </c>
      <c r="CT12" s="14">
        <f t="shared" si="28"/>
        <v>33.521583333333325</v>
      </c>
      <c r="CU12" s="14">
        <f t="shared" si="57"/>
        <v>37.125</v>
      </c>
      <c r="CV12" s="14">
        <f t="shared" si="29"/>
        <v>3.7125000000000004</v>
      </c>
      <c r="CW12" s="14">
        <f t="shared" si="30"/>
        <v>6.4659374999999972</v>
      </c>
      <c r="CX12" s="17">
        <f t="shared" si="31"/>
        <v>0.34031249999999985</v>
      </c>
      <c r="CY12" s="23">
        <v>19</v>
      </c>
      <c r="CZ12" s="14">
        <f t="shared" si="32"/>
        <v>47.303437499999994</v>
      </c>
      <c r="DA12" s="14">
        <f t="shared" si="33"/>
        <v>37.125</v>
      </c>
      <c r="DB12" s="14">
        <f t="shared" si="34"/>
        <v>3.7125000000000004</v>
      </c>
      <c r="DC12" s="14">
        <f t="shared" si="35"/>
        <v>4.424062499999998</v>
      </c>
      <c r="DD12" s="17">
        <f t="shared" si="36"/>
        <v>0.34031249999999985</v>
      </c>
      <c r="DE12" s="23">
        <v>13</v>
      </c>
      <c r="DF12" s="14">
        <f t="shared" si="37"/>
        <v>45.261562499999997</v>
      </c>
      <c r="DG12" s="14">
        <f t="shared" si="38"/>
        <v>37.125</v>
      </c>
      <c r="DH12" s="14">
        <f t="shared" si="39"/>
        <v>3.7125000000000004</v>
      </c>
      <c r="DI12" s="14">
        <f t="shared" si="40"/>
        <v>1.7015624999999992</v>
      </c>
      <c r="DJ12" s="17">
        <f t="shared" si="41"/>
        <v>0.34031249999999985</v>
      </c>
      <c r="DK12" s="23">
        <v>5</v>
      </c>
      <c r="DL12" s="14">
        <f t="shared" si="42"/>
        <v>42.5390625</v>
      </c>
      <c r="DM12" s="14">
        <f t="shared" si="43"/>
        <v>37.125</v>
      </c>
      <c r="DN12" s="14">
        <f t="shared" si="44"/>
        <v>3.7125000000000004</v>
      </c>
      <c r="DO12" s="14">
        <v>0</v>
      </c>
      <c r="DP12" s="17">
        <f t="shared" si="45"/>
        <v>0.34031249999999985</v>
      </c>
      <c r="DQ12" s="23">
        <v>1</v>
      </c>
      <c r="DR12" s="14">
        <f t="shared" si="46"/>
        <v>40.837499999999999</v>
      </c>
      <c r="DS12" s="14">
        <f t="shared" si="47"/>
        <v>350.26</v>
      </c>
      <c r="DT12" s="14">
        <f t="shared" si="48"/>
        <v>35.025999999999996</v>
      </c>
      <c r="DU12" s="14">
        <f t="shared" si="49"/>
        <v>93.043362499999944</v>
      </c>
      <c r="DV12" s="25">
        <f>SUM(DS12:DU12)</f>
        <v>478.32936249999995</v>
      </c>
      <c r="DW12" s="47">
        <f t="shared" si="51"/>
        <v>4.9312305412371131E-2</v>
      </c>
      <c r="DX12" s="14">
        <f>20+50+200+200+100+60+100+80+40</f>
        <v>850</v>
      </c>
      <c r="DY12" s="32">
        <f>COUNTIF(AO12, "*")+COUNTIF(AJ12, "*")+COUNTIF(AA12, "*")+COUNTIF(EZ12, "*")+COUNTIF(FF12, "*")+COUNTIF(FL12, "*")+COUNTIF(FP12, "*")+COUNTIF(FW12, "*")+COUNTIF(AT12, "*")+COUNTIF(GF12, "*")+COUNTIF(GQ12, "*")+COUNTIF(GZ12, "*")+COUNTIF(HH12, "*")+COUNTIF(HP12, "*")+COUNTIF(HX12, "*")</f>
        <v>3</v>
      </c>
      <c r="DZ12" s="66">
        <f>69.83+38.92</f>
        <v>108.75</v>
      </c>
      <c r="EA12" s="4">
        <f>36.76+273.11</f>
        <v>309.87</v>
      </c>
      <c r="EB12" s="4">
        <v>100</v>
      </c>
      <c r="EC12" s="4"/>
      <c r="ED12" s="4"/>
      <c r="EE12" s="4"/>
      <c r="EF12" s="4"/>
      <c r="EG12" s="14">
        <f t="shared" si="53"/>
        <v>309.87</v>
      </c>
      <c r="EH12" s="40">
        <f t="shared" ref="EH12:EH14" si="60">SUM(DV12,DX12,EB12,EG12,DZ12)</f>
        <v>1846.9493625</v>
      </c>
      <c r="EI12" s="24" t="s">
        <v>5940</v>
      </c>
      <c r="EJ12" s="7">
        <f>0.12+0.1+0.1+0.09</f>
        <v>0.41000000000000003</v>
      </c>
      <c r="EK12" s="4">
        <f>2800+500+500+5900</f>
        <v>9700</v>
      </c>
      <c r="EL12" s="4">
        <v>0</v>
      </c>
      <c r="EM12" s="14">
        <f t="shared" si="59"/>
        <v>9700</v>
      </c>
      <c r="EN12" s="14">
        <f>5900+500+500+9600</f>
        <v>16500</v>
      </c>
      <c r="EO12" s="14">
        <f>0</f>
        <v>0</v>
      </c>
      <c r="EP12" s="14">
        <f t="shared" si="54"/>
        <v>16500</v>
      </c>
      <c r="EQ12" s="10" t="s">
        <v>5934</v>
      </c>
      <c r="ER12" s="10" t="s">
        <v>5933</v>
      </c>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9"/>
      <c r="FU12" s="10"/>
      <c r="FV12" s="10"/>
      <c r="FW12" s="10"/>
      <c r="FX12" s="10"/>
      <c r="FY12" s="10"/>
      <c r="FZ12" s="10"/>
      <c r="GA12" s="9"/>
      <c r="GB12" s="10"/>
      <c r="GC12" s="8">
        <v>208.08</v>
      </c>
      <c r="GD12" s="10"/>
      <c r="GE12" s="10"/>
      <c r="GF12" s="10"/>
      <c r="GG12" s="10"/>
      <c r="GH12" s="10"/>
      <c r="GI12" s="10"/>
      <c r="GJ12" s="9"/>
      <c r="GK12" s="10"/>
      <c r="GL12" s="10"/>
      <c r="GM12" s="10"/>
      <c r="GN12" s="10"/>
      <c r="GO12" s="10"/>
      <c r="GP12" s="10"/>
      <c r="GQ12" s="10"/>
      <c r="GR12" s="10"/>
      <c r="GS12" s="10"/>
      <c r="GT12" s="10"/>
      <c r="GU12" s="9"/>
      <c r="GV12" s="10"/>
      <c r="GW12" s="10"/>
      <c r="GX12" s="10"/>
      <c r="GY12" s="10"/>
      <c r="GZ12" s="10"/>
      <c r="HA12" s="10"/>
      <c r="HB12" s="10"/>
      <c r="HC12" s="10"/>
      <c r="HD12" s="9"/>
      <c r="HE12" s="10"/>
      <c r="HF12" s="10"/>
      <c r="HG12" s="10"/>
      <c r="HH12" s="10"/>
      <c r="HI12" s="10"/>
      <c r="HJ12" s="10"/>
      <c r="HK12" s="10"/>
      <c r="HL12" s="9"/>
      <c r="HM12" s="10"/>
      <c r="HN12" s="10"/>
      <c r="HO12" s="10"/>
      <c r="HP12" s="10"/>
      <c r="HQ12" s="10"/>
      <c r="HR12" s="10"/>
      <c r="HS12" s="10"/>
      <c r="HT12" s="9"/>
      <c r="HU12" s="10"/>
      <c r="HV12" s="10"/>
      <c r="HW12" s="10"/>
      <c r="HX12" s="10"/>
      <c r="HY12" s="10"/>
      <c r="HZ12" s="10"/>
      <c r="IA12" s="10"/>
      <c r="IB12" s="9">
        <v>45619</v>
      </c>
      <c r="IC12" s="4">
        <v>2700</v>
      </c>
      <c r="ID12" s="4">
        <v>270</v>
      </c>
      <c r="IE12" s="10" t="s">
        <v>5982</v>
      </c>
      <c r="IF12" s="10" t="s">
        <v>5962</v>
      </c>
      <c r="IG12" s="10" t="s">
        <v>5963</v>
      </c>
      <c r="IH12" s="10"/>
      <c r="II12" s="4"/>
      <c r="IJ12" s="4"/>
      <c r="IK12" s="4"/>
      <c r="IL12" s="4"/>
      <c r="IM12" s="4"/>
      <c r="IN12" s="4">
        <v>118.5</v>
      </c>
      <c r="IO12" s="14">
        <f t="shared" si="55"/>
        <v>644.97063749999995</v>
      </c>
      <c r="IP12" s="14"/>
      <c r="IQ12" s="14"/>
      <c r="IR12" s="9"/>
      <c r="IS12" s="9"/>
      <c r="IT12" s="9"/>
      <c r="IU12" s="9"/>
      <c r="IV12" s="9"/>
      <c r="IW12" t="s">
        <v>5913</v>
      </c>
    </row>
    <row r="13" spans="1:257" s="38" customFormat="1">
      <c r="A13" s="39">
        <v>102022011</v>
      </c>
      <c r="B13" s="38" t="s">
        <v>2946</v>
      </c>
      <c r="C13" s="138" t="s">
        <v>258</v>
      </c>
      <c r="D13" s="162"/>
      <c r="E13" s="158"/>
      <c r="F13" s="163"/>
      <c r="G13" s="158"/>
      <c r="H13" s="138"/>
      <c r="I13" s="138"/>
      <c r="J13" s="138"/>
      <c r="K13" s="138" t="s">
        <v>2943</v>
      </c>
      <c r="L13" s="138"/>
      <c r="M13" s="138"/>
      <c r="N13" s="138"/>
      <c r="O13" s="158"/>
      <c r="P13" s="138"/>
      <c r="Q13" s="138"/>
      <c r="R13" s="138"/>
      <c r="S13" s="138"/>
      <c r="T13" s="138"/>
      <c r="U13" s="138"/>
      <c r="V13" s="138"/>
      <c r="W13" s="138"/>
      <c r="X13" s="138"/>
      <c r="Y13" s="138"/>
      <c r="Z13" s="138"/>
      <c r="AA13" s="138"/>
      <c r="AB13" s="138"/>
      <c r="AC13" s="138"/>
      <c r="AD13" s="138"/>
      <c r="AE13" s="138"/>
      <c r="AF13" s="138"/>
      <c r="AG13" s="164"/>
      <c r="AH13" s="138"/>
      <c r="AI13" s="138"/>
      <c r="AJ13" s="39" t="s">
        <v>328</v>
      </c>
      <c r="AK13" s="133"/>
      <c r="AL13" s="38" t="s">
        <v>438</v>
      </c>
      <c r="AO13" s="38" t="s">
        <v>2944</v>
      </c>
      <c r="AP13" s="133" t="s">
        <v>258</v>
      </c>
      <c r="AQ13" s="38" t="s">
        <v>2945</v>
      </c>
      <c r="AS13" s="38" t="s">
        <v>473</v>
      </c>
      <c r="AT13" s="38" t="s">
        <v>474</v>
      </c>
      <c r="AU13" s="38" t="s">
        <v>475</v>
      </c>
      <c r="AV13" s="38" t="s">
        <v>438</v>
      </c>
      <c r="AW13" s="133" t="s">
        <v>260</v>
      </c>
      <c r="AX13" s="133"/>
      <c r="AY13" s="133"/>
      <c r="AZ13" s="133"/>
      <c r="BA13" s="133"/>
      <c r="BB13" s="133"/>
      <c r="BC13" s="142"/>
      <c r="BD13" s="140">
        <v>45060</v>
      </c>
      <c r="BE13" s="145">
        <v>45061</v>
      </c>
      <c r="BF13" s="142"/>
      <c r="BG13" s="137"/>
      <c r="BH13" s="142"/>
      <c r="BI13" s="142"/>
      <c r="BJ13" s="142"/>
      <c r="BK13" s="142"/>
      <c r="BL13" s="49">
        <f t="shared" si="0"/>
        <v>1798.12545</v>
      </c>
      <c r="BM13" s="50">
        <f t="shared" si="1"/>
        <v>-158.08379428761026</v>
      </c>
      <c r="BN13" s="50">
        <f t="shared" si="2"/>
        <v>158.08379428761026</v>
      </c>
      <c r="BO13" s="40">
        <f t="shared" si="3"/>
        <v>4.333333333333333</v>
      </c>
      <c r="BP13" s="50">
        <f t="shared" si="4"/>
        <v>162.4171276209436</v>
      </c>
      <c r="BQ13" s="40">
        <f>SUM(EM13*0.0052)</f>
        <v>17.16</v>
      </c>
      <c r="BR13" s="40">
        <f t="shared" si="5"/>
        <v>1.7160000000000002</v>
      </c>
      <c r="BS13" s="40">
        <f t="shared" si="6"/>
        <v>9.5952999999999964</v>
      </c>
      <c r="BT13" s="57">
        <f t="shared" si="7"/>
        <v>0.15729999999999994</v>
      </c>
      <c r="BU13" s="58">
        <v>61</v>
      </c>
      <c r="BV13" s="40">
        <f t="shared" si="9"/>
        <v>28.471299999999999</v>
      </c>
      <c r="BW13" s="40">
        <f>SUM(EM13*0.0052)</f>
        <v>17.16</v>
      </c>
      <c r="BX13" s="40">
        <f t="shared" si="10"/>
        <v>1.7160000000000002</v>
      </c>
      <c r="BY13" s="40">
        <f t="shared" si="11"/>
        <v>7.7076999999999973</v>
      </c>
      <c r="BZ13" s="57">
        <f t="shared" si="12"/>
        <v>0.15729999999999994</v>
      </c>
      <c r="CA13" s="58">
        <v>49</v>
      </c>
      <c r="CB13" s="40">
        <f t="shared" si="14"/>
        <v>26.5837</v>
      </c>
      <c r="CC13" s="40">
        <f>SUM(EM13*0.0052)</f>
        <v>17.16</v>
      </c>
      <c r="CD13" s="40">
        <f t="shared" si="15"/>
        <v>1.7160000000000002</v>
      </c>
      <c r="CE13" s="40">
        <f t="shared" si="16"/>
        <v>5.8200999999999974</v>
      </c>
      <c r="CF13" s="57">
        <f t="shared" si="17"/>
        <v>0.15729999999999994</v>
      </c>
      <c r="CG13" s="58">
        <v>37</v>
      </c>
      <c r="CH13" s="40">
        <f t="shared" si="18"/>
        <v>24.696099999999998</v>
      </c>
      <c r="CI13" s="40">
        <f>SUM(EM13*0.0052)/2</f>
        <v>8.58</v>
      </c>
      <c r="CJ13" s="40">
        <f t="shared" si="20"/>
        <v>0.8580000000000001</v>
      </c>
      <c r="CK13" s="40">
        <f t="shared" si="21"/>
        <v>2.2808499999999992</v>
      </c>
      <c r="CL13" s="57">
        <f t="shared" si="22"/>
        <v>7.864999999999997E-2</v>
      </c>
      <c r="CM13" s="58">
        <v>29</v>
      </c>
      <c r="CN13" s="58">
        <f t="shared" si="23"/>
        <v>11.71885</v>
      </c>
      <c r="CO13" s="40">
        <f>SUM(EM13*0.0052)/2</f>
        <v>8.58</v>
      </c>
      <c r="CP13" s="40">
        <f t="shared" si="25"/>
        <v>0.8580000000000001</v>
      </c>
      <c r="CQ13" s="40">
        <f t="shared" si="26"/>
        <v>1.9662499999999992</v>
      </c>
      <c r="CR13" s="57">
        <f t="shared" si="27"/>
        <v>7.864999999999997E-2</v>
      </c>
      <c r="CS13" s="58">
        <v>25</v>
      </c>
      <c r="CT13" s="40">
        <f t="shared" si="28"/>
        <v>11.404249999999999</v>
      </c>
      <c r="CU13" s="40">
        <f t="shared" si="57"/>
        <v>22.5</v>
      </c>
      <c r="CV13" s="40">
        <f t="shared" si="29"/>
        <v>2.25</v>
      </c>
      <c r="CW13" s="40">
        <f t="shared" si="30"/>
        <v>3.9187499999999984</v>
      </c>
      <c r="CX13" s="57">
        <f t="shared" si="31"/>
        <v>0.20624999999999991</v>
      </c>
      <c r="CY13" s="58">
        <v>19</v>
      </c>
      <c r="CZ13" s="40">
        <f t="shared" si="32"/>
        <v>28.668749999999999</v>
      </c>
      <c r="DA13" s="40">
        <f t="shared" si="33"/>
        <v>22.5</v>
      </c>
      <c r="DB13" s="40">
        <f t="shared" si="34"/>
        <v>2.25</v>
      </c>
      <c r="DC13" s="40">
        <f t="shared" si="35"/>
        <v>2.6812499999999986</v>
      </c>
      <c r="DD13" s="57">
        <f t="shared" si="36"/>
        <v>0.20624999999999991</v>
      </c>
      <c r="DE13" s="58">
        <v>13</v>
      </c>
      <c r="DF13" s="40">
        <f t="shared" si="37"/>
        <v>27.431249999999999</v>
      </c>
      <c r="DG13" s="40">
        <f t="shared" si="38"/>
        <v>22.5</v>
      </c>
      <c r="DH13" s="40">
        <f t="shared" si="39"/>
        <v>2.25</v>
      </c>
      <c r="DI13" s="40">
        <f t="shared" si="40"/>
        <v>1.0312499999999996</v>
      </c>
      <c r="DJ13" s="57">
        <f t="shared" si="41"/>
        <v>0.20624999999999991</v>
      </c>
      <c r="DK13" s="58">
        <v>5</v>
      </c>
      <c r="DL13" s="40">
        <f t="shared" si="42"/>
        <v>25.78125</v>
      </c>
      <c r="DM13" s="40">
        <f t="shared" si="43"/>
        <v>22.5</v>
      </c>
      <c r="DN13" s="40">
        <f t="shared" si="44"/>
        <v>2.25</v>
      </c>
      <c r="DO13" s="40">
        <v>0</v>
      </c>
      <c r="DP13" s="57">
        <f t="shared" si="45"/>
        <v>0.20624999999999991</v>
      </c>
      <c r="DQ13" s="58">
        <v>1</v>
      </c>
      <c r="DR13" s="40">
        <f t="shared" si="46"/>
        <v>24.75</v>
      </c>
      <c r="DS13" s="40">
        <f t="shared" si="47"/>
        <v>158.63999999999999</v>
      </c>
      <c r="DT13" s="40">
        <f t="shared" si="48"/>
        <v>15.864000000000001</v>
      </c>
      <c r="DU13" s="40">
        <f t="shared" si="49"/>
        <v>35.001449999999984</v>
      </c>
      <c r="DV13" s="59">
        <f>SUM(DS13:DU13)</f>
        <v>209.50544999999997</v>
      </c>
      <c r="DW13" s="64">
        <f t="shared" si="51"/>
        <v>6.3486499999999987E-2</v>
      </c>
      <c r="DX13" s="40">
        <f>20+50+200+200+100+60+100+80+40</f>
        <v>850</v>
      </c>
      <c r="DY13" s="65">
        <f>COUNTIF(AO13, "*")+COUNTIF(AJ13, "*")+COUNTIF(AA13, "*")+COUNTIF(EZ13, "*")+COUNTIF(FF13, "*")+COUNTIF(FL13, "*")+COUNTIF(FP13, "*")+COUNTIF(FW13, "*")+COUNTIF(AT13, "*")+COUNTIF(GF13, "*")+COUNTIF(GQ13, "*")+COUNTIF(GZ13, "*")+COUNTIF(HH13, "*")+COUNTIF(HP13, "*")+COUNTIF(HX13, "*")</f>
        <v>3</v>
      </c>
      <c r="DZ13" s="219">
        <f>69.83+38.92</f>
        <v>108.75</v>
      </c>
      <c r="EA13" s="135">
        <f>36.76+273.11</f>
        <v>309.87</v>
      </c>
      <c r="EB13" s="135">
        <v>100</v>
      </c>
      <c r="EC13" s="135"/>
      <c r="ED13" s="135"/>
      <c r="EE13" s="135"/>
      <c r="EF13" s="135"/>
      <c r="EG13" s="40">
        <f t="shared" si="53"/>
        <v>309.87</v>
      </c>
      <c r="EH13" s="40">
        <f t="shared" si="60"/>
        <v>1578.12545</v>
      </c>
      <c r="EI13" s="56" t="s">
        <v>5940</v>
      </c>
      <c r="EJ13" s="217">
        <v>0.28000000000000003</v>
      </c>
      <c r="EK13" s="135">
        <f>3300</f>
        <v>3300</v>
      </c>
      <c r="EL13" s="135">
        <v>0</v>
      </c>
      <c r="EM13" s="40">
        <f t="shared" si="59"/>
        <v>3300</v>
      </c>
      <c r="EN13" s="40">
        <v>10000</v>
      </c>
      <c r="EO13" s="40">
        <v>0</v>
      </c>
      <c r="EP13" s="40">
        <f t="shared" si="54"/>
        <v>10000</v>
      </c>
      <c r="EQ13" s="138" t="s">
        <v>5935</v>
      </c>
      <c r="ER13" s="138" t="s">
        <v>5933</v>
      </c>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6"/>
      <c r="FU13" s="138"/>
      <c r="FV13" s="138"/>
      <c r="FW13" s="138"/>
      <c r="FX13" s="138"/>
      <c r="FY13" s="138"/>
      <c r="FZ13" s="138"/>
      <c r="GA13" s="136"/>
      <c r="GB13" s="138"/>
      <c r="GC13" s="225">
        <v>125.03</v>
      </c>
      <c r="GD13" s="138"/>
      <c r="GE13" s="138"/>
      <c r="GF13" s="138"/>
      <c r="GG13" s="138"/>
      <c r="GH13" s="138"/>
      <c r="GI13" s="138"/>
      <c r="GJ13" s="136"/>
      <c r="GK13" s="138"/>
      <c r="GL13" s="138"/>
      <c r="GM13" s="138"/>
      <c r="GN13" s="138"/>
      <c r="GO13" s="138"/>
      <c r="GP13" s="138"/>
      <c r="GQ13" s="138"/>
      <c r="GR13" s="138"/>
      <c r="GS13" s="138"/>
      <c r="GT13" s="138"/>
      <c r="GU13" s="136"/>
      <c r="GV13" s="138"/>
      <c r="GW13" s="138"/>
      <c r="GX13" s="138"/>
      <c r="GY13" s="138"/>
      <c r="GZ13" s="138"/>
      <c r="HA13" s="138"/>
      <c r="HB13" s="138"/>
      <c r="HC13" s="138"/>
      <c r="HD13" s="136"/>
      <c r="HE13" s="138"/>
      <c r="HF13" s="138"/>
      <c r="HG13" s="138"/>
      <c r="HH13" s="138"/>
      <c r="HI13" s="138"/>
      <c r="HJ13" s="138"/>
      <c r="HK13" s="138"/>
      <c r="HL13" s="136"/>
      <c r="HM13" s="138"/>
      <c r="HN13" s="138"/>
      <c r="HO13" s="138"/>
      <c r="HP13" s="138"/>
      <c r="HQ13" s="138"/>
      <c r="HR13" s="138"/>
      <c r="HS13" s="138"/>
      <c r="HT13" s="136"/>
      <c r="HU13" s="138"/>
      <c r="HV13" s="138"/>
      <c r="HW13" s="138"/>
      <c r="HX13" s="138"/>
      <c r="HY13" s="138"/>
      <c r="HZ13" s="138"/>
      <c r="IA13" s="138"/>
      <c r="IB13" s="136">
        <v>45619</v>
      </c>
      <c r="IC13" s="135">
        <v>1703.16</v>
      </c>
      <c r="ID13" s="135">
        <v>180</v>
      </c>
      <c r="IE13" s="138" t="s">
        <v>5966</v>
      </c>
      <c r="IF13" s="138" t="s">
        <v>1960</v>
      </c>
      <c r="IG13" s="138" t="s">
        <v>5965</v>
      </c>
      <c r="IH13" s="138"/>
      <c r="II13" s="135"/>
      <c r="IJ13" s="135"/>
      <c r="IK13" s="135"/>
      <c r="IL13" s="135"/>
      <c r="IM13" s="135"/>
      <c r="IN13" s="135">
        <v>90.33</v>
      </c>
      <c r="IO13" s="40">
        <f t="shared" si="55"/>
        <v>4.5500000000799901E-3</v>
      </c>
      <c r="IP13" s="40"/>
      <c r="IQ13" s="40"/>
      <c r="IR13" s="136"/>
      <c r="IS13" s="136"/>
      <c r="IT13" s="136"/>
      <c r="IU13" s="136"/>
      <c r="IV13" s="136"/>
      <c r="IW13" s="54" t="s">
        <v>5913</v>
      </c>
    </row>
    <row r="14" spans="1:257" s="38" customFormat="1">
      <c r="A14" s="39">
        <v>102022058</v>
      </c>
      <c r="B14" s="38" t="s">
        <v>2806</v>
      </c>
      <c r="C14" s="138" t="s">
        <v>258</v>
      </c>
      <c r="D14" s="162"/>
      <c r="E14" s="158"/>
      <c r="F14" s="163"/>
      <c r="G14" s="158"/>
      <c r="H14" s="138"/>
      <c r="I14" s="138"/>
      <c r="J14" s="138"/>
      <c r="K14" s="138" t="s">
        <v>2943</v>
      </c>
      <c r="L14" s="138"/>
      <c r="M14" s="138"/>
      <c r="N14" s="138"/>
      <c r="O14" s="158"/>
      <c r="P14" s="138"/>
      <c r="Q14" s="138"/>
      <c r="R14" s="138"/>
      <c r="S14" s="138"/>
      <c r="T14" s="138"/>
      <c r="U14" s="138"/>
      <c r="V14" s="138"/>
      <c r="W14" s="138"/>
      <c r="X14" s="138"/>
      <c r="Y14" s="138"/>
      <c r="Z14" s="138"/>
      <c r="AA14" s="138"/>
      <c r="AB14" s="138"/>
      <c r="AC14" s="138"/>
      <c r="AD14" s="138"/>
      <c r="AE14" s="138"/>
      <c r="AF14" s="138"/>
      <c r="AG14" s="164"/>
      <c r="AH14" s="138"/>
      <c r="AI14" s="138"/>
      <c r="AJ14" s="39" t="s">
        <v>328</v>
      </c>
      <c r="AK14" s="133"/>
      <c r="AL14" s="38" t="s">
        <v>438</v>
      </c>
      <c r="AO14" s="38" t="s">
        <v>2944</v>
      </c>
      <c r="AP14" s="133" t="s">
        <v>258</v>
      </c>
      <c r="AQ14" s="38" t="s">
        <v>2945</v>
      </c>
      <c r="AS14" s="38" t="s">
        <v>473</v>
      </c>
      <c r="AT14" s="38" t="s">
        <v>474</v>
      </c>
      <c r="AU14" s="38" t="s">
        <v>475</v>
      </c>
      <c r="AV14" s="38" t="s">
        <v>438</v>
      </c>
      <c r="AW14" s="133" t="s">
        <v>260</v>
      </c>
      <c r="AX14" s="133"/>
      <c r="AY14" s="133"/>
      <c r="AZ14" s="133"/>
      <c r="BA14" s="133"/>
      <c r="BB14" s="133"/>
      <c r="BC14" s="142"/>
      <c r="BD14" s="140">
        <v>45060</v>
      </c>
      <c r="BE14" s="145">
        <v>45061</v>
      </c>
      <c r="BF14" s="142"/>
      <c r="BG14" s="137"/>
      <c r="BH14" s="142"/>
      <c r="BI14" s="142"/>
      <c r="BJ14" s="142"/>
      <c r="BK14" s="142"/>
      <c r="BL14" s="49">
        <f t="shared" si="0"/>
        <v>1657.5226250000001</v>
      </c>
      <c r="BM14" s="50">
        <f t="shared" si="1"/>
        <v>-145.7225721806895</v>
      </c>
      <c r="BN14" s="50">
        <f t="shared" si="2"/>
        <v>145.7225721806895</v>
      </c>
      <c r="BO14" s="40">
        <f t="shared" si="3"/>
        <v>2.1666666666666665</v>
      </c>
      <c r="BP14" s="50">
        <f t="shared" si="4"/>
        <v>147.88923884735615</v>
      </c>
      <c r="BQ14" s="40">
        <f>SUM(EM14*0.0052)</f>
        <v>2.6</v>
      </c>
      <c r="BR14" s="40">
        <f t="shared" si="5"/>
        <v>0.26</v>
      </c>
      <c r="BS14" s="40">
        <f t="shared" si="6"/>
        <v>1.4538333333333329</v>
      </c>
      <c r="BT14" s="57">
        <f t="shared" si="7"/>
        <v>2.3833333333333324E-2</v>
      </c>
      <c r="BU14" s="58">
        <v>61</v>
      </c>
      <c r="BV14" s="40">
        <f t="shared" si="9"/>
        <v>4.3138333333333332</v>
      </c>
      <c r="BW14" s="40">
        <f>SUM(EM14*0.0052)</f>
        <v>2.6</v>
      </c>
      <c r="BX14" s="40">
        <f t="shared" si="10"/>
        <v>0.26</v>
      </c>
      <c r="BY14" s="40">
        <f t="shared" si="11"/>
        <v>1.1678333333333328</v>
      </c>
      <c r="BZ14" s="57">
        <f t="shared" si="12"/>
        <v>2.3833333333333324E-2</v>
      </c>
      <c r="CA14" s="58">
        <v>49</v>
      </c>
      <c r="CB14" s="40">
        <f t="shared" si="14"/>
        <v>4.0278333333333336</v>
      </c>
      <c r="CC14" s="40">
        <f>SUM(EM14*0.0052)</f>
        <v>2.6</v>
      </c>
      <c r="CD14" s="40">
        <f t="shared" si="15"/>
        <v>0.26</v>
      </c>
      <c r="CE14" s="40">
        <f t="shared" si="16"/>
        <v>0.88183333333333302</v>
      </c>
      <c r="CF14" s="57">
        <f t="shared" si="17"/>
        <v>2.3833333333333324E-2</v>
      </c>
      <c r="CG14" s="58">
        <v>37</v>
      </c>
      <c r="CH14" s="40">
        <f t="shared" si="18"/>
        <v>3.7418333333333331</v>
      </c>
      <c r="CI14" s="40">
        <f>SUM(EM14*0.0052)/2</f>
        <v>1.3</v>
      </c>
      <c r="CJ14" s="40">
        <f t="shared" si="20"/>
        <v>0.13</v>
      </c>
      <c r="CK14" s="40">
        <f t="shared" si="21"/>
        <v>0.34558333333333319</v>
      </c>
      <c r="CL14" s="57">
        <f t="shared" si="22"/>
        <v>1.1916666666666662E-2</v>
      </c>
      <c r="CM14" s="58">
        <v>29</v>
      </c>
      <c r="CN14" s="58">
        <f t="shared" si="23"/>
        <v>1.7755833333333333</v>
      </c>
      <c r="CO14" s="40">
        <f>SUM(EM14*0.0052)/2</f>
        <v>1.3</v>
      </c>
      <c r="CP14" s="40">
        <f t="shared" si="25"/>
        <v>0.13</v>
      </c>
      <c r="CQ14" s="40">
        <f t="shared" si="26"/>
        <v>0.29791666666666655</v>
      </c>
      <c r="CR14" s="57">
        <f t="shared" si="27"/>
        <v>1.1916666666666662E-2</v>
      </c>
      <c r="CS14" s="58">
        <v>25</v>
      </c>
      <c r="CT14" s="40">
        <f t="shared" si="28"/>
        <v>1.7279166666666668</v>
      </c>
      <c r="CU14" s="40">
        <f t="shared" si="57"/>
        <v>11.25</v>
      </c>
      <c r="CV14" s="40">
        <f t="shared" si="29"/>
        <v>1.125</v>
      </c>
      <c r="CW14" s="40">
        <f t="shared" si="30"/>
        <v>1.9593749999999992</v>
      </c>
      <c r="CX14" s="57">
        <f t="shared" si="31"/>
        <v>0.10312499999999995</v>
      </c>
      <c r="CY14" s="58">
        <v>19</v>
      </c>
      <c r="CZ14" s="40">
        <f t="shared" si="32"/>
        <v>14.334375</v>
      </c>
      <c r="DA14" s="40">
        <f t="shared" si="33"/>
        <v>11.25</v>
      </c>
      <c r="DB14" s="40">
        <f t="shared" si="34"/>
        <v>1.125</v>
      </c>
      <c r="DC14" s="40">
        <f t="shared" si="35"/>
        <v>1.3406249999999993</v>
      </c>
      <c r="DD14" s="57">
        <f t="shared" si="36"/>
        <v>0.10312499999999995</v>
      </c>
      <c r="DE14" s="58">
        <v>13</v>
      </c>
      <c r="DF14" s="40">
        <f t="shared" si="37"/>
        <v>13.715624999999999</v>
      </c>
      <c r="DG14" s="40">
        <f t="shared" si="38"/>
        <v>11.25</v>
      </c>
      <c r="DH14" s="40">
        <f t="shared" si="39"/>
        <v>1.125</v>
      </c>
      <c r="DI14" s="40">
        <f t="shared" si="40"/>
        <v>0.51562499999999978</v>
      </c>
      <c r="DJ14" s="57">
        <f t="shared" si="41"/>
        <v>0.10312499999999995</v>
      </c>
      <c r="DK14" s="58">
        <v>5</v>
      </c>
      <c r="DL14" s="40">
        <f t="shared" si="42"/>
        <v>12.890625</v>
      </c>
      <c r="DM14" s="40">
        <f t="shared" si="43"/>
        <v>11.25</v>
      </c>
      <c r="DN14" s="40">
        <f t="shared" si="44"/>
        <v>1.125</v>
      </c>
      <c r="DO14" s="40">
        <v>0</v>
      </c>
      <c r="DP14" s="57">
        <f t="shared" si="45"/>
        <v>0.10312499999999995</v>
      </c>
      <c r="DQ14" s="58">
        <v>1</v>
      </c>
      <c r="DR14" s="40">
        <f t="shared" si="46"/>
        <v>12.375</v>
      </c>
      <c r="DS14" s="40">
        <f t="shared" si="47"/>
        <v>55.400000000000006</v>
      </c>
      <c r="DT14" s="40">
        <f t="shared" si="48"/>
        <v>5.54</v>
      </c>
      <c r="DU14" s="40">
        <f t="shared" si="49"/>
        <v>7.9626249999999974</v>
      </c>
      <c r="DV14" s="59">
        <f>SUM(DS14:DU14)</f>
        <v>68.902625</v>
      </c>
      <c r="DW14" s="64">
        <f t="shared" si="51"/>
        <v>0.13780524999999999</v>
      </c>
      <c r="DX14" s="40">
        <f>20+50+200+200+100+60+100+80+40</f>
        <v>850</v>
      </c>
      <c r="DY14" s="65">
        <f>COUNTIF(AO14, "*")+COUNTIF(AJ14, "*")+COUNTIF(AA14, "*")+COUNTIF(EZ14, "*")+COUNTIF(FF14, "*")+COUNTIF(FL14, "*")+COUNTIF(FP14, "*")+COUNTIF(FW14, "*")+COUNTIF(AT14, "*")+COUNTIF(GF14, "*")+COUNTIF(GQ14, "*")+COUNTIF(GZ14, "*")+COUNTIF(HH14, "*")+COUNTIF(HP14, "*")+COUNTIF(HX14, "*")</f>
        <v>3</v>
      </c>
      <c r="DZ14" s="219">
        <f>69.83+38.92</f>
        <v>108.75</v>
      </c>
      <c r="EA14" s="135">
        <f>36.76+273.11</f>
        <v>309.87</v>
      </c>
      <c r="EB14" s="135">
        <v>100</v>
      </c>
      <c r="EC14" s="135"/>
      <c r="ED14" s="135"/>
      <c r="EE14" s="135"/>
      <c r="EF14" s="135"/>
      <c r="EG14" s="40">
        <f t="shared" si="53"/>
        <v>309.87</v>
      </c>
      <c r="EH14" s="40">
        <f t="shared" si="60"/>
        <v>1437.5226250000001</v>
      </c>
      <c r="EI14" s="56" t="s">
        <v>5940</v>
      </c>
      <c r="EJ14" s="217">
        <v>0.18</v>
      </c>
      <c r="EK14" s="135">
        <v>500</v>
      </c>
      <c r="EL14" s="135">
        <v>0</v>
      </c>
      <c r="EM14" s="40">
        <f t="shared" si="59"/>
        <v>500</v>
      </c>
      <c r="EN14" s="40">
        <v>5000</v>
      </c>
      <c r="EO14" s="40">
        <v>0</v>
      </c>
      <c r="EP14" s="40">
        <f t="shared" si="54"/>
        <v>5000</v>
      </c>
      <c r="EQ14" s="138" t="s">
        <v>5936</v>
      </c>
      <c r="ER14" s="138" t="s">
        <v>5933</v>
      </c>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6"/>
      <c r="FU14" s="138"/>
      <c r="FV14" s="138"/>
      <c r="FW14" s="138"/>
      <c r="FX14" s="138"/>
      <c r="FY14" s="138"/>
      <c r="FZ14" s="138"/>
      <c r="GA14" s="136"/>
      <c r="GB14" s="138"/>
      <c r="GC14" s="225">
        <v>80.42</v>
      </c>
      <c r="GD14" s="138"/>
      <c r="GE14" s="138"/>
      <c r="GF14" s="138"/>
      <c r="GG14" s="138"/>
      <c r="GH14" s="138"/>
      <c r="GI14" s="138"/>
      <c r="GJ14" s="136"/>
      <c r="GK14" s="138"/>
      <c r="GL14" s="138"/>
      <c r="GM14" s="138"/>
      <c r="GN14" s="138"/>
      <c r="GO14" s="138"/>
      <c r="GP14" s="138"/>
      <c r="GQ14" s="138"/>
      <c r="GR14" s="138"/>
      <c r="GS14" s="138"/>
      <c r="GT14" s="138"/>
      <c r="GU14" s="136"/>
      <c r="GV14" s="138"/>
      <c r="GW14" s="138"/>
      <c r="GX14" s="138"/>
      <c r="GY14" s="138"/>
      <c r="GZ14" s="138"/>
      <c r="HA14" s="138"/>
      <c r="HB14" s="138"/>
      <c r="HC14" s="138"/>
      <c r="HD14" s="136"/>
      <c r="HE14" s="138"/>
      <c r="HF14" s="138"/>
      <c r="HG14" s="138"/>
      <c r="HH14" s="138"/>
      <c r="HI14" s="138"/>
      <c r="HJ14" s="138"/>
      <c r="HK14" s="138"/>
      <c r="HL14" s="136"/>
      <c r="HM14" s="138"/>
      <c r="HN14" s="138"/>
      <c r="HO14" s="138"/>
      <c r="HP14" s="138"/>
      <c r="HQ14" s="138"/>
      <c r="HR14" s="138"/>
      <c r="HS14" s="138"/>
      <c r="HT14" s="136"/>
      <c r="HU14" s="138"/>
      <c r="HV14" s="138"/>
      <c r="HW14" s="138"/>
      <c r="HX14" s="138"/>
      <c r="HY14" s="138"/>
      <c r="HZ14" s="138"/>
      <c r="IA14" s="138"/>
      <c r="IB14" s="136">
        <v>45619</v>
      </c>
      <c r="IC14" s="135">
        <v>100</v>
      </c>
      <c r="ID14" s="135">
        <v>1</v>
      </c>
      <c r="IE14" s="138" t="s">
        <v>5964</v>
      </c>
      <c r="IF14" s="138" t="s">
        <v>1960</v>
      </c>
      <c r="IG14" s="138" t="s">
        <v>5965</v>
      </c>
      <c r="IH14" s="138"/>
      <c r="II14" s="135"/>
      <c r="IJ14" s="135"/>
      <c r="IK14" s="135"/>
      <c r="IL14" s="135"/>
      <c r="IM14" s="135"/>
      <c r="IN14" s="135">
        <v>68.67</v>
      </c>
      <c r="IO14" s="40">
        <f t="shared" si="55"/>
        <v>-1417.9426250000001</v>
      </c>
      <c r="IP14" s="40"/>
      <c r="IQ14" s="40"/>
      <c r="IR14" s="136"/>
      <c r="IS14" s="136"/>
      <c r="IT14" s="136"/>
      <c r="IU14" s="136"/>
      <c r="IV14" s="136"/>
      <c r="IW14" s="38" t="s">
        <v>5913</v>
      </c>
    </row>
    <row r="16" spans="1:257">
      <c r="CG16" s="23"/>
      <c r="CM16" s="23"/>
      <c r="CS16" s="23"/>
      <c r="CY16" s="23"/>
      <c r="DO16" s="14"/>
      <c r="DQ16" s="23"/>
      <c r="EG16" s="14"/>
      <c r="EH16" s="14"/>
    </row>
    <row r="17" spans="103:138">
      <c r="CY17" s="23"/>
      <c r="EG17" s="14"/>
      <c r="EH17" s="14"/>
    </row>
    <row r="18" spans="103:138">
      <c r="CY18" s="23"/>
      <c r="EG18" s="14"/>
      <c r="EH18" s="14">
        <f ca="1">SUM(EH2:EH5,EH7,EH9,EH11,EH13:EH14)</f>
        <v>33780.636674999994</v>
      </c>
    </row>
    <row r="19" spans="103:138">
      <c r="EG19" s="14"/>
      <c r="EH19" s="14"/>
    </row>
  </sheetData>
  <sortState xmlns:xlrd2="http://schemas.microsoft.com/office/spreadsheetml/2017/richdata2" ref="A2:IW14">
    <sortCondition ref="A1:A1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8CB3E-2228-4138-BAAD-DFA4721E9FEB}">
  <dimension ref="A1:JC18"/>
  <sheetViews>
    <sheetView workbookViewId="0">
      <pane ySplit="1" topLeftCell="A2" activePane="bottomLeft" state="frozen"/>
      <selection pane="bottomLeft" activeCell="B3" sqref="B3"/>
    </sheetView>
  </sheetViews>
  <sheetFormatPr defaultColWidth="8.85546875" defaultRowHeight="15"/>
  <cols>
    <col min="1" max="1" width="10" bestFit="1" customWidth="1"/>
    <col min="2" max="2" width="10.28515625" bestFit="1" customWidth="1"/>
    <col min="3" max="3" width="6.28515625" bestFit="1" customWidth="1"/>
    <col min="4" max="4" width="16.140625" bestFit="1" customWidth="1"/>
    <col min="5" max="5" width="13.85546875" bestFit="1" customWidth="1"/>
    <col min="6" max="6" width="15.7109375" bestFit="1" customWidth="1"/>
    <col min="7" max="7" width="16.42578125" bestFit="1" customWidth="1"/>
    <col min="8" max="8" width="17.85546875" bestFit="1" customWidth="1"/>
    <col min="9" max="9" width="14.42578125" bestFit="1" customWidth="1"/>
    <col min="10" max="10" width="16.140625" bestFit="1" customWidth="1"/>
    <col min="11" max="11" width="27.85546875" bestFit="1" customWidth="1"/>
    <col min="12" max="12" width="11.42578125" bestFit="1" customWidth="1"/>
    <col min="13" max="13" width="10.140625" bestFit="1" customWidth="1"/>
    <col min="14" max="14" width="6.140625" bestFit="1" customWidth="1"/>
    <col min="15" max="15" width="12" bestFit="1" customWidth="1"/>
    <col min="16" max="16" width="11.5703125" bestFit="1" customWidth="1"/>
    <col min="17" max="17" width="12" bestFit="1" customWidth="1"/>
    <col min="18" max="18" width="11.5703125" bestFit="1" customWidth="1"/>
    <col min="19" max="19" width="7.5703125" bestFit="1" customWidth="1"/>
    <col min="20" max="20" width="12" bestFit="1" customWidth="1"/>
    <col min="21" max="21" width="11.5703125" bestFit="1" customWidth="1"/>
    <col min="22" max="22" width="12" bestFit="1" customWidth="1"/>
    <col min="23" max="23" width="11.5703125" bestFit="1" customWidth="1"/>
    <col min="24" max="24" width="7.5703125" bestFit="1" customWidth="1"/>
    <col min="25" max="25" width="12" bestFit="1" customWidth="1"/>
    <col min="26" max="26" width="19" bestFit="1" customWidth="1"/>
    <col min="27" max="27" width="27" bestFit="1" customWidth="1"/>
    <col min="28" max="28" width="18.42578125" bestFit="1" customWidth="1"/>
    <col min="29" max="29" width="15.5703125" bestFit="1" customWidth="1"/>
    <col min="30" max="30" width="9" bestFit="1" customWidth="1"/>
    <col min="31" max="31" width="12.5703125" bestFit="1" customWidth="1"/>
    <col min="32" max="32" width="12.7109375" bestFit="1" customWidth="1"/>
    <col min="33" max="33" width="7.85546875" bestFit="1" customWidth="1"/>
    <col min="34" max="34" width="10.7109375" bestFit="1" customWidth="1"/>
    <col min="35" max="35" width="12.5703125" bestFit="1" customWidth="1"/>
    <col min="36" max="36" width="17.85546875" bestFit="1" customWidth="1"/>
    <col min="37" max="37" width="20" bestFit="1" customWidth="1"/>
    <col min="38" max="38" width="22.5703125" bestFit="1" customWidth="1"/>
    <col min="39" max="39" width="16.28515625" bestFit="1" customWidth="1"/>
    <col min="40" max="40" width="4.42578125" bestFit="1" customWidth="1"/>
    <col min="41" max="41" width="21.85546875" bestFit="1" customWidth="1"/>
    <col min="42" max="42" width="20.7109375" bestFit="1" customWidth="1"/>
    <col min="43" max="43" width="22.5703125" bestFit="1" customWidth="1"/>
    <col min="44" max="44" width="16.28515625" bestFit="1" customWidth="1"/>
    <col min="45" max="45" width="23.140625" bestFit="1" customWidth="1"/>
    <col min="46" max="46" width="19.140625" bestFit="1" customWidth="1"/>
    <col min="47" max="47" width="19.5703125" bestFit="1" customWidth="1"/>
    <col min="48" max="48" width="18.42578125" bestFit="1" customWidth="1"/>
    <col min="49" max="49" width="23.140625" bestFit="1" customWidth="1"/>
    <col min="50" max="50" width="18.42578125" bestFit="1" customWidth="1"/>
    <col min="51" max="51" width="19.140625" bestFit="1" customWidth="1"/>
    <col min="52" max="52" width="16.5703125" bestFit="1" customWidth="1"/>
    <col min="53" max="53" width="10.140625" bestFit="1" customWidth="1"/>
    <col min="54" max="54" width="16.7109375" bestFit="1" customWidth="1"/>
    <col min="55" max="55" width="10" bestFit="1" customWidth="1"/>
    <col min="56" max="56" width="15.7109375" bestFit="1" customWidth="1"/>
    <col min="57" max="57" width="10.85546875" bestFit="1" customWidth="1"/>
    <col min="58" max="58" width="19.5703125" bestFit="1" customWidth="1"/>
    <col min="59" max="59" width="19.85546875" bestFit="1" customWidth="1"/>
    <col min="60" max="61" width="15.7109375" bestFit="1" customWidth="1"/>
    <col min="62" max="62" width="22.7109375" bestFit="1" customWidth="1"/>
    <col min="63" max="63" width="23" bestFit="1" customWidth="1"/>
    <col min="64" max="64" width="16.140625" bestFit="1" customWidth="1"/>
    <col min="65" max="65" width="9" bestFit="1" customWidth="1"/>
    <col min="66" max="66" width="16.5703125" bestFit="1" customWidth="1"/>
    <col min="67" max="67" width="15.85546875" bestFit="1" customWidth="1"/>
    <col min="68" max="68" width="13.42578125" bestFit="1" customWidth="1"/>
    <col min="69" max="69" width="8.42578125" bestFit="1" customWidth="1"/>
    <col min="70" max="70" width="12.140625" bestFit="1" customWidth="1"/>
    <col min="71" max="71" width="12.42578125" bestFit="1" customWidth="1"/>
    <col min="72" max="72" width="23" bestFit="1" customWidth="1"/>
    <col min="73" max="73" width="14" bestFit="1" customWidth="1"/>
    <col min="74" max="74" width="9.85546875" bestFit="1" customWidth="1"/>
    <col min="75" max="75" width="8.42578125" bestFit="1" customWidth="1"/>
    <col min="76" max="76" width="12.140625" bestFit="1" customWidth="1"/>
    <col min="77" max="77" width="12.42578125" bestFit="1" customWidth="1"/>
    <col min="78" max="78" width="23" bestFit="1" customWidth="1"/>
    <col min="79" max="79" width="14" bestFit="1" customWidth="1"/>
    <col min="80" max="80" width="9.85546875" bestFit="1" customWidth="1"/>
    <col min="81" max="81" width="8.42578125" bestFit="1" customWidth="1"/>
    <col min="82" max="82" width="12.140625" bestFit="1" customWidth="1"/>
    <col min="83" max="83" width="12.42578125" bestFit="1" customWidth="1"/>
    <col min="84" max="84" width="23" bestFit="1" customWidth="1"/>
    <col min="85" max="85" width="14" bestFit="1" customWidth="1"/>
    <col min="86" max="86" width="9.85546875" bestFit="1" customWidth="1"/>
    <col min="87" max="87" width="8.42578125" bestFit="1" customWidth="1"/>
    <col min="88" max="88" width="12.140625" bestFit="1" customWidth="1"/>
    <col min="89" max="89" width="12.42578125" bestFit="1" customWidth="1"/>
    <col min="90" max="90" width="23" bestFit="1" customWidth="1"/>
    <col min="91" max="91" width="14" bestFit="1" customWidth="1"/>
    <col min="92" max="92" width="9.85546875" bestFit="1" customWidth="1"/>
    <col min="93" max="93" width="11.42578125" bestFit="1" customWidth="1"/>
    <col min="94" max="94" width="15.28515625" bestFit="1" customWidth="1"/>
    <col min="95" max="95" width="15.5703125" bestFit="1" customWidth="1"/>
    <col min="96" max="96" width="23" bestFit="1" customWidth="1"/>
    <col min="97" max="97" width="17" bestFit="1" customWidth="1"/>
    <col min="98" max="98" width="12.85546875" bestFit="1" customWidth="1"/>
    <col min="99" max="99" width="12.140625" bestFit="1" customWidth="1"/>
    <col min="100" max="100" width="16" bestFit="1" customWidth="1"/>
    <col min="101" max="101" width="16.28515625" bestFit="1" customWidth="1"/>
    <col min="102" max="102" width="23" bestFit="1" customWidth="1"/>
    <col min="103" max="103" width="17.85546875" bestFit="1" customWidth="1"/>
    <col min="104" max="104" width="13.7109375" bestFit="1" customWidth="1"/>
    <col min="105" max="105" width="11.42578125" bestFit="1" customWidth="1"/>
    <col min="106" max="106" width="15.28515625" bestFit="1" customWidth="1"/>
    <col min="107" max="107" width="15.5703125" bestFit="1" customWidth="1"/>
    <col min="108" max="108" width="23" bestFit="1" customWidth="1"/>
    <col min="109" max="109" width="17" bestFit="1" customWidth="1"/>
    <col min="110" max="110" width="12.85546875" bestFit="1" customWidth="1"/>
    <col min="111" max="111" width="12.140625" bestFit="1" customWidth="1"/>
    <col min="112" max="112" width="16" bestFit="1" customWidth="1"/>
    <col min="113" max="113" width="16.28515625" bestFit="1" customWidth="1"/>
    <col min="114" max="114" width="23" bestFit="1" customWidth="1"/>
    <col min="115" max="115" width="17.85546875" bestFit="1" customWidth="1"/>
    <col min="116" max="116" width="13.7109375" bestFit="1" customWidth="1"/>
    <col min="117" max="117" width="9.28515625" bestFit="1" customWidth="1"/>
    <col min="118" max="118" width="12.5703125" bestFit="1" customWidth="1"/>
    <col min="119" max="119" width="12.85546875" bestFit="1" customWidth="1"/>
    <col min="120" max="120" width="8.5703125" bestFit="1" customWidth="1"/>
    <col min="121" max="121" width="16.7109375" bestFit="1" customWidth="1"/>
    <col min="122" max="122" width="9.140625" bestFit="1" customWidth="1"/>
    <col min="123" max="123" width="9.5703125" bestFit="1" customWidth="1"/>
    <col min="124" max="124" width="12.85546875" bestFit="1" customWidth="1"/>
    <col min="125" max="125" width="10.140625" bestFit="1" customWidth="1"/>
    <col min="126" max="126" width="16.28515625" bestFit="1" customWidth="1"/>
    <col min="127" max="127" width="8.28515625" bestFit="1" customWidth="1"/>
    <col min="128" max="128" width="15.5703125" bestFit="1" customWidth="1"/>
    <col min="129" max="129" width="14.28515625" bestFit="1" customWidth="1"/>
    <col min="130" max="130" width="18.5703125" bestFit="1" customWidth="1"/>
    <col min="131" max="131" width="18.7109375" bestFit="1" customWidth="1"/>
    <col min="132" max="132" width="9.140625" bestFit="1" customWidth="1"/>
    <col min="133" max="133" width="9.7109375" bestFit="1" customWidth="1"/>
    <col min="134" max="134" width="12.5703125" bestFit="1" customWidth="1"/>
    <col min="135" max="135" width="19.140625" bestFit="1" customWidth="1"/>
    <col min="136" max="136" width="22" bestFit="1" customWidth="1"/>
    <col min="137" max="137" width="18.42578125" bestFit="1" customWidth="1"/>
    <col min="138" max="138" width="13.85546875" bestFit="1" customWidth="1"/>
    <col min="139" max="139" width="16.5703125" bestFit="1" customWidth="1"/>
    <col min="140" max="140" width="13.140625" bestFit="1" customWidth="1"/>
    <col min="141" max="143" width="255.7109375" bestFit="1" customWidth="1"/>
    <col min="144" max="144" width="143.140625" bestFit="1" customWidth="1"/>
    <col min="145" max="149" width="14.5703125" bestFit="1" customWidth="1"/>
    <col min="150" max="152" width="15.5703125" bestFit="1" customWidth="1"/>
    <col min="153" max="153" width="27.140625" bestFit="1" customWidth="1"/>
    <col min="154" max="154" width="16.28515625" bestFit="1" customWidth="1"/>
    <col min="155" max="155" width="22" bestFit="1" customWidth="1"/>
    <col min="156" max="156" width="18" bestFit="1" customWidth="1"/>
    <col min="157" max="157" width="22.5703125" bestFit="1" customWidth="1"/>
    <col min="158" max="158" width="16.28515625" bestFit="1" customWidth="1"/>
    <col min="159" max="159" width="22.5703125" bestFit="1" customWidth="1"/>
    <col min="160" max="160" width="16.28515625" bestFit="1" customWidth="1"/>
    <col min="161" max="161" width="23.42578125" bestFit="1" customWidth="1"/>
    <col min="162" max="162" width="24.85546875" bestFit="1" customWidth="1"/>
    <col min="163" max="163" width="19.28515625" bestFit="1" customWidth="1"/>
    <col min="164" max="164" width="18.28515625" bestFit="1" customWidth="1"/>
    <col min="165" max="165" width="22.5703125" bestFit="1" customWidth="1"/>
    <col min="166" max="166" width="16.28515625" bestFit="1" customWidth="1"/>
    <col min="167" max="167" width="23.42578125" bestFit="1" customWidth="1"/>
    <col min="168" max="168" width="19.28515625" bestFit="1" customWidth="1"/>
    <col min="169" max="169" width="18.28515625" bestFit="1" customWidth="1"/>
    <col min="170" max="170" width="7.7109375" bestFit="1" customWidth="1"/>
    <col min="171" max="172" width="16.85546875" bestFit="1" customWidth="1"/>
    <col min="173" max="173" width="11.28515625" bestFit="1" customWidth="1"/>
    <col min="174" max="174" width="19" bestFit="1" customWidth="1"/>
    <col min="175" max="175" width="14.28515625" bestFit="1" customWidth="1"/>
    <col min="176" max="176" width="10.85546875" bestFit="1" customWidth="1"/>
    <col min="177" max="177" width="9.140625" bestFit="1" customWidth="1"/>
    <col min="178" max="179" width="18.42578125" bestFit="1" customWidth="1"/>
    <col min="180" max="180" width="12.7109375" bestFit="1" customWidth="1"/>
    <col min="181" max="181" width="20.42578125" bestFit="1" customWidth="1"/>
    <col min="182" max="182" width="14.28515625" bestFit="1" customWidth="1"/>
    <col min="183" max="183" width="10.85546875" bestFit="1" customWidth="1"/>
    <col min="184" max="184" width="19.5703125" style="4" bestFit="1" customWidth="1"/>
    <col min="185" max="185" width="32.140625" bestFit="1" customWidth="1"/>
    <col min="186" max="186" width="27.5703125" bestFit="1" customWidth="1"/>
    <col min="187" max="187" width="21.85546875" bestFit="1" customWidth="1"/>
    <col min="188" max="188" width="23.28515625" bestFit="1" customWidth="1"/>
    <col min="189" max="189" width="20.85546875" bestFit="1" customWidth="1"/>
    <col min="190" max="190" width="55.5703125" bestFit="1" customWidth="1"/>
    <col min="191" max="191" width="11.7109375" bestFit="1" customWidth="1"/>
    <col min="192" max="192" width="24.28515625" bestFit="1" customWidth="1"/>
    <col min="193" max="193" width="12.85546875" bestFit="1" customWidth="1"/>
    <col min="194" max="194" width="15.28515625" bestFit="1" customWidth="1"/>
    <col min="195" max="195" width="11.7109375" bestFit="1" customWidth="1"/>
    <col min="196" max="196" width="43.85546875" bestFit="1" customWidth="1"/>
    <col min="197" max="197" width="41.28515625" bestFit="1" customWidth="1"/>
    <col min="198" max="198" width="21.85546875" bestFit="1" customWidth="1"/>
    <col min="199" max="199" width="23.28515625" bestFit="1" customWidth="1"/>
    <col min="200" max="200" width="18.5703125" bestFit="1" customWidth="1"/>
    <col min="201" max="201" width="16.28515625" bestFit="1" customWidth="1"/>
    <col min="202" max="202" width="13.28515625" bestFit="1" customWidth="1"/>
    <col min="203" max="203" width="24.28515625" bestFit="1" customWidth="1"/>
    <col min="204" max="204" width="14.42578125" bestFit="1" customWidth="1"/>
    <col min="205" max="205" width="16.7109375" bestFit="1" customWidth="1"/>
    <col min="206" max="206" width="13.28515625" bestFit="1" customWidth="1"/>
    <col min="207" max="207" width="14" bestFit="1" customWidth="1"/>
    <col min="208" max="208" width="21.42578125" bestFit="1" customWidth="1"/>
    <col min="209" max="209" width="21.85546875" bestFit="1" customWidth="1"/>
    <col min="210" max="210" width="23.28515625" bestFit="1" customWidth="1"/>
    <col min="211" max="211" width="17.7109375" bestFit="1" customWidth="1"/>
    <col min="212" max="212" width="15.140625" bestFit="1" customWidth="1"/>
    <col min="213" max="213" width="13.28515625" bestFit="1" customWidth="1"/>
    <col min="214" max="214" width="9.85546875" bestFit="1" customWidth="1"/>
    <col min="215" max="215" width="14" bestFit="1" customWidth="1"/>
    <col min="216" max="216" width="21.42578125" bestFit="1" customWidth="1"/>
    <col min="217" max="217" width="21.85546875" bestFit="1" customWidth="1"/>
    <col min="218" max="218" width="23.28515625" bestFit="1" customWidth="1"/>
    <col min="219" max="219" width="17.7109375" bestFit="1" customWidth="1"/>
    <col min="220" max="220" width="15.140625" bestFit="1" customWidth="1"/>
    <col min="221" max="221" width="13.28515625" bestFit="1" customWidth="1"/>
    <col min="222" max="222" width="9.85546875" bestFit="1" customWidth="1"/>
    <col min="223" max="223" width="14" bestFit="1" customWidth="1"/>
    <col min="224" max="224" width="21.42578125" bestFit="1" customWidth="1"/>
    <col min="225" max="225" width="21.85546875" bestFit="1" customWidth="1"/>
    <col min="226" max="226" width="23.28515625" bestFit="1" customWidth="1"/>
    <col min="227" max="227" width="17.7109375" bestFit="1" customWidth="1"/>
    <col min="228" max="228" width="15.140625" bestFit="1" customWidth="1"/>
    <col min="229" max="229" width="13.28515625" bestFit="1" customWidth="1"/>
    <col min="230" max="230" width="9.85546875" bestFit="1" customWidth="1"/>
    <col min="231" max="231" width="14" bestFit="1" customWidth="1"/>
    <col min="232" max="232" width="21.42578125" bestFit="1" customWidth="1"/>
    <col min="233" max="233" width="21.85546875" bestFit="1" customWidth="1"/>
    <col min="234" max="234" width="23.28515625" bestFit="1" customWidth="1"/>
    <col min="235" max="235" width="17.7109375" bestFit="1" customWidth="1"/>
    <col min="236" max="236" width="15.140625" bestFit="1" customWidth="1"/>
    <col min="237" max="237" width="13.28515625" bestFit="1" customWidth="1"/>
    <col min="238" max="238" width="9.85546875" bestFit="1" customWidth="1"/>
    <col min="239" max="239" width="11.5703125" bestFit="1" customWidth="1"/>
    <col min="240" max="240" width="10.140625" style="4" bestFit="1" customWidth="1"/>
    <col min="241" max="241" width="12.5703125" style="4" bestFit="1" customWidth="1"/>
    <col min="242" max="242" width="29.85546875" bestFit="1" customWidth="1"/>
    <col min="243" max="243" width="16.7109375" bestFit="1" customWidth="1"/>
    <col min="244" max="244" width="23.28515625" bestFit="1" customWidth="1"/>
    <col min="245" max="245" width="19.28515625" bestFit="1" customWidth="1"/>
    <col min="246" max="246" width="12.28515625" bestFit="1" customWidth="1"/>
    <col min="247" max="247" width="15.140625" style="4" bestFit="1" customWidth="1"/>
    <col min="248" max="248" width="14.85546875" bestFit="1" customWidth="1"/>
    <col min="249" max="249" width="21.85546875" bestFit="1" customWidth="1"/>
    <col min="250" max="250" width="18.140625" bestFit="1" customWidth="1"/>
    <col min="251" max="251" width="31.5703125" bestFit="1" customWidth="1"/>
    <col min="252" max="252" width="26.85546875" bestFit="1" customWidth="1"/>
    <col min="253" max="253" width="15.7109375" bestFit="1" customWidth="1"/>
    <col min="254" max="254" width="17.28515625" customWidth="1"/>
    <col min="255" max="255" width="14.42578125" customWidth="1"/>
    <col min="256" max="256" width="13" customWidth="1"/>
  </cols>
  <sheetData>
    <row r="1" spans="1:263" s="336" customFormat="1">
      <c r="A1" s="322" t="s">
        <v>0</v>
      </c>
      <c r="B1" s="322" t="s">
        <v>1</v>
      </c>
      <c r="C1" s="323" t="s">
        <v>2</v>
      </c>
      <c r="D1" s="324" t="s">
        <v>1519</v>
      </c>
      <c r="E1" s="324" t="s">
        <v>3</v>
      </c>
      <c r="F1" s="322" t="s">
        <v>4</v>
      </c>
      <c r="G1" s="324" t="s">
        <v>5</v>
      </c>
      <c r="H1" s="322" t="s">
        <v>6</v>
      </c>
      <c r="I1" s="322" t="s">
        <v>7</v>
      </c>
      <c r="J1" s="322" t="s">
        <v>8</v>
      </c>
      <c r="K1" s="322" t="s">
        <v>9</v>
      </c>
      <c r="L1" s="322" t="s">
        <v>10</v>
      </c>
      <c r="M1" s="322" t="s">
        <v>11</v>
      </c>
      <c r="N1" s="322" t="s">
        <v>12</v>
      </c>
      <c r="O1" s="324" t="s">
        <v>13</v>
      </c>
      <c r="P1" s="322" t="s">
        <v>14</v>
      </c>
      <c r="Q1" s="322" t="s">
        <v>15</v>
      </c>
      <c r="R1" s="322" t="s">
        <v>16</v>
      </c>
      <c r="S1" s="322" t="s">
        <v>17</v>
      </c>
      <c r="T1" s="324" t="s">
        <v>18</v>
      </c>
      <c r="U1" s="322" t="s">
        <v>19</v>
      </c>
      <c r="V1" s="322" t="s">
        <v>20</v>
      </c>
      <c r="W1" s="322" t="s">
        <v>21</v>
      </c>
      <c r="X1" s="322" t="s">
        <v>22</v>
      </c>
      <c r="Y1" s="324" t="s">
        <v>23</v>
      </c>
      <c r="Z1" s="322" t="s">
        <v>24</v>
      </c>
      <c r="AA1" s="322" t="s">
        <v>25</v>
      </c>
      <c r="AB1" s="322" t="s">
        <v>26</v>
      </c>
      <c r="AC1" s="322" t="s">
        <v>27</v>
      </c>
      <c r="AD1" s="322" t="s">
        <v>28</v>
      </c>
      <c r="AE1" s="322" t="s">
        <v>29</v>
      </c>
      <c r="AF1" s="322" t="s">
        <v>30</v>
      </c>
      <c r="AG1" s="325" t="s">
        <v>31</v>
      </c>
      <c r="AH1" s="322" t="s">
        <v>32</v>
      </c>
      <c r="AI1" s="322" t="s">
        <v>33</v>
      </c>
      <c r="AJ1" s="326" t="s">
        <v>34</v>
      </c>
      <c r="AK1" s="326" t="s">
        <v>35</v>
      </c>
      <c r="AL1" s="326" t="s">
        <v>36</v>
      </c>
      <c r="AM1" s="326" t="s">
        <v>37</v>
      </c>
      <c r="AN1" s="322" t="s">
        <v>38</v>
      </c>
      <c r="AO1" s="322" t="s">
        <v>39</v>
      </c>
      <c r="AP1" s="327" t="s">
        <v>40</v>
      </c>
      <c r="AQ1" s="322" t="s">
        <v>41</v>
      </c>
      <c r="AR1" s="326" t="s">
        <v>42</v>
      </c>
      <c r="AS1" s="322" t="s">
        <v>166</v>
      </c>
      <c r="AT1" s="322" t="s">
        <v>167</v>
      </c>
      <c r="AU1" s="322" t="s">
        <v>168</v>
      </c>
      <c r="AV1" s="322" t="s">
        <v>169</v>
      </c>
      <c r="AW1" s="322" t="s">
        <v>170</v>
      </c>
      <c r="AX1" s="328" t="s">
        <v>43</v>
      </c>
      <c r="AY1" s="328" t="s">
        <v>44</v>
      </c>
      <c r="AZ1" s="323" t="s">
        <v>45</v>
      </c>
      <c r="BA1" s="323" t="s">
        <v>46</v>
      </c>
      <c r="BB1" s="323" t="s">
        <v>47</v>
      </c>
      <c r="BC1" s="324" t="s">
        <v>48</v>
      </c>
      <c r="BD1" s="329" t="s">
        <v>49</v>
      </c>
      <c r="BE1" s="330" t="s">
        <v>50</v>
      </c>
      <c r="BF1" s="324" t="s">
        <v>51</v>
      </c>
      <c r="BG1" s="324" t="s">
        <v>52</v>
      </c>
      <c r="BH1" s="324" t="s">
        <v>53</v>
      </c>
      <c r="BI1" s="324" t="s">
        <v>54</v>
      </c>
      <c r="BJ1" s="324" t="s">
        <v>55</v>
      </c>
      <c r="BK1" s="324" t="s">
        <v>56</v>
      </c>
      <c r="BL1" s="324" t="s">
        <v>57</v>
      </c>
      <c r="BM1" s="324" t="s">
        <v>58</v>
      </c>
      <c r="BN1" s="324" t="s">
        <v>59</v>
      </c>
      <c r="BO1" s="324" t="s">
        <v>2418</v>
      </c>
      <c r="BP1" s="324" t="s">
        <v>2419</v>
      </c>
      <c r="BQ1" s="326" t="s">
        <v>90</v>
      </c>
      <c r="BR1" s="326" t="s">
        <v>91</v>
      </c>
      <c r="BS1" s="326" t="s">
        <v>92</v>
      </c>
      <c r="BT1" s="331" t="s">
        <v>93</v>
      </c>
      <c r="BU1" s="332" t="s">
        <v>94</v>
      </c>
      <c r="BV1" s="326" t="s">
        <v>95</v>
      </c>
      <c r="BW1" s="326" t="s">
        <v>96</v>
      </c>
      <c r="BX1" s="326" t="s">
        <v>97</v>
      </c>
      <c r="BY1" s="326" t="s">
        <v>98</v>
      </c>
      <c r="BZ1" s="331" t="s">
        <v>99</v>
      </c>
      <c r="CA1" s="332" t="s">
        <v>100</v>
      </c>
      <c r="CB1" s="326" t="s">
        <v>101</v>
      </c>
      <c r="CC1" s="326" t="s">
        <v>1908</v>
      </c>
      <c r="CD1" s="326" t="s">
        <v>1989</v>
      </c>
      <c r="CE1" s="326" t="s">
        <v>1990</v>
      </c>
      <c r="CF1" s="331" t="s">
        <v>1991</v>
      </c>
      <c r="CG1" s="332" t="s">
        <v>1992</v>
      </c>
      <c r="CH1" s="326" t="s">
        <v>1993</v>
      </c>
      <c r="CI1" s="326" t="s">
        <v>2544</v>
      </c>
      <c r="CJ1" s="326" t="s">
        <v>2551</v>
      </c>
      <c r="CK1" s="326" t="s">
        <v>2552</v>
      </c>
      <c r="CL1" s="331" t="s">
        <v>2553</v>
      </c>
      <c r="CM1" s="332" t="s">
        <v>2554</v>
      </c>
      <c r="CN1" s="326" t="s">
        <v>2555</v>
      </c>
      <c r="CO1" s="326" t="s">
        <v>3876</v>
      </c>
      <c r="CP1" s="326" t="s">
        <v>3910</v>
      </c>
      <c r="CQ1" s="326" t="s">
        <v>3909</v>
      </c>
      <c r="CR1" s="331" t="s">
        <v>3911</v>
      </c>
      <c r="CS1" s="332" t="s">
        <v>3912</v>
      </c>
      <c r="CT1" s="326" t="s">
        <v>3913</v>
      </c>
      <c r="CU1" s="326" t="s">
        <v>3942</v>
      </c>
      <c r="CV1" s="326" t="s">
        <v>3943</v>
      </c>
      <c r="CW1" s="326" t="s">
        <v>3944</v>
      </c>
      <c r="CX1" s="331" t="s">
        <v>3945</v>
      </c>
      <c r="CY1" s="332" t="s">
        <v>3946</v>
      </c>
      <c r="CZ1" s="326" t="s">
        <v>3947</v>
      </c>
      <c r="DA1" s="326" t="s">
        <v>4751</v>
      </c>
      <c r="DB1" s="326" t="s">
        <v>4752</v>
      </c>
      <c r="DC1" s="326" t="s">
        <v>4754</v>
      </c>
      <c r="DD1" s="331" t="s">
        <v>4753</v>
      </c>
      <c r="DE1" s="332" t="s">
        <v>4755</v>
      </c>
      <c r="DF1" s="326" t="s">
        <v>4756</v>
      </c>
      <c r="DG1" s="326" t="s">
        <v>4757</v>
      </c>
      <c r="DH1" s="326" t="s">
        <v>4758</v>
      </c>
      <c r="DI1" s="326" t="s">
        <v>4759</v>
      </c>
      <c r="DJ1" s="331" t="s">
        <v>4760</v>
      </c>
      <c r="DK1" s="332" t="s">
        <v>4761</v>
      </c>
      <c r="DL1" s="326" t="s">
        <v>4762</v>
      </c>
      <c r="DM1" s="326" t="s">
        <v>102</v>
      </c>
      <c r="DN1" s="326" t="s">
        <v>103</v>
      </c>
      <c r="DO1" s="326" t="s">
        <v>104</v>
      </c>
      <c r="DP1" s="327" t="s">
        <v>105</v>
      </c>
      <c r="DQ1" s="326" t="s">
        <v>1909</v>
      </c>
      <c r="DR1" s="326" t="s">
        <v>107</v>
      </c>
      <c r="DS1" s="332" t="s">
        <v>108</v>
      </c>
      <c r="DT1" s="326" t="s">
        <v>109</v>
      </c>
      <c r="DU1" s="326" t="s">
        <v>110</v>
      </c>
      <c r="DV1" s="326" t="s">
        <v>113</v>
      </c>
      <c r="DW1" s="326" t="s">
        <v>112</v>
      </c>
      <c r="DX1" s="326" t="s">
        <v>114</v>
      </c>
      <c r="DY1" s="326" t="s">
        <v>115</v>
      </c>
      <c r="DZ1" s="333" t="s">
        <v>116</v>
      </c>
      <c r="EA1" s="326" t="s">
        <v>117</v>
      </c>
      <c r="EB1" s="326" t="s">
        <v>111</v>
      </c>
      <c r="EC1" s="324" t="s">
        <v>106</v>
      </c>
      <c r="ED1" s="332" t="s">
        <v>121</v>
      </c>
      <c r="EE1" s="326" t="s">
        <v>4491</v>
      </c>
      <c r="EF1" s="326" t="s">
        <v>4492</v>
      </c>
      <c r="EG1" s="326" t="s">
        <v>4493</v>
      </c>
      <c r="EH1" s="333" t="s">
        <v>118</v>
      </c>
      <c r="EI1" s="333" t="s">
        <v>119</v>
      </c>
      <c r="EJ1" s="333" t="s">
        <v>120</v>
      </c>
      <c r="EK1" s="322" t="s">
        <v>122</v>
      </c>
      <c r="EL1" s="322" t="s">
        <v>123</v>
      </c>
      <c r="EM1" s="322" t="s">
        <v>124</v>
      </c>
      <c r="EN1" s="322" t="s">
        <v>125</v>
      </c>
      <c r="EO1" s="322" t="s">
        <v>126</v>
      </c>
      <c r="EP1" s="322" t="s">
        <v>127</v>
      </c>
      <c r="EQ1" s="322" t="s">
        <v>128</v>
      </c>
      <c r="ER1" s="322" t="s">
        <v>129</v>
      </c>
      <c r="ES1" s="322" t="s">
        <v>130</v>
      </c>
      <c r="ET1" s="322" t="s">
        <v>131</v>
      </c>
      <c r="EU1" s="322" t="s">
        <v>132</v>
      </c>
      <c r="EV1" s="322" t="s">
        <v>133</v>
      </c>
      <c r="EW1" s="322" t="s">
        <v>134</v>
      </c>
      <c r="EX1" s="322" t="s">
        <v>135</v>
      </c>
      <c r="EY1" s="322" t="s">
        <v>136</v>
      </c>
      <c r="EZ1" s="322" t="s">
        <v>137</v>
      </c>
      <c r="FA1" s="322" t="s">
        <v>138</v>
      </c>
      <c r="FB1" s="322" t="s">
        <v>139</v>
      </c>
      <c r="FC1" s="322" t="s">
        <v>140</v>
      </c>
      <c r="FD1" s="322" t="s">
        <v>141</v>
      </c>
      <c r="FE1" s="322" t="s">
        <v>142</v>
      </c>
      <c r="FF1" s="322" t="s">
        <v>143</v>
      </c>
      <c r="FG1" s="322" t="s">
        <v>144</v>
      </c>
      <c r="FH1" s="322" t="s">
        <v>145</v>
      </c>
      <c r="FI1" s="322" t="s">
        <v>146</v>
      </c>
      <c r="FJ1" s="322" t="s">
        <v>147</v>
      </c>
      <c r="FK1" s="322" t="s">
        <v>148</v>
      </c>
      <c r="FL1" s="322" t="s">
        <v>149</v>
      </c>
      <c r="FM1" s="322" t="s">
        <v>150</v>
      </c>
      <c r="FN1" s="322" t="s">
        <v>151</v>
      </c>
      <c r="FO1" s="322" t="s">
        <v>152</v>
      </c>
      <c r="FP1" s="322" t="s">
        <v>153</v>
      </c>
      <c r="FQ1" s="322" t="s">
        <v>154</v>
      </c>
      <c r="FR1" s="322" t="s">
        <v>155</v>
      </c>
      <c r="FS1" s="334" t="s">
        <v>156</v>
      </c>
      <c r="FT1" s="335" t="s">
        <v>157</v>
      </c>
      <c r="FU1" s="322" t="s">
        <v>158</v>
      </c>
      <c r="FV1" s="322" t="s">
        <v>159</v>
      </c>
      <c r="FW1" s="322" t="s">
        <v>160</v>
      </c>
      <c r="FX1" s="322" t="s">
        <v>161</v>
      </c>
      <c r="FY1" s="322" t="s">
        <v>162</v>
      </c>
      <c r="FZ1" s="322" t="s">
        <v>163</v>
      </c>
      <c r="GA1" s="335" t="s">
        <v>164</v>
      </c>
      <c r="GB1" s="326" t="s">
        <v>171</v>
      </c>
      <c r="GC1" s="322" t="s">
        <v>172</v>
      </c>
      <c r="GD1" s="322" t="s">
        <v>173</v>
      </c>
      <c r="GE1" s="322" t="s">
        <v>174</v>
      </c>
      <c r="GF1" s="322" t="s">
        <v>175</v>
      </c>
      <c r="GG1" s="322" t="s">
        <v>176</v>
      </c>
      <c r="GH1" s="322" t="s">
        <v>177</v>
      </c>
      <c r="GI1" s="334" t="s">
        <v>178</v>
      </c>
      <c r="GJ1" s="322" t="s">
        <v>179</v>
      </c>
      <c r="GK1" s="322" t="s">
        <v>180</v>
      </c>
      <c r="GL1" s="322" t="s">
        <v>181</v>
      </c>
      <c r="GM1" s="322" t="s">
        <v>182</v>
      </c>
      <c r="GN1" s="322" t="s">
        <v>183</v>
      </c>
      <c r="GO1" s="322" t="s">
        <v>184</v>
      </c>
      <c r="GP1" s="322" t="s">
        <v>185</v>
      </c>
      <c r="GQ1" s="322" t="s">
        <v>186</v>
      </c>
      <c r="GR1" s="322" t="s">
        <v>187</v>
      </c>
      <c r="GS1" s="322" t="s">
        <v>188</v>
      </c>
      <c r="GT1" s="322" t="s">
        <v>189</v>
      </c>
      <c r="GU1" s="322" t="s">
        <v>190</v>
      </c>
      <c r="GV1" s="322" t="s">
        <v>191</v>
      </c>
      <c r="GW1" s="322" t="s">
        <v>192</v>
      </c>
      <c r="GX1" s="322" t="s">
        <v>193</v>
      </c>
      <c r="GY1" s="322" t="s">
        <v>194</v>
      </c>
      <c r="GZ1" s="322" t="s">
        <v>195</v>
      </c>
      <c r="HA1" s="322" t="s">
        <v>196</v>
      </c>
      <c r="HB1" s="322" t="s">
        <v>197</v>
      </c>
      <c r="HC1" s="322" t="s">
        <v>198</v>
      </c>
      <c r="HD1" s="322" t="s">
        <v>199</v>
      </c>
      <c r="HE1" s="322" t="s">
        <v>200</v>
      </c>
      <c r="HF1" s="322" t="s">
        <v>201</v>
      </c>
      <c r="HG1" s="322" t="s">
        <v>202</v>
      </c>
      <c r="HH1" s="322" t="s">
        <v>203</v>
      </c>
      <c r="HI1" s="322" t="s">
        <v>204</v>
      </c>
      <c r="HJ1" s="322" t="s">
        <v>205</v>
      </c>
      <c r="HK1" s="322" t="s">
        <v>206</v>
      </c>
      <c r="HL1" s="322" t="s">
        <v>207</v>
      </c>
      <c r="HM1" s="322" t="s">
        <v>208</v>
      </c>
      <c r="HN1" s="322" t="s">
        <v>209</v>
      </c>
      <c r="HO1" s="322" t="s">
        <v>210</v>
      </c>
      <c r="HP1" s="322" t="s">
        <v>211</v>
      </c>
      <c r="HQ1" s="322" t="s">
        <v>212</v>
      </c>
      <c r="HR1" s="322" t="s">
        <v>213</v>
      </c>
      <c r="HS1" s="322" t="s">
        <v>214</v>
      </c>
      <c r="HT1" s="322" t="s">
        <v>215</v>
      </c>
      <c r="HU1" s="322" t="s">
        <v>216</v>
      </c>
      <c r="HV1" s="322" t="s">
        <v>217</v>
      </c>
      <c r="HW1" s="322" t="s">
        <v>218</v>
      </c>
      <c r="HX1" s="322" t="s">
        <v>219</v>
      </c>
      <c r="HY1" s="322" t="s">
        <v>220</v>
      </c>
      <c r="HZ1" s="322" t="s">
        <v>221</v>
      </c>
      <c r="IA1" s="322" t="s">
        <v>222</v>
      </c>
      <c r="IB1" s="322" t="s">
        <v>223</v>
      </c>
      <c r="IC1" s="322" t="s">
        <v>224</v>
      </c>
      <c r="ID1" s="322" t="s">
        <v>225</v>
      </c>
      <c r="IE1" s="334" t="s">
        <v>234</v>
      </c>
      <c r="IF1" s="326" t="s">
        <v>235</v>
      </c>
      <c r="IG1" s="326" t="s">
        <v>236</v>
      </c>
      <c r="IH1" s="326" t="s">
        <v>239</v>
      </c>
      <c r="II1" s="326" t="s">
        <v>240</v>
      </c>
      <c r="IJ1" s="326" t="s">
        <v>241</v>
      </c>
      <c r="IK1" s="326" t="s">
        <v>242</v>
      </c>
      <c r="IL1" s="326" t="s">
        <v>243</v>
      </c>
      <c r="IM1" s="326" t="s">
        <v>244</v>
      </c>
      <c r="IN1" s="326" t="s">
        <v>245</v>
      </c>
      <c r="IO1" s="334" t="s">
        <v>246</v>
      </c>
      <c r="IP1" s="334" t="s">
        <v>247</v>
      </c>
      <c r="IQ1" s="334" t="s">
        <v>248</v>
      </c>
      <c r="IR1" s="334" t="s">
        <v>249</v>
      </c>
      <c r="IS1" s="334" t="s">
        <v>250</v>
      </c>
    </row>
    <row r="2" spans="1:263">
      <c r="A2" s="18">
        <v>102021086</v>
      </c>
      <c r="B2" s="18" t="s">
        <v>2601</v>
      </c>
      <c r="D2" s="13">
        <v>2023</v>
      </c>
      <c r="E2" s="3"/>
      <c r="G2" s="3"/>
      <c r="J2" s="18" t="s">
        <v>434</v>
      </c>
      <c r="K2" s="18" t="s">
        <v>2602</v>
      </c>
      <c r="L2" s="18" t="s">
        <v>971</v>
      </c>
      <c r="M2" s="18" t="s">
        <v>2608</v>
      </c>
      <c r="O2" s="3"/>
      <c r="P2" s="18"/>
      <c r="Q2" s="18"/>
      <c r="R2" s="18"/>
      <c r="AG2" s="43"/>
      <c r="AJ2" s="18" t="s">
        <v>328</v>
      </c>
      <c r="AL2" s="18" t="s">
        <v>259</v>
      </c>
      <c r="AO2" t="s">
        <v>2606</v>
      </c>
      <c r="AP2" s="3" t="s">
        <v>258</v>
      </c>
      <c r="AQ2" t="s">
        <v>344</v>
      </c>
      <c r="AR2" s="18" t="s">
        <v>260</v>
      </c>
      <c r="AS2" s="18" t="s">
        <v>372</v>
      </c>
      <c r="AT2" s="18" t="s">
        <v>373</v>
      </c>
      <c r="AU2" s="18" t="s">
        <v>374</v>
      </c>
      <c r="AV2" s="18" t="s">
        <v>259</v>
      </c>
      <c r="AW2" s="18" t="s">
        <v>260</v>
      </c>
      <c r="AX2" s="1"/>
      <c r="AY2" s="1"/>
      <c r="AZ2" s="1"/>
      <c r="BA2" s="1"/>
      <c r="BB2" s="1"/>
      <c r="BC2" s="2"/>
      <c r="BD2" s="115">
        <v>45060</v>
      </c>
      <c r="BE2" s="115">
        <v>44957</v>
      </c>
      <c r="BF2" s="2"/>
      <c r="BG2" s="2"/>
      <c r="BH2" s="2"/>
      <c r="BI2" s="2"/>
      <c r="BJ2" s="2"/>
      <c r="BK2" s="2"/>
      <c r="BL2" s="20">
        <f t="shared" ref="BL2:BL9" ca="1" si="0">SUM(EB2)+220</f>
        <v>1863.43075</v>
      </c>
      <c r="BM2" s="22">
        <f t="shared" ref="BM2:BM9" ca="1" si="1">PMT(10%/12,12,BL2,0,0)</f>
        <v>-163.8251676779322</v>
      </c>
      <c r="BN2" s="22">
        <f t="shared" ref="BN2:BN9" ca="1" si="2">SUM(BM2*-1)</f>
        <v>163.8251676779322</v>
      </c>
      <c r="BO2" s="14">
        <f t="shared" ref="BO2:BO9" si="3">SUM(EJ2*0.0052)/12</f>
        <v>7.8</v>
      </c>
      <c r="BP2" s="22">
        <f t="shared" ref="BP2:BP9" ca="1" si="4">SUM(BN2+BO2)</f>
        <v>171.62516767793221</v>
      </c>
      <c r="BQ2" s="14"/>
      <c r="BR2" s="14">
        <f t="shared" ref="BR2:BR9" si="5">SUM(BQ2*0.1)</f>
        <v>0</v>
      </c>
      <c r="BS2" s="14">
        <f t="shared" ref="BS2:BS9" ca="1" si="6">SUM(BT2*BU2)</f>
        <v>0</v>
      </c>
      <c r="BT2" s="17">
        <f t="shared" ref="BT2:BT9" si="7">SUM((BQ2+BR2)*0.00833333333333333)</f>
        <v>0</v>
      </c>
      <c r="BU2" s="23">
        <f t="shared" ref="BU2:BU9" ca="1" si="8">MONTH(TODAY())+49</f>
        <v>53</v>
      </c>
      <c r="BV2" s="14">
        <f t="shared" ref="BV2:BV9" ca="1" si="9">SUM(BQ2,BR2,BS2)</f>
        <v>0</v>
      </c>
      <c r="BW2" s="14">
        <f>SUM(EG2*0.0052)</f>
        <v>62.4</v>
      </c>
      <c r="BX2" s="14">
        <f t="shared" ref="BX2:BX9" si="10">SUM(BW2*0.1)</f>
        <v>6.24</v>
      </c>
      <c r="BY2" s="14">
        <f t="shared" ref="BY2:BY9" si="11">SUM(BZ2*CA2)</f>
        <v>28.027999999999988</v>
      </c>
      <c r="BZ2" s="17">
        <f t="shared" ref="BZ2:BZ9" si="12">SUM((BW2+BX2)*0.00833333333333333)</f>
        <v>0.57199999999999973</v>
      </c>
      <c r="CA2" s="23">
        <v>49</v>
      </c>
      <c r="CB2" s="14">
        <f t="shared" ref="CB2:CB9" si="13">SUM(BW2,BX2,BY2)</f>
        <v>96.667999999999992</v>
      </c>
      <c r="CC2" s="14">
        <f t="shared" ref="CC2:CC7" si="14">SUM(EG2*0.0052)</f>
        <v>62.4</v>
      </c>
      <c r="CD2" s="14">
        <f t="shared" ref="CD2:CD9" si="15">SUM(CC2*0.1)</f>
        <v>6.24</v>
      </c>
      <c r="CE2" s="14">
        <f t="shared" ref="CE2:CE9" si="16">SUM(CF2*CG2)</f>
        <v>21.163999999999991</v>
      </c>
      <c r="CF2" s="17">
        <f t="shared" ref="CF2:CF9" si="17">SUM((CC2+CD2)*0.00833333333333333)</f>
        <v>0.57199999999999973</v>
      </c>
      <c r="CG2" s="23">
        <v>37</v>
      </c>
      <c r="CH2" s="14">
        <f t="shared" ref="CH2:CH9" si="18">SUM(CC2,CD2,CE2)</f>
        <v>89.803999999999988</v>
      </c>
      <c r="CI2" s="14">
        <f t="shared" ref="CI2:CI9" si="19">SUM(EG2*0.0052)</f>
        <v>62.4</v>
      </c>
      <c r="CJ2" s="14">
        <f t="shared" ref="CJ2:CJ9" si="20">SUM(CI2*0.1)</f>
        <v>6.24</v>
      </c>
      <c r="CK2" s="14">
        <f>SUM(CL2*CM2)</f>
        <v>14.299999999999994</v>
      </c>
      <c r="CL2" s="17">
        <f t="shared" ref="CL2:CL9" si="21">SUM((CI2+CJ2)*0.00833333333333333)</f>
        <v>0.57199999999999973</v>
      </c>
      <c r="CM2" s="23">
        <v>25</v>
      </c>
      <c r="CN2" s="14">
        <f t="shared" ref="CN2:CN9" si="22">SUM(CI2,CJ2,CK2)</f>
        <v>82.94</v>
      </c>
      <c r="CO2" s="14">
        <f t="shared" ref="CO2:CO9" si="23">SUM(EG2*0.0052)/2</f>
        <v>31.2</v>
      </c>
      <c r="CP2" s="14">
        <f t="shared" ref="CP2:CP9" si="24">SUM(CO2*0.1)</f>
        <v>3.12</v>
      </c>
      <c r="CQ2" s="14">
        <f t="shared" ref="CQ2:CQ9" si="25">SUM(CR2*CS2)</f>
        <v>4.8619999999999974</v>
      </c>
      <c r="CR2" s="17">
        <f t="shared" ref="CR2:CR9" si="26">SUM((CO2+CP2)*0.00833333333333333)</f>
        <v>0.28599999999999987</v>
      </c>
      <c r="CS2" s="23">
        <v>17</v>
      </c>
      <c r="CT2" s="23">
        <f t="shared" ref="CT2:CT9" si="27">SUM(CO2,CP2,CQ2)</f>
        <v>39.181999999999995</v>
      </c>
      <c r="CU2" s="14">
        <f t="shared" ref="CU2:CU9" si="28">SUM(EG2*0.0052)/2</f>
        <v>31.2</v>
      </c>
      <c r="CV2" s="14">
        <f t="shared" ref="CV2:CV9" si="29">SUM(CU2*0.1)</f>
        <v>3.12</v>
      </c>
      <c r="CW2" s="14">
        <f t="shared" ref="CW2:CW9" si="30">SUM(CX2*CY2)</f>
        <v>3.7179999999999982</v>
      </c>
      <c r="CX2" s="17">
        <f t="shared" ref="CX2:CX9" si="31">SUM((CU2+CV2)*0.00833333333333333)</f>
        <v>0.28599999999999987</v>
      </c>
      <c r="CY2" s="23">
        <v>13</v>
      </c>
      <c r="CZ2" s="23">
        <f t="shared" ref="CZ2:CZ9" si="32">SUM(CU2,CV2,CW2)</f>
        <v>38.037999999999997</v>
      </c>
      <c r="DA2" s="14">
        <f t="shared" ref="DA2:DA9" si="33">SUM(EJ2*0.0045)/2</f>
        <v>40.5</v>
      </c>
      <c r="DB2" s="14">
        <f t="shared" ref="DB2:DB9" si="34">SUM(DA2*0.1)</f>
        <v>4.05</v>
      </c>
      <c r="DC2" s="14">
        <f t="shared" ref="DC2:DC9" si="35">SUM(DD2*DE2)</f>
        <v>2.5987499999999986</v>
      </c>
      <c r="DD2" s="17">
        <f t="shared" ref="DD2:DD9" si="36">SUM((DA2+DB2)*0.00833333333333333)</f>
        <v>0.3712499999999998</v>
      </c>
      <c r="DE2" s="23">
        <v>7</v>
      </c>
      <c r="DF2" s="23">
        <f t="shared" ref="DF2:DF9" si="37">SUM(DA2,DB2,DC2)</f>
        <v>47.148749999999993</v>
      </c>
      <c r="DG2" s="14">
        <f t="shared" ref="DG2:DG9" si="38">SUM(EJ2*0.0045)/2</f>
        <v>40.5</v>
      </c>
      <c r="DH2" s="14">
        <v>0</v>
      </c>
      <c r="DI2" s="14">
        <v>0</v>
      </c>
      <c r="DJ2" s="17">
        <f t="shared" ref="DJ2:DJ9" si="39">SUM((DG2+DH2)*0.00833333333333333)</f>
        <v>0.33749999999999986</v>
      </c>
      <c r="DK2" s="23">
        <f t="shared" ref="DK2:DK9" ca="1" si="40">MONTH(TODAY())+1</f>
        <v>5</v>
      </c>
      <c r="DL2" s="14">
        <f t="shared" ref="DL2:DL9" si="41">SUM(DG2,DH2,DI2)</f>
        <v>40.5</v>
      </c>
      <c r="DM2" s="14">
        <f t="shared" ref="DM2:DM9" si="42">SUM( BQ2, BW2, CC2, CI2, CO2,CU2,DA2,DG2)</f>
        <v>330.59999999999997</v>
      </c>
      <c r="DN2" s="14">
        <f t="shared" ref="DN2:DO9" si="43">SUM(BR2,BX2,CD2,CJ2, CP2,CV2,DB2,DH2)</f>
        <v>29.01</v>
      </c>
      <c r="DO2" s="14">
        <f t="shared" ca="1" si="43"/>
        <v>74.67074999999997</v>
      </c>
      <c r="DP2" s="25">
        <f t="shared" ref="DP2:DP9" ca="1" si="44">SUM(DM2:DO2)</f>
        <v>434.2807499999999</v>
      </c>
      <c r="DQ2" s="47">
        <f t="shared" ref="DQ2:DQ9" ca="1" si="45">SUM(DP2/EG2)</f>
        <v>3.6190062499999995E-2</v>
      </c>
      <c r="DR2" s="14">
        <f>369.5+100+80+100</f>
        <v>649.5</v>
      </c>
      <c r="DS2" s="32">
        <f t="shared" ref="DS2:DS9" si="46">COUNTIF(DX2, "*")+COUNTIF(AO2, "*")+COUNTIF(AJ2, "*")+COUNTIF(AA2, "*")+COUNTIF(EY2, "*")+COUNTIF(FE2, "*")+COUNTIF(FK2, "*")+COUNTIF(FO2, "*")+COUNTIF(FV2, "*")+COUNTIF(AT2, "*")+COUNTIF(GE2, "*")+COUNTIF(GP2, "*")+COUNTIF(HA2, "*")+COUNTIF(HI2, "*")+COUNTIF(HQ2, "*")+COUNTIF(HY2, "*")</f>
        <v>6</v>
      </c>
      <c r="DT2" s="14">
        <f>DS2*0.5+DS2*7.45+55.17</f>
        <v>102.87</v>
      </c>
      <c r="DU2" s="4">
        <v>250</v>
      </c>
      <c r="DV2" s="4">
        <f>36.76+157.5</f>
        <v>194.26</v>
      </c>
      <c r="DW2" s="4"/>
      <c r="DX2" s="4"/>
      <c r="DZ2" s="4"/>
      <c r="EA2" s="14">
        <f t="shared" ref="EA2:EA9" si="47">SUM(DV2:DZ2)</f>
        <v>194.26</v>
      </c>
      <c r="EB2" s="14">
        <f t="shared" ref="EB2:EB9" ca="1" si="48">SUM(DP2,DR2,EA2, DU2, DT2,GB2)</f>
        <v>1643.43075</v>
      </c>
      <c r="EC2" s="24" t="s">
        <v>4954</v>
      </c>
      <c r="ED2" s="7">
        <v>0.32</v>
      </c>
      <c r="EE2" s="4">
        <v>12000</v>
      </c>
      <c r="EF2" s="4">
        <v>0</v>
      </c>
      <c r="EG2" s="14">
        <f t="shared" ref="EG2:EG7" si="49">SUM(EE2+EF2)</f>
        <v>12000</v>
      </c>
      <c r="EH2" s="14">
        <v>18000</v>
      </c>
      <c r="EI2" s="14">
        <v>0</v>
      </c>
      <c r="EJ2" s="14">
        <f t="shared" ref="EJ2:EJ9" si="50">SUM(EH2+EI2)</f>
        <v>18000</v>
      </c>
      <c r="EK2" t="s">
        <v>4992</v>
      </c>
      <c r="EL2" t="s">
        <v>4993</v>
      </c>
      <c r="EW2" t="s">
        <v>4009</v>
      </c>
      <c r="EY2" t="s">
        <v>4010</v>
      </c>
      <c r="FA2" t="s">
        <v>344</v>
      </c>
      <c r="FB2" t="s">
        <v>260</v>
      </c>
      <c r="FC2" t="s">
        <v>4011</v>
      </c>
      <c r="FE2" t="s">
        <v>4014</v>
      </c>
      <c r="FG2" t="s">
        <v>4015</v>
      </c>
      <c r="FH2" t="s">
        <v>757</v>
      </c>
      <c r="FI2" t="s">
        <v>4012</v>
      </c>
      <c r="FK2" t="s">
        <v>4013</v>
      </c>
      <c r="FL2" t="s">
        <v>1060</v>
      </c>
      <c r="FM2" t="s">
        <v>757</v>
      </c>
      <c r="GB2" s="4">
        <v>12.52</v>
      </c>
      <c r="IE2" s="9">
        <v>45227</v>
      </c>
      <c r="IF2" s="4">
        <v>13000</v>
      </c>
      <c r="IG2" s="4">
        <v>2500</v>
      </c>
      <c r="IH2" t="s">
        <v>5003</v>
      </c>
      <c r="II2" t="s">
        <v>5004</v>
      </c>
      <c r="IJ2" t="s">
        <v>259</v>
      </c>
      <c r="IM2" s="4">
        <v>125</v>
      </c>
      <c r="IN2" s="14">
        <f t="shared" ref="IN2:IN9" ca="1" si="51">SUM(IF2-EB2-GB2-IL2)</f>
        <v>11344.04925</v>
      </c>
      <c r="IO2" s="9"/>
      <c r="IP2" s="9"/>
      <c r="IQ2" s="9"/>
      <c r="IR2" s="9"/>
      <c r="IS2" s="9"/>
    </row>
    <row r="3" spans="1:263">
      <c r="A3" s="18">
        <v>102021087</v>
      </c>
      <c r="B3" s="18" t="s">
        <v>2607</v>
      </c>
      <c r="D3" s="13">
        <v>2023</v>
      </c>
      <c r="E3" s="3"/>
      <c r="G3" s="3"/>
      <c r="J3" s="18" t="s">
        <v>434</v>
      </c>
      <c r="K3" s="18" t="s">
        <v>2602</v>
      </c>
      <c r="L3" s="18" t="s">
        <v>2603</v>
      </c>
      <c r="M3" s="18" t="s">
        <v>448</v>
      </c>
      <c r="O3" s="3"/>
      <c r="P3" s="18" t="s">
        <v>2604</v>
      </c>
      <c r="Q3" s="18" t="s">
        <v>2605</v>
      </c>
      <c r="R3" s="18" t="s">
        <v>392</v>
      </c>
      <c r="U3" t="s">
        <v>4007</v>
      </c>
      <c r="V3" t="s">
        <v>4008</v>
      </c>
      <c r="W3" t="s">
        <v>392</v>
      </c>
      <c r="AG3" s="43"/>
      <c r="AJ3" s="18" t="s">
        <v>328</v>
      </c>
      <c r="AL3" s="18" t="s">
        <v>259</v>
      </c>
      <c r="AO3" t="s">
        <v>2606</v>
      </c>
      <c r="AP3" s="3" t="s">
        <v>258</v>
      </c>
      <c r="AQ3" t="s">
        <v>344</v>
      </c>
      <c r="AR3" s="18" t="s">
        <v>260</v>
      </c>
      <c r="AS3" s="18" t="s">
        <v>372</v>
      </c>
      <c r="AT3" s="18" t="s">
        <v>373</v>
      </c>
      <c r="AU3" s="18" t="s">
        <v>374</v>
      </c>
      <c r="AV3" s="18" t="s">
        <v>259</v>
      </c>
      <c r="AW3" s="18" t="s">
        <v>260</v>
      </c>
      <c r="AX3" s="1"/>
      <c r="AY3" s="1"/>
      <c r="AZ3" s="1"/>
      <c r="BA3" s="1"/>
      <c r="BB3" s="1"/>
      <c r="BC3" s="2"/>
      <c r="BD3" s="115">
        <v>45060</v>
      </c>
      <c r="BE3" s="115">
        <v>44957</v>
      </c>
      <c r="BF3" s="2"/>
      <c r="BG3" s="2"/>
      <c r="BH3" s="2"/>
      <c r="BI3" s="2"/>
      <c r="BJ3" s="2"/>
      <c r="BK3" s="2"/>
      <c r="BL3" s="20">
        <f t="shared" ca="1" si="0"/>
        <v>1863.43075</v>
      </c>
      <c r="BM3" s="22">
        <f t="shared" ca="1" si="1"/>
        <v>-163.8251676779322</v>
      </c>
      <c r="BN3" s="22">
        <f t="shared" ca="1" si="2"/>
        <v>163.8251676779322</v>
      </c>
      <c r="BO3" s="14">
        <f t="shared" si="3"/>
        <v>7.8</v>
      </c>
      <c r="BP3" s="22">
        <f t="shared" ca="1" si="4"/>
        <v>171.62516767793221</v>
      </c>
      <c r="BQ3" s="14"/>
      <c r="BR3" s="14">
        <f t="shared" si="5"/>
        <v>0</v>
      </c>
      <c r="BS3" s="14">
        <f t="shared" ca="1" si="6"/>
        <v>0</v>
      </c>
      <c r="BT3" s="17">
        <f t="shared" si="7"/>
        <v>0</v>
      </c>
      <c r="BU3" s="23">
        <f t="shared" ca="1" si="8"/>
        <v>53</v>
      </c>
      <c r="BV3" s="14">
        <f t="shared" ca="1" si="9"/>
        <v>0</v>
      </c>
      <c r="BW3" s="14">
        <f>SUM(EG3*0.0052)</f>
        <v>62.4</v>
      </c>
      <c r="BX3" s="14">
        <f t="shared" si="10"/>
        <v>6.24</v>
      </c>
      <c r="BY3" s="14">
        <f t="shared" si="11"/>
        <v>28.027999999999988</v>
      </c>
      <c r="BZ3" s="17">
        <f t="shared" si="12"/>
        <v>0.57199999999999973</v>
      </c>
      <c r="CA3" s="23">
        <v>49</v>
      </c>
      <c r="CB3" s="14">
        <f t="shared" si="13"/>
        <v>96.667999999999992</v>
      </c>
      <c r="CC3" s="14">
        <f t="shared" si="14"/>
        <v>62.4</v>
      </c>
      <c r="CD3" s="14">
        <f t="shared" si="15"/>
        <v>6.24</v>
      </c>
      <c r="CE3" s="14">
        <f t="shared" si="16"/>
        <v>21.163999999999991</v>
      </c>
      <c r="CF3" s="17">
        <f t="shared" si="17"/>
        <v>0.57199999999999973</v>
      </c>
      <c r="CG3" s="23">
        <v>37</v>
      </c>
      <c r="CH3" s="14">
        <f t="shared" si="18"/>
        <v>89.803999999999988</v>
      </c>
      <c r="CI3" s="14">
        <f t="shared" si="19"/>
        <v>62.4</v>
      </c>
      <c r="CJ3" s="14">
        <f t="shared" si="20"/>
        <v>6.24</v>
      </c>
      <c r="CK3" s="14">
        <f>SUM(CL3*CM3)</f>
        <v>14.299999999999994</v>
      </c>
      <c r="CL3" s="17">
        <f t="shared" si="21"/>
        <v>0.57199999999999973</v>
      </c>
      <c r="CM3" s="23">
        <v>25</v>
      </c>
      <c r="CN3" s="14">
        <f t="shared" si="22"/>
        <v>82.94</v>
      </c>
      <c r="CO3" s="14">
        <f t="shared" si="23"/>
        <v>31.2</v>
      </c>
      <c r="CP3" s="14">
        <f t="shared" si="24"/>
        <v>3.12</v>
      </c>
      <c r="CQ3" s="14">
        <f t="shared" si="25"/>
        <v>4.8619999999999974</v>
      </c>
      <c r="CR3" s="17">
        <f t="shared" si="26"/>
        <v>0.28599999999999987</v>
      </c>
      <c r="CS3" s="23">
        <v>17</v>
      </c>
      <c r="CT3" s="23">
        <f t="shared" si="27"/>
        <v>39.181999999999995</v>
      </c>
      <c r="CU3" s="14">
        <f t="shared" si="28"/>
        <v>31.2</v>
      </c>
      <c r="CV3" s="14">
        <f t="shared" si="29"/>
        <v>3.12</v>
      </c>
      <c r="CW3" s="14">
        <f t="shared" si="30"/>
        <v>3.7179999999999982</v>
      </c>
      <c r="CX3" s="17">
        <f t="shared" si="31"/>
        <v>0.28599999999999987</v>
      </c>
      <c r="CY3" s="23">
        <v>13</v>
      </c>
      <c r="CZ3" s="23">
        <f t="shared" si="32"/>
        <v>38.037999999999997</v>
      </c>
      <c r="DA3" s="14">
        <f t="shared" si="33"/>
        <v>40.5</v>
      </c>
      <c r="DB3" s="14">
        <f t="shared" si="34"/>
        <v>4.05</v>
      </c>
      <c r="DC3" s="14">
        <f t="shared" si="35"/>
        <v>2.5987499999999986</v>
      </c>
      <c r="DD3" s="17">
        <f t="shared" si="36"/>
        <v>0.3712499999999998</v>
      </c>
      <c r="DE3" s="23">
        <v>7</v>
      </c>
      <c r="DF3" s="23">
        <f t="shared" si="37"/>
        <v>47.148749999999993</v>
      </c>
      <c r="DG3" s="14">
        <f t="shared" si="38"/>
        <v>40.5</v>
      </c>
      <c r="DH3" s="14">
        <v>0</v>
      </c>
      <c r="DI3" s="14">
        <v>0</v>
      </c>
      <c r="DJ3" s="17">
        <f t="shared" si="39"/>
        <v>0.33749999999999986</v>
      </c>
      <c r="DK3" s="23">
        <f t="shared" ca="1" si="40"/>
        <v>5</v>
      </c>
      <c r="DL3" s="14">
        <f t="shared" si="41"/>
        <v>40.5</v>
      </c>
      <c r="DM3" s="14">
        <f t="shared" si="42"/>
        <v>330.59999999999997</v>
      </c>
      <c r="DN3" s="14">
        <f t="shared" si="43"/>
        <v>29.01</v>
      </c>
      <c r="DO3" s="14">
        <f t="shared" ca="1" si="43"/>
        <v>74.67074999999997</v>
      </c>
      <c r="DP3" s="25">
        <f t="shared" ca="1" si="44"/>
        <v>434.2807499999999</v>
      </c>
      <c r="DQ3" s="47">
        <f t="shared" ca="1" si="45"/>
        <v>3.6190062499999995E-2</v>
      </c>
      <c r="DR3" s="14">
        <f>369.5+100+80+100</f>
        <v>649.5</v>
      </c>
      <c r="DS3" s="32">
        <f t="shared" si="46"/>
        <v>6</v>
      </c>
      <c r="DT3" s="14">
        <f>DS3*0.5+DS3*7.45+55.17</f>
        <v>102.87</v>
      </c>
      <c r="DU3" s="4">
        <v>250</v>
      </c>
      <c r="DV3" s="4">
        <f>36.76+157.5</f>
        <v>194.26</v>
      </c>
      <c r="DW3" s="4"/>
      <c r="DX3" s="4"/>
      <c r="DZ3" s="4"/>
      <c r="EA3" s="14">
        <f t="shared" si="47"/>
        <v>194.26</v>
      </c>
      <c r="EB3" s="14">
        <f t="shared" ca="1" si="48"/>
        <v>1643.43075</v>
      </c>
      <c r="EC3" s="24" t="s">
        <v>4954</v>
      </c>
      <c r="ED3" s="7">
        <v>0.28999999999999998</v>
      </c>
      <c r="EE3" s="4">
        <v>12000</v>
      </c>
      <c r="EF3" s="4">
        <v>0</v>
      </c>
      <c r="EG3" s="14">
        <f t="shared" si="49"/>
        <v>12000</v>
      </c>
      <c r="EH3" s="14">
        <v>18000</v>
      </c>
      <c r="EI3" s="14">
        <v>0</v>
      </c>
      <c r="EJ3" s="14">
        <f t="shared" si="50"/>
        <v>18000</v>
      </c>
      <c r="EK3" t="s">
        <v>4974</v>
      </c>
      <c r="EL3" t="s">
        <v>4994</v>
      </c>
      <c r="EW3" t="s">
        <v>4009</v>
      </c>
      <c r="EY3" t="s">
        <v>4010</v>
      </c>
      <c r="FA3" t="s">
        <v>344</v>
      </c>
      <c r="FB3" t="s">
        <v>260</v>
      </c>
      <c r="FC3" t="s">
        <v>4011</v>
      </c>
      <c r="FE3" t="s">
        <v>4014</v>
      </c>
      <c r="FG3" t="s">
        <v>4015</v>
      </c>
      <c r="FH3" t="s">
        <v>757</v>
      </c>
      <c r="FI3" t="s">
        <v>4012</v>
      </c>
      <c r="FK3" t="s">
        <v>4013</v>
      </c>
      <c r="FL3" t="s">
        <v>1060</v>
      </c>
      <c r="FM3" t="s">
        <v>757</v>
      </c>
      <c r="GB3" s="4">
        <v>12.52</v>
      </c>
      <c r="IE3" s="9">
        <v>45227</v>
      </c>
      <c r="IF3" s="4">
        <v>13000</v>
      </c>
      <c r="IG3" s="4">
        <v>2500</v>
      </c>
      <c r="IH3" t="s">
        <v>5003</v>
      </c>
      <c r="II3" t="s">
        <v>5004</v>
      </c>
      <c r="IJ3" t="s">
        <v>259</v>
      </c>
      <c r="IM3" s="4">
        <v>125</v>
      </c>
      <c r="IN3" s="14">
        <f t="shared" ca="1" si="51"/>
        <v>11344.04925</v>
      </c>
      <c r="IO3" s="9"/>
      <c r="IP3" s="9"/>
      <c r="IQ3" s="9"/>
      <c r="IR3" s="9"/>
      <c r="IS3" s="9"/>
    </row>
    <row r="4" spans="1:263" ht="17.25">
      <c r="A4" s="18">
        <v>102021079</v>
      </c>
      <c r="B4" s="18" t="s">
        <v>2569</v>
      </c>
      <c r="C4" s="18"/>
      <c r="D4" s="13"/>
      <c r="E4" s="24" t="s">
        <v>3727</v>
      </c>
      <c r="F4" s="18">
        <v>220002140</v>
      </c>
      <c r="G4" s="24"/>
      <c r="H4" s="18"/>
      <c r="I4" s="18"/>
      <c r="J4" s="18" t="s">
        <v>311</v>
      </c>
      <c r="K4" s="18" t="s">
        <v>1126</v>
      </c>
      <c r="L4" s="18" t="s">
        <v>395</v>
      </c>
      <c r="M4" s="18" t="s">
        <v>469</v>
      </c>
      <c r="N4" s="18"/>
      <c r="O4" s="24"/>
      <c r="P4" s="18"/>
      <c r="Q4" s="18"/>
      <c r="R4" s="18"/>
      <c r="S4" s="18"/>
      <c r="T4" s="18"/>
      <c r="U4" s="18"/>
      <c r="V4" s="18"/>
      <c r="W4" s="18"/>
      <c r="X4" s="18"/>
      <c r="Y4" s="18"/>
      <c r="Z4" s="18"/>
      <c r="AA4" s="18"/>
      <c r="AB4" s="18"/>
      <c r="AC4" s="18"/>
      <c r="AD4" s="18"/>
      <c r="AE4" s="18"/>
      <c r="AF4" s="18"/>
      <c r="AG4" s="26"/>
      <c r="AH4" s="18"/>
      <c r="AI4" s="18"/>
      <c r="AJ4" s="18" t="s">
        <v>328</v>
      </c>
      <c r="AK4" s="18"/>
      <c r="AL4" s="18" t="s">
        <v>600</v>
      </c>
      <c r="AM4" s="18"/>
      <c r="AN4" s="18"/>
      <c r="AO4" s="18" t="s">
        <v>2570</v>
      </c>
      <c r="AP4" s="24" t="s">
        <v>258</v>
      </c>
      <c r="AQ4" s="18" t="s">
        <v>600</v>
      </c>
      <c r="AR4" s="18" t="s">
        <v>260</v>
      </c>
      <c r="AS4" s="18"/>
      <c r="AT4" s="18"/>
      <c r="AU4" s="18"/>
      <c r="AV4" s="18"/>
      <c r="AW4" s="18"/>
      <c r="AX4" s="13"/>
      <c r="AY4" s="13"/>
      <c r="AZ4" s="13" t="s">
        <v>258</v>
      </c>
      <c r="BA4" s="13" t="s">
        <v>258</v>
      </c>
      <c r="BB4" s="13" t="s">
        <v>258</v>
      </c>
      <c r="BC4" s="70">
        <v>44648</v>
      </c>
      <c r="BD4" s="115">
        <v>44598</v>
      </c>
      <c r="BE4" s="114">
        <v>44615</v>
      </c>
      <c r="BF4" s="48">
        <v>44673</v>
      </c>
      <c r="BG4" s="19" t="s">
        <v>318</v>
      </c>
      <c r="BH4" s="9">
        <v>44659</v>
      </c>
      <c r="BI4" s="48">
        <v>44666</v>
      </c>
      <c r="BJ4" s="21">
        <v>45163</v>
      </c>
      <c r="BK4" s="19" t="s">
        <v>319</v>
      </c>
      <c r="BL4" s="20">
        <f t="shared" ca="1" si="0"/>
        <v>5210.3542958333337</v>
      </c>
      <c r="BM4" s="22">
        <f t="shared" ca="1" si="1"/>
        <v>-458.07292070087942</v>
      </c>
      <c r="BN4" s="22">
        <f t="shared" ca="1" si="2"/>
        <v>458.07292070087942</v>
      </c>
      <c r="BO4" s="14">
        <f t="shared" si="3"/>
        <v>8.2766666666666655</v>
      </c>
      <c r="BP4" s="22">
        <f t="shared" ca="1" si="4"/>
        <v>466.34958736754606</v>
      </c>
      <c r="BQ4" s="14"/>
      <c r="BR4" s="14">
        <f t="shared" si="5"/>
        <v>0</v>
      </c>
      <c r="BS4" s="14">
        <f t="shared" ca="1" si="6"/>
        <v>0</v>
      </c>
      <c r="BT4" s="17">
        <f t="shared" si="7"/>
        <v>0</v>
      </c>
      <c r="BU4" s="23">
        <f t="shared" ca="1" si="8"/>
        <v>53</v>
      </c>
      <c r="BV4" s="14">
        <f t="shared" ca="1" si="9"/>
        <v>0</v>
      </c>
      <c r="BW4" s="14">
        <v>9.36</v>
      </c>
      <c r="BX4" s="14">
        <f t="shared" si="10"/>
        <v>0.93599999999999994</v>
      </c>
      <c r="BY4" s="14">
        <f t="shared" si="11"/>
        <v>4.2041999999999984</v>
      </c>
      <c r="BZ4" s="17">
        <f t="shared" si="12"/>
        <v>8.579999999999996E-2</v>
      </c>
      <c r="CA4" s="23">
        <v>49</v>
      </c>
      <c r="CB4" s="14">
        <f t="shared" si="13"/>
        <v>14.500199999999998</v>
      </c>
      <c r="CC4" s="14">
        <f t="shared" si="14"/>
        <v>94.11999999999999</v>
      </c>
      <c r="CD4" s="14">
        <f t="shared" si="15"/>
        <v>9.411999999999999</v>
      </c>
      <c r="CE4" s="14">
        <f t="shared" si="16"/>
        <v>31.922366666666647</v>
      </c>
      <c r="CF4" s="17">
        <f t="shared" si="17"/>
        <v>0.86276666666666613</v>
      </c>
      <c r="CG4" s="23">
        <v>37</v>
      </c>
      <c r="CH4" s="14">
        <f t="shared" si="18"/>
        <v>135.45436666666663</v>
      </c>
      <c r="CI4" s="14">
        <f t="shared" si="19"/>
        <v>94.11999999999999</v>
      </c>
      <c r="CJ4" s="14">
        <f t="shared" si="20"/>
        <v>9.411999999999999</v>
      </c>
      <c r="CK4" s="14">
        <f t="shared" ref="CK4:CK9" si="52">SUM(CL4*CM4)</f>
        <v>21.569166666666653</v>
      </c>
      <c r="CL4" s="17">
        <f t="shared" si="21"/>
        <v>0.86276666666666613</v>
      </c>
      <c r="CM4" s="23">
        <v>25</v>
      </c>
      <c r="CN4" s="14">
        <f t="shared" si="22"/>
        <v>125.10116666666664</v>
      </c>
      <c r="CO4" s="14">
        <f t="shared" si="23"/>
        <v>47.059999999999995</v>
      </c>
      <c r="CP4" s="14">
        <f t="shared" si="24"/>
        <v>4.7059999999999995</v>
      </c>
      <c r="CQ4" s="14">
        <f t="shared" si="25"/>
        <v>7.3335166666666618</v>
      </c>
      <c r="CR4" s="17">
        <f t="shared" si="26"/>
        <v>0.43138333333333306</v>
      </c>
      <c r="CS4" s="23">
        <v>17</v>
      </c>
      <c r="CT4" s="23">
        <f t="shared" si="27"/>
        <v>59.099516666666652</v>
      </c>
      <c r="CU4" s="14">
        <f t="shared" si="28"/>
        <v>47.059999999999995</v>
      </c>
      <c r="CV4" s="14">
        <f t="shared" si="29"/>
        <v>4.7059999999999995</v>
      </c>
      <c r="CW4" s="14">
        <f t="shared" si="30"/>
        <v>5.6079833333333298</v>
      </c>
      <c r="CX4" s="17">
        <f t="shared" si="31"/>
        <v>0.43138333333333306</v>
      </c>
      <c r="CY4" s="23">
        <v>13</v>
      </c>
      <c r="CZ4" s="23">
        <f t="shared" si="32"/>
        <v>57.373983333333321</v>
      </c>
      <c r="DA4" s="14">
        <f t="shared" si="33"/>
        <v>42.974999999999994</v>
      </c>
      <c r="DB4" s="14">
        <f t="shared" si="34"/>
        <v>4.2974999999999994</v>
      </c>
      <c r="DC4" s="14">
        <f t="shared" si="35"/>
        <v>2.7575624999999984</v>
      </c>
      <c r="DD4" s="17">
        <f t="shared" si="36"/>
        <v>0.39393749999999977</v>
      </c>
      <c r="DE4" s="23">
        <v>7</v>
      </c>
      <c r="DF4" s="23">
        <f t="shared" si="37"/>
        <v>50.030062499999993</v>
      </c>
      <c r="DG4" s="14">
        <f t="shared" si="38"/>
        <v>42.974999999999994</v>
      </c>
      <c r="DH4" s="14">
        <v>0</v>
      </c>
      <c r="DI4" s="14">
        <v>0</v>
      </c>
      <c r="DJ4" s="17">
        <f t="shared" si="39"/>
        <v>0.3581249999999998</v>
      </c>
      <c r="DK4" s="23">
        <f t="shared" ca="1" si="40"/>
        <v>5</v>
      </c>
      <c r="DL4" s="14">
        <f t="shared" si="41"/>
        <v>42.974999999999994</v>
      </c>
      <c r="DM4" s="14">
        <f t="shared" si="42"/>
        <v>377.66999999999996</v>
      </c>
      <c r="DN4" s="14">
        <f t="shared" si="43"/>
        <v>33.469499999999996</v>
      </c>
      <c r="DO4" s="14">
        <f t="shared" ca="1" si="43"/>
        <v>73.394795833333276</v>
      </c>
      <c r="DP4" s="25">
        <f t="shared" ca="1" si="44"/>
        <v>484.5342958333332</v>
      </c>
      <c r="DQ4" s="47">
        <f t="shared" ca="1" si="45"/>
        <v>2.6769850598526695E-2</v>
      </c>
      <c r="DR4" s="14">
        <f>1344.5+100+80+160+100+200+40</f>
        <v>2024.5</v>
      </c>
      <c r="DS4" s="32">
        <f t="shared" si="46"/>
        <v>4</v>
      </c>
      <c r="DT4" s="14">
        <f>1.06+13.32+30+55.17</f>
        <v>99.550000000000011</v>
      </c>
      <c r="DU4" s="14">
        <f>150+150+150</f>
        <v>450</v>
      </c>
      <c r="DV4" s="14">
        <f>50.23+725.8+246.49</f>
        <v>1022.52</v>
      </c>
      <c r="DW4" s="14">
        <f>93.75+247.5</f>
        <v>341.25</v>
      </c>
      <c r="DX4" s="4">
        <v>108</v>
      </c>
      <c r="DY4" s="14">
        <v>100</v>
      </c>
      <c r="DZ4" s="4">
        <v>360</v>
      </c>
      <c r="EA4" s="14">
        <f t="shared" si="47"/>
        <v>1931.77</v>
      </c>
      <c r="EB4" s="14">
        <f t="shared" ca="1" si="48"/>
        <v>4990.3542958333337</v>
      </c>
      <c r="EC4" s="24" t="s">
        <v>4954</v>
      </c>
      <c r="ED4" s="23">
        <v>1</v>
      </c>
      <c r="EE4" s="14">
        <v>16000</v>
      </c>
      <c r="EF4" s="14">
        <v>2100</v>
      </c>
      <c r="EG4" s="14">
        <f t="shared" si="49"/>
        <v>18100</v>
      </c>
      <c r="EH4" s="14">
        <v>16000</v>
      </c>
      <c r="EI4" s="14">
        <v>3100</v>
      </c>
      <c r="EJ4" s="14">
        <f t="shared" si="50"/>
        <v>19100</v>
      </c>
      <c r="EK4" s="18" t="s">
        <v>3374</v>
      </c>
      <c r="EL4" s="18" t="s">
        <v>3375</v>
      </c>
      <c r="EM4" s="18" t="s">
        <v>3373</v>
      </c>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4"/>
      <c r="GC4" t="s">
        <v>421</v>
      </c>
      <c r="GD4" s="18" t="s">
        <v>3975</v>
      </c>
      <c r="GE4" s="18" t="s">
        <v>3976</v>
      </c>
      <c r="GF4" s="18"/>
      <c r="GG4" s="18" t="s">
        <v>3977</v>
      </c>
      <c r="GH4" s="18" t="s">
        <v>3978</v>
      </c>
      <c r="GI4" s="27">
        <v>38593</v>
      </c>
      <c r="GJ4" s="18" t="s">
        <v>3979</v>
      </c>
      <c r="GK4" s="18"/>
      <c r="GL4" s="18"/>
      <c r="GM4" s="18"/>
      <c r="GN4" s="18" t="s">
        <v>3981</v>
      </c>
      <c r="GO4" s="18" t="s">
        <v>383</v>
      </c>
      <c r="GP4" s="18" t="s">
        <v>385</v>
      </c>
      <c r="GR4" s="18" t="s">
        <v>386</v>
      </c>
      <c r="GS4" s="18" t="s">
        <v>260</v>
      </c>
      <c r="GT4" s="27">
        <v>38357</v>
      </c>
      <c r="GU4" s="18" t="s">
        <v>3980</v>
      </c>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9">
        <v>45227</v>
      </c>
      <c r="IF4" s="14">
        <v>5500</v>
      </c>
      <c r="IG4" s="14">
        <v>6850</v>
      </c>
      <c r="IH4" t="s">
        <v>4999</v>
      </c>
      <c r="II4" t="s">
        <v>5000</v>
      </c>
      <c r="IJ4" t="s">
        <v>267</v>
      </c>
      <c r="IK4" s="18"/>
      <c r="IL4" s="18"/>
      <c r="IM4" s="14">
        <v>130.16999999999999</v>
      </c>
      <c r="IN4" s="14">
        <f t="shared" ca="1" si="51"/>
        <v>509.64570416666629</v>
      </c>
      <c r="IO4" s="27">
        <v>45180</v>
      </c>
      <c r="IP4" s="27">
        <v>45204</v>
      </c>
      <c r="IQ4" s="27"/>
      <c r="IR4" s="27"/>
      <c r="IS4" s="27"/>
    </row>
    <row r="5" spans="1:263">
      <c r="A5" s="18">
        <v>102022063</v>
      </c>
      <c r="B5" t="s">
        <v>2808</v>
      </c>
      <c r="D5" s="1"/>
      <c r="E5" t="s">
        <v>4912</v>
      </c>
      <c r="F5">
        <v>230002880</v>
      </c>
      <c r="G5" s="3"/>
      <c r="K5" t="s">
        <v>3038</v>
      </c>
      <c r="O5" s="3"/>
      <c r="Z5" t="s">
        <v>3039</v>
      </c>
      <c r="AA5" t="s">
        <v>3040</v>
      </c>
      <c r="AB5" t="s">
        <v>3041</v>
      </c>
      <c r="AC5" t="s">
        <v>2584</v>
      </c>
      <c r="AG5" s="43"/>
      <c r="AJ5" s="18" t="s">
        <v>328</v>
      </c>
      <c r="AL5" t="s">
        <v>349</v>
      </c>
      <c r="AO5" t="s">
        <v>3042</v>
      </c>
      <c r="AP5" s="3"/>
      <c r="AQ5" t="s">
        <v>3041</v>
      </c>
      <c r="AX5" s="1"/>
      <c r="AY5" s="1"/>
      <c r="AZ5" s="1" t="s">
        <v>258</v>
      </c>
      <c r="BA5" s="1"/>
      <c r="BB5" s="1"/>
      <c r="BC5" s="70">
        <v>45092</v>
      </c>
      <c r="BD5" s="115">
        <v>45060</v>
      </c>
      <c r="BE5" s="115">
        <v>45057</v>
      </c>
      <c r="BF5" s="2"/>
      <c r="BG5" s="2"/>
      <c r="BH5" s="2"/>
      <c r="BI5" s="2"/>
      <c r="BJ5" s="70">
        <v>45177</v>
      </c>
      <c r="BK5" s="2" t="s">
        <v>319</v>
      </c>
      <c r="BL5" s="20">
        <f t="shared" ca="1" si="0"/>
        <v>3273.9570500000004</v>
      </c>
      <c r="BM5" s="22">
        <f t="shared" ca="1" si="1"/>
        <v>-287.83283880369493</v>
      </c>
      <c r="BN5" s="22">
        <f t="shared" ca="1" si="2"/>
        <v>287.83283880369493</v>
      </c>
      <c r="BO5" s="14">
        <f t="shared" si="3"/>
        <v>6.0666666666666664</v>
      </c>
      <c r="BP5" s="22">
        <f t="shared" ca="1" si="4"/>
        <v>293.89950547036159</v>
      </c>
      <c r="BQ5" s="14"/>
      <c r="BR5" s="14">
        <f t="shared" si="5"/>
        <v>0</v>
      </c>
      <c r="BS5" s="14">
        <f t="shared" ca="1" si="6"/>
        <v>0</v>
      </c>
      <c r="BT5" s="17">
        <f t="shared" si="7"/>
        <v>0</v>
      </c>
      <c r="BU5" s="23">
        <f t="shared" ca="1" si="8"/>
        <v>53</v>
      </c>
      <c r="BV5" s="14">
        <f t="shared" ca="1" si="9"/>
        <v>0</v>
      </c>
      <c r="BW5" s="14"/>
      <c r="BX5" s="14">
        <f t="shared" si="10"/>
        <v>0</v>
      </c>
      <c r="BY5" s="14">
        <f t="shared" si="11"/>
        <v>0</v>
      </c>
      <c r="BZ5" s="17">
        <f t="shared" si="12"/>
        <v>0</v>
      </c>
      <c r="CA5" s="23">
        <v>49</v>
      </c>
      <c r="CB5" s="14">
        <f t="shared" si="13"/>
        <v>0</v>
      </c>
      <c r="CC5" s="14">
        <f t="shared" si="14"/>
        <v>59.279999999999994</v>
      </c>
      <c r="CD5" s="14">
        <f t="shared" si="15"/>
        <v>5.9279999999999999</v>
      </c>
      <c r="CE5" s="14">
        <f t="shared" si="16"/>
        <v>20.105799999999991</v>
      </c>
      <c r="CF5" s="17">
        <f t="shared" si="17"/>
        <v>0.54339999999999977</v>
      </c>
      <c r="CG5" s="23">
        <v>37</v>
      </c>
      <c r="CH5" s="14">
        <f t="shared" si="18"/>
        <v>85.313799999999986</v>
      </c>
      <c r="CI5" s="14">
        <f t="shared" si="19"/>
        <v>59.279999999999994</v>
      </c>
      <c r="CJ5" s="14">
        <f t="shared" si="20"/>
        <v>5.9279999999999999</v>
      </c>
      <c r="CK5" s="14">
        <f t="shared" si="52"/>
        <v>13.584999999999994</v>
      </c>
      <c r="CL5" s="17">
        <f t="shared" si="21"/>
        <v>0.54339999999999977</v>
      </c>
      <c r="CM5" s="23">
        <v>25</v>
      </c>
      <c r="CN5" s="14">
        <f t="shared" si="22"/>
        <v>78.792999999999992</v>
      </c>
      <c r="CO5" s="14">
        <f t="shared" si="23"/>
        <v>29.639999999999997</v>
      </c>
      <c r="CP5" s="14">
        <f t="shared" si="24"/>
        <v>2.964</v>
      </c>
      <c r="CQ5" s="14">
        <f t="shared" si="25"/>
        <v>4.6188999999999982</v>
      </c>
      <c r="CR5" s="17">
        <f t="shared" si="26"/>
        <v>0.27169999999999989</v>
      </c>
      <c r="CS5" s="23">
        <v>17</v>
      </c>
      <c r="CT5" s="23">
        <f t="shared" si="27"/>
        <v>37.222899999999996</v>
      </c>
      <c r="CU5" s="14">
        <f t="shared" si="28"/>
        <v>29.639999999999997</v>
      </c>
      <c r="CV5" s="14">
        <f t="shared" si="29"/>
        <v>2.964</v>
      </c>
      <c r="CW5" s="14">
        <f t="shared" si="30"/>
        <v>3.5320999999999985</v>
      </c>
      <c r="CX5" s="17">
        <f t="shared" si="31"/>
        <v>0.27169999999999989</v>
      </c>
      <c r="CY5" s="23">
        <v>13</v>
      </c>
      <c r="CZ5" s="23">
        <f t="shared" si="32"/>
        <v>36.136099999999999</v>
      </c>
      <c r="DA5" s="14">
        <f t="shared" si="33"/>
        <v>31.499999999999996</v>
      </c>
      <c r="DB5" s="14">
        <f t="shared" si="34"/>
        <v>3.15</v>
      </c>
      <c r="DC5" s="14">
        <f t="shared" si="35"/>
        <v>2.0212499999999989</v>
      </c>
      <c r="DD5" s="17">
        <f t="shared" si="36"/>
        <v>0.28874999999999984</v>
      </c>
      <c r="DE5" s="23">
        <v>7</v>
      </c>
      <c r="DF5" s="23">
        <f t="shared" si="37"/>
        <v>36.671250000000001</v>
      </c>
      <c r="DG5" s="14">
        <f t="shared" si="38"/>
        <v>31.499999999999996</v>
      </c>
      <c r="DH5" s="14">
        <v>0</v>
      </c>
      <c r="DI5" s="14">
        <v>0</v>
      </c>
      <c r="DJ5" s="17">
        <f t="shared" si="39"/>
        <v>0.26249999999999984</v>
      </c>
      <c r="DK5" s="23">
        <f t="shared" ca="1" si="40"/>
        <v>5</v>
      </c>
      <c r="DL5" s="14">
        <f t="shared" si="41"/>
        <v>31.499999999999996</v>
      </c>
      <c r="DM5" s="14">
        <f t="shared" si="42"/>
        <v>240.83999999999997</v>
      </c>
      <c r="DN5" s="14">
        <f t="shared" si="43"/>
        <v>20.933999999999997</v>
      </c>
      <c r="DO5" s="14">
        <f t="shared" ca="1" si="43"/>
        <v>43.86304999999998</v>
      </c>
      <c r="DP5" s="25">
        <f t="shared" ca="1" si="44"/>
        <v>305.63704999999999</v>
      </c>
      <c r="DQ5" s="47">
        <f t="shared" ca="1" si="45"/>
        <v>2.6810267543859647E-2</v>
      </c>
      <c r="DR5" s="14">
        <f>949.5+100+80+160+100+200+40</f>
        <v>1629.5</v>
      </c>
      <c r="DS5" s="32">
        <f t="shared" si="46"/>
        <v>3</v>
      </c>
      <c r="DT5" s="14">
        <f>1.8+DS5*7.45+55.17</f>
        <v>79.320000000000007</v>
      </c>
      <c r="DU5" s="4">
        <v>250</v>
      </c>
      <c r="DV5" s="4">
        <f>36.76+246.49</f>
        <v>283.25</v>
      </c>
      <c r="DW5" s="4"/>
      <c r="DX5" s="4">
        <v>46.25</v>
      </c>
      <c r="DY5" s="14">
        <v>100</v>
      </c>
      <c r="DZ5" s="4">
        <v>360</v>
      </c>
      <c r="EA5" s="14">
        <f t="shared" si="47"/>
        <v>789.5</v>
      </c>
      <c r="EB5" s="14">
        <f t="shared" ca="1" si="48"/>
        <v>3053.9570500000004</v>
      </c>
      <c r="EC5" s="24" t="s">
        <v>4920</v>
      </c>
      <c r="ED5" s="7">
        <v>0.89</v>
      </c>
      <c r="EE5" s="4">
        <v>8900</v>
      </c>
      <c r="EF5" s="4">
        <v>2500</v>
      </c>
      <c r="EG5" s="14">
        <f t="shared" si="49"/>
        <v>11400</v>
      </c>
      <c r="EH5" s="14">
        <v>11500</v>
      </c>
      <c r="EI5" s="14">
        <v>2500</v>
      </c>
      <c r="EJ5" s="14">
        <f t="shared" si="50"/>
        <v>14000</v>
      </c>
      <c r="EK5" t="s">
        <v>4840</v>
      </c>
      <c r="EL5" t="s">
        <v>4841</v>
      </c>
      <c r="EM5" t="s">
        <v>4842</v>
      </c>
      <c r="IE5" s="9">
        <v>45227</v>
      </c>
      <c r="IF5" s="4">
        <v>6000</v>
      </c>
      <c r="IG5" s="4">
        <v>6750</v>
      </c>
      <c r="IH5" t="s">
        <v>4999</v>
      </c>
      <c r="II5" t="s">
        <v>5000</v>
      </c>
      <c r="IJ5" t="s">
        <v>267</v>
      </c>
      <c r="IM5" s="4">
        <v>107.67</v>
      </c>
      <c r="IN5" s="14">
        <f t="shared" ca="1" si="51"/>
        <v>2946.0429499999996</v>
      </c>
      <c r="IO5" s="9">
        <v>45187</v>
      </c>
      <c r="IP5" s="9">
        <v>45204</v>
      </c>
      <c r="IQ5" s="9"/>
      <c r="IR5" s="9"/>
      <c r="IS5" s="9"/>
    </row>
    <row r="6" spans="1:263">
      <c r="A6" s="18">
        <v>102022064</v>
      </c>
      <c r="B6" t="s">
        <v>2809</v>
      </c>
      <c r="D6" s="1"/>
      <c r="E6" t="s">
        <v>4913</v>
      </c>
      <c r="F6">
        <v>230002883</v>
      </c>
      <c r="G6" s="3"/>
      <c r="K6" t="s">
        <v>3043</v>
      </c>
      <c r="O6" s="3"/>
      <c r="AG6" s="43"/>
      <c r="AJ6" s="18" t="s">
        <v>328</v>
      </c>
      <c r="AL6" t="s">
        <v>349</v>
      </c>
      <c r="AO6" t="s">
        <v>3042</v>
      </c>
      <c r="AP6" s="3"/>
      <c r="AQ6" t="s">
        <v>3041</v>
      </c>
      <c r="AX6" s="1"/>
      <c r="AY6" s="1"/>
      <c r="AZ6" s="1" t="s">
        <v>258</v>
      </c>
      <c r="BA6" s="1"/>
      <c r="BB6" s="1"/>
      <c r="BC6" s="70">
        <v>45092</v>
      </c>
      <c r="BD6" s="115">
        <v>45060</v>
      </c>
      <c r="BE6" s="115">
        <v>45057</v>
      </c>
      <c r="BF6" s="2"/>
      <c r="BG6" s="2"/>
      <c r="BH6" s="2"/>
      <c r="BI6" s="2"/>
      <c r="BJ6" s="70">
        <v>45177</v>
      </c>
      <c r="BK6" s="2" t="s">
        <v>319</v>
      </c>
      <c r="BL6" s="20">
        <f t="shared" ca="1" si="0"/>
        <v>3029.1284541666669</v>
      </c>
      <c r="BM6" s="22">
        <f t="shared" ca="1" si="1"/>
        <v>-266.30851558172998</v>
      </c>
      <c r="BN6" s="22">
        <f t="shared" ca="1" si="2"/>
        <v>266.30851558172998</v>
      </c>
      <c r="BO6" s="14">
        <f t="shared" si="3"/>
        <v>2.6433333333333331</v>
      </c>
      <c r="BP6" s="22">
        <f t="shared" ca="1" si="4"/>
        <v>268.95184891506329</v>
      </c>
      <c r="BQ6" s="14"/>
      <c r="BR6" s="14">
        <f t="shared" si="5"/>
        <v>0</v>
      </c>
      <c r="BS6" s="14">
        <f t="shared" ca="1" si="6"/>
        <v>0</v>
      </c>
      <c r="BT6" s="17">
        <f t="shared" si="7"/>
        <v>0</v>
      </c>
      <c r="BU6" s="23">
        <f t="shared" ca="1" si="8"/>
        <v>53</v>
      </c>
      <c r="BV6" s="14">
        <f t="shared" ca="1" si="9"/>
        <v>0</v>
      </c>
      <c r="BW6" s="14"/>
      <c r="BX6" s="14">
        <f t="shared" si="10"/>
        <v>0</v>
      </c>
      <c r="BY6" s="14">
        <f t="shared" si="11"/>
        <v>0</v>
      </c>
      <c r="BZ6" s="17">
        <f t="shared" si="12"/>
        <v>0</v>
      </c>
      <c r="CA6" s="23">
        <v>49</v>
      </c>
      <c r="CB6" s="14">
        <f t="shared" si="13"/>
        <v>0</v>
      </c>
      <c r="CC6" s="14">
        <f t="shared" si="14"/>
        <v>19.759999999999998</v>
      </c>
      <c r="CD6" s="14">
        <f t="shared" si="15"/>
        <v>1.976</v>
      </c>
      <c r="CE6" s="14">
        <f t="shared" si="16"/>
        <v>6.7019333333333293</v>
      </c>
      <c r="CF6" s="17">
        <f t="shared" si="17"/>
        <v>0.18113333333333323</v>
      </c>
      <c r="CG6" s="23">
        <v>37</v>
      </c>
      <c r="CH6" s="14">
        <f t="shared" si="18"/>
        <v>28.437933333333326</v>
      </c>
      <c r="CI6" s="14">
        <f t="shared" si="19"/>
        <v>19.759999999999998</v>
      </c>
      <c r="CJ6" s="14">
        <f t="shared" si="20"/>
        <v>1.976</v>
      </c>
      <c r="CK6" s="14">
        <f t="shared" si="52"/>
        <v>4.5283333333333307</v>
      </c>
      <c r="CL6" s="17">
        <f t="shared" si="21"/>
        <v>0.18113333333333323</v>
      </c>
      <c r="CM6" s="23">
        <v>25</v>
      </c>
      <c r="CN6" s="14">
        <f t="shared" si="22"/>
        <v>26.264333333333326</v>
      </c>
      <c r="CO6" s="14">
        <f t="shared" si="23"/>
        <v>9.879999999999999</v>
      </c>
      <c r="CP6" s="14">
        <f t="shared" si="24"/>
        <v>0.98799999999999999</v>
      </c>
      <c r="CQ6" s="14">
        <f t="shared" si="25"/>
        <v>1.5396333333333325</v>
      </c>
      <c r="CR6" s="17">
        <f t="shared" si="26"/>
        <v>9.0566666666666615E-2</v>
      </c>
      <c r="CS6" s="23">
        <v>17</v>
      </c>
      <c r="CT6" s="23">
        <f t="shared" si="27"/>
        <v>12.407633333333331</v>
      </c>
      <c r="CU6" s="14">
        <f t="shared" si="28"/>
        <v>9.879999999999999</v>
      </c>
      <c r="CV6" s="14">
        <f t="shared" si="29"/>
        <v>0.98799999999999999</v>
      </c>
      <c r="CW6" s="14">
        <f t="shared" si="30"/>
        <v>1.177366666666666</v>
      </c>
      <c r="CX6" s="17">
        <f t="shared" si="31"/>
        <v>9.0566666666666615E-2</v>
      </c>
      <c r="CY6" s="23">
        <v>13</v>
      </c>
      <c r="CZ6" s="23">
        <f t="shared" si="32"/>
        <v>12.045366666666665</v>
      </c>
      <c r="DA6" s="14">
        <f t="shared" si="33"/>
        <v>13.725</v>
      </c>
      <c r="DB6" s="14">
        <f t="shared" si="34"/>
        <v>1.3725000000000001</v>
      </c>
      <c r="DC6" s="14">
        <f t="shared" si="35"/>
        <v>0.88068749999999962</v>
      </c>
      <c r="DD6" s="17">
        <f t="shared" si="36"/>
        <v>0.12581249999999994</v>
      </c>
      <c r="DE6" s="23">
        <v>7</v>
      </c>
      <c r="DF6" s="23">
        <f t="shared" si="37"/>
        <v>15.978187500000001</v>
      </c>
      <c r="DG6" s="14">
        <f t="shared" si="38"/>
        <v>13.725</v>
      </c>
      <c r="DH6" s="14">
        <v>0</v>
      </c>
      <c r="DI6" s="14">
        <v>0</v>
      </c>
      <c r="DJ6" s="17">
        <f t="shared" si="39"/>
        <v>0.11437499999999995</v>
      </c>
      <c r="DK6" s="23">
        <f t="shared" ca="1" si="40"/>
        <v>5</v>
      </c>
      <c r="DL6" s="14">
        <f t="shared" si="41"/>
        <v>13.725</v>
      </c>
      <c r="DM6" s="14">
        <f t="shared" si="42"/>
        <v>86.729999999999976</v>
      </c>
      <c r="DN6" s="14">
        <f t="shared" si="43"/>
        <v>7.3004999999999995</v>
      </c>
      <c r="DO6" s="14">
        <f t="shared" ca="1" si="43"/>
        <v>14.827954166666657</v>
      </c>
      <c r="DP6" s="25">
        <f t="shared" ca="1" si="44"/>
        <v>108.85845416666663</v>
      </c>
      <c r="DQ6" s="47">
        <f t="shared" ca="1" si="45"/>
        <v>2.8646961622807009E-2</v>
      </c>
      <c r="DR6" s="14">
        <f>909.5+100+80+160+100+200+40</f>
        <v>1589.5</v>
      </c>
      <c r="DS6" s="32">
        <f t="shared" si="46"/>
        <v>2</v>
      </c>
      <c r="DT6" s="14">
        <f>1.2+DS6*7.45+55.17</f>
        <v>71.27000000000001</v>
      </c>
      <c r="DU6" s="4">
        <v>250</v>
      </c>
      <c r="DV6" s="4">
        <f>36.76+246.49</f>
        <v>283.25</v>
      </c>
      <c r="DW6" s="4"/>
      <c r="DX6" s="4">
        <v>46.25</v>
      </c>
      <c r="DY6" s="14">
        <v>100</v>
      </c>
      <c r="DZ6" s="4">
        <v>360</v>
      </c>
      <c r="EA6" s="14">
        <f t="shared" si="47"/>
        <v>789.5</v>
      </c>
      <c r="EB6" s="14">
        <f t="shared" ca="1" si="48"/>
        <v>2809.1284541666669</v>
      </c>
      <c r="EC6" s="24" t="s">
        <v>4920</v>
      </c>
      <c r="ED6" s="7">
        <v>0.91</v>
      </c>
      <c r="EE6" s="4">
        <v>2300</v>
      </c>
      <c r="EF6" s="4">
        <v>1500</v>
      </c>
      <c r="EG6" s="14">
        <f t="shared" si="49"/>
        <v>3800</v>
      </c>
      <c r="EH6" s="14">
        <v>4600</v>
      </c>
      <c r="EI6" s="14">
        <v>1500</v>
      </c>
      <c r="EJ6" s="14">
        <f t="shared" si="50"/>
        <v>6100</v>
      </c>
      <c r="EK6" t="s">
        <v>4843</v>
      </c>
      <c r="EL6" t="s">
        <v>4844</v>
      </c>
      <c r="EM6" t="s">
        <v>4845</v>
      </c>
      <c r="IE6" s="9">
        <v>45227</v>
      </c>
      <c r="IF6" s="4">
        <v>15000</v>
      </c>
      <c r="IG6" s="4">
        <v>1500</v>
      </c>
      <c r="IH6" t="s">
        <v>4998</v>
      </c>
      <c r="II6" t="s">
        <v>5007</v>
      </c>
      <c r="IJ6" t="s">
        <v>386</v>
      </c>
      <c r="IM6" s="4">
        <v>112</v>
      </c>
      <c r="IN6" s="14">
        <f t="shared" ca="1" si="51"/>
        <v>12190.871545833334</v>
      </c>
      <c r="IO6" s="9">
        <v>45187</v>
      </c>
      <c r="IP6" s="9">
        <v>45204</v>
      </c>
      <c r="IQ6" s="9"/>
      <c r="IR6" s="9"/>
      <c r="IS6" s="9"/>
    </row>
    <row r="7" spans="1:263">
      <c r="A7" s="18">
        <v>102022218</v>
      </c>
      <c r="B7" t="s">
        <v>2930</v>
      </c>
      <c r="D7" s="1"/>
      <c r="E7" s="3" t="s">
        <v>3889</v>
      </c>
      <c r="F7">
        <v>220004196</v>
      </c>
      <c r="G7" s="3"/>
      <c r="J7" t="s">
        <v>434</v>
      </c>
      <c r="K7" t="s">
        <v>3788</v>
      </c>
      <c r="L7" t="s">
        <v>3787</v>
      </c>
      <c r="M7" t="s">
        <v>598</v>
      </c>
      <c r="O7" s="3"/>
      <c r="P7" t="s">
        <v>1185</v>
      </c>
      <c r="Q7" t="s">
        <v>3789</v>
      </c>
      <c r="R7" t="s">
        <v>1078</v>
      </c>
      <c r="T7" t="s">
        <v>258</v>
      </c>
      <c r="AG7" s="43"/>
      <c r="AJ7" t="s">
        <v>3302</v>
      </c>
      <c r="AK7" t="s">
        <v>3300</v>
      </c>
      <c r="AL7" t="s">
        <v>290</v>
      </c>
      <c r="AM7" t="s">
        <v>260</v>
      </c>
      <c r="AO7" t="s">
        <v>3301</v>
      </c>
      <c r="AP7" s="3" t="s">
        <v>258</v>
      </c>
      <c r="AQ7" t="s">
        <v>300</v>
      </c>
      <c r="AR7" t="s">
        <v>301</v>
      </c>
      <c r="AX7" s="1" t="s">
        <v>258</v>
      </c>
      <c r="AY7" s="1" t="s">
        <v>258</v>
      </c>
      <c r="AZ7" s="1"/>
      <c r="BA7" s="1" t="s">
        <v>258</v>
      </c>
      <c r="BB7" s="1" t="s">
        <v>258</v>
      </c>
      <c r="BC7" s="48">
        <v>44728</v>
      </c>
      <c r="BD7" s="115">
        <v>44696</v>
      </c>
      <c r="BE7" s="115">
        <v>44659</v>
      </c>
      <c r="BF7" s="70">
        <v>44799</v>
      </c>
      <c r="BG7" s="2" t="s">
        <v>318</v>
      </c>
      <c r="BH7" s="48">
        <v>44785</v>
      </c>
      <c r="BI7" s="48">
        <v>44792</v>
      </c>
      <c r="BJ7" s="21">
        <v>45163</v>
      </c>
      <c r="BK7" s="19" t="s">
        <v>319</v>
      </c>
      <c r="BL7" s="20">
        <f t="shared" ca="1" si="0"/>
        <v>5947.9650958333332</v>
      </c>
      <c r="BM7" s="22">
        <f t="shared" ca="1" si="1"/>
        <v>-522.92062861331647</v>
      </c>
      <c r="BN7" s="22">
        <f t="shared" ca="1" si="2"/>
        <v>522.92062861331647</v>
      </c>
      <c r="BO7" s="14">
        <f t="shared" si="3"/>
        <v>19.37</v>
      </c>
      <c r="BP7" s="22">
        <f t="shared" ca="1" si="4"/>
        <v>542.29062861331647</v>
      </c>
      <c r="BQ7" s="14"/>
      <c r="BR7" s="14">
        <f t="shared" si="5"/>
        <v>0</v>
      </c>
      <c r="BS7" s="14">
        <f t="shared" ca="1" si="6"/>
        <v>0</v>
      </c>
      <c r="BT7" s="17">
        <f t="shared" si="7"/>
        <v>0</v>
      </c>
      <c r="BU7" s="23">
        <f t="shared" ca="1" si="8"/>
        <v>53</v>
      </c>
      <c r="BV7" s="14">
        <f t="shared" ca="1" si="9"/>
        <v>0</v>
      </c>
      <c r="BW7" s="14"/>
      <c r="BX7" s="14">
        <f t="shared" si="10"/>
        <v>0</v>
      </c>
      <c r="BY7" s="14">
        <f t="shared" si="11"/>
        <v>0</v>
      </c>
      <c r="BZ7" s="17">
        <f t="shared" si="12"/>
        <v>0</v>
      </c>
      <c r="CA7" s="23">
        <v>49</v>
      </c>
      <c r="CB7" s="14">
        <f t="shared" si="13"/>
        <v>0</v>
      </c>
      <c r="CC7" s="14">
        <f t="shared" si="14"/>
        <v>172.12</v>
      </c>
      <c r="CD7" s="14">
        <f t="shared" si="15"/>
        <v>17.212</v>
      </c>
      <c r="CE7" s="14">
        <f t="shared" si="16"/>
        <v>58.377366666666639</v>
      </c>
      <c r="CF7" s="17">
        <f t="shared" si="17"/>
        <v>1.5777666666666659</v>
      </c>
      <c r="CG7" s="23">
        <v>37</v>
      </c>
      <c r="CH7" s="14">
        <f t="shared" si="18"/>
        <v>247.70936666666663</v>
      </c>
      <c r="CI7" s="14">
        <f t="shared" si="19"/>
        <v>172.12</v>
      </c>
      <c r="CJ7" s="14">
        <f t="shared" si="20"/>
        <v>17.212</v>
      </c>
      <c r="CK7" s="14">
        <f t="shared" si="52"/>
        <v>39.444166666666646</v>
      </c>
      <c r="CL7" s="17">
        <f t="shared" si="21"/>
        <v>1.5777666666666659</v>
      </c>
      <c r="CM7" s="23">
        <v>25</v>
      </c>
      <c r="CN7" s="14">
        <f t="shared" si="22"/>
        <v>228.77616666666665</v>
      </c>
      <c r="CO7" s="14">
        <f t="shared" si="23"/>
        <v>86.06</v>
      </c>
      <c r="CP7" s="14">
        <f t="shared" si="24"/>
        <v>8.6059999999999999</v>
      </c>
      <c r="CQ7" s="14">
        <f t="shared" si="25"/>
        <v>13.41101666666666</v>
      </c>
      <c r="CR7" s="17">
        <f t="shared" si="26"/>
        <v>0.78888333333333294</v>
      </c>
      <c r="CS7" s="23">
        <v>17</v>
      </c>
      <c r="CT7" s="23">
        <f t="shared" si="27"/>
        <v>108.07701666666665</v>
      </c>
      <c r="CU7" s="14">
        <f t="shared" si="28"/>
        <v>86.06</v>
      </c>
      <c r="CV7" s="14">
        <f t="shared" si="29"/>
        <v>8.6059999999999999</v>
      </c>
      <c r="CW7" s="14">
        <f t="shared" si="30"/>
        <v>10.255483333333329</v>
      </c>
      <c r="CX7" s="17">
        <f t="shared" si="31"/>
        <v>0.78888333333333294</v>
      </c>
      <c r="CY7" s="23">
        <v>13</v>
      </c>
      <c r="CZ7" s="23">
        <f t="shared" si="32"/>
        <v>104.92148333333333</v>
      </c>
      <c r="DA7" s="14">
        <f t="shared" si="33"/>
        <v>100.57499999999999</v>
      </c>
      <c r="DB7" s="14">
        <f t="shared" si="34"/>
        <v>10.057499999999999</v>
      </c>
      <c r="DC7" s="14">
        <f t="shared" si="35"/>
        <v>6.4535624999999968</v>
      </c>
      <c r="DD7" s="17">
        <f t="shared" si="36"/>
        <v>0.92193749999999952</v>
      </c>
      <c r="DE7" s="23">
        <v>7</v>
      </c>
      <c r="DF7" s="23">
        <f t="shared" si="37"/>
        <v>117.0860625</v>
      </c>
      <c r="DG7" s="14">
        <f t="shared" si="38"/>
        <v>100.57499999999999</v>
      </c>
      <c r="DH7" s="14">
        <v>0</v>
      </c>
      <c r="DI7" s="14">
        <v>0</v>
      </c>
      <c r="DJ7" s="17">
        <f t="shared" si="39"/>
        <v>0.83812499999999956</v>
      </c>
      <c r="DK7" s="23">
        <f t="shared" ca="1" si="40"/>
        <v>5</v>
      </c>
      <c r="DL7" s="14">
        <f t="shared" si="41"/>
        <v>100.57499999999999</v>
      </c>
      <c r="DM7" s="14">
        <f t="shared" si="42"/>
        <v>717.51</v>
      </c>
      <c r="DN7" s="14">
        <f t="shared" si="43"/>
        <v>61.6935</v>
      </c>
      <c r="DO7" s="14">
        <f t="shared" ca="1" si="43"/>
        <v>127.94159583333328</v>
      </c>
      <c r="DP7" s="25">
        <f t="shared" ca="1" si="44"/>
        <v>907.14509583333324</v>
      </c>
      <c r="DQ7" s="47">
        <f t="shared" ca="1" si="45"/>
        <v>2.7406196248741185E-2</v>
      </c>
      <c r="DR7" s="14">
        <f>1742+640</f>
        <v>2382</v>
      </c>
      <c r="DS7" s="32">
        <f t="shared" si="46"/>
        <v>5</v>
      </c>
      <c r="DT7" s="14">
        <f>1.06+26.64+28+55.17</f>
        <v>110.87</v>
      </c>
      <c r="DU7" s="4">
        <f>250+150</f>
        <v>400</v>
      </c>
      <c r="DV7" s="4">
        <f>64.01+466.4+246.49</f>
        <v>776.9</v>
      </c>
      <c r="DW7" s="14">
        <f>93.75+265</f>
        <v>358.75</v>
      </c>
      <c r="DX7" s="4">
        <v>103.5</v>
      </c>
      <c r="DY7" s="14">
        <v>178.8</v>
      </c>
      <c r="DZ7" s="4">
        <v>510</v>
      </c>
      <c r="EA7" s="14">
        <f t="shared" si="47"/>
        <v>1927.95</v>
      </c>
      <c r="EB7" s="14">
        <f t="shared" ca="1" si="48"/>
        <v>5727.9650958333332</v>
      </c>
      <c r="EC7" s="24" t="s">
        <v>4920</v>
      </c>
      <c r="ED7" s="7">
        <v>1.1299999999999999</v>
      </c>
      <c r="EE7" s="4">
        <v>25700</v>
      </c>
      <c r="EF7" s="4">
        <v>7400</v>
      </c>
      <c r="EG7" s="14">
        <f t="shared" si="49"/>
        <v>33100</v>
      </c>
      <c r="EH7" s="14">
        <v>35800</v>
      </c>
      <c r="EI7" s="14">
        <v>8900</v>
      </c>
      <c r="EJ7" s="14">
        <f t="shared" si="50"/>
        <v>44700</v>
      </c>
      <c r="EK7" t="s">
        <v>3790</v>
      </c>
      <c r="EL7" t="s">
        <v>4995</v>
      </c>
      <c r="EM7" t="s">
        <v>4996</v>
      </c>
      <c r="EN7" t="s">
        <v>4997</v>
      </c>
      <c r="EW7" t="s">
        <v>3784</v>
      </c>
      <c r="EY7" s="3" t="s">
        <v>3301</v>
      </c>
      <c r="EZ7" s="3" t="s">
        <v>258</v>
      </c>
      <c r="FA7" t="s">
        <v>300</v>
      </c>
      <c r="FB7" t="s">
        <v>260</v>
      </c>
      <c r="FC7" t="s">
        <v>3785</v>
      </c>
      <c r="FE7" t="s">
        <v>3786</v>
      </c>
      <c r="FG7" t="s">
        <v>1331</v>
      </c>
      <c r="FH7" t="s">
        <v>301</v>
      </c>
      <c r="GC7" t="s">
        <v>5012</v>
      </c>
      <c r="GD7" t="s">
        <v>2456</v>
      </c>
      <c r="GE7" t="s">
        <v>5013</v>
      </c>
      <c r="GG7" t="s">
        <v>290</v>
      </c>
      <c r="GI7" s="9">
        <v>44699</v>
      </c>
      <c r="GJ7" t="s">
        <v>5014</v>
      </c>
      <c r="IE7" s="9">
        <v>45227</v>
      </c>
      <c r="IF7" s="4">
        <v>87000</v>
      </c>
      <c r="IG7" s="4">
        <v>9300</v>
      </c>
      <c r="IH7" t="s">
        <v>5011</v>
      </c>
      <c r="II7" t="s">
        <v>5005</v>
      </c>
      <c r="IJ7" t="s">
        <v>5006</v>
      </c>
      <c r="IK7" t="s">
        <v>2456</v>
      </c>
      <c r="IL7" s="4">
        <v>1102.7</v>
      </c>
      <c r="IM7" s="4">
        <v>424</v>
      </c>
      <c r="IN7" s="14">
        <f t="shared" ca="1" si="51"/>
        <v>80169.334904166666</v>
      </c>
      <c r="IO7" s="9">
        <v>45180</v>
      </c>
      <c r="IP7" s="9">
        <v>45216</v>
      </c>
      <c r="IQ7" s="9"/>
      <c r="IR7" s="9"/>
      <c r="IS7" s="9"/>
    </row>
    <row r="8" spans="1:263">
      <c r="A8" s="18">
        <v>102023040</v>
      </c>
      <c r="B8" s="18" t="s">
        <v>4260</v>
      </c>
      <c r="D8" s="1"/>
      <c r="E8" t="s">
        <v>4930</v>
      </c>
      <c r="F8">
        <v>230003195</v>
      </c>
      <c r="G8" s="3"/>
      <c r="J8" s="18" t="s">
        <v>253</v>
      </c>
      <c r="K8" s="18" t="s">
        <v>1567</v>
      </c>
      <c r="L8" s="18" t="s">
        <v>502</v>
      </c>
      <c r="M8" s="18" t="s">
        <v>326</v>
      </c>
      <c r="N8" s="18"/>
      <c r="O8" s="24"/>
      <c r="P8" s="18"/>
      <c r="Q8" s="18"/>
      <c r="R8" s="18"/>
      <c r="S8" s="18"/>
      <c r="AG8" s="43"/>
      <c r="AH8" s="3"/>
      <c r="AI8" s="3"/>
      <c r="AJ8" s="18" t="s">
        <v>328</v>
      </c>
      <c r="AK8" s="18"/>
      <c r="AL8" s="18" t="s">
        <v>344</v>
      </c>
      <c r="AM8" s="18"/>
      <c r="AN8" s="18"/>
      <c r="AO8" s="18" t="s">
        <v>4259</v>
      </c>
      <c r="AP8" s="18" t="s">
        <v>258</v>
      </c>
      <c r="AQ8" s="18" t="s">
        <v>4904</v>
      </c>
      <c r="AR8" s="18"/>
      <c r="AY8" s="1"/>
      <c r="AZ8" s="1" t="s">
        <v>258</v>
      </c>
      <c r="BA8" s="1" t="s">
        <v>258</v>
      </c>
      <c r="BB8" s="1" t="s">
        <v>258</v>
      </c>
      <c r="BC8" s="9">
        <v>45096</v>
      </c>
      <c r="BD8" s="115">
        <v>45060</v>
      </c>
      <c r="BE8" s="115">
        <v>45055</v>
      </c>
      <c r="BF8" s="70">
        <v>45156</v>
      </c>
      <c r="BG8" t="s">
        <v>4902</v>
      </c>
      <c r="BH8" s="9">
        <v>45149</v>
      </c>
      <c r="BI8" s="9">
        <v>45149</v>
      </c>
      <c r="BJ8" s="70">
        <v>45181</v>
      </c>
      <c r="BK8" s="2" t="s">
        <v>319</v>
      </c>
      <c r="BL8" s="20">
        <f t="shared" ca="1" si="0"/>
        <v>4657.0501875000009</v>
      </c>
      <c r="BM8" s="22">
        <f t="shared" ca="1" si="1"/>
        <v>-409.42869910874509</v>
      </c>
      <c r="BN8" s="22">
        <f t="shared" ca="1" si="2"/>
        <v>409.42869910874509</v>
      </c>
      <c r="BO8" s="25">
        <f t="shared" si="3"/>
        <v>15.816666666666665</v>
      </c>
      <c r="BP8" s="22">
        <f t="shared" ca="1" si="4"/>
        <v>425.24536577541176</v>
      </c>
      <c r="BQ8" s="14"/>
      <c r="BR8" s="14">
        <f t="shared" si="5"/>
        <v>0</v>
      </c>
      <c r="BS8" s="14">
        <f t="shared" ca="1" si="6"/>
        <v>0</v>
      </c>
      <c r="BT8" s="17">
        <f t="shared" si="7"/>
        <v>0</v>
      </c>
      <c r="BU8" s="23">
        <f t="shared" ca="1" si="8"/>
        <v>53</v>
      </c>
      <c r="BV8" s="14">
        <f t="shared" ca="1" si="9"/>
        <v>0</v>
      </c>
      <c r="BW8" s="14"/>
      <c r="BX8" s="14">
        <f t="shared" si="10"/>
        <v>0</v>
      </c>
      <c r="BY8" s="14">
        <f t="shared" si="11"/>
        <v>0</v>
      </c>
      <c r="BZ8" s="17">
        <f t="shared" si="12"/>
        <v>0</v>
      </c>
      <c r="CA8" s="23">
        <v>49</v>
      </c>
      <c r="CB8" s="14">
        <f t="shared" si="13"/>
        <v>0</v>
      </c>
      <c r="CC8" s="14">
        <v>0</v>
      </c>
      <c r="CD8" s="14">
        <f t="shared" si="15"/>
        <v>0</v>
      </c>
      <c r="CE8" s="14">
        <f t="shared" si="16"/>
        <v>0</v>
      </c>
      <c r="CF8" s="17">
        <f t="shared" si="17"/>
        <v>0</v>
      </c>
      <c r="CG8" s="23">
        <v>37</v>
      </c>
      <c r="CH8" s="14">
        <f t="shared" si="18"/>
        <v>0</v>
      </c>
      <c r="CI8" s="14">
        <f t="shared" si="19"/>
        <v>174.72</v>
      </c>
      <c r="CJ8" s="14">
        <f t="shared" si="20"/>
        <v>17.472000000000001</v>
      </c>
      <c r="CK8" s="14">
        <f t="shared" si="52"/>
        <v>40.039999999999985</v>
      </c>
      <c r="CL8" s="17">
        <f t="shared" si="21"/>
        <v>1.6015999999999995</v>
      </c>
      <c r="CM8" s="23">
        <v>25</v>
      </c>
      <c r="CN8" s="14">
        <f t="shared" si="22"/>
        <v>232.232</v>
      </c>
      <c r="CO8" s="14">
        <f t="shared" si="23"/>
        <v>87.36</v>
      </c>
      <c r="CP8" s="14">
        <f t="shared" si="24"/>
        <v>8.7360000000000007</v>
      </c>
      <c r="CQ8" s="14">
        <f t="shared" si="25"/>
        <v>13.613599999999995</v>
      </c>
      <c r="CR8" s="17">
        <f t="shared" si="26"/>
        <v>0.80079999999999973</v>
      </c>
      <c r="CS8" s="23">
        <v>17</v>
      </c>
      <c r="CT8" s="23">
        <f t="shared" si="27"/>
        <v>109.70959999999999</v>
      </c>
      <c r="CU8" s="14">
        <f t="shared" si="28"/>
        <v>87.36</v>
      </c>
      <c r="CV8" s="14">
        <f t="shared" si="29"/>
        <v>8.7360000000000007</v>
      </c>
      <c r="CW8" s="14">
        <f t="shared" si="30"/>
        <v>10.410399999999996</v>
      </c>
      <c r="CX8" s="17">
        <f t="shared" si="31"/>
        <v>0.80079999999999973</v>
      </c>
      <c r="CY8" s="23">
        <v>13</v>
      </c>
      <c r="CZ8" s="23">
        <f t="shared" si="32"/>
        <v>106.5064</v>
      </c>
      <c r="DA8" s="14">
        <f t="shared" si="33"/>
        <v>82.125</v>
      </c>
      <c r="DB8" s="14">
        <f t="shared" si="34"/>
        <v>8.2125000000000004</v>
      </c>
      <c r="DC8" s="14">
        <f t="shared" si="35"/>
        <v>5.2696874999999981</v>
      </c>
      <c r="DD8" s="17">
        <f t="shared" si="36"/>
        <v>0.75281249999999977</v>
      </c>
      <c r="DE8" s="23">
        <v>7</v>
      </c>
      <c r="DF8" s="23">
        <f t="shared" si="37"/>
        <v>95.607187500000009</v>
      </c>
      <c r="DG8" s="14">
        <f t="shared" si="38"/>
        <v>82.125</v>
      </c>
      <c r="DH8" s="14">
        <v>0</v>
      </c>
      <c r="DI8" s="14">
        <v>0</v>
      </c>
      <c r="DJ8" s="17">
        <f t="shared" si="39"/>
        <v>0.68437499999999973</v>
      </c>
      <c r="DK8" s="23">
        <f t="shared" ca="1" si="40"/>
        <v>5</v>
      </c>
      <c r="DL8" s="14">
        <f t="shared" si="41"/>
        <v>82.125</v>
      </c>
      <c r="DM8" s="14">
        <f t="shared" si="42"/>
        <v>513.69000000000005</v>
      </c>
      <c r="DN8" s="14">
        <f t="shared" si="43"/>
        <v>43.156500000000001</v>
      </c>
      <c r="DO8" s="14">
        <f t="shared" ca="1" si="43"/>
        <v>69.333687499999982</v>
      </c>
      <c r="DP8" s="25">
        <f t="shared" ca="1" si="44"/>
        <v>626.1801875000001</v>
      </c>
      <c r="DQ8" s="47">
        <f t="shared" ca="1" si="45"/>
        <v>1.8636315104166669E-2</v>
      </c>
      <c r="DR8" s="14">
        <f>1190+640</f>
        <v>1830</v>
      </c>
      <c r="DS8" s="32">
        <f t="shared" si="46"/>
        <v>2</v>
      </c>
      <c r="DT8" s="14">
        <f>1.2+14.9+28+55.17</f>
        <v>99.27000000000001</v>
      </c>
      <c r="DU8" s="4">
        <v>200</v>
      </c>
      <c r="DV8" s="4">
        <f>36.76+414.6+246.49</f>
        <v>697.85</v>
      </c>
      <c r="DW8" s="4">
        <f>93.75+202.5</f>
        <v>296.25</v>
      </c>
      <c r="DX8" s="4">
        <v>131.5</v>
      </c>
      <c r="DY8" s="14">
        <v>146</v>
      </c>
      <c r="DZ8" s="4">
        <v>410</v>
      </c>
      <c r="EA8" s="14">
        <f t="shared" si="47"/>
        <v>1681.6</v>
      </c>
      <c r="EB8" s="14">
        <f t="shared" ca="1" si="48"/>
        <v>4437.0501875000009</v>
      </c>
      <c r="EC8" s="18" t="s">
        <v>4944</v>
      </c>
      <c r="ED8" s="130">
        <v>19.809999999999999</v>
      </c>
      <c r="EE8" s="14">
        <v>33600</v>
      </c>
      <c r="EF8" s="14">
        <v>0</v>
      </c>
      <c r="EG8" s="14">
        <v>33600</v>
      </c>
      <c r="EH8" s="14">
        <v>36500</v>
      </c>
      <c r="EI8" s="14">
        <v>0</v>
      </c>
      <c r="EJ8" s="14">
        <f t="shared" si="50"/>
        <v>36500</v>
      </c>
      <c r="EK8" t="s">
        <v>4807</v>
      </c>
      <c r="EL8" t="s">
        <v>4991</v>
      </c>
      <c r="EM8" t="s">
        <v>4808</v>
      </c>
      <c r="IE8" s="9">
        <v>45227</v>
      </c>
      <c r="IF8" s="4">
        <v>71000</v>
      </c>
      <c r="IG8" s="4">
        <v>7100</v>
      </c>
      <c r="IH8" t="s">
        <v>5001</v>
      </c>
      <c r="II8" t="s">
        <v>5002</v>
      </c>
      <c r="IJ8" t="s">
        <v>349</v>
      </c>
      <c r="IM8" s="4">
        <v>354.67</v>
      </c>
      <c r="IN8" s="14">
        <f t="shared" ca="1" si="51"/>
        <v>66562.949812499995</v>
      </c>
      <c r="IO8" s="9">
        <v>45187</v>
      </c>
      <c r="IP8" s="9">
        <v>45204</v>
      </c>
      <c r="IQ8" s="9"/>
      <c r="IR8" s="9"/>
      <c r="IS8" s="9"/>
    </row>
    <row r="9" spans="1:263" ht="15" customHeight="1">
      <c r="A9" s="18">
        <v>102023059</v>
      </c>
      <c r="B9" s="18" t="s">
        <v>4208</v>
      </c>
      <c r="D9" s="1"/>
      <c r="E9" t="s">
        <v>4934</v>
      </c>
      <c r="F9">
        <v>230003199</v>
      </c>
      <c r="G9" s="3"/>
      <c r="J9" s="18" t="s">
        <v>554</v>
      </c>
      <c r="K9" s="18" t="s">
        <v>899</v>
      </c>
      <c r="L9" s="18" t="s">
        <v>574</v>
      </c>
      <c r="M9" s="18"/>
      <c r="N9" s="18"/>
      <c r="O9" s="24"/>
      <c r="P9" s="18" t="s">
        <v>899</v>
      </c>
      <c r="Q9" s="18" t="s">
        <v>2133</v>
      </c>
      <c r="R9" s="18" t="s">
        <v>426</v>
      </c>
      <c r="S9" s="18"/>
      <c r="AG9" s="43"/>
      <c r="AJ9" s="18" t="s">
        <v>328</v>
      </c>
      <c r="AK9" s="18"/>
      <c r="AL9" s="18" t="s">
        <v>600</v>
      </c>
      <c r="AM9" s="18"/>
      <c r="AN9" s="18"/>
      <c r="AO9" s="18" t="s">
        <v>4207</v>
      </c>
      <c r="AP9" s="18" t="s">
        <v>258</v>
      </c>
      <c r="AQ9" s="18" t="s">
        <v>4206</v>
      </c>
      <c r="AR9" s="18"/>
      <c r="AX9" s="1"/>
      <c r="AY9" s="1"/>
      <c r="AZ9" s="1" t="s">
        <v>258</v>
      </c>
      <c r="BA9" s="1" t="s">
        <v>258</v>
      </c>
      <c r="BB9" s="1" t="s">
        <v>258</v>
      </c>
      <c r="BC9" s="70">
        <v>45097</v>
      </c>
      <c r="BD9" s="115">
        <v>45060</v>
      </c>
      <c r="BE9" s="115">
        <v>45055</v>
      </c>
      <c r="BF9" s="70">
        <v>45156</v>
      </c>
      <c r="BG9" t="s">
        <v>4902</v>
      </c>
      <c r="BH9" s="9">
        <v>45149</v>
      </c>
      <c r="BI9" s="9">
        <v>45149</v>
      </c>
      <c r="BJ9" s="70">
        <v>45177</v>
      </c>
      <c r="BK9" s="2" t="s">
        <v>319</v>
      </c>
      <c r="BL9" s="20">
        <f t="shared" ca="1" si="0"/>
        <v>4549.134958333334</v>
      </c>
      <c r="BM9" s="22">
        <f t="shared" ca="1" si="1"/>
        <v>-399.94123599092779</v>
      </c>
      <c r="BN9" s="22">
        <f t="shared" ca="1" si="2"/>
        <v>399.94123599092779</v>
      </c>
      <c r="BO9" s="14">
        <f t="shared" si="3"/>
        <v>16.899999999999999</v>
      </c>
      <c r="BP9" s="22">
        <f t="shared" ca="1" si="4"/>
        <v>416.84123599092777</v>
      </c>
      <c r="BQ9" s="14"/>
      <c r="BR9" s="14">
        <f t="shared" si="5"/>
        <v>0</v>
      </c>
      <c r="BS9" s="14">
        <f t="shared" ca="1" si="6"/>
        <v>0</v>
      </c>
      <c r="BT9" s="17">
        <f t="shared" si="7"/>
        <v>0</v>
      </c>
      <c r="BU9" s="23">
        <f t="shared" ca="1" si="8"/>
        <v>53</v>
      </c>
      <c r="BV9" s="14">
        <f t="shared" ca="1" si="9"/>
        <v>0</v>
      </c>
      <c r="BW9" s="14"/>
      <c r="BX9" s="14">
        <f t="shared" si="10"/>
        <v>0</v>
      </c>
      <c r="BY9" s="14">
        <f t="shared" si="11"/>
        <v>0</v>
      </c>
      <c r="BZ9" s="17">
        <f t="shared" si="12"/>
        <v>0</v>
      </c>
      <c r="CA9" s="23">
        <v>49</v>
      </c>
      <c r="CB9" s="14">
        <f t="shared" si="13"/>
        <v>0</v>
      </c>
      <c r="CC9" s="14">
        <v>0</v>
      </c>
      <c r="CD9" s="14">
        <f t="shared" si="15"/>
        <v>0</v>
      </c>
      <c r="CE9" s="14">
        <f t="shared" si="16"/>
        <v>0</v>
      </c>
      <c r="CF9" s="17">
        <f t="shared" si="17"/>
        <v>0</v>
      </c>
      <c r="CG9" s="23">
        <v>37</v>
      </c>
      <c r="CH9" s="14">
        <f t="shared" si="18"/>
        <v>0</v>
      </c>
      <c r="CI9" s="14">
        <f t="shared" si="19"/>
        <v>172.64</v>
      </c>
      <c r="CJ9" s="14">
        <f t="shared" si="20"/>
        <v>17.263999999999999</v>
      </c>
      <c r="CK9" s="14">
        <f t="shared" si="52"/>
        <v>39.563333333333318</v>
      </c>
      <c r="CL9" s="17">
        <f t="shared" si="21"/>
        <v>1.5825333333333327</v>
      </c>
      <c r="CM9" s="23">
        <v>25</v>
      </c>
      <c r="CN9" s="14">
        <f t="shared" si="22"/>
        <v>229.46733333333333</v>
      </c>
      <c r="CO9" s="14">
        <f t="shared" si="23"/>
        <v>86.32</v>
      </c>
      <c r="CP9" s="14">
        <f t="shared" si="24"/>
        <v>8.6319999999999997</v>
      </c>
      <c r="CQ9" s="14">
        <f t="shared" si="25"/>
        <v>13.451533333333328</v>
      </c>
      <c r="CR9" s="17">
        <f t="shared" si="26"/>
        <v>0.79126666666666634</v>
      </c>
      <c r="CS9" s="23">
        <v>17</v>
      </c>
      <c r="CT9" s="23">
        <f t="shared" si="27"/>
        <v>108.40353333333333</v>
      </c>
      <c r="CU9" s="14">
        <f t="shared" si="28"/>
        <v>86.32</v>
      </c>
      <c r="CV9" s="14">
        <f t="shared" si="29"/>
        <v>8.6319999999999997</v>
      </c>
      <c r="CW9" s="14">
        <f t="shared" si="30"/>
        <v>10.286466666666662</v>
      </c>
      <c r="CX9" s="17">
        <f t="shared" si="31"/>
        <v>0.79126666666666634</v>
      </c>
      <c r="CY9" s="23">
        <v>13</v>
      </c>
      <c r="CZ9" s="23">
        <f t="shared" si="32"/>
        <v>105.23846666666665</v>
      </c>
      <c r="DA9" s="14">
        <f t="shared" si="33"/>
        <v>87.75</v>
      </c>
      <c r="DB9" s="14">
        <f t="shared" si="34"/>
        <v>8.7750000000000004</v>
      </c>
      <c r="DC9" s="14">
        <f t="shared" si="35"/>
        <v>5.6306249999999984</v>
      </c>
      <c r="DD9" s="17">
        <f t="shared" si="36"/>
        <v>0.80437499999999973</v>
      </c>
      <c r="DE9" s="23">
        <v>7</v>
      </c>
      <c r="DF9" s="23">
        <f t="shared" si="37"/>
        <v>102.155625</v>
      </c>
      <c r="DG9" s="14">
        <f t="shared" si="38"/>
        <v>87.75</v>
      </c>
      <c r="DH9" s="14">
        <v>0</v>
      </c>
      <c r="DI9" s="14">
        <v>0</v>
      </c>
      <c r="DJ9" s="17">
        <f t="shared" si="39"/>
        <v>0.73124999999999973</v>
      </c>
      <c r="DK9" s="23">
        <f t="shared" ca="1" si="40"/>
        <v>5</v>
      </c>
      <c r="DL9" s="14">
        <f t="shared" si="41"/>
        <v>87.75</v>
      </c>
      <c r="DM9" s="14">
        <f t="shared" si="42"/>
        <v>520.78</v>
      </c>
      <c r="DN9" s="14">
        <f t="shared" si="43"/>
        <v>43.302999999999997</v>
      </c>
      <c r="DO9" s="14">
        <f t="shared" ca="1" si="43"/>
        <v>68.931958333333313</v>
      </c>
      <c r="DP9" s="25">
        <f t="shared" ca="1" si="44"/>
        <v>633.01495833333331</v>
      </c>
      <c r="DQ9" s="47">
        <f t="shared" ca="1" si="45"/>
        <v>1.9066715612449797E-2</v>
      </c>
      <c r="DR9" s="14">
        <f>970+100+80+160+100+200+40</f>
        <v>1650</v>
      </c>
      <c r="DS9" s="32">
        <f t="shared" si="46"/>
        <v>2</v>
      </c>
      <c r="DT9" s="14">
        <f>1.2+14.9+28+28+55.17</f>
        <v>127.27</v>
      </c>
      <c r="DU9" s="4">
        <v>250</v>
      </c>
      <c r="DV9" s="4">
        <f>36.76+414.6+246.49</f>
        <v>697.85</v>
      </c>
      <c r="DW9" s="4">
        <f>93.75+265</f>
        <v>358.75</v>
      </c>
      <c r="DX9" s="4">
        <v>46.25</v>
      </c>
      <c r="DY9" s="14">
        <v>156</v>
      </c>
      <c r="DZ9" s="4">
        <v>410</v>
      </c>
      <c r="EA9" s="14">
        <f t="shared" si="47"/>
        <v>1668.85</v>
      </c>
      <c r="EB9" s="14">
        <f t="shared" ca="1" si="48"/>
        <v>4329.134958333334</v>
      </c>
      <c r="EC9" s="18" t="s">
        <v>4944</v>
      </c>
      <c r="ED9" s="130">
        <v>4.78</v>
      </c>
      <c r="EE9" s="14">
        <v>33200</v>
      </c>
      <c r="EF9" s="14">
        <v>0</v>
      </c>
      <c r="EG9" s="14">
        <v>33200</v>
      </c>
      <c r="EH9" s="14">
        <v>39000</v>
      </c>
      <c r="EI9" s="14">
        <v>0</v>
      </c>
      <c r="EJ9" s="14">
        <f t="shared" si="50"/>
        <v>39000</v>
      </c>
      <c r="EK9" t="s">
        <v>4906</v>
      </c>
      <c r="EL9" t="s">
        <v>4803</v>
      </c>
      <c r="IE9" s="9">
        <v>45227</v>
      </c>
      <c r="IF9" s="4">
        <v>30000</v>
      </c>
      <c r="IG9" s="4">
        <v>3000</v>
      </c>
      <c r="IH9" s="18" t="s">
        <v>3954</v>
      </c>
      <c r="II9" t="s">
        <v>3949</v>
      </c>
      <c r="IJ9" t="s">
        <v>3950</v>
      </c>
      <c r="IM9" s="4">
        <v>216</v>
      </c>
      <c r="IN9" s="14">
        <f t="shared" ca="1" si="51"/>
        <v>25670.865041666664</v>
      </c>
      <c r="IO9" s="9">
        <v>45187</v>
      </c>
      <c r="IP9" s="9">
        <v>45204</v>
      </c>
      <c r="IQ9" s="9"/>
      <c r="IR9" s="9"/>
      <c r="IS9" s="9"/>
    </row>
    <row r="10" spans="1:263" ht="15" customHeight="1">
      <c r="A10" s="18"/>
      <c r="B10" s="18"/>
      <c r="D10" s="1"/>
      <c r="G10" s="3"/>
      <c r="J10" s="18"/>
      <c r="K10" s="18"/>
      <c r="L10" s="18"/>
      <c r="M10" s="18"/>
      <c r="N10" s="18"/>
      <c r="O10" s="24"/>
      <c r="P10" s="18"/>
      <c r="Q10" s="18"/>
      <c r="R10" s="18"/>
      <c r="S10" s="18"/>
      <c r="AG10" s="43"/>
      <c r="AJ10" s="18"/>
      <c r="AK10" s="18"/>
      <c r="AL10" s="18"/>
      <c r="AM10" s="18"/>
      <c r="AN10" s="18"/>
      <c r="AO10" s="18"/>
      <c r="AP10" s="18"/>
      <c r="AQ10" s="18"/>
      <c r="AR10" s="18"/>
      <c r="AX10" s="1"/>
      <c r="AY10" s="1"/>
      <c r="AZ10" s="1"/>
      <c r="BA10" s="1"/>
      <c r="BB10" s="1"/>
      <c r="BC10" s="70"/>
      <c r="BD10" s="115"/>
      <c r="BE10" s="115"/>
      <c r="BF10" s="70"/>
      <c r="BH10" s="9"/>
      <c r="BI10" s="9"/>
      <c r="BJ10" s="70"/>
      <c r="BK10" s="2"/>
      <c r="BL10" s="20"/>
      <c r="BM10" s="22"/>
      <c r="BN10" s="22"/>
      <c r="BO10" s="14"/>
      <c r="BP10" s="22"/>
      <c r="BQ10" s="14"/>
      <c r="BR10" s="14"/>
      <c r="BS10" s="14"/>
      <c r="BT10" s="17"/>
      <c r="BU10" s="23"/>
      <c r="BV10" s="14"/>
      <c r="BW10" s="14"/>
      <c r="BX10" s="14"/>
      <c r="BY10" s="14"/>
      <c r="BZ10" s="17"/>
      <c r="CA10" s="23"/>
      <c r="CB10" s="14"/>
      <c r="CC10" s="14"/>
      <c r="CD10" s="14"/>
      <c r="CE10" s="14"/>
      <c r="CF10" s="17"/>
      <c r="CG10" s="23"/>
      <c r="CH10" s="14"/>
      <c r="CI10" s="14"/>
      <c r="CJ10" s="14"/>
      <c r="CK10" s="14"/>
      <c r="CL10" s="17"/>
      <c r="CM10" s="23"/>
      <c r="CN10" s="14"/>
      <c r="CO10" s="14"/>
      <c r="CP10" s="14"/>
      <c r="CQ10" s="14"/>
      <c r="CR10" s="17"/>
      <c r="CS10" s="23"/>
      <c r="CT10" s="23"/>
      <c r="CU10" s="14"/>
      <c r="CV10" s="14"/>
      <c r="CW10" s="14"/>
      <c r="CX10" s="17"/>
      <c r="CY10" s="23"/>
      <c r="CZ10" s="23"/>
      <c r="DA10" s="14"/>
      <c r="DB10" s="14"/>
      <c r="DC10" s="14"/>
      <c r="DD10" s="17"/>
      <c r="DE10" s="23"/>
      <c r="DF10" s="23"/>
      <c r="DG10" s="14"/>
      <c r="DH10" s="14"/>
      <c r="DI10" s="14"/>
      <c r="DJ10" s="17"/>
      <c r="DK10" s="23"/>
      <c r="DL10" s="23"/>
      <c r="DM10" s="14"/>
      <c r="DN10" s="14"/>
      <c r="DO10" s="14"/>
      <c r="DP10" s="25"/>
      <c r="DQ10" s="47"/>
      <c r="DR10" s="14"/>
      <c r="DS10" s="32"/>
      <c r="DT10" s="14"/>
      <c r="DU10" s="4"/>
      <c r="DV10" s="4"/>
      <c r="DW10" s="4"/>
      <c r="DX10" s="4"/>
      <c r="DZ10" s="4"/>
      <c r="EA10" s="14"/>
      <c r="EB10" s="14"/>
      <c r="EC10" s="24"/>
      <c r="ED10" s="130"/>
      <c r="EE10" s="14"/>
      <c r="EF10" s="14"/>
      <c r="EG10" s="14"/>
      <c r="EH10" s="14"/>
      <c r="EI10" s="14"/>
      <c r="EJ10" s="14"/>
      <c r="IK10" s="9"/>
      <c r="IV10" s="14"/>
      <c r="IW10" s="9"/>
      <c r="IX10" s="9"/>
      <c r="IY10" s="9"/>
      <c r="IZ10" s="9"/>
      <c r="JA10" s="9"/>
    </row>
    <row r="11" spans="1:263">
      <c r="A11" s="18"/>
      <c r="B11" s="18"/>
      <c r="D11" s="1"/>
      <c r="G11" s="3"/>
      <c r="J11" s="18"/>
      <c r="K11" s="18"/>
      <c r="L11" s="18"/>
      <c r="M11" s="18"/>
      <c r="N11" s="18"/>
      <c r="O11" s="19"/>
      <c r="P11" s="18"/>
      <c r="Q11" s="18"/>
      <c r="R11" s="18"/>
      <c r="S11" s="18"/>
      <c r="AG11" s="43"/>
      <c r="AJ11" s="18"/>
      <c r="AO11" s="18"/>
      <c r="AP11" s="3"/>
      <c r="AQ11" s="18"/>
      <c r="AR11" s="18"/>
      <c r="AS11" s="18"/>
      <c r="AT11" s="18"/>
      <c r="AU11" s="18"/>
      <c r="AV11" s="18"/>
      <c r="AW11" s="18"/>
      <c r="AX11" s="1"/>
      <c r="AY11" s="1"/>
      <c r="AZ11" s="1"/>
      <c r="BA11" s="1"/>
      <c r="BB11" s="1"/>
      <c r="BC11" s="70"/>
      <c r="BD11" s="115"/>
      <c r="BE11" s="115"/>
      <c r="BF11" s="70"/>
      <c r="BH11" s="9"/>
      <c r="BI11" s="9"/>
      <c r="BJ11" s="70"/>
      <c r="BK11" s="2"/>
      <c r="BL11" s="20"/>
      <c r="BM11" s="22"/>
      <c r="BN11" s="22"/>
      <c r="BO11" s="14"/>
      <c r="BP11" s="22"/>
      <c r="BQ11" s="14"/>
      <c r="BR11" s="14"/>
      <c r="BS11" s="14"/>
      <c r="BT11" s="17"/>
      <c r="BU11" s="23"/>
      <c r="BV11" s="14"/>
      <c r="BW11" s="14"/>
      <c r="BX11" s="14"/>
      <c r="BY11" s="14"/>
      <c r="BZ11" s="17"/>
      <c r="CA11" s="23"/>
      <c r="CB11" s="14"/>
      <c r="CC11" s="14"/>
      <c r="CD11" s="14"/>
      <c r="CE11" s="14"/>
      <c r="CF11" s="17"/>
      <c r="CG11" s="23"/>
      <c r="CH11" s="14"/>
      <c r="CI11" s="14"/>
      <c r="CJ11" s="14"/>
      <c r="CK11" s="14"/>
      <c r="CL11" s="17"/>
      <c r="CM11" s="23"/>
      <c r="CN11" s="14"/>
      <c r="CO11" s="14"/>
      <c r="CP11" s="14"/>
      <c r="CQ11" s="14"/>
      <c r="CR11" s="17"/>
      <c r="CS11" s="23"/>
      <c r="CT11" s="23"/>
      <c r="CU11" s="14"/>
      <c r="CV11" s="14"/>
      <c r="CW11" s="14"/>
      <c r="CX11" s="17"/>
      <c r="CY11" s="23"/>
      <c r="CZ11" s="23"/>
      <c r="DA11" s="14"/>
      <c r="DB11" s="14"/>
      <c r="DC11" s="14"/>
      <c r="DD11" s="17"/>
      <c r="DE11" s="23"/>
      <c r="DF11" s="23"/>
      <c r="DG11" s="14"/>
      <c r="DH11" s="14"/>
      <c r="DI11" s="14"/>
      <c r="DJ11" s="17"/>
      <c r="DK11" s="23"/>
      <c r="DL11" s="23"/>
      <c r="DM11" s="14"/>
      <c r="DN11" s="14"/>
      <c r="DO11" s="14"/>
      <c r="DP11" s="25"/>
      <c r="DQ11" s="47"/>
      <c r="DR11" s="14"/>
      <c r="DS11" s="32"/>
      <c r="DT11" s="14"/>
      <c r="DU11" s="4"/>
      <c r="DV11" s="4"/>
      <c r="DW11" s="4"/>
      <c r="DX11" s="4"/>
      <c r="DZ11" s="4"/>
      <c r="EA11" s="14"/>
      <c r="EB11" s="14"/>
      <c r="EC11" s="24"/>
      <c r="ED11" s="130"/>
      <c r="EE11" s="14"/>
      <c r="EF11" s="14"/>
      <c r="EG11" s="14"/>
      <c r="EH11" s="14"/>
      <c r="EI11" s="14"/>
      <c r="EJ11" s="14"/>
      <c r="IK11" s="9"/>
      <c r="IN11" s="4"/>
      <c r="IV11" s="14"/>
      <c r="IW11" s="9"/>
      <c r="IX11" s="9"/>
      <c r="IY11" s="9"/>
      <c r="IZ11" s="9"/>
      <c r="JA11" s="9"/>
    </row>
    <row r="12" spans="1:263">
      <c r="A12" s="18"/>
      <c r="D12" s="1"/>
      <c r="G12" s="3"/>
      <c r="O12" s="3"/>
      <c r="AG12" s="43"/>
      <c r="AJ12" s="18"/>
      <c r="AP12" s="3"/>
      <c r="AX12" s="1"/>
      <c r="AY12" s="1"/>
      <c r="AZ12" s="1"/>
      <c r="BA12" s="1"/>
      <c r="BB12" s="1"/>
      <c r="BC12" s="70"/>
      <c r="BD12" s="115"/>
      <c r="BE12" s="115"/>
      <c r="BF12" s="2"/>
      <c r="BG12" s="2"/>
      <c r="BH12" s="2"/>
      <c r="BI12" s="2"/>
      <c r="BJ12" s="70"/>
      <c r="BK12" s="2"/>
      <c r="BL12" s="20"/>
      <c r="BM12" s="22"/>
      <c r="BN12" s="22"/>
      <c r="BO12" s="14"/>
      <c r="BP12" s="22"/>
      <c r="BQ12" s="14"/>
      <c r="BR12" s="14"/>
      <c r="BS12" s="14"/>
      <c r="BT12" s="17"/>
      <c r="BU12" s="23"/>
      <c r="BV12" s="14"/>
      <c r="BW12" s="14"/>
      <c r="BX12" s="14"/>
      <c r="BY12" s="14"/>
      <c r="BZ12" s="17"/>
      <c r="CA12" s="23"/>
      <c r="CB12" s="14"/>
      <c r="CC12" s="14"/>
      <c r="CD12" s="14"/>
      <c r="CE12" s="14"/>
      <c r="CF12" s="17"/>
      <c r="CG12" s="23"/>
      <c r="CH12" s="14"/>
      <c r="CI12" s="14"/>
      <c r="CJ12" s="14"/>
      <c r="CK12" s="14"/>
      <c r="CL12" s="17"/>
      <c r="CM12" s="23"/>
      <c r="CN12" s="14"/>
      <c r="CO12" s="14"/>
      <c r="CP12" s="14"/>
      <c r="CQ12" s="14"/>
      <c r="CR12" s="17"/>
      <c r="CS12" s="23"/>
      <c r="CT12" s="23"/>
      <c r="CU12" s="14"/>
      <c r="CV12" s="14"/>
      <c r="CW12" s="14"/>
      <c r="CX12" s="17"/>
      <c r="CY12" s="23"/>
      <c r="CZ12" s="23"/>
      <c r="DA12" s="14"/>
      <c r="DB12" s="14"/>
      <c r="DC12" s="14"/>
      <c r="DD12" s="17"/>
      <c r="DE12" s="23"/>
      <c r="DF12" s="23"/>
      <c r="DG12" s="14"/>
      <c r="DH12" s="14"/>
      <c r="DI12" s="14"/>
      <c r="DJ12" s="17"/>
      <c r="DK12" s="23"/>
      <c r="DL12" s="23"/>
      <c r="DM12" s="14"/>
      <c r="DN12" s="14"/>
      <c r="DO12" s="14"/>
      <c r="DP12" s="25"/>
      <c r="DQ12" s="47"/>
      <c r="DR12" s="14"/>
      <c r="DS12" s="32"/>
      <c r="DT12" s="14"/>
      <c r="DU12" s="4"/>
      <c r="DV12" s="4"/>
      <c r="DW12" s="4"/>
      <c r="DX12" s="4"/>
      <c r="DZ12" s="4"/>
      <c r="EA12" s="14"/>
      <c r="EB12" s="14"/>
      <c r="EC12" s="24"/>
      <c r="ED12" s="7"/>
      <c r="EE12" s="4"/>
      <c r="EF12" s="4"/>
      <c r="EG12" s="14"/>
      <c r="EH12" s="14"/>
      <c r="EI12" s="14"/>
      <c r="EJ12" s="14"/>
      <c r="IK12" s="9"/>
      <c r="IV12" s="14"/>
      <c r="IW12" s="9"/>
      <c r="IX12" s="9"/>
      <c r="IY12" s="9"/>
      <c r="IZ12" s="9"/>
      <c r="JA12" s="9"/>
    </row>
    <row r="13" spans="1:263">
      <c r="A13" s="18"/>
      <c r="D13" s="1"/>
      <c r="G13" s="3"/>
      <c r="O13" s="3"/>
      <c r="AG13" s="43"/>
      <c r="AJ13" s="18"/>
      <c r="AP13" s="3"/>
      <c r="AX13" s="1"/>
      <c r="AY13" s="1"/>
      <c r="AZ13" s="1"/>
      <c r="BA13" s="1"/>
      <c r="BB13" s="1"/>
      <c r="BC13" s="70"/>
      <c r="BD13" s="115"/>
      <c r="BE13" s="115"/>
      <c r="BF13" s="2"/>
      <c r="BG13" s="2"/>
      <c r="BH13" s="2"/>
      <c r="BI13" s="2"/>
      <c r="BJ13" s="70"/>
      <c r="BK13" s="2"/>
      <c r="BL13" s="20"/>
      <c r="BM13" s="22"/>
      <c r="BN13" s="22"/>
      <c r="BO13" s="14"/>
      <c r="BP13" s="22"/>
      <c r="BQ13" s="14"/>
      <c r="BR13" s="14"/>
      <c r="BS13" s="14"/>
      <c r="BT13" s="17"/>
      <c r="BU13" s="23"/>
      <c r="BV13" s="14"/>
      <c r="BW13" s="14"/>
      <c r="BX13" s="14"/>
      <c r="BY13" s="14"/>
      <c r="BZ13" s="17"/>
      <c r="CA13" s="23"/>
      <c r="CB13" s="14"/>
      <c r="CC13" s="14"/>
      <c r="CD13" s="14"/>
      <c r="CE13" s="14"/>
      <c r="CF13" s="17"/>
      <c r="CG13" s="23"/>
      <c r="CH13" s="14"/>
      <c r="CI13" s="14"/>
      <c r="CJ13" s="14"/>
      <c r="CK13" s="14"/>
      <c r="CL13" s="17"/>
      <c r="CM13" s="23"/>
      <c r="CN13" s="14"/>
      <c r="CO13" s="14"/>
      <c r="CP13" s="14"/>
      <c r="CQ13" s="14"/>
      <c r="CR13" s="17"/>
      <c r="CS13" s="23"/>
      <c r="CT13" s="23"/>
      <c r="CU13" s="14"/>
      <c r="CV13" s="14"/>
      <c r="CW13" s="14"/>
      <c r="CX13" s="17"/>
      <c r="CY13" s="23"/>
      <c r="CZ13" s="23"/>
      <c r="DA13" s="14"/>
      <c r="DB13" s="14"/>
      <c r="DC13" s="14"/>
      <c r="DD13" s="17"/>
      <c r="DE13" s="23"/>
      <c r="DF13" s="23"/>
      <c r="DG13" s="14"/>
      <c r="DH13" s="14"/>
      <c r="DI13" s="14"/>
      <c r="DJ13" s="17"/>
      <c r="DK13" s="23"/>
      <c r="DL13" s="23"/>
      <c r="DM13" s="14"/>
      <c r="DN13" s="14"/>
      <c r="DO13" s="14"/>
      <c r="DP13" s="25"/>
      <c r="DQ13" s="47"/>
      <c r="DR13" s="14"/>
      <c r="DS13" s="32"/>
      <c r="DT13" s="14"/>
      <c r="DU13" s="4"/>
      <c r="DV13" s="4"/>
      <c r="DW13" s="4"/>
      <c r="DX13" s="4"/>
      <c r="DZ13" s="4"/>
      <c r="EA13" s="14"/>
      <c r="EB13" s="14"/>
      <c r="EC13" s="24"/>
      <c r="ED13" s="7"/>
      <c r="EE13" s="4"/>
      <c r="EF13" s="4"/>
      <c r="EG13" s="14"/>
      <c r="EH13" s="14"/>
      <c r="EI13" s="14"/>
      <c r="EJ13" s="14"/>
      <c r="IK13" s="9"/>
      <c r="IV13" s="14"/>
      <c r="IW13" s="9"/>
      <c r="IX13" s="9"/>
      <c r="IY13" s="9"/>
      <c r="IZ13" s="9"/>
      <c r="JA13" s="9"/>
    </row>
    <row r="14" spans="1:263">
      <c r="G14" s="3"/>
      <c r="O14" s="3"/>
      <c r="AP14" s="3"/>
      <c r="AS14" s="18"/>
      <c r="AT14" s="18"/>
      <c r="AU14" s="18"/>
      <c r="AV14" s="18"/>
      <c r="AW14" s="18"/>
      <c r="AX14" s="1"/>
      <c r="AY14" s="1"/>
      <c r="AZ14" s="1"/>
      <c r="BA14" s="1"/>
      <c r="BB14" s="1"/>
      <c r="BC14" s="70"/>
      <c r="BD14" s="115"/>
      <c r="BE14" s="115"/>
      <c r="BF14" s="2"/>
      <c r="BG14" s="2"/>
      <c r="BH14" s="2"/>
      <c r="BI14" s="2"/>
      <c r="BJ14" s="70"/>
      <c r="BK14" s="2"/>
      <c r="BL14" s="20"/>
      <c r="BM14" s="22"/>
      <c r="BN14" s="22"/>
      <c r="BO14" s="14"/>
      <c r="BP14" s="22"/>
      <c r="BQ14" s="14"/>
      <c r="BR14" s="14"/>
      <c r="BS14" s="14"/>
      <c r="BT14" s="17"/>
      <c r="BU14" s="23"/>
      <c r="BV14" s="14"/>
      <c r="BW14" s="14"/>
      <c r="BX14" s="14"/>
      <c r="BY14" s="14"/>
      <c r="BZ14" s="17"/>
      <c r="CA14" s="23"/>
      <c r="CB14" s="14"/>
      <c r="CC14" s="14"/>
      <c r="CD14" s="14"/>
      <c r="CE14" s="14"/>
      <c r="CF14" s="17"/>
      <c r="CG14" s="23"/>
      <c r="CH14" s="14"/>
      <c r="CI14" s="14"/>
      <c r="CJ14" s="14"/>
      <c r="CK14" s="14"/>
      <c r="CL14" s="17"/>
      <c r="CM14" s="23"/>
      <c r="CN14" s="14"/>
      <c r="CO14" s="14"/>
      <c r="CP14" s="14"/>
      <c r="CQ14" s="14"/>
      <c r="CR14" s="17"/>
      <c r="CS14" s="23"/>
      <c r="CT14" s="23"/>
      <c r="CU14" s="14"/>
      <c r="CV14" s="14"/>
      <c r="CW14" s="14"/>
      <c r="CX14" s="17"/>
      <c r="CY14" s="23"/>
      <c r="CZ14" s="23"/>
      <c r="DA14" s="14"/>
      <c r="DB14" s="14"/>
      <c r="DC14" s="14"/>
      <c r="DD14" s="17"/>
      <c r="DE14" s="23"/>
      <c r="DF14" s="23"/>
      <c r="DG14" s="14"/>
      <c r="DH14" s="14"/>
      <c r="DI14" s="14"/>
      <c r="DJ14" s="17"/>
      <c r="DK14" s="23"/>
      <c r="DL14" s="23"/>
      <c r="DM14" s="14"/>
      <c r="DN14" s="14"/>
      <c r="DO14" s="14"/>
      <c r="DP14" s="25"/>
      <c r="DQ14" s="47"/>
      <c r="DR14" s="14"/>
      <c r="DS14" s="32"/>
      <c r="DT14" s="14"/>
      <c r="DU14" s="4"/>
      <c r="DV14" s="4"/>
      <c r="DW14" s="4"/>
      <c r="DX14" s="4"/>
      <c r="DZ14" s="4"/>
      <c r="EA14" s="14"/>
      <c r="EB14" s="14"/>
      <c r="EC14" s="24"/>
      <c r="ED14" s="7"/>
      <c r="EE14" s="4"/>
      <c r="EF14" s="4"/>
      <c r="EG14" s="14"/>
      <c r="EH14" s="14"/>
      <c r="EI14" s="14"/>
      <c r="EJ14" s="14"/>
      <c r="EK14" s="43"/>
      <c r="EL14" s="43"/>
      <c r="GI14" s="9"/>
      <c r="GT14" s="9"/>
      <c r="IK14" s="9"/>
      <c r="IV14" s="14"/>
      <c r="IW14" s="9"/>
      <c r="IX14" s="9"/>
      <c r="IY14" s="9"/>
      <c r="IZ14" s="9"/>
      <c r="JA14" s="9"/>
      <c r="JB14" s="18"/>
      <c r="JC14" s="18"/>
    </row>
    <row r="15" spans="1:263">
      <c r="A15" s="18"/>
      <c r="B15" s="18"/>
      <c r="D15" s="1"/>
      <c r="G15" s="3"/>
      <c r="J15" s="18"/>
      <c r="K15" s="18"/>
      <c r="L15" s="18"/>
      <c r="N15" s="18"/>
      <c r="O15" s="24"/>
      <c r="P15" s="18"/>
      <c r="Q15" s="18"/>
      <c r="R15" s="18"/>
      <c r="S15" s="18"/>
      <c r="AG15" s="43"/>
      <c r="AJ15" s="18"/>
      <c r="AK15" s="18"/>
      <c r="AL15" s="18"/>
      <c r="AM15" s="18"/>
      <c r="AN15" s="18"/>
      <c r="AO15" s="18"/>
      <c r="AP15" s="18"/>
      <c r="AQ15" s="18"/>
      <c r="AR15" s="18"/>
      <c r="AX15" s="1"/>
      <c r="AY15" s="1"/>
      <c r="AZ15" s="1"/>
      <c r="BA15" s="1"/>
      <c r="BB15" s="1"/>
      <c r="BC15" s="70"/>
      <c r="BD15" s="115"/>
      <c r="BE15" s="115"/>
      <c r="BF15" s="70"/>
      <c r="BH15" s="9"/>
      <c r="BI15" s="9"/>
      <c r="BJ15" s="70"/>
      <c r="BK15" s="2"/>
      <c r="BL15" s="20"/>
      <c r="BM15" s="22"/>
      <c r="BN15" s="22"/>
      <c r="BO15" s="14"/>
      <c r="BP15" s="22"/>
      <c r="BQ15" s="14"/>
      <c r="BR15" s="14"/>
      <c r="BS15" s="14"/>
      <c r="BT15" s="17"/>
      <c r="BU15" s="23"/>
      <c r="BV15" s="14"/>
      <c r="BW15" s="14"/>
      <c r="BX15" s="14"/>
      <c r="BY15" s="14"/>
      <c r="BZ15" s="17"/>
      <c r="CA15" s="23"/>
      <c r="CB15" s="14"/>
      <c r="CC15" s="14"/>
      <c r="CD15" s="14"/>
      <c r="CE15" s="14"/>
      <c r="CF15" s="17"/>
      <c r="CG15" s="23"/>
      <c r="CH15" s="14"/>
      <c r="CI15" s="14"/>
      <c r="CJ15" s="14"/>
      <c r="CK15" s="14"/>
      <c r="CL15" s="17"/>
      <c r="CM15" s="23"/>
      <c r="CN15" s="14"/>
      <c r="CO15" s="14"/>
      <c r="CP15" s="14"/>
      <c r="CQ15" s="14"/>
      <c r="CR15" s="17"/>
      <c r="CS15" s="23"/>
      <c r="CT15" s="23"/>
      <c r="CU15" s="14"/>
      <c r="CV15" s="14"/>
      <c r="CW15" s="14"/>
      <c r="CX15" s="17"/>
      <c r="CY15" s="23"/>
      <c r="CZ15" s="23"/>
      <c r="DA15" s="14"/>
      <c r="DB15" s="14"/>
      <c r="DC15" s="14"/>
      <c r="DD15" s="17"/>
      <c r="DE15" s="23"/>
      <c r="DF15" s="23"/>
      <c r="DG15" s="14"/>
      <c r="DH15" s="14"/>
      <c r="DI15" s="14"/>
      <c r="DJ15" s="17"/>
      <c r="DK15" s="23"/>
      <c r="DL15" s="23"/>
      <c r="DM15" s="14"/>
      <c r="DN15" s="14"/>
      <c r="DO15" s="14"/>
      <c r="DP15" s="25"/>
      <c r="DQ15" s="47"/>
      <c r="DR15" s="14"/>
      <c r="DS15" s="32"/>
      <c r="DT15" s="14"/>
      <c r="DU15" s="4"/>
      <c r="DV15" s="4"/>
      <c r="DW15" s="4"/>
      <c r="DX15" s="4"/>
      <c r="DZ15" s="4"/>
      <c r="EA15" s="14"/>
      <c r="EB15" s="14"/>
      <c r="EC15" s="24"/>
      <c r="ED15" s="130"/>
      <c r="EE15" s="14"/>
      <c r="EF15" s="14"/>
      <c r="EG15" s="14"/>
      <c r="EH15" s="14"/>
      <c r="EI15" s="14"/>
      <c r="EJ15" s="14"/>
      <c r="IK15" s="9"/>
      <c r="IV15" s="14"/>
      <c r="IW15" s="9"/>
      <c r="IX15" s="9"/>
      <c r="IY15" s="9"/>
      <c r="IZ15" s="9"/>
      <c r="JA15" s="9"/>
    </row>
    <row r="16" spans="1:263">
      <c r="A16" s="18"/>
      <c r="B16" s="18"/>
      <c r="D16" s="1"/>
      <c r="G16" s="3"/>
      <c r="J16" s="18"/>
      <c r="K16" s="18"/>
      <c r="L16" s="18"/>
      <c r="M16" s="18"/>
      <c r="N16" s="18"/>
      <c r="O16" s="24"/>
      <c r="P16" s="18"/>
      <c r="Q16" s="18"/>
      <c r="R16" s="18"/>
      <c r="S16" s="18"/>
      <c r="AG16" s="43"/>
      <c r="AJ16" s="18"/>
      <c r="AK16" s="18"/>
      <c r="AL16" s="18"/>
      <c r="AM16" s="18"/>
      <c r="AN16" s="18"/>
      <c r="AO16" s="18"/>
      <c r="AP16" s="18"/>
      <c r="AQ16" s="18"/>
      <c r="AR16" s="18"/>
      <c r="AS16" s="18"/>
      <c r="AT16" s="18"/>
      <c r="AU16" s="18"/>
      <c r="AV16" s="18"/>
      <c r="AW16" s="18"/>
      <c r="AX16" s="1"/>
      <c r="AY16" s="1"/>
      <c r="AZ16" s="1"/>
      <c r="BA16" s="1"/>
      <c r="BB16" s="1"/>
      <c r="BC16" s="9"/>
      <c r="BD16" s="115"/>
      <c r="BE16" s="115"/>
      <c r="BF16" s="70"/>
      <c r="BH16" s="9"/>
      <c r="BI16" s="9"/>
      <c r="BJ16" s="70"/>
      <c r="BK16" s="2"/>
      <c r="BL16" s="20"/>
      <c r="BM16" s="22"/>
      <c r="BN16" s="22"/>
      <c r="BO16" s="25"/>
      <c r="BP16" s="22"/>
      <c r="BQ16" s="14"/>
      <c r="BR16" s="14"/>
      <c r="BS16" s="14"/>
      <c r="BT16" s="17"/>
      <c r="BU16" s="23"/>
      <c r="BV16" s="14"/>
      <c r="BW16" s="14"/>
      <c r="BX16" s="14"/>
      <c r="BY16" s="14"/>
      <c r="BZ16" s="17"/>
      <c r="CA16" s="23"/>
      <c r="CB16" s="14"/>
      <c r="CC16" s="14"/>
      <c r="CD16" s="14"/>
      <c r="CE16" s="14"/>
      <c r="CF16" s="17"/>
      <c r="CG16" s="23"/>
      <c r="CH16" s="14"/>
      <c r="CI16" s="14"/>
      <c r="CJ16" s="14"/>
      <c r="CK16" s="14"/>
      <c r="CL16" s="17"/>
      <c r="CM16" s="23"/>
      <c r="CN16" s="14"/>
      <c r="CO16" s="14"/>
      <c r="CP16" s="14"/>
      <c r="CQ16" s="14"/>
      <c r="CR16" s="17"/>
      <c r="CS16" s="23"/>
      <c r="CT16" s="23"/>
      <c r="CU16" s="14"/>
      <c r="CV16" s="14"/>
      <c r="CW16" s="14"/>
      <c r="CX16" s="17"/>
      <c r="CY16" s="23"/>
      <c r="CZ16" s="23"/>
      <c r="DA16" s="14"/>
      <c r="DB16" s="14"/>
      <c r="DC16" s="14"/>
      <c r="DD16" s="17"/>
      <c r="DE16" s="23"/>
      <c r="DF16" s="23"/>
      <c r="DG16" s="14"/>
      <c r="DH16" s="14"/>
      <c r="DI16" s="14"/>
      <c r="DJ16" s="17"/>
      <c r="DK16" s="23"/>
      <c r="DL16" s="23"/>
      <c r="DM16" s="14"/>
      <c r="DN16" s="14"/>
      <c r="DO16" s="14"/>
      <c r="DP16" s="25"/>
      <c r="DQ16" s="47"/>
      <c r="DR16" s="14"/>
      <c r="DS16" s="32"/>
      <c r="DT16" s="14"/>
      <c r="DU16" s="4"/>
      <c r="DV16" s="4"/>
      <c r="DW16" s="4"/>
      <c r="DX16" s="4"/>
      <c r="DZ16" s="4"/>
      <c r="EA16" s="14"/>
      <c r="EB16" s="14"/>
      <c r="EC16" s="24"/>
      <c r="ED16" s="23"/>
      <c r="EE16" s="14"/>
      <c r="EF16" s="14"/>
      <c r="EG16" s="14"/>
      <c r="EH16" s="14"/>
      <c r="EI16" s="14"/>
      <c r="EJ16" s="14"/>
      <c r="EK16" s="18"/>
      <c r="IK16" s="9"/>
      <c r="IV16" s="14"/>
      <c r="IW16" s="9"/>
      <c r="IX16" s="9"/>
      <c r="IY16" s="9"/>
      <c r="IZ16" s="9"/>
      <c r="JA16" s="9"/>
    </row>
    <row r="17" spans="1:261">
      <c r="A17" s="18"/>
      <c r="B17" s="18"/>
      <c r="D17" s="1"/>
      <c r="G17" s="3"/>
      <c r="J17" s="18"/>
      <c r="K17" s="18"/>
      <c r="L17" s="18"/>
      <c r="M17" s="18"/>
      <c r="N17" s="18"/>
      <c r="O17" s="24"/>
      <c r="P17" s="18"/>
      <c r="Q17" s="18"/>
      <c r="R17" s="18"/>
      <c r="S17" s="18"/>
      <c r="AG17" s="43"/>
      <c r="AH17" s="3"/>
      <c r="AI17" s="3"/>
      <c r="AJ17" s="18"/>
      <c r="AK17" s="18"/>
      <c r="AL17" s="18"/>
      <c r="AM17" s="18"/>
      <c r="AN17" s="18"/>
      <c r="AO17" s="18"/>
      <c r="AP17" s="18"/>
      <c r="AQ17" s="18"/>
      <c r="AR17" s="18"/>
      <c r="AY17" s="1"/>
      <c r="AZ17" s="1"/>
      <c r="BA17" s="1"/>
      <c r="BB17" s="1"/>
      <c r="BC17" s="9"/>
      <c r="BD17" s="115"/>
      <c r="BE17" s="115"/>
      <c r="BF17" s="70"/>
      <c r="BH17" s="9"/>
      <c r="BI17" s="9"/>
      <c r="BJ17" s="70"/>
      <c r="BK17" s="2"/>
      <c r="BL17" s="20"/>
      <c r="BM17" s="22"/>
      <c r="BN17" s="22"/>
      <c r="BO17" s="25"/>
      <c r="BP17" s="22"/>
      <c r="BQ17" s="14"/>
      <c r="BR17" s="14"/>
      <c r="BS17" s="14"/>
      <c r="BT17" s="17"/>
      <c r="BU17" s="23"/>
      <c r="BV17" s="14"/>
      <c r="BW17" s="14"/>
      <c r="BX17" s="14"/>
      <c r="BY17" s="14"/>
      <c r="BZ17" s="17"/>
      <c r="CA17" s="23"/>
      <c r="CB17" s="14"/>
      <c r="CC17" s="14"/>
      <c r="CD17" s="14"/>
      <c r="CE17" s="14"/>
      <c r="CF17" s="17"/>
      <c r="CG17" s="23"/>
      <c r="CH17" s="14"/>
      <c r="CI17" s="14"/>
      <c r="CJ17" s="14"/>
      <c r="CK17" s="14"/>
      <c r="CL17" s="17"/>
      <c r="CM17" s="23"/>
      <c r="CN17" s="14"/>
      <c r="CO17" s="14"/>
      <c r="CP17" s="14"/>
      <c r="CQ17" s="14"/>
      <c r="CR17" s="17"/>
      <c r="CS17" s="23"/>
      <c r="CT17" s="23"/>
      <c r="CU17" s="14"/>
      <c r="CV17" s="14"/>
      <c r="CW17" s="14"/>
      <c r="CX17" s="17"/>
      <c r="CY17" s="23"/>
      <c r="CZ17" s="23"/>
      <c r="DA17" s="14"/>
      <c r="DB17" s="14"/>
      <c r="DC17" s="14"/>
      <c r="DD17" s="17"/>
      <c r="DE17" s="23"/>
      <c r="DF17" s="23"/>
      <c r="DG17" s="14"/>
      <c r="DH17" s="14"/>
      <c r="DI17" s="14"/>
      <c r="DJ17" s="17"/>
      <c r="DK17" s="23"/>
      <c r="DL17" s="23"/>
      <c r="DM17" s="14"/>
      <c r="DN17" s="14"/>
      <c r="DO17" s="14"/>
      <c r="DP17" s="25"/>
      <c r="DQ17" s="47"/>
      <c r="DR17" s="14"/>
      <c r="DS17" s="32"/>
      <c r="DT17" s="14"/>
      <c r="DU17" s="4"/>
      <c r="DV17" s="4"/>
      <c r="DW17" s="4"/>
      <c r="DX17" s="4"/>
      <c r="DZ17" s="4"/>
      <c r="EA17" s="14"/>
      <c r="EB17" s="14"/>
      <c r="EC17" s="18"/>
      <c r="ED17" s="130"/>
      <c r="EE17" s="14"/>
      <c r="EF17" s="14"/>
      <c r="EG17" s="14"/>
      <c r="EH17" s="14"/>
      <c r="EI17" s="14"/>
      <c r="IK17" s="9"/>
      <c r="IV17" s="14"/>
      <c r="IW17" s="9"/>
      <c r="IX17" s="9"/>
      <c r="IY17" s="9"/>
      <c r="IZ17" s="9"/>
      <c r="JA17" s="9"/>
    </row>
    <row r="18" spans="1:261">
      <c r="B18" s="4"/>
      <c r="C18" s="5"/>
      <c r="D18" s="5"/>
      <c r="E18" s="4"/>
      <c r="G18" s="3"/>
      <c r="O18" s="3"/>
      <c r="AG18" s="3"/>
      <c r="AJ18" s="11"/>
      <c r="AK18" s="11"/>
      <c r="AO18" s="4"/>
      <c r="AP18" s="5"/>
      <c r="AQ18" s="34"/>
      <c r="AR18" s="34"/>
      <c r="AS18" s="18"/>
      <c r="AT18" s="18"/>
      <c r="AU18" s="18"/>
      <c r="AV18" s="18"/>
      <c r="AW18" s="18"/>
      <c r="AX18" s="29"/>
      <c r="AY18" s="1"/>
      <c r="AZ18" s="1"/>
      <c r="BA18" s="1"/>
      <c r="BB18" s="1"/>
      <c r="BC18" s="70"/>
      <c r="BD18" s="115"/>
      <c r="BE18" s="115"/>
      <c r="BF18" s="1"/>
      <c r="BG18" s="1"/>
      <c r="BH18" s="1"/>
      <c r="BI18" s="1"/>
      <c r="BJ18" s="15"/>
      <c r="BK18" s="12"/>
      <c r="BL18" s="20"/>
      <c r="BM18" s="22"/>
      <c r="BN18" s="22"/>
      <c r="BO18" s="14"/>
      <c r="BP18" s="22"/>
      <c r="BQ18" s="4"/>
      <c r="BR18" s="14"/>
      <c r="BS18" s="14"/>
      <c r="BT18" s="17"/>
      <c r="BU18" s="23"/>
      <c r="BV18" s="14"/>
      <c r="BW18" s="14"/>
      <c r="BX18" s="14"/>
      <c r="BY18" s="14"/>
      <c r="BZ18" s="17"/>
      <c r="CA18" s="23"/>
      <c r="CB18" s="14"/>
      <c r="CC18" s="14"/>
      <c r="CD18" s="14"/>
      <c r="CE18" s="14"/>
      <c r="CF18" s="17"/>
      <c r="CG18" s="23"/>
      <c r="CH18" s="14"/>
      <c r="CI18" s="14"/>
      <c r="CJ18" s="14"/>
      <c r="CK18" s="14"/>
      <c r="CL18" s="17"/>
      <c r="CM18" s="23"/>
      <c r="CN18" s="14"/>
      <c r="CO18" s="14"/>
      <c r="CP18" s="14"/>
      <c r="CQ18" s="14"/>
      <c r="CR18" s="17"/>
      <c r="CS18" s="23"/>
      <c r="CT18" s="23"/>
      <c r="CU18" s="14"/>
      <c r="CV18" s="14"/>
      <c r="CW18" s="14"/>
      <c r="CX18" s="17"/>
      <c r="CY18" s="23"/>
      <c r="CZ18" s="23"/>
      <c r="DA18" s="14"/>
      <c r="DB18" s="14"/>
      <c r="DC18" s="14"/>
      <c r="DD18" s="17"/>
      <c r="DE18" s="23"/>
      <c r="DF18" s="23"/>
      <c r="DG18" s="14"/>
      <c r="DH18" s="14"/>
      <c r="DI18" s="14"/>
      <c r="DJ18" s="17"/>
      <c r="DK18" s="23"/>
      <c r="DL18" s="23"/>
      <c r="DM18" s="14"/>
      <c r="DN18" s="14"/>
      <c r="DO18" s="14"/>
      <c r="DP18" s="25"/>
      <c r="DQ18" s="47"/>
      <c r="DR18" s="14"/>
      <c r="DS18" s="32"/>
      <c r="DT18" s="14"/>
      <c r="DU18" s="4"/>
      <c r="DV18" s="4"/>
      <c r="DW18" s="4"/>
      <c r="DX18" s="4"/>
      <c r="DZ18" s="4"/>
      <c r="EA18" s="14"/>
      <c r="EB18" s="14"/>
      <c r="EC18" s="24"/>
      <c r="ED18" s="7"/>
      <c r="EE18" s="4"/>
      <c r="EF18" s="4"/>
      <c r="EG18" s="14"/>
      <c r="EH18" s="4"/>
      <c r="EI18" s="4"/>
      <c r="EJ18" s="14"/>
      <c r="EK18" s="43"/>
      <c r="EM18" s="4"/>
      <c r="EO18" s="4"/>
      <c r="EP18" s="4"/>
      <c r="EQ18" s="4"/>
      <c r="ER18" s="4"/>
      <c r="ES18" s="4"/>
      <c r="ET18" s="4"/>
      <c r="EU18" s="3"/>
      <c r="EV18" s="3"/>
      <c r="EW18" s="3"/>
      <c r="EX18" s="3"/>
      <c r="EY18" s="3"/>
      <c r="EZ18" s="4"/>
      <c r="FD18" s="4"/>
      <c r="FE18" s="4"/>
      <c r="FF18" s="4"/>
      <c r="FG18" s="4"/>
      <c r="FH18" s="4"/>
      <c r="FI18" s="4"/>
      <c r="FJ18" s="4"/>
      <c r="FK18" s="4"/>
      <c r="FL18" s="4"/>
      <c r="FM18" s="4"/>
      <c r="FN18" s="4"/>
      <c r="FO18" s="4"/>
      <c r="GF18" s="9"/>
      <c r="GG18" s="10"/>
      <c r="GN18" s="10"/>
      <c r="GZ18" s="9"/>
      <c r="IK18" s="9"/>
      <c r="IV18" s="1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0FF3-583A-453B-B9D0-C1B245EAA03E}">
  <dimension ref="A1:IW17"/>
  <sheetViews>
    <sheetView topLeftCell="HW1" workbookViewId="0">
      <pane ySplit="1" topLeftCell="A2" activePane="bottomLeft" state="frozen"/>
      <selection activeCell="HW1" sqref="HW1"/>
      <selection pane="bottomLeft" activeCell="HW1" sqref="A1:XFD1048576"/>
    </sheetView>
  </sheetViews>
  <sheetFormatPr defaultColWidth="8.85546875" defaultRowHeight="15"/>
  <cols>
    <col min="1" max="1" width="10" bestFit="1" customWidth="1"/>
    <col min="2" max="2" width="36.7109375" bestFit="1" customWidth="1"/>
    <col min="3" max="3" width="6.28515625" bestFit="1" customWidth="1"/>
    <col min="4" max="4" width="16.140625" bestFit="1" customWidth="1"/>
    <col min="5" max="5" width="13.85546875" bestFit="1" customWidth="1"/>
    <col min="6" max="6" width="15.7109375" bestFit="1" customWidth="1"/>
    <col min="7" max="7" width="16.42578125" bestFit="1" customWidth="1"/>
    <col min="8" max="8" width="17.85546875" bestFit="1" customWidth="1"/>
    <col min="9" max="9" width="14.42578125" bestFit="1" customWidth="1"/>
    <col min="10" max="10" width="16.140625" bestFit="1" customWidth="1"/>
    <col min="11" max="11" width="22.85546875" bestFit="1" customWidth="1"/>
    <col min="12" max="12" width="10.5703125" bestFit="1" customWidth="1"/>
    <col min="13" max="13" width="10.140625" bestFit="1" customWidth="1"/>
    <col min="14" max="14" width="6.140625" bestFit="1" customWidth="1"/>
    <col min="15" max="15" width="12" bestFit="1" customWidth="1"/>
    <col min="16" max="16" width="11.5703125" bestFit="1" customWidth="1"/>
    <col min="17" max="17" width="12" bestFit="1" customWidth="1"/>
    <col min="18" max="18" width="11.5703125" bestFit="1" customWidth="1"/>
    <col min="19" max="19" width="7.5703125" bestFit="1" customWidth="1"/>
    <col min="20" max="20" width="12" bestFit="1" customWidth="1"/>
    <col min="21" max="21" width="11.5703125" bestFit="1" customWidth="1"/>
    <col min="22" max="22" width="12" bestFit="1" customWidth="1"/>
    <col min="23" max="23" width="11.5703125" bestFit="1" customWidth="1"/>
    <col min="24" max="24" width="7.5703125" bestFit="1" customWidth="1"/>
    <col min="25" max="25" width="12" bestFit="1" customWidth="1"/>
    <col min="26" max="26" width="16.42578125" bestFit="1" customWidth="1"/>
    <col min="27" max="27" width="11.85546875" bestFit="1" customWidth="1"/>
    <col min="28" max="28" width="7.85546875" bestFit="1" customWidth="1"/>
    <col min="29" max="29" width="15.42578125" bestFit="1" customWidth="1"/>
    <col min="30" max="30" width="15" bestFit="1" customWidth="1"/>
    <col min="31" max="31" width="12.5703125" bestFit="1" customWidth="1"/>
    <col min="32" max="32" width="12.7109375" bestFit="1" customWidth="1"/>
    <col min="33" max="33" width="13.7109375" bestFit="1" customWidth="1"/>
    <col min="34" max="34" width="16.7109375" bestFit="1" customWidth="1"/>
    <col min="35" max="35" width="25.7109375" bestFit="1" customWidth="1"/>
    <col min="36" max="36" width="17.85546875" bestFit="1" customWidth="1"/>
    <col min="37" max="37" width="20" bestFit="1" customWidth="1"/>
    <col min="38" max="38" width="22.5703125" bestFit="1" customWidth="1"/>
    <col min="39" max="39" width="16.28515625" bestFit="1" customWidth="1"/>
    <col min="40" max="40" width="22.28515625" bestFit="1" customWidth="1"/>
    <col min="41" max="41" width="30" bestFit="1" customWidth="1"/>
    <col min="42" max="42" width="20.7109375" bestFit="1" customWidth="1"/>
    <col min="43" max="43" width="26" bestFit="1" customWidth="1"/>
    <col min="44" max="44" width="16.28515625" bestFit="1" customWidth="1"/>
    <col min="45" max="45" width="18.42578125" bestFit="1" customWidth="1"/>
    <col min="46" max="46" width="19.140625" bestFit="1" customWidth="1"/>
    <col min="47" max="47" width="16.5703125" bestFit="1" customWidth="1"/>
    <col min="48" max="48" width="10.140625" bestFit="1" customWidth="1"/>
    <col min="49" max="49" width="16.7109375" bestFit="1" customWidth="1"/>
    <col min="50" max="50" width="10" bestFit="1" customWidth="1"/>
    <col min="51" max="51" width="15.7109375" bestFit="1" customWidth="1"/>
    <col min="52" max="52" width="10.85546875" bestFit="1" customWidth="1"/>
    <col min="53" max="53" width="19.5703125" bestFit="1" customWidth="1"/>
    <col min="54" max="54" width="19.85546875" bestFit="1" customWidth="1"/>
    <col min="55" max="56" width="15.7109375" bestFit="1" customWidth="1"/>
    <col min="57" max="57" width="22.7109375" bestFit="1" customWidth="1"/>
    <col min="58" max="58" width="23" bestFit="1" customWidth="1"/>
    <col min="59" max="59" width="16.140625" bestFit="1" customWidth="1"/>
    <col min="60" max="60" width="9" bestFit="1" customWidth="1"/>
    <col min="61" max="61" width="16.5703125" bestFit="1" customWidth="1"/>
    <col min="62" max="62" width="15.85546875" bestFit="1" customWidth="1"/>
    <col min="63" max="63" width="13.42578125" bestFit="1" customWidth="1"/>
    <col min="64" max="64" width="8.42578125" bestFit="1" customWidth="1"/>
    <col min="65" max="65" width="12.140625" bestFit="1" customWidth="1"/>
    <col min="66" max="66" width="12.42578125" bestFit="1" customWidth="1"/>
    <col min="67" max="67" width="23" bestFit="1" customWidth="1"/>
    <col min="68" max="68" width="14" bestFit="1" customWidth="1"/>
    <col min="69" max="69" width="9.85546875" bestFit="1" customWidth="1"/>
    <col min="70" max="70" width="8.42578125" bestFit="1" customWidth="1"/>
    <col min="71" max="71" width="12.140625" bestFit="1" customWidth="1"/>
    <col min="72" max="72" width="12.42578125" bestFit="1" customWidth="1"/>
    <col min="73" max="73" width="23" bestFit="1" customWidth="1"/>
    <col min="74" max="74" width="14" bestFit="1" customWidth="1"/>
    <col min="75" max="75" width="9.85546875" bestFit="1" customWidth="1"/>
    <col min="76" max="76" width="8.42578125" bestFit="1" customWidth="1"/>
    <col min="77" max="77" width="12.140625" bestFit="1" customWidth="1"/>
    <col min="78" max="78" width="12.42578125" bestFit="1" customWidth="1"/>
    <col min="79" max="79" width="23" bestFit="1" customWidth="1"/>
    <col min="80" max="80" width="14" bestFit="1" customWidth="1"/>
    <col min="81" max="81" width="9.85546875" bestFit="1" customWidth="1"/>
    <col min="82" max="82" width="9.140625" bestFit="1" customWidth="1"/>
    <col min="83" max="83" width="12.140625" bestFit="1" customWidth="1"/>
    <col min="84" max="84" width="12.42578125" bestFit="1" customWidth="1"/>
    <col min="85" max="85" width="24" bestFit="1" customWidth="1"/>
    <col min="86" max="86" width="14" bestFit="1" customWidth="1"/>
    <col min="87" max="87" width="9.85546875" bestFit="1" customWidth="1"/>
    <col min="88" max="88" width="8.42578125" bestFit="1" customWidth="1"/>
    <col min="89" max="89" width="12.140625" bestFit="1" customWidth="1"/>
    <col min="90" max="90" width="12.42578125" bestFit="1" customWidth="1"/>
    <col min="91" max="91" width="23" bestFit="1" customWidth="1"/>
    <col min="92" max="92" width="14" bestFit="1" customWidth="1"/>
    <col min="93" max="93" width="9.85546875" bestFit="1" customWidth="1"/>
    <col min="94" max="94" width="11.42578125" bestFit="1" customWidth="1"/>
    <col min="95" max="95" width="15.28515625" bestFit="1" customWidth="1"/>
    <col min="96" max="96" width="15.5703125" bestFit="1" customWidth="1"/>
    <col min="97" max="97" width="23" bestFit="1" customWidth="1"/>
    <col min="98" max="98" width="17" bestFit="1" customWidth="1"/>
    <col min="99" max="99" width="12.85546875" bestFit="1" customWidth="1"/>
    <col min="100" max="100" width="12.140625" bestFit="1" customWidth="1"/>
    <col min="101" max="101" width="16" bestFit="1" customWidth="1"/>
    <col min="102" max="102" width="16.28515625" bestFit="1" customWidth="1"/>
    <col min="103" max="103" width="23" bestFit="1" customWidth="1"/>
    <col min="104" max="104" width="17.85546875" bestFit="1" customWidth="1"/>
    <col min="105" max="105" width="13.7109375" bestFit="1" customWidth="1"/>
    <col min="106" max="106" width="9.28515625" bestFit="1" customWidth="1"/>
    <col min="107" max="107" width="12.5703125" bestFit="1" customWidth="1"/>
    <col min="108" max="108" width="12.85546875" bestFit="1" customWidth="1"/>
    <col min="109" max="109" width="9.140625" bestFit="1" customWidth="1"/>
    <col min="110" max="110" width="16.7109375" bestFit="1" customWidth="1"/>
    <col min="111" max="111" width="9.140625" bestFit="1" customWidth="1"/>
    <col min="112" max="112" width="9.5703125" bestFit="1" customWidth="1"/>
    <col min="113" max="113" width="12.85546875" bestFit="1" customWidth="1"/>
    <col min="114" max="114" width="10.140625" bestFit="1" customWidth="1"/>
    <col min="115" max="115" width="9.140625" bestFit="1" customWidth="1"/>
    <col min="116" max="116" width="16.28515625" bestFit="1" customWidth="1"/>
    <col min="117" max="117" width="8.28515625" bestFit="1" customWidth="1"/>
    <col min="118" max="118" width="15.5703125" bestFit="1" customWidth="1"/>
    <col min="119" max="119" width="14.28515625" bestFit="1" customWidth="1"/>
    <col min="120" max="120" width="18.5703125" bestFit="1" customWidth="1"/>
    <col min="121" max="121" width="18.7109375" bestFit="1" customWidth="1"/>
    <col min="122" max="122" width="9.7109375" bestFit="1" customWidth="1"/>
    <col min="123" max="123" width="13.85546875" bestFit="1" customWidth="1"/>
    <col min="124" max="124" width="16.5703125" bestFit="1" customWidth="1"/>
    <col min="125" max="125" width="13.140625" bestFit="1" customWidth="1"/>
    <col min="126" max="126" width="12.5703125" bestFit="1" customWidth="1"/>
    <col min="127" max="129" width="255.7109375" bestFit="1" customWidth="1"/>
    <col min="130" max="130" width="136.85546875" bestFit="1" customWidth="1"/>
    <col min="131" max="132" width="255.7109375" bestFit="1" customWidth="1"/>
    <col min="133" max="135" width="14.5703125" bestFit="1" customWidth="1"/>
    <col min="136" max="138" width="15.5703125" bestFit="1" customWidth="1"/>
    <col min="139" max="139" width="21" bestFit="1" customWidth="1"/>
    <col min="140" max="140" width="16.7109375" bestFit="1" customWidth="1"/>
    <col min="141" max="141" width="22" bestFit="1" customWidth="1"/>
    <col min="142" max="142" width="18" bestFit="1" customWidth="1"/>
    <col min="143" max="143" width="19.7109375" bestFit="1" customWidth="1"/>
    <col min="144" max="144" width="15" bestFit="1" customWidth="1"/>
    <col min="145" max="145" width="22.5703125" bestFit="1" customWidth="1"/>
    <col min="146" max="146" width="16.28515625" bestFit="1" customWidth="1"/>
    <col min="147" max="147" width="23.42578125" bestFit="1" customWidth="1"/>
    <col min="148" max="148" width="24.85546875" bestFit="1" customWidth="1"/>
    <col min="149" max="149" width="25.140625" bestFit="1" customWidth="1"/>
    <col min="150" max="150" width="16.140625" bestFit="1" customWidth="1"/>
    <col min="151" max="151" width="22.5703125" bestFit="1" customWidth="1"/>
    <col min="152" max="152" width="16.28515625" bestFit="1" customWidth="1"/>
    <col min="153" max="153" width="23.42578125" bestFit="1" customWidth="1"/>
    <col min="154" max="154" width="19.28515625" bestFit="1" customWidth="1"/>
    <col min="155" max="155" width="16.140625" bestFit="1" customWidth="1"/>
    <col min="156" max="156" width="7.7109375" bestFit="1" customWidth="1"/>
    <col min="157" max="158" width="16.85546875" bestFit="1" customWidth="1"/>
    <col min="159" max="159" width="11.28515625" bestFit="1" customWidth="1"/>
    <col min="160" max="160" width="19" bestFit="1" customWidth="1"/>
    <col min="161" max="161" width="14.28515625" bestFit="1" customWidth="1"/>
    <col min="162" max="162" width="10.85546875" bestFit="1" customWidth="1"/>
    <col min="163" max="163" width="9.140625" bestFit="1" customWidth="1"/>
    <col min="164" max="165" width="18.42578125" bestFit="1" customWidth="1"/>
    <col min="166" max="166" width="12.7109375" bestFit="1" customWidth="1"/>
    <col min="167" max="167" width="20.42578125" bestFit="1" customWidth="1"/>
    <col min="168" max="168" width="14.28515625" bestFit="1" customWidth="1"/>
    <col min="169" max="169" width="10.85546875" bestFit="1" customWidth="1"/>
    <col min="170" max="170" width="30.5703125" bestFit="1" customWidth="1"/>
    <col min="171" max="171" width="33.140625" bestFit="1" customWidth="1"/>
    <col min="172" max="172" width="19.5703125" bestFit="1" customWidth="1"/>
    <col min="173" max="173" width="19.7109375" bestFit="1" customWidth="1"/>
    <col min="174" max="174" width="23.140625" bestFit="1" customWidth="1"/>
    <col min="175" max="175" width="19.5703125" bestFit="1" customWidth="1"/>
    <col min="176" max="176" width="20" bestFit="1" customWidth="1"/>
    <col min="177" max="177" width="40.5703125" bestFit="1" customWidth="1"/>
    <col min="178" max="178" width="21.85546875" bestFit="1" customWidth="1"/>
    <col min="179" max="179" width="23.28515625" bestFit="1" customWidth="1"/>
    <col min="180" max="180" width="19.7109375" bestFit="1" customWidth="1"/>
    <col min="181" max="181" width="16.28515625" bestFit="1" customWidth="1"/>
    <col min="182" max="182" width="11.7109375" bestFit="1" customWidth="1"/>
    <col min="183" max="183" width="124.28515625" bestFit="1" customWidth="1"/>
    <col min="184" max="184" width="12.85546875" bestFit="1" customWidth="1"/>
    <col min="185" max="185" width="15.28515625" bestFit="1" customWidth="1"/>
    <col min="186" max="186" width="11.7109375" bestFit="1" customWidth="1"/>
    <col min="187" max="187" width="19.7109375" bestFit="1" customWidth="1"/>
    <col min="188" max="188" width="22.85546875" bestFit="1" customWidth="1"/>
    <col min="189" max="189" width="27.42578125" bestFit="1" customWidth="1"/>
    <col min="190" max="190" width="23.28515625" bestFit="1" customWidth="1"/>
    <col min="191" max="191" width="19.7109375" bestFit="1" customWidth="1"/>
    <col min="192" max="192" width="16.28515625" bestFit="1" customWidth="1"/>
    <col min="193" max="193" width="13.28515625" bestFit="1" customWidth="1"/>
    <col min="194" max="194" width="24.28515625" bestFit="1" customWidth="1"/>
    <col min="195" max="195" width="14.42578125" bestFit="1" customWidth="1"/>
    <col min="196" max="196" width="16.7109375" bestFit="1" customWidth="1"/>
    <col min="197" max="197" width="13.28515625" bestFit="1" customWidth="1"/>
    <col min="198" max="198" width="16.85546875" bestFit="1" customWidth="1"/>
    <col min="199" max="199" width="21.42578125" bestFit="1" customWidth="1"/>
    <col min="200" max="200" width="32" bestFit="1" customWidth="1"/>
    <col min="201" max="201" width="26" bestFit="1" customWidth="1"/>
    <col min="202" max="202" width="19.5703125" bestFit="1" customWidth="1"/>
    <col min="203" max="203" width="16.140625" bestFit="1" customWidth="1"/>
    <col min="204" max="204" width="13.28515625" bestFit="1" customWidth="1"/>
    <col min="205" max="205" width="24.28515625" bestFit="1" customWidth="1"/>
    <col min="206" max="206" width="19" bestFit="1" customWidth="1"/>
    <col min="207" max="207" width="24.42578125" bestFit="1" customWidth="1"/>
    <col min="208" max="208" width="22.5703125" bestFit="1" customWidth="1"/>
    <col min="209" max="209" width="23.28515625" bestFit="1" customWidth="1"/>
    <col min="210" max="210" width="23.85546875" bestFit="1" customWidth="1"/>
    <col min="211" max="211" width="18" bestFit="1" customWidth="1"/>
    <col min="212" max="212" width="13.28515625" bestFit="1" customWidth="1"/>
    <col min="213" max="213" width="24.28515625" bestFit="1" customWidth="1"/>
    <col min="214" max="214" width="14" bestFit="1" customWidth="1"/>
    <col min="215" max="215" width="21.42578125" bestFit="1" customWidth="1"/>
    <col min="216" max="216" width="21.85546875" bestFit="1" customWidth="1"/>
    <col min="217" max="217" width="23.28515625" bestFit="1" customWidth="1"/>
    <col min="218" max="218" width="17.7109375" bestFit="1" customWidth="1"/>
    <col min="219" max="219" width="15.140625" bestFit="1" customWidth="1"/>
    <col min="220" max="220" width="13.28515625" bestFit="1" customWidth="1"/>
    <col min="221" max="221" width="9.85546875" bestFit="1" customWidth="1"/>
    <col min="222" max="222" width="14" bestFit="1" customWidth="1"/>
    <col min="223" max="223" width="21.42578125" bestFit="1" customWidth="1"/>
    <col min="224" max="224" width="21.85546875" bestFit="1" customWidth="1"/>
    <col min="225" max="225" width="23.28515625" bestFit="1" customWidth="1"/>
    <col min="226" max="226" width="17.7109375" bestFit="1" customWidth="1"/>
    <col min="227" max="227" width="15.140625" bestFit="1" customWidth="1"/>
    <col min="228" max="228" width="13.28515625" bestFit="1" customWidth="1"/>
    <col min="229" max="229" width="9.85546875" bestFit="1" customWidth="1"/>
    <col min="230" max="230" width="14" bestFit="1" customWidth="1"/>
    <col min="231" max="231" width="21.42578125" bestFit="1" customWidth="1"/>
    <col min="232" max="232" width="21.85546875" bestFit="1" customWidth="1"/>
    <col min="233" max="233" width="23.28515625" bestFit="1" customWidth="1"/>
    <col min="234" max="234" width="17.7109375" bestFit="1" customWidth="1"/>
    <col min="235" max="235" width="15.140625" bestFit="1" customWidth="1"/>
    <col min="236" max="236" width="13.28515625" bestFit="1" customWidth="1"/>
    <col min="237" max="237" width="9.85546875" bestFit="1" customWidth="1"/>
    <col min="238" max="238" width="11.5703125" bestFit="1" customWidth="1"/>
    <col min="239" max="239" width="10.140625" bestFit="1" customWidth="1"/>
    <col min="240" max="240" width="12.5703125" bestFit="1" customWidth="1"/>
    <col min="241" max="241" width="17.5703125" bestFit="1" customWidth="1"/>
    <col min="242" max="242" width="20.85546875" bestFit="1" customWidth="1"/>
    <col min="243" max="243" width="36.140625" bestFit="1" customWidth="1"/>
    <col min="244" max="244" width="21.7109375" bestFit="1" customWidth="1"/>
    <col min="245" max="245" width="19.7109375" bestFit="1" customWidth="1"/>
    <col min="246" max="246" width="40.5703125" bestFit="1" customWidth="1"/>
    <col min="247" max="247" width="12.28515625" bestFit="1" customWidth="1"/>
    <col min="248" max="248" width="15.140625" bestFit="1" customWidth="1"/>
    <col min="249" max="249" width="14.85546875" bestFit="1" customWidth="1"/>
    <col min="250" max="250" width="12.7109375" bestFit="1" customWidth="1"/>
    <col min="251" max="251" width="15.5703125" bestFit="1" customWidth="1"/>
    <col min="252" max="252" width="21.85546875" bestFit="1" customWidth="1"/>
    <col min="253" max="253" width="18.140625" bestFit="1" customWidth="1"/>
    <col min="254" max="254" width="31.5703125" bestFit="1" customWidth="1"/>
    <col min="255" max="255" width="26.85546875" bestFit="1" customWidth="1"/>
    <col min="256" max="256" width="15.7109375" bestFit="1" customWidth="1"/>
  </cols>
  <sheetData>
    <row r="1" spans="1:257" s="336" customFormat="1">
      <c r="A1" s="324" t="s">
        <v>0</v>
      </c>
      <c r="B1" s="322" t="s">
        <v>1</v>
      </c>
      <c r="C1" s="323" t="s">
        <v>2</v>
      </c>
      <c r="D1" s="324" t="s">
        <v>1519</v>
      </c>
      <c r="E1" s="324" t="s">
        <v>3</v>
      </c>
      <c r="F1" s="324" t="s">
        <v>4</v>
      </c>
      <c r="G1" s="322" t="s">
        <v>5</v>
      </c>
      <c r="H1" s="322" t="s">
        <v>6</v>
      </c>
      <c r="I1" s="322" t="s">
        <v>7</v>
      </c>
      <c r="J1" s="322" t="s">
        <v>8</v>
      </c>
      <c r="K1" s="322" t="s">
        <v>9</v>
      </c>
      <c r="L1" s="322" t="s">
        <v>10</v>
      </c>
      <c r="M1" s="322" t="s">
        <v>11</v>
      </c>
      <c r="N1" s="322" t="s">
        <v>12</v>
      </c>
      <c r="O1" s="324" t="s">
        <v>13</v>
      </c>
      <c r="P1" s="322" t="s">
        <v>14</v>
      </c>
      <c r="Q1" s="322" t="s">
        <v>15</v>
      </c>
      <c r="R1" s="322" t="s">
        <v>16</v>
      </c>
      <c r="S1" s="322" t="s">
        <v>17</v>
      </c>
      <c r="T1" s="324" t="s">
        <v>18</v>
      </c>
      <c r="U1" s="322" t="s">
        <v>19</v>
      </c>
      <c r="V1" s="322" t="s">
        <v>20</v>
      </c>
      <c r="W1" s="322" t="s">
        <v>21</v>
      </c>
      <c r="X1" s="322" t="s">
        <v>22</v>
      </c>
      <c r="Y1" s="324" t="s">
        <v>23</v>
      </c>
      <c r="Z1" s="322" t="s">
        <v>24</v>
      </c>
      <c r="AA1" s="322" t="s">
        <v>25</v>
      </c>
      <c r="AB1" s="322" t="s">
        <v>26</v>
      </c>
      <c r="AC1" s="322" t="s">
        <v>27</v>
      </c>
      <c r="AD1" s="322" t="s">
        <v>28</v>
      </c>
      <c r="AE1" s="322" t="s">
        <v>29</v>
      </c>
      <c r="AF1" s="322" t="s">
        <v>30</v>
      </c>
      <c r="AG1" s="325" t="s">
        <v>31</v>
      </c>
      <c r="AH1" s="322" t="s">
        <v>32</v>
      </c>
      <c r="AI1" s="322" t="s">
        <v>33</v>
      </c>
      <c r="AJ1" s="326" t="s">
        <v>34</v>
      </c>
      <c r="AK1" s="326" t="s">
        <v>35</v>
      </c>
      <c r="AL1" s="326" t="s">
        <v>36</v>
      </c>
      <c r="AM1" s="326" t="s">
        <v>37</v>
      </c>
      <c r="AN1" s="322" t="s">
        <v>38</v>
      </c>
      <c r="AO1" s="324" t="s">
        <v>39</v>
      </c>
      <c r="AP1" s="327" t="s">
        <v>40</v>
      </c>
      <c r="AQ1" s="322" t="s">
        <v>41</v>
      </c>
      <c r="AR1" s="322" t="s">
        <v>42</v>
      </c>
      <c r="AS1" s="328" t="s">
        <v>43</v>
      </c>
      <c r="AT1" s="328" t="s">
        <v>44</v>
      </c>
      <c r="AU1" s="323" t="s">
        <v>45</v>
      </c>
      <c r="AV1" s="323" t="s">
        <v>46</v>
      </c>
      <c r="AW1" s="323" t="s">
        <v>47</v>
      </c>
      <c r="AX1" s="324" t="s">
        <v>48</v>
      </c>
      <c r="AY1" s="329" t="s">
        <v>49</v>
      </c>
      <c r="AZ1" s="330" t="s">
        <v>50</v>
      </c>
      <c r="BA1" s="324" t="s">
        <v>51</v>
      </c>
      <c r="BB1" s="324" t="s">
        <v>52</v>
      </c>
      <c r="BC1" s="324" t="s">
        <v>53</v>
      </c>
      <c r="BD1" s="324" t="s">
        <v>54</v>
      </c>
      <c r="BE1" s="324" t="s">
        <v>55</v>
      </c>
      <c r="BF1" s="324" t="s">
        <v>56</v>
      </c>
      <c r="BG1" s="324" t="s">
        <v>57</v>
      </c>
      <c r="BH1" s="324" t="s">
        <v>58</v>
      </c>
      <c r="BI1" s="324" t="s">
        <v>59</v>
      </c>
      <c r="BJ1" s="324" t="s">
        <v>2418</v>
      </c>
      <c r="BK1" s="324" t="s">
        <v>2419</v>
      </c>
      <c r="BL1" s="326" t="s">
        <v>84</v>
      </c>
      <c r="BM1" s="326" t="s">
        <v>85</v>
      </c>
      <c r="BN1" s="326" t="s">
        <v>86</v>
      </c>
      <c r="BO1" s="331" t="s">
        <v>87</v>
      </c>
      <c r="BP1" s="332" t="s">
        <v>88</v>
      </c>
      <c r="BQ1" s="326" t="s">
        <v>89</v>
      </c>
      <c r="BR1" s="326" t="s">
        <v>90</v>
      </c>
      <c r="BS1" s="326" t="s">
        <v>91</v>
      </c>
      <c r="BT1" s="326" t="s">
        <v>92</v>
      </c>
      <c r="BU1" s="331" t="s">
        <v>93</v>
      </c>
      <c r="BV1" s="332" t="s">
        <v>94</v>
      </c>
      <c r="BW1" s="326" t="s">
        <v>95</v>
      </c>
      <c r="BX1" s="326" t="s">
        <v>96</v>
      </c>
      <c r="BY1" s="326" t="s">
        <v>97</v>
      </c>
      <c r="BZ1" s="326" t="s">
        <v>98</v>
      </c>
      <c r="CA1" s="331" t="s">
        <v>99</v>
      </c>
      <c r="CB1" s="332" t="s">
        <v>100</v>
      </c>
      <c r="CC1" s="326" t="s">
        <v>101</v>
      </c>
      <c r="CD1" s="326" t="s">
        <v>1908</v>
      </c>
      <c r="CE1" s="326" t="s">
        <v>1989</v>
      </c>
      <c r="CF1" s="326" t="s">
        <v>1990</v>
      </c>
      <c r="CG1" s="331" t="s">
        <v>1991</v>
      </c>
      <c r="CH1" s="332" t="s">
        <v>1992</v>
      </c>
      <c r="CI1" s="326" t="s">
        <v>1993</v>
      </c>
      <c r="CJ1" s="326" t="s">
        <v>2544</v>
      </c>
      <c r="CK1" s="326" t="s">
        <v>2551</v>
      </c>
      <c r="CL1" s="326" t="s">
        <v>2552</v>
      </c>
      <c r="CM1" s="331" t="s">
        <v>2553</v>
      </c>
      <c r="CN1" s="332" t="s">
        <v>2554</v>
      </c>
      <c r="CO1" s="326" t="s">
        <v>2555</v>
      </c>
      <c r="CP1" s="326" t="s">
        <v>3876</v>
      </c>
      <c r="CQ1" s="326" t="s">
        <v>3910</v>
      </c>
      <c r="CR1" s="326" t="s">
        <v>3909</v>
      </c>
      <c r="CS1" s="331" t="s">
        <v>3911</v>
      </c>
      <c r="CT1" s="332" t="s">
        <v>3912</v>
      </c>
      <c r="CU1" s="326" t="s">
        <v>3913</v>
      </c>
      <c r="CV1" s="326" t="s">
        <v>3942</v>
      </c>
      <c r="CW1" s="326" t="s">
        <v>3943</v>
      </c>
      <c r="CX1" s="326" t="s">
        <v>3944</v>
      </c>
      <c r="CY1" s="331" t="s">
        <v>3945</v>
      </c>
      <c r="CZ1" s="332" t="s">
        <v>3946</v>
      </c>
      <c r="DA1" s="326" t="s">
        <v>3947</v>
      </c>
      <c r="DB1" s="326" t="s">
        <v>102</v>
      </c>
      <c r="DC1" s="326" t="s">
        <v>103</v>
      </c>
      <c r="DD1" s="326" t="s">
        <v>104</v>
      </c>
      <c r="DE1" s="326" t="s">
        <v>105</v>
      </c>
      <c r="DF1" s="326" t="s">
        <v>1909</v>
      </c>
      <c r="DG1" s="326" t="s">
        <v>107</v>
      </c>
      <c r="DH1" s="332" t="s">
        <v>108</v>
      </c>
      <c r="DI1" s="326" t="s">
        <v>109</v>
      </c>
      <c r="DJ1" s="326" t="s">
        <v>110</v>
      </c>
      <c r="DK1" s="326" t="s">
        <v>111</v>
      </c>
      <c r="DL1" s="326" t="s">
        <v>113</v>
      </c>
      <c r="DM1" s="326" t="s">
        <v>112</v>
      </c>
      <c r="DN1" s="326" t="s">
        <v>114</v>
      </c>
      <c r="DO1" s="326" t="s">
        <v>115</v>
      </c>
      <c r="DP1" s="333" t="s">
        <v>116</v>
      </c>
      <c r="DQ1" s="326" t="s">
        <v>117</v>
      </c>
      <c r="DR1" s="324" t="s">
        <v>106</v>
      </c>
      <c r="DS1" s="333" t="s">
        <v>118</v>
      </c>
      <c r="DT1" s="333" t="s">
        <v>119</v>
      </c>
      <c r="DU1" s="333" t="s">
        <v>120</v>
      </c>
      <c r="DV1" s="337" t="s">
        <v>121</v>
      </c>
      <c r="DW1" s="322" t="s">
        <v>122</v>
      </c>
      <c r="DX1" s="322" t="s">
        <v>123</v>
      </c>
      <c r="DY1" s="322" t="s">
        <v>124</v>
      </c>
      <c r="DZ1" s="322" t="s">
        <v>125</v>
      </c>
      <c r="EA1" s="322" t="s">
        <v>126</v>
      </c>
      <c r="EB1" s="322" t="s">
        <v>127</v>
      </c>
      <c r="EC1" s="322" t="s">
        <v>128</v>
      </c>
      <c r="ED1" s="322" t="s">
        <v>129</v>
      </c>
      <c r="EE1" s="322" t="s">
        <v>130</v>
      </c>
      <c r="EF1" s="322" t="s">
        <v>131</v>
      </c>
      <c r="EG1" s="322" t="s">
        <v>132</v>
      </c>
      <c r="EH1" s="322" t="s">
        <v>133</v>
      </c>
      <c r="EI1" s="322" t="s">
        <v>134</v>
      </c>
      <c r="EJ1" s="322" t="s">
        <v>135</v>
      </c>
      <c r="EK1" s="322" t="s">
        <v>136</v>
      </c>
      <c r="EL1" s="322" t="s">
        <v>137</v>
      </c>
      <c r="EM1" s="322" t="s">
        <v>138</v>
      </c>
      <c r="EN1" s="322" t="s">
        <v>139</v>
      </c>
      <c r="EO1" s="322" t="s">
        <v>140</v>
      </c>
      <c r="EP1" s="322" t="s">
        <v>141</v>
      </c>
      <c r="EQ1" s="322" t="s">
        <v>142</v>
      </c>
      <c r="ER1" s="322" t="s">
        <v>143</v>
      </c>
      <c r="ES1" s="322" t="s">
        <v>144</v>
      </c>
      <c r="ET1" s="322" t="s">
        <v>145</v>
      </c>
      <c r="EU1" s="322" t="s">
        <v>146</v>
      </c>
      <c r="EV1" s="322" t="s">
        <v>147</v>
      </c>
      <c r="EW1" s="322" t="s">
        <v>148</v>
      </c>
      <c r="EX1" s="322" t="s">
        <v>149</v>
      </c>
      <c r="EY1" s="322" t="s">
        <v>150</v>
      </c>
      <c r="EZ1" s="322" t="s">
        <v>151</v>
      </c>
      <c r="FA1" s="322" t="s">
        <v>152</v>
      </c>
      <c r="FB1" s="322" t="s">
        <v>153</v>
      </c>
      <c r="FC1" s="322" t="s">
        <v>154</v>
      </c>
      <c r="FD1" s="322" t="s">
        <v>155</v>
      </c>
      <c r="FE1" s="334" t="s">
        <v>156</v>
      </c>
      <c r="FF1" s="335" t="s">
        <v>157</v>
      </c>
      <c r="FG1" s="322" t="s">
        <v>158</v>
      </c>
      <c r="FH1" s="322" t="s">
        <v>159</v>
      </c>
      <c r="FI1" s="322" t="s">
        <v>160</v>
      </c>
      <c r="FJ1" s="322" t="s">
        <v>161</v>
      </c>
      <c r="FK1" s="322" t="s">
        <v>162</v>
      </c>
      <c r="FL1" s="322" t="s">
        <v>163</v>
      </c>
      <c r="FM1" s="335" t="s">
        <v>164</v>
      </c>
      <c r="FN1" s="322" t="s">
        <v>166</v>
      </c>
      <c r="FO1" s="322" t="s">
        <v>167</v>
      </c>
      <c r="FP1" s="322" t="s">
        <v>168</v>
      </c>
      <c r="FQ1" s="322" t="s">
        <v>169</v>
      </c>
      <c r="FR1" s="322" t="s">
        <v>170</v>
      </c>
      <c r="FS1" s="326" t="s">
        <v>171</v>
      </c>
      <c r="FT1" s="322" t="s">
        <v>172</v>
      </c>
      <c r="FU1" s="322" t="s">
        <v>173</v>
      </c>
      <c r="FV1" s="322" t="s">
        <v>174</v>
      </c>
      <c r="FW1" s="322" t="s">
        <v>175</v>
      </c>
      <c r="FX1" s="322" t="s">
        <v>176</v>
      </c>
      <c r="FY1" s="322" t="s">
        <v>177</v>
      </c>
      <c r="FZ1" s="334" t="s">
        <v>178</v>
      </c>
      <c r="GA1" s="322" t="s">
        <v>179</v>
      </c>
      <c r="GB1" s="322" t="s">
        <v>180</v>
      </c>
      <c r="GC1" s="322" t="s">
        <v>181</v>
      </c>
      <c r="GD1" s="322" t="s">
        <v>182</v>
      </c>
      <c r="GE1" s="322" t="s">
        <v>183</v>
      </c>
      <c r="GF1" s="322" t="s">
        <v>184</v>
      </c>
      <c r="GG1" s="322" t="s">
        <v>185</v>
      </c>
      <c r="GH1" s="322" t="s">
        <v>186</v>
      </c>
      <c r="GI1" s="322" t="s">
        <v>187</v>
      </c>
      <c r="GJ1" s="322" t="s">
        <v>188</v>
      </c>
      <c r="GK1" s="322" t="s">
        <v>189</v>
      </c>
      <c r="GL1" s="322" t="s">
        <v>190</v>
      </c>
      <c r="GM1" s="322" t="s">
        <v>191</v>
      </c>
      <c r="GN1" s="322" t="s">
        <v>192</v>
      </c>
      <c r="GO1" s="322" t="s">
        <v>193</v>
      </c>
      <c r="GP1" s="322" t="s">
        <v>194</v>
      </c>
      <c r="GQ1" s="322" t="s">
        <v>195</v>
      </c>
      <c r="GR1" s="322" t="s">
        <v>196</v>
      </c>
      <c r="GS1" s="322" t="s">
        <v>197</v>
      </c>
      <c r="GT1" s="322" t="s">
        <v>198</v>
      </c>
      <c r="GU1" s="322" t="s">
        <v>199</v>
      </c>
      <c r="GV1" s="322" t="s">
        <v>200</v>
      </c>
      <c r="GW1" s="322" t="s">
        <v>201</v>
      </c>
      <c r="GX1" s="322" t="s">
        <v>202</v>
      </c>
      <c r="GY1" s="322" t="s">
        <v>203</v>
      </c>
      <c r="GZ1" s="322" t="s">
        <v>204</v>
      </c>
      <c r="HA1" s="322" t="s">
        <v>205</v>
      </c>
      <c r="HB1" s="322" t="s">
        <v>206</v>
      </c>
      <c r="HC1" s="322" t="s">
        <v>207</v>
      </c>
      <c r="HD1" s="322" t="s">
        <v>208</v>
      </c>
      <c r="HE1" s="322" t="s">
        <v>209</v>
      </c>
      <c r="HF1" s="322" t="s">
        <v>210</v>
      </c>
      <c r="HG1" s="322" t="s">
        <v>211</v>
      </c>
      <c r="HH1" s="322" t="s">
        <v>212</v>
      </c>
      <c r="HI1" s="322" t="s">
        <v>213</v>
      </c>
      <c r="HJ1" s="322" t="s">
        <v>214</v>
      </c>
      <c r="HK1" s="322" t="s">
        <v>215</v>
      </c>
      <c r="HL1" s="322" t="s">
        <v>216</v>
      </c>
      <c r="HM1" s="322" t="s">
        <v>217</v>
      </c>
      <c r="HN1" s="322" t="s">
        <v>218</v>
      </c>
      <c r="HO1" s="322" t="s">
        <v>219</v>
      </c>
      <c r="HP1" s="322" t="s">
        <v>220</v>
      </c>
      <c r="HQ1" s="322" t="s">
        <v>221</v>
      </c>
      <c r="HR1" s="322" t="s">
        <v>222</v>
      </c>
      <c r="HS1" s="322" t="s">
        <v>223</v>
      </c>
      <c r="HT1" s="322" t="s">
        <v>224</v>
      </c>
      <c r="HU1" s="322" t="s">
        <v>225</v>
      </c>
      <c r="HV1" s="322" t="s">
        <v>226</v>
      </c>
      <c r="HW1" s="322" t="s">
        <v>227</v>
      </c>
      <c r="HX1" s="322" t="s">
        <v>228</v>
      </c>
      <c r="HY1" s="322" t="s">
        <v>229</v>
      </c>
      <c r="HZ1" s="322" t="s">
        <v>230</v>
      </c>
      <c r="IA1" s="322" t="s">
        <v>231</v>
      </c>
      <c r="IB1" s="322" t="s">
        <v>232</v>
      </c>
      <c r="IC1" s="322" t="s">
        <v>233</v>
      </c>
      <c r="ID1" s="338" t="s">
        <v>234</v>
      </c>
      <c r="IE1" s="339" t="s">
        <v>235</v>
      </c>
      <c r="IF1" s="339" t="s">
        <v>236</v>
      </c>
      <c r="IG1" s="334" t="s">
        <v>237</v>
      </c>
      <c r="IH1" s="322" t="s">
        <v>238</v>
      </c>
      <c r="II1" s="326" t="s">
        <v>239</v>
      </c>
      <c r="IJ1" s="326" t="s">
        <v>240</v>
      </c>
      <c r="IK1" s="326" t="s">
        <v>241</v>
      </c>
      <c r="IL1" s="326" t="s">
        <v>242</v>
      </c>
      <c r="IM1" s="326" t="s">
        <v>243</v>
      </c>
      <c r="IN1" s="326" t="s">
        <v>244</v>
      </c>
      <c r="IO1" s="326" t="s">
        <v>245</v>
      </c>
      <c r="IP1" s="326" t="s">
        <v>5010</v>
      </c>
      <c r="IQ1" s="326" t="s">
        <v>5009</v>
      </c>
      <c r="IR1" s="326" t="s">
        <v>246</v>
      </c>
      <c r="IS1" s="326" t="s">
        <v>247</v>
      </c>
      <c r="IT1" s="326" t="s">
        <v>248</v>
      </c>
      <c r="IU1" s="326" t="s">
        <v>249</v>
      </c>
      <c r="IV1" s="326" t="s">
        <v>250</v>
      </c>
    </row>
    <row r="2" spans="1:257" ht="15.75">
      <c r="A2" s="24">
        <v>102020060</v>
      </c>
      <c r="B2" s="18" t="s">
        <v>1699</v>
      </c>
      <c r="C2" s="18"/>
      <c r="D2" s="13"/>
      <c r="E2" s="24" t="s">
        <v>3730</v>
      </c>
      <c r="F2" s="24">
        <v>220001775</v>
      </c>
      <c r="G2" s="18"/>
      <c r="H2" s="18"/>
      <c r="I2" s="18"/>
      <c r="J2" s="18" t="s">
        <v>311</v>
      </c>
      <c r="K2" s="18" t="s">
        <v>1020</v>
      </c>
      <c r="L2" s="18" t="s">
        <v>1700</v>
      </c>
      <c r="M2" s="18"/>
      <c r="N2" s="18"/>
      <c r="O2" s="18"/>
      <c r="P2" s="18"/>
      <c r="Q2" s="18"/>
      <c r="R2" s="18"/>
      <c r="S2" s="18"/>
      <c r="T2" s="18"/>
      <c r="U2" s="18"/>
      <c r="V2" s="18"/>
      <c r="W2" s="18"/>
      <c r="X2" s="18"/>
      <c r="Y2" s="18"/>
      <c r="Z2" s="18"/>
      <c r="AA2" s="18"/>
      <c r="AB2" s="18"/>
      <c r="AC2" s="18"/>
      <c r="AD2" s="18"/>
      <c r="AE2" s="18"/>
      <c r="AF2" s="18"/>
      <c r="AG2" s="26"/>
      <c r="AH2" s="18"/>
      <c r="AI2" s="18"/>
      <c r="AJ2" s="18" t="s">
        <v>2141</v>
      </c>
      <c r="AK2" s="18" t="s">
        <v>258</v>
      </c>
      <c r="AL2" s="18" t="s">
        <v>386</v>
      </c>
      <c r="AM2" s="18" t="s">
        <v>260</v>
      </c>
      <c r="AN2" s="18"/>
      <c r="AO2" s="24" t="s">
        <v>1701</v>
      </c>
      <c r="AP2" s="24" t="s">
        <v>258</v>
      </c>
      <c r="AQ2" s="18" t="s">
        <v>386</v>
      </c>
      <c r="AR2" s="18" t="s">
        <v>260</v>
      </c>
      <c r="AS2" s="13"/>
      <c r="AT2" s="13"/>
      <c r="AU2" s="13" t="s">
        <v>258</v>
      </c>
      <c r="AV2" s="13" t="s">
        <v>258</v>
      </c>
      <c r="AW2" s="13" t="s">
        <v>258</v>
      </c>
      <c r="AX2" s="48">
        <v>44630</v>
      </c>
      <c r="AY2" s="115">
        <v>44598</v>
      </c>
      <c r="AZ2" s="114">
        <v>44595</v>
      </c>
      <c r="BA2" s="48">
        <v>44673</v>
      </c>
      <c r="BB2" s="19" t="s">
        <v>318</v>
      </c>
      <c r="BC2" s="9">
        <v>44659</v>
      </c>
      <c r="BD2" s="48">
        <v>44666</v>
      </c>
      <c r="BE2" s="48">
        <v>44785</v>
      </c>
      <c r="BF2" s="19" t="s">
        <v>319</v>
      </c>
      <c r="BG2" s="20">
        <f t="shared" ref="BG2:BG10" si="0">SUM(DK2)+214.5</f>
        <v>5283.76</v>
      </c>
      <c r="BH2" s="22">
        <f t="shared" ref="BH2:BH10" si="1">PMT(10%/12,12,BG2,0,0)</f>
        <v>-464.52644831043551</v>
      </c>
      <c r="BI2" s="22">
        <f t="shared" ref="BI2:BI10" si="2">SUM(BH2*-1)</f>
        <v>464.52644831043551</v>
      </c>
      <c r="BJ2" s="14">
        <f t="shared" ref="BJ2:BJ10" si="3">SUM(DU2*0.0052)/12</f>
        <v>6.9333333333333336</v>
      </c>
      <c r="BK2" s="22">
        <f t="shared" ref="BK2:BK10" si="4">SUM(BI2+BJ2)</f>
        <v>471.45978164376885</v>
      </c>
      <c r="BL2" s="14">
        <v>44.72</v>
      </c>
      <c r="BM2" s="14">
        <f t="shared" ref="BM2:BM10" si="5">SUM(BL2*0.1)</f>
        <v>4.4720000000000004</v>
      </c>
      <c r="BN2" s="14">
        <f t="shared" ref="BN2:BN10" si="6">SUM(BO2*BP2)</f>
        <v>25.005933333333321</v>
      </c>
      <c r="BO2" s="17">
        <f t="shared" ref="BO2:BO10" si="7">SUM((BL2+BM2)*0.00833333333333333)</f>
        <v>0.40993333333333315</v>
      </c>
      <c r="BP2" s="23">
        <v>61</v>
      </c>
      <c r="BQ2" s="14">
        <f t="shared" ref="BQ2:BQ10" si="8">SUM(BL2,BM2,BN2)</f>
        <v>74.197933333333324</v>
      </c>
      <c r="BR2" s="14">
        <v>44.72</v>
      </c>
      <c r="BS2" s="14">
        <f t="shared" ref="BS2:BS10" si="9">SUM(BR2*0.1)</f>
        <v>4.4720000000000004</v>
      </c>
      <c r="BT2" s="14">
        <f t="shared" ref="BT2:BT10" si="10">SUM(BU2*BV2)</f>
        <v>20.086733333333324</v>
      </c>
      <c r="BU2" s="17">
        <f t="shared" ref="BU2:BU10" si="11">SUM((BR2+BS2)*0.00833333333333333)</f>
        <v>0.40993333333333315</v>
      </c>
      <c r="BV2" s="23">
        <v>49</v>
      </c>
      <c r="BW2" s="14">
        <f t="shared" ref="BW2:BW10" si="12">SUM(BR2,BS2,BT2)</f>
        <v>69.278733333333321</v>
      </c>
      <c r="BX2" s="14">
        <v>83.2</v>
      </c>
      <c r="BY2" s="14">
        <f t="shared" ref="BY2:BY10" si="13">SUM(BX2*0.1)</f>
        <v>8.32</v>
      </c>
      <c r="BZ2" s="14">
        <f>SUM(CA2*CB2)</f>
        <v>28.218666666666657</v>
      </c>
      <c r="CA2" s="17">
        <f t="shared" ref="CA2:CA10" si="14">SUM((BX2+BY2)*0.00833333333333333)</f>
        <v>0.76266666666666638</v>
      </c>
      <c r="CB2" s="23">
        <v>37</v>
      </c>
      <c r="CC2" s="14">
        <f t="shared" ref="CC2:CC10" si="15">SUM(BX2,BY2,BZ2)</f>
        <v>119.73866666666666</v>
      </c>
      <c r="CD2" s="14">
        <f>SUM(DU2*0.0052)</f>
        <v>83.2</v>
      </c>
      <c r="CE2" s="14">
        <f>SUM(SUM(DU2*0.0052)*0.1)</f>
        <v>8.32</v>
      </c>
      <c r="CF2" s="14">
        <f t="shared" ref="CF2:CF10" si="16">SUM(CG2*CH2)</f>
        <v>11.897600000000002</v>
      </c>
      <c r="CG2" s="17">
        <f>SUM((CD2+CE2)*0.005)</f>
        <v>0.45760000000000006</v>
      </c>
      <c r="CH2" s="23">
        <v>26</v>
      </c>
      <c r="CI2" s="14">
        <f t="shared" ref="CI2:CI10" si="17">SUM(CD2,CE2,CF2)</f>
        <v>103.41760000000001</v>
      </c>
      <c r="CJ2" s="14">
        <f>SUM(DU2*0.0052)</f>
        <v>83.2</v>
      </c>
      <c r="CK2" s="14">
        <f t="shared" ref="CK2:CK10" si="18">SUM(CJ2*0.1)</f>
        <v>8.32</v>
      </c>
      <c r="CL2" s="14">
        <f>SUM(CM2*CN2)</f>
        <v>9.9146666666666636</v>
      </c>
      <c r="CM2" s="17">
        <f t="shared" ref="CM2:CM10" si="19">SUM((CJ2+CK2)*0.00833333333333333)</f>
        <v>0.76266666666666638</v>
      </c>
      <c r="CN2" s="23">
        <v>13</v>
      </c>
      <c r="CO2" s="14">
        <f t="shared" ref="CO2:CO10" si="20">SUM(CJ2,CK2,CL2)</f>
        <v>101.43466666666667</v>
      </c>
      <c r="CP2" s="14">
        <f>SUM(DU2*0.0052)/2</f>
        <v>41.6</v>
      </c>
      <c r="CQ2" s="14">
        <f t="shared" ref="CQ2:CQ10" si="21">SUM(CP2*0.1)</f>
        <v>4.16</v>
      </c>
      <c r="CR2" s="14">
        <f t="shared" ref="CR2:CR10" si="22">SUM(CS2*CT2)</f>
        <v>2.2879999999999994</v>
      </c>
      <c r="CS2" s="17">
        <f t="shared" ref="CS2:CS10" si="23">SUM((CP2+CQ2)*0.00833333333333333)</f>
        <v>0.38133333333333319</v>
      </c>
      <c r="CT2" s="23">
        <v>6</v>
      </c>
      <c r="CU2" s="23">
        <f t="shared" ref="CU2:CU10" si="24">SUM(CP2,CQ2,CR2)</f>
        <v>48.048000000000002</v>
      </c>
      <c r="CV2" s="14">
        <f t="shared" ref="CV2:CV10" si="25">SUM(DU2*0.0052)/2</f>
        <v>41.6</v>
      </c>
      <c r="CW2" s="14">
        <v>0</v>
      </c>
      <c r="CX2" s="14">
        <v>0</v>
      </c>
      <c r="CY2" s="17">
        <f t="shared" ref="CY2:CY10" si="26">SUM((CV2+CW2)*0.00833333333333333)</f>
        <v>0.34666666666666651</v>
      </c>
      <c r="CZ2" s="23">
        <f t="shared" ref="CZ2:CZ10" ca="1" si="27">MONTH(TODAY())-6</f>
        <v>-2</v>
      </c>
      <c r="DA2" s="23">
        <f t="shared" ref="DA2:DA10" si="28">SUM(CV2,CW2,CX2)</f>
        <v>41.6</v>
      </c>
      <c r="DB2" s="14">
        <f t="shared" ref="DB2:DB10" si="29">SUM(BL2, BR2, BX2, CD2, CJ2, CP2,CV2)</f>
        <v>422.24</v>
      </c>
      <c r="DC2" s="14">
        <f t="shared" ref="DC2:DD10" si="30">SUM(BM2, BS2,BY2,CE2,CK2, CQ2,CW2)</f>
        <v>38.064000000000007</v>
      </c>
      <c r="DD2" s="14">
        <f t="shared" si="30"/>
        <v>97.41159999999995</v>
      </c>
      <c r="DE2" s="14">
        <f t="shared" ref="DE2:DE8" si="31">SUM(DB2:DD2)</f>
        <v>557.71559999999999</v>
      </c>
      <c r="DF2" s="47">
        <f t="shared" ref="DF2:DF10" si="32">SUM(DE2/DU2)</f>
        <v>3.4857224999999999E-2</v>
      </c>
      <c r="DG2" s="14">
        <f>19.5+39+58.5+19.5+195+195+39+58.5+19.5+39+39+97.5+97.5+39+58.5+39+39+19.5+97.5+58.5+97.5+97.5+195+19.5</f>
        <v>1677</v>
      </c>
      <c r="DH2" s="32">
        <f t="shared" ref="DH2:DH10" si="33">COUNTIF(DN2, "*")+COUNTIF(AO2, "*")+COUNTIF(AJ2, "*")+COUNTIF(AA2, "*")+COUNTIF(EK2, "*")+COUNTIF(EQ2, "*")+COUNTIF(EW2, "*")+COUNTIF(FA2, "*")+COUNTIF(FH2, "*")+COUNTIF(FO2, "*")+COUNTIF(FV2, "*")+COUNTIF(GG2, "*")+COUNTIF(GR2, "*")+COUNTIF(GZ2, "*")+COUNTIF(HH2, "*")+COUNTIF(HP2, "*")+COUNTIF(HX2, "*")</f>
        <v>6</v>
      </c>
      <c r="DI2" s="14">
        <f>39.96+30+74.65</f>
        <v>144.61000000000001</v>
      </c>
      <c r="DJ2" s="14">
        <v>300</v>
      </c>
      <c r="DK2" s="14">
        <v>5069.26</v>
      </c>
      <c r="DL2" s="14">
        <f>50.23+689.4+211.4</f>
        <v>951.03</v>
      </c>
      <c r="DM2" s="14">
        <f>93.75+280.5</f>
        <v>374.25</v>
      </c>
      <c r="DN2" s="14">
        <v>159.75</v>
      </c>
      <c r="DO2" s="14">
        <v>100</v>
      </c>
      <c r="DP2" s="25">
        <v>805</v>
      </c>
      <c r="DQ2" s="14">
        <f t="shared" ref="DQ2:DQ10" si="34">SUM(DL2:DP2)</f>
        <v>2390.0299999999997</v>
      </c>
      <c r="DR2" s="24" t="s">
        <v>3906</v>
      </c>
      <c r="DS2" s="25">
        <v>16000</v>
      </c>
      <c r="DT2" s="25">
        <v>0</v>
      </c>
      <c r="DU2" s="25">
        <f t="shared" ref="DU2:DU10" si="35">SUM(DS2+DT2)</f>
        <v>16000</v>
      </c>
      <c r="DV2" s="36">
        <v>1</v>
      </c>
      <c r="DW2" s="18" t="s">
        <v>3325</v>
      </c>
      <c r="DX2" s="18" t="s">
        <v>3326</v>
      </c>
      <c r="DY2" s="18" t="s">
        <v>3327</v>
      </c>
      <c r="DZ2" s="18" t="s">
        <v>3328</v>
      </c>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t="s">
        <v>1046</v>
      </c>
      <c r="FU2" s="18" t="s">
        <v>3329</v>
      </c>
      <c r="FV2" s="18" t="s">
        <v>1047</v>
      </c>
      <c r="FW2" s="18"/>
      <c r="FX2" s="18" t="s">
        <v>279</v>
      </c>
      <c r="FY2" t="s">
        <v>260</v>
      </c>
      <c r="FZ2" s="27">
        <v>39596</v>
      </c>
      <c r="GA2" s="18" t="s">
        <v>3330</v>
      </c>
      <c r="GB2" s="18"/>
      <c r="GC2" s="18"/>
      <c r="GD2" s="18"/>
      <c r="GE2" t="s">
        <v>287</v>
      </c>
      <c r="GF2" s="71" t="s">
        <v>3332</v>
      </c>
      <c r="GG2" t="s">
        <v>1123</v>
      </c>
      <c r="GI2" t="s">
        <v>290</v>
      </c>
      <c r="GJ2" t="s">
        <v>260</v>
      </c>
      <c r="GK2" s="9">
        <v>39302</v>
      </c>
      <c r="GL2" t="s">
        <v>3333</v>
      </c>
      <c r="GM2" s="18"/>
      <c r="GN2" s="18"/>
      <c r="GO2" s="18"/>
      <c r="GP2" s="18" t="s">
        <v>439</v>
      </c>
      <c r="GQ2" s="18" t="s">
        <v>1530</v>
      </c>
      <c r="GR2" s="18" t="s">
        <v>1531</v>
      </c>
      <c r="GS2" s="18" t="s">
        <v>1532</v>
      </c>
      <c r="GT2" s="28" t="s">
        <v>274</v>
      </c>
      <c r="GU2" s="18" t="s">
        <v>275</v>
      </c>
      <c r="GV2" s="27">
        <v>39491</v>
      </c>
      <c r="GW2" s="18" t="s">
        <v>3331</v>
      </c>
      <c r="GX2" s="18" t="s">
        <v>3336</v>
      </c>
      <c r="GY2" s="18" t="s">
        <v>3334</v>
      </c>
      <c r="GZ2" s="18" t="s">
        <v>3337</v>
      </c>
      <c r="HA2" s="18"/>
      <c r="HB2" s="18" t="s">
        <v>2705</v>
      </c>
      <c r="HC2" s="18" t="s">
        <v>876</v>
      </c>
      <c r="HD2" s="27">
        <v>40039</v>
      </c>
      <c r="HE2" s="18" t="s">
        <v>3335</v>
      </c>
      <c r="HF2" s="18"/>
      <c r="HG2" s="18"/>
      <c r="HH2" s="18"/>
      <c r="HI2" s="18"/>
      <c r="HJ2" s="18"/>
      <c r="HK2" s="18"/>
      <c r="HL2" s="18"/>
      <c r="HM2" s="18"/>
      <c r="HN2" s="18"/>
      <c r="HO2" s="18"/>
      <c r="HP2" s="18"/>
      <c r="HQ2" s="18"/>
      <c r="HR2" s="18"/>
      <c r="HS2" s="18"/>
      <c r="HT2" s="18"/>
      <c r="HU2" s="18"/>
      <c r="HV2" s="18"/>
      <c r="HW2" s="18"/>
      <c r="HX2" s="18"/>
      <c r="HY2" s="18"/>
      <c r="HZ2" s="18"/>
      <c r="IA2" s="18"/>
      <c r="IB2" s="18"/>
      <c r="IC2" s="18"/>
      <c r="ID2" s="9">
        <v>44863</v>
      </c>
      <c r="IE2" s="126">
        <v>5069.26</v>
      </c>
      <c r="IF2" s="123">
        <v>506.92</v>
      </c>
      <c r="IG2" s="18"/>
      <c r="IH2" s="18"/>
      <c r="II2" s="18" t="s">
        <v>3951</v>
      </c>
      <c r="IJ2" s="18" t="s">
        <v>2738</v>
      </c>
      <c r="IK2" s="18" t="s">
        <v>1022</v>
      </c>
      <c r="IL2" s="18"/>
      <c r="IM2" s="14"/>
      <c r="IN2" s="14">
        <v>116.33</v>
      </c>
      <c r="IO2" s="14">
        <f t="shared" ref="IO2:IO7" si="36">SUM(IE2-DK2-FS2-IM2)</f>
        <v>0</v>
      </c>
      <c r="IP2" s="14"/>
      <c r="IQ2" s="14"/>
      <c r="IR2" s="27">
        <v>44797</v>
      </c>
      <c r="IS2" s="27">
        <v>44826</v>
      </c>
      <c r="IT2" s="27">
        <v>44865</v>
      </c>
      <c r="IU2" s="27">
        <v>44869</v>
      </c>
      <c r="IV2" s="18"/>
      <c r="IW2" s="18"/>
    </row>
    <row r="3" spans="1:257">
      <c r="A3" s="24">
        <v>102021075</v>
      </c>
      <c r="B3" s="18" t="s">
        <v>2529</v>
      </c>
      <c r="C3" s="18"/>
      <c r="D3" s="13"/>
      <c r="E3" s="24" t="s">
        <v>3731</v>
      </c>
      <c r="F3" s="24">
        <v>220001778</v>
      </c>
      <c r="G3" s="18"/>
      <c r="H3" s="18"/>
      <c r="I3" s="18"/>
      <c r="J3" s="18" t="s">
        <v>253</v>
      </c>
      <c r="K3" s="18" t="s">
        <v>1020</v>
      </c>
      <c r="L3" s="18" t="s">
        <v>1051</v>
      </c>
      <c r="M3" s="18" t="s">
        <v>403</v>
      </c>
      <c r="N3" s="18"/>
      <c r="O3" s="18"/>
      <c r="P3" s="18"/>
      <c r="Q3" s="18"/>
      <c r="R3" s="18"/>
      <c r="S3" s="18"/>
      <c r="T3" s="18"/>
      <c r="U3" s="18"/>
      <c r="V3" s="18"/>
      <c r="W3" s="18"/>
      <c r="X3" s="18"/>
      <c r="Y3" s="18"/>
      <c r="Z3" s="18"/>
      <c r="AA3" s="18"/>
      <c r="AB3" s="18"/>
      <c r="AC3" s="18"/>
      <c r="AD3" s="18" t="s">
        <v>2533</v>
      </c>
      <c r="AE3" s="18" t="s">
        <v>311</v>
      </c>
      <c r="AF3" s="18" t="s">
        <v>399</v>
      </c>
      <c r="AG3" s="26" t="s">
        <v>2531</v>
      </c>
      <c r="AH3" s="18" t="s">
        <v>2532</v>
      </c>
      <c r="AI3" s="18" t="s">
        <v>386</v>
      </c>
      <c r="AJ3" s="18" t="s">
        <v>328</v>
      </c>
      <c r="AK3" s="18"/>
      <c r="AL3" s="24" t="s">
        <v>386</v>
      </c>
      <c r="AM3" s="18"/>
      <c r="AN3" s="18"/>
      <c r="AO3" s="24" t="s">
        <v>2530</v>
      </c>
      <c r="AP3" s="24" t="s">
        <v>258</v>
      </c>
      <c r="AQ3" s="18" t="s">
        <v>290</v>
      </c>
      <c r="AR3" s="18" t="s">
        <v>268</v>
      </c>
      <c r="AS3" s="13"/>
      <c r="AT3" s="13" t="s">
        <v>258</v>
      </c>
      <c r="AU3" s="13"/>
      <c r="AV3" s="13"/>
      <c r="AW3" s="13"/>
      <c r="AX3" s="48">
        <v>44630</v>
      </c>
      <c r="AY3" s="114">
        <v>44598</v>
      </c>
      <c r="AZ3" s="114">
        <v>44595</v>
      </c>
      <c r="BA3" s="19"/>
      <c r="BB3" s="19"/>
      <c r="BC3" s="19"/>
      <c r="BD3" s="19"/>
      <c r="BE3" s="48">
        <v>44785</v>
      </c>
      <c r="BF3" s="19" t="s">
        <v>319</v>
      </c>
      <c r="BG3" s="20">
        <f t="shared" ca="1" si="0"/>
        <v>7502.8333999999995</v>
      </c>
      <c r="BH3" s="22">
        <f t="shared" ca="1" si="1"/>
        <v>-659.61825509994947</v>
      </c>
      <c r="BI3" s="22">
        <f t="shared" ca="1" si="2"/>
        <v>659.61825509994947</v>
      </c>
      <c r="BJ3" s="14">
        <f t="shared" si="3"/>
        <v>12.35</v>
      </c>
      <c r="BK3" s="22">
        <f t="shared" ca="1" si="4"/>
        <v>671.96825509994949</v>
      </c>
      <c r="BL3" s="14"/>
      <c r="BM3" s="14">
        <f t="shared" si="5"/>
        <v>0</v>
      </c>
      <c r="BN3" s="14">
        <f t="shared" ca="1" si="6"/>
        <v>0</v>
      </c>
      <c r="BO3" s="17">
        <f t="shared" si="7"/>
        <v>0</v>
      </c>
      <c r="BP3" s="23">
        <f t="shared" ref="BP3:BP9" ca="1" si="37">MONTH(TODAY())+49</f>
        <v>53</v>
      </c>
      <c r="BQ3" s="14">
        <f t="shared" ca="1" si="8"/>
        <v>0</v>
      </c>
      <c r="BR3" s="14"/>
      <c r="BS3" s="14">
        <f t="shared" si="9"/>
        <v>0</v>
      </c>
      <c r="BT3" s="14">
        <f t="shared" ca="1" si="10"/>
        <v>0</v>
      </c>
      <c r="BU3" s="17">
        <f t="shared" si="11"/>
        <v>0</v>
      </c>
      <c r="BV3" s="23">
        <f t="shared" ref="BV3:BV9" ca="1" si="38">MONTH(TODAY())+37</f>
        <v>41</v>
      </c>
      <c r="BW3" s="14">
        <f t="shared" ca="1" si="12"/>
        <v>0</v>
      </c>
      <c r="BX3" s="14">
        <v>148.19999999999999</v>
      </c>
      <c r="BY3" s="14">
        <f t="shared" si="13"/>
        <v>14.82</v>
      </c>
      <c r="BZ3" s="14">
        <f>SUM(CA3*CB3)</f>
        <v>50.264499999999977</v>
      </c>
      <c r="CA3" s="17">
        <f t="shared" si="14"/>
        <v>1.3584999999999994</v>
      </c>
      <c r="CB3" s="23">
        <v>37</v>
      </c>
      <c r="CC3" s="14">
        <f t="shared" si="15"/>
        <v>213.28449999999995</v>
      </c>
      <c r="CD3" s="14">
        <f>148.2+3161.31</f>
        <v>3309.5099999999998</v>
      </c>
      <c r="CE3" s="14">
        <f>SUM(SUM(DU3*0.0052)*0.1)</f>
        <v>14.82</v>
      </c>
      <c r="CF3" s="14">
        <f t="shared" si="16"/>
        <v>432.16289999999998</v>
      </c>
      <c r="CG3" s="17">
        <f>SUM((CD3+CE3)*0.005)</f>
        <v>16.621649999999999</v>
      </c>
      <c r="CH3" s="23">
        <v>26</v>
      </c>
      <c r="CI3" s="14">
        <f t="shared" si="17"/>
        <v>3756.4928999999997</v>
      </c>
      <c r="CJ3" s="14">
        <f>SUM(DU3*0.0052)</f>
        <v>148.19999999999999</v>
      </c>
      <c r="CK3" s="14">
        <f t="shared" si="18"/>
        <v>14.82</v>
      </c>
      <c r="CL3" s="14">
        <f>SUM(CM3*CN3)</f>
        <v>17.660499999999992</v>
      </c>
      <c r="CM3" s="17">
        <f t="shared" si="19"/>
        <v>1.3584999999999994</v>
      </c>
      <c r="CN3" s="23">
        <v>13</v>
      </c>
      <c r="CO3" s="14">
        <f t="shared" si="20"/>
        <v>180.68049999999997</v>
      </c>
      <c r="CP3" s="14">
        <f>SUM(DU3*0.0052)/2</f>
        <v>74.099999999999994</v>
      </c>
      <c r="CQ3" s="14">
        <f t="shared" si="21"/>
        <v>7.41</v>
      </c>
      <c r="CR3" s="14">
        <f t="shared" si="22"/>
        <v>4.0754999999999981</v>
      </c>
      <c r="CS3" s="17">
        <f t="shared" si="23"/>
        <v>0.67924999999999969</v>
      </c>
      <c r="CT3" s="23">
        <v>6</v>
      </c>
      <c r="CU3" s="23">
        <f t="shared" si="24"/>
        <v>85.585499999999996</v>
      </c>
      <c r="CV3" s="14">
        <f t="shared" si="25"/>
        <v>74.099999999999994</v>
      </c>
      <c r="CW3" s="14">
        <v>0</v>
      </c>
      <c r="CX3" s="14">
        <v>0</v>
      </c>
      <c r="CY3" s="17">
        <f t="shared" si="26"/>
        <v>0.61749999999999972</v>
      </c>
      <c r="CZ3" s="23">
        <f t="shared" ca="1" si="27"/>
        <v>-2</v>
      </c>
      <c r="DA3" s="23">
        <f t="shared" si="28"/>
        <v>74.099999999999994</v>
      </c>
      <c r="DB3" s="14">
        <f t="shared" si="29"/>
        <v>3754.1099999999992</v>
      </c>
      <c r="DC3" s="14">
        <f t="shared" si="30"/>
        <v>51.870000000000005</v>
      </c>
      <c r="DD3" s="14">
        <f t="shared" ca="1" si="30"/>
        <v>504.16339999999997</v>
      </c>
      <c r="DE3" s="14">
        <f t="shared" ca="1" si="31"/>
        <v>4310.143399999999</v>
      </c>
      <c r="DF3" s="47">
        <f t="shared" ca="1" si="32"/>
        <v>0.15123310175438592</v>
      </c>
      <c r="DG3" s="14">
        <f>39+58.5+19.5+195+195+39+39+97.5+97.5+39+58.5+39+39+19.5+97.5+58.5+97.5+97.5+195+19.5</f>
        <v>1540.5</v>
      </c>
      <c r="DH3" s="32">
        <f t="shared" si="33"/>
        <v>2</v>
      </c>
      <c r="DI3" s="14">
        <f>13.32+1.59+74.65</f>
        <v>89.56</v>
      </c>
      <c r="DJ3" s="14">
        <v>300</v>
      </c>
      <c r="DK3" s="14">
        <f t="shared" ref="DK3:DK10" ca="1" si="39">SUM(DE3,DG3,DQ3, DJ3, DI3,FS3)</f>
        <v>7288.3333999999995</v>
      </c>
      <c r="DL3" s="14">
        <f>50.23+211.4</f>
        <v>261.63</v>
      </c>
      <c r="DM3" s="14"/>
      <c r="DN3" s="14">
        <v>87.5</v>
      </c>
      <c r="DO3" s="14">
        <f>SUM(DU3*0.004)</f>
        <v>114</v>
      </c>
      <c r="DP3" s="25">
        <v>585</v>
      </c>
      <c r="DQ3" s="14">
        <f t="shared" si="34"/>
        <v>1048.1300000000001</v>
      </c>
      <c r="DR3" s="24" t="s">
        <v>3907</v>
      </c>
      <c r="DS3" s="25">
        <v>16000</v>
      </c>
      <c r="DT3" s="25">
        <v>12500</v>
      </c>
      <c r="DU3" s="25">
        <f t="shared" si="35"/>
        <v>28500</v>
      </c>
      <c r="DV3" s="36">
        <v>1</v>
      </c>
      <c r="DW3" s="18" t="s">
        <v>3322</v>
      </c>
      <c r="DX3" s="18" t="s">
        <v>3323</v>
      </c>
      <c r="DY3" s="18" t="s">
        <v>3324</v>
      </c>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9">
        <v>44863</v>
      </c>
      <c r="IE3" s="126">
        <v>7288.33</v>
      </c>
      <c r="IF3" s="123">
        <v>728.83</v>
      </c>
      <c r="IG3" s="18"/>
      <c r="IH3" s="18"/>
      <c r="II3" s="18" t="s">
        <v>3951</v>
      </c>
      <c r="IJ3" s="18" t="s">
        <v>2738</v>
      </c>
      <c r="IK3" s="18" t="s">
        <v>1022</v>
      </c>
      <c r="IL3" s="18"/>
      <c r="IM3" s="14"/>
      <c r="IN3" s="14">
        <v>170.5</v>
      </c>
      <c r="IO3" s="14">
        <f t="shared" ca="1" si="36"/>
        <v>-3.3999999996012775E-3</v>
      </c>
      <c r="IP3" s="135"/>
      <c r="IQ3" s="135"/>
      <c r="IR3" s="27">
        <v>44797</v>
      </c>
      <c r="IS3" s="27">
        <v>44825</v>
      </c>
      <c r="IT3" s="27">
        <v>44865</v>
      </c>
      <c r="IU3" s="27">
        <v>44875</v>
      </c>
      <c r="IV3" s="18"/>
    </row>
    <row r="4" spans="1:257">
      <c r="A4" s="24">
        <v>102021116</v>
      </c>
      <c r="B4" t="s">
        <v>3905</v>
      </c>
      <c r="D4" s="13"/>
      <c r="E4" s="3" t="s">
        <v>3729</v>
      </c>
      <c r="F4" s="3">
        <v>220001776</v>
      </c>
      <c r="J4" t="s">
        <v>434</v>
      </c>
      <c r="K4" t="s">
        <v>1020</v>
      </c>
      <c r="L4" t="s">
        <v>420</v>
      </c>
      <c r="M4" t="s">
        <v>392</v>
      </c>
      <c r="O4" t="s">
        <v>258</v>
      </c>
      <c r="P4" t="s">
        <v>1020</v>
      </c>
      <c r="Q4" t="s">
        <v>2750</v>
      </c>
      <c r="U4" t="s">
        <v>2751</v>
      </c>
      <c r="V4" t="s">
        <v>1099</v>
      </c>
      <c r="AG4" s="43"/>
      <c r="AJ4" s="18" t="s">
        <v>328</v>
      </c>
      <c r="AL4" s="18" t="s">
        <v>386</v>
      </c>
      <c r="AO4" s="3" t="s">
        <v>2752</v>
      </c>
      <c r="AP4" s="3" t="s">
        <v>258</v>
      </c>
      <c r="AQ4" t="s">
        <v>267</v>
      </c>
      <c r="AR4" t="s">
        <v>260</v>
      </c>
      <c r="AS4" s="1"/>
      <c r="AT4" s="1"/>
      <c r="AU4" s="1" t="s">
        <v>258</v>
      </c>
      <c r="AV4" s="1" t="s">
        <v>258</v>
      </c>
      <c r="AW4" s="1" t="s">
        <v>258</v>
      </c>
      <c r="AX4" s="70">
        <v>44630</v>
      </c>
      <c r="AY4" s="115">
        <v>44598</v>
      </c>
      <c r="AZ4" s="115">
        <v>44595</v>
      </c>
      <c r="BA4" s="48">
        <v>44673</v>
      </c>
      <c r="BB4" s="19" t="s">
        <v>318</v>
      </c>
      <c r="BC4" s="9">
        <v>44659</v>
      </c>
      <c r="BD4" s="48">
        <v>44666</v>
      </c>
      <c r="BE4" s="48">
        <v>44785</v>
      </c>
      <c r="BF4" s="19" t="s">
        <v>319</v>
      </c>
      <c r="BG4" s="20">
        <f t="shared" ca="1" si="0"/>
        <v>5109.4143999999997</v>
      </c>
      <c r="BH4" s="22">
        <f t="shared" ca="1" si="1"/>
        <v>-449.19870020178706</v>
      </c>
      <c r="BI4" s="22">
        <f t="shared" ca="1" si="2"/>
        <v>449.19870020178706</v>
      </c>
      <c r="BJ4" s="14">
        <f t="shared" si="3"/>
        <v>19.41333333333333</v>
      </c>
      <c r="BK4" s="22">
        <f t="shared" ca="1" si="4"/>
        <v>468.61203353512042</v>
      </c>
      <c r="BL4" s="14"/>
      <c r="BM4" s="14">
        <f t="shared" si="5"/>
        <v>0</v>
      </c>
      <c r="BN4" s="14">
        <f t="shared" ca="1" si="6"/>
        <v>0</v>
      </c>
      <c r="BO4" s="17">
        <f t="shared" si="7"/>
        <v>0</v>
      </c>
      <c r="BP4" s="23">
        <f t="shared" ca="1" si="37"/>
        <v>53</v>
      </c>
      <c r="BQ4" s="14">
        <f t="shared" ca="1" si="8"/>
        <v>0</v>
      </c>
      <c r="BR4" s="14"/>
      <c r="BS4" s="14">
        <f t="shared" si="9"/>
        <v>0</v>
      </c>
      <c r="BT4" s="14">
        <f t="shared" ca="1" si="10"/>
        <v>0</v>
      </c>
      <c r="BU4" s="17">
        <f t="shared" si="11"/>
        <v>0</v>
      </c>
      <c r="BV4" s="23">
        <f t="shared" ca="1" si="38"/>
        <v>41</v>
      </c>
      <c r="BW4" s="14">
        <f t="shared" ca="1" si="12"/>
        <v>0</v>
      </c>
      <c r="BX4" s="14">
        <v>0</v>
      </c>
      <c r="BY4" s="14">
        <f t="shared" si="13"/>
        <v>0</v>
      </c>
      <c r="BZ4" s="14">
        <f>SUM(CA4*CB4)</f>
        <v>0</v>
      </c>
      <c r="CA4" s="17">
        <f t="shared" si="14"/>
        <v>0</v>
      </c>
      <c r="CB4" s="23">
        <v>37</v>
      </c>
      <c r="CC4" s="14">
        <f t="shared" si="15"/>
        <v>0</v>
      </c>
      <c r="CD4" s="14">
        <v>0</v>
      </c>
      <c r="CE4" s="14">
        <v>0</v>
      </c>
      <c r="CF4" s="14">
        <f t="shared" si="16"/>
        <v>0</v>
      </c>
      <c r="CG4" s="17">
        <f>SUM((CD4+CE4)*0.005)</f>
        <v>0</v>
      </c>
      <c r="CH4" s="23">
        <v>26</v>
      </c>
      <c r="CI4" s="14">
        <f t="shared" si="17"/>
        <v>0</v>
      </c>
      <c r="CJ4" s="14">
        <v>0</v>
      </c>
      <c r="CK4" s="14">
        <f t="shared" si="18"/>
        <v>0</v>
      </c>
      <c r="CL4" s="14">
        <f>SUM(CM4*CN4)</f>
        <v>0</v>
      </c>
      <c r="CM4" s="17">
        <f t="shared" si="19"/>
        <v>0</v>
      </c>
      <c r="CN4" s="23">
        <v>13</v>
      </c>
      <c r="CO4" s="14">
        <f t="shared" si="20"/>
        <v>0</v>
      </c>
      <c r="CP4" s="14">
        <f>SUM(DU4*0.0052)/2</f>
        <v>116.47999999999999</v>
      </c>
      <c r="CQ4" s="14">
        <f t="shared" si="21"/>
        <v>11.648</v>
      </c>
      <c r="CR4" s="14">
        <f t="shared" si="22"/>
        <v>6.4063999999999961</v>
      </c>
      <c r="CS4" s="17">
        <f t="shared" si="23"/>
        <v>1.0677333333333328</v>
      </c>
      <c r="CT4" s="23">
        <v>6</v>
      </c>
      <c r="CU4" s="23">
        <f t="shared" si="24"/>
        <v>134.53439999999998</v>
      </c>
      <c r="CV4" s="14">
        <f t="shared" si="25"/>
        <v>116.47999999999999</v>
      </c>
      <c r="CW4" s="14">
        <v>0</v>
      </c>
      <c r="CX4" s="14">
        <v>0</v>
      </c>
      <c r="CY4" s="17">
        <f t="shared" si="26"/>
        <v>0.97066666666666612</v>
      </c>
      <c r="CZ4" s="23">
        <f t="shared" ca="1" si="27"/>
        <v>-2</v>
      </c>
      <c r="DA4" s="23">
        <f t="shared" si="28"/>
        <v>116.47999999999999</v>
      </c>
      <c r="DB4" s="14">
        <f t="shared" si="29"/>
        <v>232.95999999999998</v>
      </c>
      <c r="DC4" s="14">
        <f t="shared" si="30"/>
        <v>11.648</v>
      </c>
      <c r="DD4" s="14">
        <f t="shared" ca="1" si="30"/>
        <v>6.4063999999999961</v>
      </c>
      <c r="DE4" s="14">
        <f t="shared" ca="1" si="31"/>
        <v>251.01439999999997</v>
      </c>
      <c r="DF4" s="47">
        <f t="shared" ca="1" si="32"/>
        <v>5.6029999999999995E-3</v>
      </c>
      <c r="DG4" s="14">
        <f>39+19.5+195+195+58.5+19.5+39+39+97.5+97.5+39+58.5+39+39+19.5+97.5+58.5+97.5+97.5+195+19.5</f>
        <v>1560</v>
      </c>
      <c r="DH4" s="32">
        <f t="shared" si="33"/>
        <v>4</v>
      </c>
      <c r="DI4" s="14">
        <f>39.96+1.06+74.65</f>
        <v>115.67000000000002</v>
      </c>
      <c r="DJ4" s="4">
        <v>300</v>
      </c>
      <c r="DK4" s="14">
        <f t="shared" ca="1" si="39"/>
        <v>4894.9143999999997</v>
      </c>
      <c r="DL4" s="14">
        <f>50.23+689.4+211.4</f>
        <v>951.03</v>
      </c>
      <c r="DM4" s="4">
        <f>93.75+340</f>
        <v>433.75</v>
      </c>
      <c r="DN4" s="4">
        <v>219.25</v>
      </c>
      <c r="DO4" s="14">
        <f>SUM(DU4*0.004)</f>
        <v>179.20000000000002</v>
      </c>
      <c r="DP4" s="4">
        <v>885</v>
      </c>
      <c r="DQ4" s="14">
        <f t="shared" si="34"/>
        <v>2668.23</v>
      </c>
      <c r="DR4" s="24" t="s">
        <v>3908</v>
      </c>
      <c r="DS4" s="4">
        <v>44800</v>
      </c>
      <c r="DT4" s="4">
        <v>0</v>
      </c>
      <c r="DU4" s="25">
        <f t="shared" si="35"/>
        <v>44800</v>
      </c>
      <c r="DV4" s="35">
        <v>9</v>
      </c>
      <c r="DW4" t="s">
        <v>3316</v>
      </c>
      <c r="DX4" t="s">
        <v>3317</v>
      </c>
      <c r="DY4" t="s">
        <v>3318</v>
      </c>
      <c r="DZ4" t="s">
        <v>3319</v>
      </c>
      <c r="EA4" t="s">
        <v>3320</v>
      </c>
      <c r="EB4" t="s">
        <v>3321</v>
      </c>
      <c r="EI4" t="s">
        <v>3312</v>
      </c>
      <c r="EJ4" t="s">
        <v>3313</v>
      </c>
      <c r="EM4" t="s">
        <v>267</v>
      </c>
      <c r="EO4" t="s">
        <v>3314</v>
      </c>
      <c r="EQ4" t="s">
        <v>2228</v>
      </c>
      <c r="EU4" t="s">
        <v>3315</v>
      </c>
      <c r="EW4" t="s">
        <v>2228</v>
      </c>
      <c r="ID4" s="9">
        <v>44863</v>
      </c>
      <c r="IE4" s="126">
        <v>40000</v>
      </c>
      <c r="IF4" s="124">
        <v>4000</v>
      </c>
      <c r="II4" s="18" t="s">
        <v>3951</v>
      </c>
      <c r="IJ4" s="18" t="s">
        <v>2738</v>
      </c>
      <c r="IK4" s="18" t="s">
        <v>1022</v>
      </c>
      <c r="IL4" s="18" t="s">
        <v>260</v>
      </c>
      <c r="IM4" s="4">
        <f ca="1">SUM(IE4-DK4)</f>
        <v>35105.085599999999</v>
      </c>
      <c r="IN4" s="4">
        <v>241.33</v>
      </c>
      <c r="IO4" s="14">
        <f t="shared" ca="1" si="36"/>
        <v>0</v>
      </c>
      <c r="IP4" s="4"/>
      <c r="IQ4" s="4"/>
      <c r="IR4" s="9">
        <v>44797</v>
      </c>
      <c r="IS4" s="9">
        <v>44826</v>
      </c>
      <c r="IT4" s="27">
        <v>44865</v>
      </c>
      <c r="IU4" s="9">
        <v>44869</v>
      </c>
    </row>
    <row r="5" spans="1:257">
      <c r="A5" s="24">
        <v>102021055</v>
      </c>
      <c r="B5" s="18" t="s">
        <v>2007</v>
      </c>
      <c r="C5" s="18"/>
      <c r="D5" s="13"/>
      <c r="E5" s="24" t="s">
        <v>3805</v>
      </c>
      <c r="F5" s="24">
        <v>220002273</v>
      </c>
      <c r="G5" s="18"/>
      <c r="H5" s="18"/>
      <c r="I5" s="18"/>
      <c r="J5" s="18" t="s">
        <v>253</v>
      </c>
      <c r="K5" s="18" t="s">
        <v>1264</v>
      </c>
      <c r="L5" s="18" t="s">
        <v>957</v>
      </c>
      <c r="M5" s="18" t="s">
        <v>763</v>
      </c>
      <c r="N5" s="18"/>
      <c r="O5" s="18"/>
      <c r="P5" s="18"/>
      <c r="Q5" s="18"/>
      <c r="R5" s="18"/>
      <c r="S5" s="18"/>
      <c r="T5" s="18"/>
      <c r="U5" s="18"/>
      <c r="V5" s="18"/>
      <c r="W5" s="18"/>
      <c r="X5" s="18"/>
      <c r="Y5" s="18"/>
      <c r="Z5" s="18"/>
      <c r="AA5" s="18"/>
      <c r="AB5" s="18"/>
      <c r="AC5" s="18"/>
      <c r="AD5" s="18" t="s">
        <v>3309</v>
      </c>
      <c r="AE5" s="18" t="s">
        <v>311</v>
      </c>
      <c r="AF5" s="18" t="s">
        <v>3310</v>
      </c>
      <c r="AG5" s="26" t="s">
        <v>3308</v>
      </c>
      <c r="AH5" s="18" t="s">
        <v>3311</v>
      </c>
      <c r="AI5" s="18" t="s">
        <v>567</v>
      </c>
      <c r="AJ5" s="18" t="s">
        <v>2182</v>
      </c>
      <c r="AK5" s="18" t="s">
        <v>258</v>
      </c>
      <c r="AL5" s="18" t="s">
        <v>329</v>
      </c>
      <c r="AM5" s="18" t="s">
        <v>260</v>
      </c>
      <c r="AN5" s="18"/>
      <c r="AO5" s="24" t="s">
        <v>2162</v>
      </c>
      <c r="AP5" s="24" t="s">
        <v>258</v>
      </c>
      <c r="AQ5" s="18" t="s">
        <v>329</v>
      </c>
      <c r="AR5" s="18" t="s">
        <v>260</v>
      </c>
      <c r="AS5" s="13"/>
      <c r="AT5" s="13"/>
      <c r="AU5" s="13" t="s">
        <v>258</v>
      </c>
      <c r="AV5" s="13" t="s">
        <v>258</v>
      </c>
      <c r="AW5" s="13" t="s">
        <v>258</v>
      </c>
      <c r="AX5" s="48">
        <v>44651</v>
      </c>
      <c r="AY5" s="114">
        <v>44248</v>
      </c>
      <c r="AZ5" s="114">
        <v>44239</v>
      </c>
      <c r="BA5" s="48">
        <v>44722</v>
      </c>
      <c r="BB5" s="19" t="s">
        <v>318</v>
      </c>
      <c r="BC5" s="48">
        <v>44708</v>
      </c>
      <c r="BD5" s="48">
        <v>44715</v>
      </c>
      <c r="BE5" s="48">
        <v>44799</v>
      </c>
      <c r="BF5" s="19" t="s">
        <v>319</v>
      </c>
      <c r="BG5" s="20">
        <f t="shared" ca="1" si="0"/>
        <v>7527.5499499999996</v>
      </c>
      <c r="BH5" s="22">
        <f t="shared" ca="1" si="1"/>
        <v>-661.79123252246438</v>
      </c>
      <c r="BI5" s="22">
        <f t="shared" ca="1" si="2"/>
        <v>661.79123252246438</v>
      </c>
      <c r="BJ5" s="14">
        <f t="shared" si="3"/>
        <v>38.306666666666665</v>
      </c>
      <c r="BK5" s="22">
        <f t="shared" ca="1" si="4"/>
        <v>700.097899189131</v>
      </c>
      <c r="BL5" s="14"/>
      <c r="BM5" s="14">
        <f t="shared" si="5"/>
        <v>0</v>
      </c>
      <c r="BN5" s="14">
        <f t="shared" ca="1" si="6"/>
        <v>0</v>
      </c>
      <c r="BO5" s="17">
        <f t="shared" si="7"/>
        <v>0</v>
      </c>
      <c r="BP5" s="23">
        <f t="shared" ca="1" si="37"/>
        <v>53</v>
      </c>
      <c r="BQ5" s="14">
        <f t="shared" ca="1" si="8"/>
        <v>0</v>
      </c>
      <c r="BR5" s="14">
        <v>146.38</v>
      </c>
      <c r="BS5" s="14">
        <f t="shared" si="9"/>
        <v>14.638</v>
      </c>
      <c r="BT5" s="14">
        <f t="shared" si="10"/>
        <v>65.749016666666634</v>
      </c>
      <c r="BU5" s="17">
        <f t="shared" si="11"/>
        <v>1.341816666666666</v>
      </c>
      <c r="BV5" s="23">
        <v>49</v>
      </c>
      <c r="BW5" s="14">
        <f t="shared" si="12"/>
        <v>226.76701666666662</v>
      </c>
      <c r="BX5" s="14">
        <f>SUM(DU5*0.0052)</f>
        <v>459.68</v>
      </c>
      <c r="BY5" s="14">
        <f t="shared" si="13"/>
        <v>45.968000000000004</v>
      </c>
      <c r="BZ5" s="14">
        <f t="shared" ref="BZ5:BZ10" si="40">SUM(CA5*CB5)</f>
        <v>155.9081333333333</v>
      </c>
      <c r="CA5" s="17">
        <f t="shared" si="14"/>
        <v>4.213733333333332</v>
      </c>
      <c r="CB5" s="23">
        <v>37</v>
      </c>
      <c r="CC5" s="14">
        <f t="shared" si="15"/>
        <v>661.55613333333326</v>
      </c>
      <c r="CD5" s="14">
        <f t="shared" ref="CD5:CD10" si="41">SUM(DU5*0.0052)</f>
        <v>459.68</v>
      </c>
      <c r="CE5" s="14">
        <f t="shared" ref="CE5:CE10" si="42">SUM(CD5*0.1)</f>
        <v>45.968000000000004</v>
      </c>
      <c r="CF5" s="14">
        <f t="shared" si="16"/>
        <v>109.55706666666663</v>
      </c>
      <c r="CG5" s="17">
        <f t="shared" ref="CG5:CG10" si="43">SUM((CD5+CE5)*0.00833333333333333)</f>
        <v>4.213733333333332</v>
      </c>
      <c r="CH5" s="23">
        <v>26</v>
      </c>
      <c r="CI5" s="14">
        <f t="shared" si="17"/>
        <v>615.20506666666665</v>
      </c>
      <c r="CJ5" s="14">
        <f t="shared" ref="CJ5:CJ10" si="44">SUM(DU5*0.0052)</f>
        <v>459.68</v>
      </c>
      <c r="CK5" s="14">
        <f t="shared" si="18"/>
        <v>45.968000000000004</v>
      </c>
      <c r="CL5" s="14">
        <f t="shared" ref="CL5:CL10" si="45">SUM(CM5*CN5)</f>
        <v>54.778533333333314</v>
      </c>
      <c r="CM5" s="17">
        <f t="shared" si="19"/>
        <v>4.213733333333332</v>
      </c>
      <c r="CN5" s="23">
        <v>13</v>
      </c>
      <c r="CO5" s="14">
        <f t="shared" si="20"/>
        <v>560.42653333333328</v>
      </c>
      <c r="CP5" s="14">
        <f t="shared" ref="CP5:CP10" si="46">SUM(DU5*0.0052)/2</f>
        <v>229.84</v>
      </c>
      <c r="CQ5" s="14">
        <f t="shared" si="21"/>
        <v>22.984000000000002</v>
      </c>
      <c r="CR5" s="14">
        <f t="shared" si="22"/>
        <v>12.641199999999996</v>
      </c>
      <c r="CS5" s="17">
        <f t="shared" si="23"/>
        <v>2.106866666666666</v>
      </c>
      <c r="CT5" s="23">
        <v>6</v>
      </c>
      <c r="CU5" s="23">
        <f t="shared" si="24"/>
        <v>265.46519999999998</v>
      </c>
      <c r="CV5" s="14">
        <f t="shared" si="25"/>
        <v>229.84</v>
      </c>
      <c r="CW5" s="14">
        <v>0</v>
      </c>
      <c r="CX5" s="14">
        <v>0</v>
      </c>
      <c r="CY5" s="17">
        <f t="shared" si="26"/>
        <v>1.9153333333333324</v>
      </c>
      <c r="CZ5" s="23">
        <f t="shared" ca="1" si="27"/>
        <v>-2</v>
      </c>
      <c r="DA5" s="23">
        <f t="shared" si="28"/>
        <v>229.84</v>
      </c>
      <c r="DB5" s="14">
        <f t="shared" si="29"/>
        <v>1985.1</v>
      </c>
      <c r="DC5" s="14">
        <f t="shared" si="30"/>
        <v>175.52600000000004</v>
      </c>
      <c r="DD5" s="14">
        <f t="shared" ca="1" si="30"/>
        <v>398.63394999999986</v>
      </c>
      <c r="DE5" s="14">
        <f t="shared" ca="1" si="31"/>
        <v>2559.2599499999997</v>
      </c>
      <c r="DF5" s="47">
        <f t="shared" ca="1" si="32"/>
        <v>2.8950904411764702E-2</v>
      </c>
      <c r="DG5" s="14">
        <f>19.5+19.5+19.5+195+58.5+156+58.5+58.5+195+58.5+195+39+39+39+39+39+19.5+97.5+97.5+39+58.5+39+39+19.5+97.5+58.5+97.5+97.5+195+19.5</f>
        <v>2203.5</v>
      </c>
      <c r="DH5" s="32">
        <f t="shared" si="33"/>
        <v>3</v>
      </c>
      <c r="DI5" s="14">
        <f>1+31.85+6.37+74.65</f>
        <v>113.87</v>
      </c>
      <c r="DJ5" s="14">
        <f>150+150</f>
        <v>300</v>
      </c>
      <c r="DK5" s="14">
        <f t="shared" ca="1" si="39"/>
        <v>7313.0499499999996</v>
      </c>
      <c r="DL5" s="14">
        <f>45.62+725.8+211.4</f>
        <v>982.81999999999994</v>
      </c>
      <c r="DM5" s="14">
        <f>93.75+140</f>
        <v>233.75</v>
      </c>
      <c r="DN5" s="14">
        <v>91.25</v>
      </c>
      <c r="DO5" s="14">
        <f>SUM(DU5*0.004)</f>
        <v>353.6</v>
      </c>
      <c r="DP5" s="25">
        <v>475</v>
      </c>
      <c r="DQ5" s="14">
        <f t="shared" si="34"/>
        <v>2136.42</v>
      </c>
      <c r="DR5" s="24" t="s">
        <v>2769</v>
      </c>
      <c r="DS5" s="25">
        <v>26100</v>
      </c>
      <c r="DT5" s="25">
        <v>62300</v>
      </c>
      <c r="DU5" s="25">
        <f t="shared" si="35"/>
        <v>88400</v>
      </c>
      <c r="DV5" s="36">
        <v>3.02</v>
      </c>
      <c r="DW5" s="18" t="s">
        <v>2262</v>
      </c>
      <c r="DX5" s="18" t="s">
        <v>2263</v>
      </c>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t="s">
        <v>833</v>
      </c>
      <c r="FU5" s="18" t="s">
        <v>834</v>
      </c>
      <c r="FV5" s="18" t="s">
        <v>266</v>
      </c>
      <c r="FW5" s="18"/>
      <c r="FX5" s="18" t="s">
        <v>267</v>
      </c>
      <c r="FY5" s="18" t="s">
        <v>268</v>
      </c>
      <c r="FZ5" s="27">
        <v>40644</v>
      </c>
      <c r="GA5" s="18" t="s">
        <v>2264</v>
      </c>
      <c r="GB5" s="18"/>
      <c r="GC5" s="18"/>
      <c r="GD5" s="18"/>
      <c r="GE5" s="18"/>
      <c r="GF5" s="18"/>
      <c r="GG5" s="18"/>
      <c r="GH5" s="18"/>
      <c r="GI5" s="18"/>
      <c r="GJ5" s="18"/>
      <c r="GK5" s="27"/>
      <c r="GL5" s="18"/>
      <c r="GM5" s="18"/>
      <c r="GN5" s="18"/>
      <c r="GO5" s="18"/>
      <c r="GP5" s="18"/>
      <c r="GQ5" s="18"/>
      <c r="GR5" s="18"/>
      <c r="GS5" s="18"/>
      <c r="GT5" s="18"/>
      <c r="GU5" s="18"/>
      <c r="GV5" s="27"/>
      <c r="GW5" s="18"/>
      <c r="GX5" s="18"/>
      <c r="GY5" s="18"/>
      <c r="GZ5" s="18"/>
      <c r="HA5" s="18"/>
      <c r="HB5" s="18"/>
      <c r="HC5" s="18"/>
      <c r="HD5" s="27"/>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9">
        <v>44863</v>
      </c>
      <c r="IE5" s="126">
        <v>68000</v>
      </c>
      <c r="IF5" s="123">
        <v>6800</v>
      </c>
      <c r="IG5" s="18"/>
      <c r="IH5" s="18"/>
      <c r="II5" s="18" t="s">
        <v>3952</v>
      </c>
      <c r="IJ5" s="18" t="s">
        <v>3953</v>
      </c>
      <c r="IK5" s="18" t="s">
        <v>290</v>
      </c>
      <c r="IL5" s="18" t="s">
        <v>834</v>
      </c>
      <c r="IM5" s="14">
        <v>7770.28</v>
      </c>
      <c r="IN5" s="14">
        <v>430.17</v>
      </c>
      <c r="IO5" s="14">
        <f t="shared" ca="1" si="36"/>
        <v>52916.670050000001</v>
      </c>
      <c r="IP5" s="4"/>
      <c r="IQ5" s="4"/>
      <c r="IR5" s="27">
        <v>44810</v>
      </c>
      <c r="IS5" s="27">
        <v>44826</v>
      </c>
      <c r="IT5" s="27">
        <v>44865</v>
      </c>
      <c r="IU5" s="27">
        <v>44879</v>
      </c>
      <c r="IV5" s="18"/>
    </row>
    <row r="6" spans="1:257" s="38" customFormat="1">
      <c r="A6" s="56">
        <v>102022054</v>
      </c>
      <c r="B6" s="38" t="s">
        <v>2803</v>
      </c>
      <c r="D6" s="133"/>
      <c r="E6" s="134" t="s">
        <v>3878</v>
      </c>
      <c r="F6" s="134">
        <v>220003658</v>
      </c>
      <c r="J6" s="38" t="s">
        <v>311</v>
      </c>
      <c r="K6" s="38" t="s">
        <v>399</v>
      </c>
      <c r="L6" s="38" t="s">
        <v>3030</v>
      </c>
      <c r="AD6" s="38" t="s">
        <v>3895</v>
      </c>
      <c r="AE6" s="38" t="s">
        <v>253</v>
      </c>
      <c r="AF6" s="38" t="s">
        <v>3047</v>
      </c>
      <c r="AG6" s="139" t="s">
        <v>3896</v>
      </c>
      <c r="AH6" s="38" t="s">
        <v>3897</v>
      </c>
      <c r="AI6" s="38" t="s">
        <v>3898</v>
      </c>
      <c r="AJ6" s="38" t="s">
        <v>328</v>
      </c>
      <c r="AL6" s="39" t="s">
        <v>344</v>
      </c>
      <c r="AO6" s="134" t="s">
        <v>3031</v>
      </c>
      <c r="AP6" s="134" t="s">
        <v>258</v>
      </c>
      <c r="AQ6" s="38" t="s">
        <v>3032</v>
      </c>
      <c r="AS6" s="133"/>
      <c r="AT6" s="133"/>
      <c r="AU6" s="133" t="s">
        <v>258</v>
      </c>
      <c r="AV6" s="133" t="s">
        <v>258</v>
      </c>
      <c r="AW6" s="133" t="s">
        <v>258</v>
      </c>
      <c r="AX6" s="142">
        <v>44693</v>
      </c>
      <c r="AY6" s="140">
        <v>44661</v>
      </c>
      <c r="AZ6" s="140">
        <v>44649</v>
      </c>
      <c r="BA6" s="142">
        <v>44743</v>
      </c>
      <c r="BB6" s="137" t="s">
        <v>318</v>
      </c>
      <c r="BC6" s="142">
        <v>44729</v>
      </c>
      <c r="BD6" s="142">
        <v>44736</v>
      </c>
      <c r="BE6" s="142">
        <v>44813</v>
      </c>
      <c r="BF6" s="53" t="s">
        <v>319</v>
      </c>
      <c r="BG6" s="49">
        <f t="shared" ca="1" si="0"/>
        <v>4924.3090000000002</v>
      </c>
      <c r="BH6" s="50">
        <f t="shared" ca="1" si="1"/>
        <v>-432.92499472972133</v>
      </c>
      <c r="BI6" s="50">
        <f t="shared" ca="1" si="2"/>
        <v>432.92499472972133</v>
      </c>
      <c r="BJ6" s="40">
        <f t="shared" si="3"/>
        <v>10.616666666666665</v>
      </c>
      <c r="BK6" s="50">
        <f t="shared" ca="1" si="4"/>
        <v>443.54166139638801</v>
      </c>
      <c r="BL6" s="40"/>
      <c r="BM6" s="40">
        <f t="shared" si="5"/>
        <v>0</v>
      </c>
      <c r="BN6" s="40">
        <f t="shared" ca="1" si="6"/>
        <v>0</v>
      </c>
      <c r="BO6" s="57">
        <f t="shared" si="7"/>
        <v>0</v>
      </c>
      <c r="BP6" s="58">
        <f t="shared" ca="1" si="37"/>
        <v>53</v>
      </c>
      <c r="BQ6" s="40">
        <f t="shared" ca="1" si="8"/>
        <v>0</v>
      </c>
      <c r="BR6" s="40"/>
      <c r="BS6" s="40">
        <f t="shared" si="9"/>
        <v>0</v>
      </c>
      <c r="BT6" s="40">
        <f t="shared" ca="1" si="10"/>
        <v>0</v>
      </c>
      <c r="BU6" s="57">
        <f t="shared" si="11"/>
        <v>0</v>
      </c>
      <c r="BV6" s="58">
        <f t="shared" ca="1" si="38"/>
        <v>41</v>
      </c>
      <c r="BW6" s="40">
        <f t="shared" ca="1" si="12"/>
        <v>0</v>
      </c>
      <c r="BX6" s="40"/>
      <c r="BY6" s="40">
        <f t="shared" si="13"/>
        <v>0</v>
      </c>
      <c r="BZ6" s="40">
        <f t="shared" si="40"/>
        <v>0</v>
      </c>
      <c r="CA6" s="57">
        <f t="shared" si="14"/>
        <v>0</v>
      </c>
      <c r="CB6" s="58">
        <v>37</v>
      </c>
      <c r="CC6" s="40">
        <f t="shared" si="15"/>
        <v>0</v>
      </c>
      <c r="CD6" s="40">
        <f t="shared" si="41"/>
        <v>127.39999999999999</v>
      </c>
      <c r="CE6" s="40">
        <f t="shared" si="42"/>
        <v>12.74</v>
      </c>
      <c r="CF6" s="40">
        <f t="shared" si="16"/>
        <v>30.363666666666649</v>
      </c>
      <c r="CG6" s="57">
        <f t="shared" si="43"/>
        <v>1.1678333333333326</v>
      </c>
      <c r="CH6" s="58">
        <v>26</v>
      </c>
      <c r="CI6" s="40">
        <f t="shared" si="17"/>
        <v>170.50366666666665</v>
      </c>
      <c r="CJ6" s="40">
        <f t="shared" si="44"/>
        <v>127.39999999999999</v>
      </c>
      <c r="CK6" s="40">
        <f t="shared" si="18"/>
        <v>12.74</v>
      </c>
      <c r="CL6" s="40">
        <f t="shared" si="45"/>
        <v>15.181833333333325</v>
      </c>
      <c r="CM6" s="57">
        <f t="shared" si="19"/>
        <v>1.1678333333333326</v>
      </c>
      <c r="CN6" s="58">
        <v>13</v>
      </c>
      <c r="CO6" s="40">
        <f t="shared" si="20"/>
        <v>155.3218333333333</v>
      </c>
      <c r="CP6" s="40">
        <f t="shared" si="46"/>
        <v>63.699999999999996</v>
      </c>
      <c r="CQ6" s="40">
        <f t="shared" si="21"/>
        <v>6.37</v>
      </c>
      <c r="CR6" s="40">
        <f t="shared" si="22"/>
        <v>3.5034999999999981</v>
      </c>
      <c r="CS6" s="57">
        <f t="shared" si="23"/>
        <v>0.58391666666666631</v>
      </c>
      <c r="CT6" s="58">
        <v>6</v>
      </c>
      <c r="CU6" s="58">
        <f t="shared" si="24"/>
        <v>73.573499999999996</v>
      </c>
      <c r="CV6" s="40">
        <f t="shared" si="25"/>
        <v>63.699999999999996</v>
      </c>
      <c r="CW6" s="40">
        <v>0</v>
      </c>
      <c r="CX6" s="40">
        <v>0</v>
      </c>
      <c r="CY6" s="57">
        <f t="shared" si="26"/>
        <v>0.53083333333333305</v>
      </c>
      <c r="CZ6" s="58">
        <f t="shared" ca="1" si="27"/>
        <v>-2</v>
      </c>
      <c r="DA6" s="58">
        <f t="shared" si="28"/>
        <v>63.699999999999996</v>
      </c>
      <c r="DB6" s="40">
        <f t="shared" si="29"/>
        <v>382.2</v>
      </c>
      <c r="DC6" s="40">
        <f t="shared" si="30"/>
        <v>31.85</v>
      </c>
      <c r="DD6" s="40">
        <f t="shared" ca="1" si="30"/>
        <v>49.048999999999971</v>
      </c>
      <c r="DE6" s="40">
        <f t="shared" ca="1" si="31"/>
        <v>463.09899999999999</v>
      </c>
      <c r="DF6" s="64">
        <f t="shared" ca="1" si="32"/>
        <v>1.8901999999999999E-2</v>
      </c>
      <c r="DG6" s="40">
        <f>19.5+19.5+195+195+39+58.5+39+39+39+58.5+19.5+39+78+97.5+97.5+39+58.5+39+39+19.5+97.5+58.5+97.5+97.5+195+19.5</f>
        <v>1794</v>
      </c>
      <c r="DH6" s="65">
        <f t="shared" si="33"/>
        <v>3</v>
      </c>
      <c r="DI6" s="40">
        <f>1.06+13.32+28+74.65</f>
        <v>117.03</v>
      </c>
      <c r="DJ6" s="135">
        <v>251</v>
      </c>
      <c r="DK6" s="40">
        <f t="shared" ca="1" si="39"/>
        <v>4709.8090000000002</v>
      </c>
      <c r="DL6" s="40">
        <f>30.08+448.2+211.4</f>
        <v>689.68</v>
      </c>
      <c r="DM6" s="135">
        <f>93.75+245</f>
        <v>338.75</v>
      </c>
      <c r="DN6" s="135">
        <v>131.25</v>
      </c>
      <c r="DO6" s="40">
        <v>100</v>
      </c>
      <c r="DP6" s="135">
        <v>475</v>
      </c>
      <c r="DQ6" s="40">
        <f t="shared" si="34"/>
        <v>1734.6799999999998</v>
      </c>
      <c r="DR6" s="56" t="s">
        <v>2773</v>
      </c>
      <c r="DS6" s="135">
        <v>24500</v>
      </c>
      <c r="DT6" s="135">
        <v>0</v>
      </c>
      <c r="DU6" s="59">
        <f t="shared" si="35"/>
        <v>24500</v>
      </c>
      <c r="DV6" s="220">
        <v>2.88</v>
      </c>
      <c r="DW6" s="38" t="s">
        <v>3683</v>
      </c>
      <c r="DX6" s="38" t="s">
        <v>3684</v>
      </c>
      <c r="DY6" s="38" t="s">
        <v>3685</v>
      </c>
      <c r="FN6" s="38" t="s">
        <v>3968</v>
      </c>
      <c r="FO6" s="38" t="s">
        <v>3967</v>
      </c>
      <c r="FP6" s="38" t="s">
        <v>3969</v>
      </c>
      <c r="FQ6" s="38" t="s">
        <v>279</v>
      </c>
      <c r="FS6" s="38">
        <v>350</v>
      </c>
      <c r="ID6" s="136">
        <v>44863</v>
      </c>
      <c r="IE6" s="221">
        <v>12000</v>
      </c>
      <c r="IF6" s="222">
        <v>3000</v>
      </c>
      <c r="II6" s="39" t="s">
        <v>3954</v>
      </c>
      <c r="IJ6" s="38" t="s">
        <v>3949</v>
      </c>
      <c r="IK6" s="38" t="s">
        <v>3950</v>
      </c>
      <c r="IM6" s="135"/>
      <c r="IN6" s="40">
        <v>153.16999999999999</v>
      </c>
      <c r="IO6" s="40">
        <v>7640.19</v>
      </c>
      <c r="IP6" s="4"/>
      <c r="IQ6" s="4"/>
      <c r="IR6" s="136">
        <v>44823</v>
      </c>
      <c r="IS6" s="136">
        <v>44837</v>
      </c>
      <c r="IT6" s="54">
        <v>44865</v>
      </c>
      <c r="IU6" s="136">
        <v>44869</v>
      </c>
    </row>
    <row r="7" spans="1:257">
      <c r="A7" s="24">
        <v>102022044</v>
      </c>
      <c r="B7" t="s">
        <v>2796</v>
      </c>
      <c r="D7" s="1"/>
      <c r="E7" s="3" t="s">
        <v>3904</v>
      </c>
      <c r="F7" s="3">
        <v>220003481</v>
      </c>
      <c r="J7" t="s">
        <v>311</v>
      </c>
      <c r="K7" t="s">
        <v>1567</v>
      </c>
      <c r="L7" t="s">
        <v>900</v>
      </c>
      <c r="M7" t="s">
        <v>357</v>
      </c>
      <c r="AG7" s="43"/>
      <c r="AJ7" t="s">
        <v>328</v>
      </c>
      <c r="AL7" s="18" t="s">
        <v>344</v>
      </c>
      <c r="AO7" s="3" t="s">
        <v>3013</v>
      </c>
      <c r="AP7" s="3" t="s">
        <v>258</v>
      </c>
      <c r="AQ7" t="s">
        <v>3014</v>
      </c>
      <c r="AS7" s="1"/>
      <c r="AT7" s="1" t="s">
        <v>258</v>
      </c>
      <c r="AU7" s="1"/>
      <c r="AV7" s="1"/>
      <c r="AW7" s="1"/>
      <c r="AX7" s="70">
        <v>44693</v>
      </c>
      <c r="AY7" s="115">
        <v>44661</v>
      </c>
      <c r="AZ7" s="115">
        <v>44649</v>
      </c>
      <c r="BA7" s="70"/>
      <c r="BB7" s="2"/>
      <c r="BC7" s="2"/>
      <c r="BD7" s="2"/>
      <c r="BE7" s="70">
        <v>44813</v>
      </c>
      <c r="BF7" s="2" t="s">
        <v>319</v>
      </c>
      <c r="BG7" s="20">
        <f t="shared" ca="1" si="0"/>
        <v>4166.6419999999998</v>
      </c>
      <c r="BH7" s="22">
        <f t="shared" ca="1" si="1"/>
        <v>-366.31402819982162</v>
      </c>
      <c r="BI7" s="22">
        <f t="shared" ca="1" si="2"/>
        <v>366.31402819982162</v>
      </c>
      <c r="BJ7" s="14">
        <f t="shared" si="3"/>
        <v>15.6</v>
      </c>
      <c r="BK7" s="22">
        <f t="shared" ca="1" si="4"/>
        <v>381.91402819982164</v>
      </c>
      <c r="BL7" s="14"/>
      <c r="BM7" s="14">
        <f t="shared" si="5"/>
        <v>0</v>
      </c>
      <c r="BN7" s="14">
        <f t="shared" ca="1" si="6"/>
        <v>0</v>
      </c>
      <c r="BO7" s="17">
        <f t="shared" si="7"/>
        <v>0</v>
      </c>
      <c r="BP7" s="23">
        <f t="shared" ca="1" si="37"/>
        <v>53</v>
      </c>
      <c r="BQ7" s="14">
        <f t="shared" ca="1" si="8"/>
        <v>0</v>
      </c>
      <c r="BR7" s="14"/>
      <c r="BS7" s="14">
        <f t="shared" si="9"/>
        <v>0</v>
      </c>
      <c r="BT7" s="14">
        <f t="shared" ca="1" si="10"/>
        <v>0</v>
      </c>
      <c r="BU7" s="17">
        <f t="shared" si="11"/>
        <v>0</v>
      </c>
      <c r="BV7" s="23">
        <f t="shared" ca="1" si="38"/>
        <v>41</v>
      </c>
      <c r="BW7" s="14">
        <f t="shared" ca="1" si="12"/>
        <v>0</v>
      </c>
      <c r="BX7" s="14"/>
      <c r="BY7" s="14">
        <f t="shared" si="13"/>
        <v>0</v>
      </c>
      <c r="BZ7" s="14">
        <f t="shared" si="40"/>
        <v>0</v>
      </c>
      <c r="CA7" s="17">
        <f t="shared" si="14"/>
        <v>0</v>
      </c>
      <c r="CB7" s="23">
        <v>37</v>
      </c>
      <c r="CC7" s="14">
        <f t="shared" si="15"/>
        <v>0</v>
      </c>
      <c r="CD7" s="14">
        <f t="shared" si="41"/>
        <v>187.2</v>
      </c>
      <c r="CE7" s="14">
        <f t="shared" si="42"/>
        <v>18.72</v>
      </c>
      <c r="CF7" s="14">
        <f t="shared" si="16"/>
        <v>44.615999999999978</v>
      </c>
      <c r="CG7" s="17">
        <f t="shared" si="43"/>
        <v>1.7159999999999991</v>
      </c>
      <c r="CH7" s="23">
        <v>26</v>
      </c>
      <c r="CI7" s="14">
        <f t="shared" si="17"/>
        <v>250.53599999999997</v>
      </c>
      <c r="CJ7" s="14">
        <f t="shared" si="44"/>
        <v>187.2</v>
      </c>
      <c r="CK7" s="14">
        <f t="shared" si="18"/>
        <v>18.72</v>
      </c>
      <c r="CL7" s="14">
        <f t="shared" si="45"/>
        <v>22.307999999999989</v>
      </c>
      <c r="CM7" s="17">
        <f t="shared" si="19"/>
        <v>1.7159999999999991</v>
      </c>
      <c r="CN7" s="23">
        <v>13</v>
      </c>
      <c r="CO7" s="14">
        <f t="shared" si="20"/>
        <v>228.22799999999998</v>
      </c>
      <c r="CP7" s="14">
        <f t="shared" si="46"/>
        <v>93.6</v>
      </c>
      <c r="CQ7" s="14">
        <f t="shared" si="21"/>
        <v>9.36</v>
      </c>
      <c r="CR7" s="14">
        <f t="shared" si="22"/>
        <v>5.147999999999997</v>
      </c>
      <c r="CS7" s="17">
        <f t="shared" si="23"/>
        <v>0.85799999999999954</v>
      </c>
      <c r="CT7" s="23">
        <v>6</v>
      </c>
      <c r="CU7" s="23">
        <f t="shared" si="24"/>
        <v>108.10799999999999</v>
      </c>
      <c r="CV7" s="14">
        <f t="shared" si="25"/>
        <v>93.6</v>
      </c>
      <c r="CW7" s="14">
        <v>0</v>
      </c>
      <c r="CX7" s="14">
        <v>0</v>
      </c>
      <c r="CY7" s="17">
        <f t="shared" si="26"/>
        <v>0.77999999999999958</v>
      </c>
      <c r="CZ7" s="23">
        <f t="shared" ca="1" si="27"/>
        <v>-2</v>
      </c>
      <c r="DA7" s="23">
        <f t="shared" si="28"/>
        <v>93.6</v>
      </c>
      <c r="DB7" s="14">
        <f t="shared" si="29"/>
        <v>561.6</v>
      </c>
      <c r="DC7" s="14">
        <f t="shared" si="30"/>
        <v>46.8</v>
      </c>
      <c r="DD7" s="14">
        <f t="shared" ca="1" si="30"/>
        <v>72.07199999999996</v>
      </c>
      <c r="DE7" s="14">
        <f t="shared" ca="1" si="31"/>
        <v>680.47199999999998</v>
      </c>
      <c r="DF7" s="47">
        <f t="shared" ca="1" si="32"/>
        <v>1.8901999999999999E-2</v>
      </c>
      <c r="DG7" s="14">
        <f>19.5+19.5+195+195+39+39+58.5+39+97.5+97.5+39+58.5+39+39+19.5+97.5+58.5+97.5+97.5+195+19.5</f>
        <v>1560</v>
      </c>
      <c r="DH7" s="32" t="e">
        <f>COUNTIF(DN7, "*")+COUNTIF(AO7, "*")+COUNTIF(AJ7, "*")+COUNTIF(AA7, "*")+COUNTIF(EK7, "*")+COUNTIF(EQ7, "*")+COUNTIF(EW7, "*")+COUNTIF(FA7, "*")+COUNTIF(FH7, "*")+COUNTIF(#REF!, "*")+COUNTIF(FV7, "*")+COUNTIF(GG7, "*")+COUNTIF(GR7, "*")+COUNTIF(GZ7, "*")+COUNTIF(HH7, "*")+COUNTIF(HP7, "*")+COUNTIF(HX7, "*")</f>
        <v>#REF!</v>
      </c>
      <c r="DI7" s="14">
        <f>1.06+19.98+28+74.65</f>
        <v>123.69</v>
      </c>
      <c r="DJ7" s="4">
        <v>250</v>
      </c>
      <c r="DK7" s="14">
        <f t="shared" ca="1" si="39"/>
        <v>3952.1419999999998</v>
      </c>
      <c r="DL7" s="14">
        <f>30.08+211.4</f>
        <v>241.48000000000002</v>
      </c>
      <c r="DM7" s="4"/>
      <c r="DN7" s="4">
        <v>67.5</v>
      </c>
      <c r="DO7" s="14">
        <f>SUM(DU7*0.004)</f>
        <v>144</v>
      </c>
      <c r="DP7" s="4">
        <v>535</v>
      </c>
      <c r="DQ7" s="14">
        <f t="shared" si="34"/>
        <v>987.98</v>
      </c>
      <c r="DR7" s="24" t="s">
        <v>2773</v>
      </c>
      <c r="DS7" s="4">
        <v>36000</v>
      </c>
      <c r="DT7" s="4">
        <v>0</v>
      </c>
      <c r="DU7" s="25">
        <f t="shared" si="35"/>
        <v>36000</v>
      </c>
      <c r="DV7" s="35">
        <v>1.85</v>
      </c>
      <c r="DW7" t="s">
        <v>3660</v>
      </c>
      <c r="DX7" t="s">
        <v>3661</v>
      </c>
      <c r="DY7" t="s">
        <v>3662</v>
      </c>
      <c r="FN7" t="s">
        <v>3968</v>
      </c>
      <c r="FO7" t="s">
        <v>3967</v>
      </c>
      <c r="FP7" t="s">
        <v>3969</v>
      </c>
      <c r="FQ7" t="s">
        <v>279</v>
      </c>
      <c r="FS7">
        <v>350</v>
      </c>
      <c r="FT7" t="s">
        <v>3557</v>
      </c>
      <c r="FU7" t="s">
        <v>411</v>
      </c>
      <c r="FV7" t="s">
        <v>3558</v>
      </c>
      <c r="FX7" t="s">
        <v>259</v>
      </c>
      <c r="FY7" t="s">
        <v>260</v>
      </c>
      <c r="FZ7" s="9">
        <v>44008</v>
      </c>
      <c r="GA7" t="s">
        <v>3717</v>
      </c>
      <c r="GK7" s="9"/>
      <c r="ID7" s="9">
        <v>44863</v>
      </c>
      <c r="IE7" s="126">
        <v>10000</v>
      </c>
      <c r="IF7" s="124">
        <v>3000</v>
      </c>
      <c r="II7" s="18" t="s">
        <v>3954</v>
      </c>
      <c r="IJ7" t="s">
        <v>3949</v>
      </c>
      <c r="IK7" t="s">
        <v>3950</v>
      </c>
      <c r="IL7" t="s">
        <v>411</v>
      </c>
      <c r="IM7" s="4">
        <v>1734.79</v>
      </c>
      <c r="IN7" s="14">
        <v>203</v>
      </c>
      <c r="IO7" s="14">
        <f t="shared" ca="1" si="36"/>
        <v>3963.0680000000002</v>
      </c>
      <c r="IP7" s="4"/>
      <c r="IQ7" s="4"/>
      <c r="IR7" s="9">
        <v>44823</v>
      </c>
      <c r="IS7" s="9">
        <v>37532</v>
      </c>
      <c r="IT7" s="27">
        <v>44865</v>
      </c>
      <c r="IU7" s="9">
        <v>44879</v>
      </c>
    </row>
    <row r="8" spans="1:257" s="38" customFormat="1">
      <c r="A8" s="56">
        <v>102022051</v>
      </c>
      <c r="B8" s="38" t="s">
        <v>3467</v>
      </c>
      <c r="D8" s="133"/>
      <c r="E8" s="134" t="s">
        <v>3899</v>
      </c>
      <c r="F8" s="134">
        <v>220004195</v>
      </c>
      <c r="K8" s="38" t="s">
        <v>3025</v>
      </c>
      <c r="AG8" s="139"/>
      <c r="AH8" s="223"/>
      <c r="AJ8" s="38" t="s">
        <v>328</v>
      </c>
      <c r="AL8" s="38" t="s">
        <v>438</v>
      </c>
      <c r="AO8" s="134" t="s">
        <v>3880</v>
      </c>
      <c r="AP8" s="134" t="s">
        <v>258</v>
      </c>
      <c r="AQ8" s="38" t="s">
        <v>300</v>
      </c>
      <c r="AR8" s="38" t="s">
        <v>301</v>
      </c>
      <c r="AS8" s="133"/>
      <c r="AT8" s="133" t="s">
        <v>258</v>
      </c>
      <c r="AU8" s="133"/>
      <c r="AV8" s="133" t="s">
        <v>258</v>
      </c>
      <c r="AW8" s="133" t="s">
        <v>258</v>
      </c>
      <c r="AX8" s="142">
        <v>44725</v>
      </c>
      <c r="AY8" s="140">
        <v>44647</v>
      </c>
      <c r="AZ8" s="140">
        <v>44637</v>
      </c>
      <c r="BA8" s="142">
        <v>44799</v>
      </c>
      <c r="BB8" s="137" t="s">
        <v>318</v>
      </c>
      <c r="BC8" s="52">
        <v>44785</v>
      </c>
      <c r="BD8" s="52">
        <v>44792</v>
      </c>
      <c r="BE8" s="52">
        <v>44799</v>
      </c>
      <c r="BF8" s="53" t="s">
        <v>319</v>
      </c>
      <c r="BG8" s="49">
        <f t="shared" ca="1" si="0"/>
        <v>4793.7415999999994</v>
      </c>
      <c r="BH8" s="50">
        <f t="shared" ca="1" si="1"/>
        <v>-421.4460459154057</v>
      </c>
      <c r="BI8" s="50">
        <f t="shared" ca="1" si="2"/>
        <v>421.4460459154057</v>
      </c>
      <c r="BJ8" s="40">
        <f t="shared" si="3"/>
        <v>4.68</v>
      </c>
      <c r="BK8" s="50">
        <f t="shared" ca="1" si="4"/>
        <v>426.12604591540571</v>
      </c>
      <c r="BL8" s="40"/>
      <c r="BM8" s="40">
        <f t="shared" si="5"/>
        <v>0</v>
      </c>
      <c r="BN8" s="40">
        <f t="shared" ca="1" si="6"/>
        <v>0</v>
      </c>
      <c r="BO8" s="57">
        <f t="shared" si="7"/>
        <v>0</v>
      </c>
      <c r="BP8" s="58">
        <f t="shared" ca="1" si="37"/>
        <v>53</v>
      </c>
      <c r="BQ8" s="40">
        <f t="shared" ca="1" si="8"/>
        <v>0</v>
      </c>
      <c r="BR8" s="40"/>
      <c r="BS8" s="40">
        <f t="shared" si="9"/>
        <v>0</v>
      </c>
      <c r="BT8" s="40">
        <f t="shared" ca="1" si="10"/>
        <v>0</v>
      </c>
      <c r="BU8" s="57">
        <f t="shared" si="11"/>
        <v>0</v>
      </c>
      <c r="BV8" s="58">
        <f t="shared" ca="1" si="38"/>
        <v>41</v>
      </c>
      <c r="BW8" s="40">
        <f t="shared" ca="1" si="12"/>
        <v>0</v>
      </c>
      <c r="BX8" s="40"/>
      <c r="BY8" s="40">
        <f t="shared" si="13"/>
        <v>0</v>
      </c>
      <c r="BZ8" s="40">
        <f t="shared" si="40"/>
        <v>0</v>
      </c>
      <c r="CA8" s="57">
        <f t="shared" si="14"/>
        <v>0</v>
      </c>
      <c r="CB8" s="58">
        <v>37</v>
      </c>
      <c r="CC8" s="40">
        <f t="shared" si="15"/>
        <v>0</v>
      </c>
      <c r="CD8" s="40">
        <f t="shared" si="41"/>
        <v>56.16</v>
      </c>
      <c r="CE8" s="40">
        <f t="shared" si="42"/>
        <v>5.6159999999999997</v>
      </c>
      <c r="CF8" s="40">
        <f t="shared" si="16"/>
        <v>13.384799999999991</v>
      </c>
      <c r="CG8" s="57">
        <f t="shared" si="43"/>
        <v>0.5147999999999997</v>
      </c>
      <c r="CH8" s="58">
        <v>26</v>
      </c>
      <c r="CI8" s="40">
        <f t="shared" si="17"/>
        <v>75.160799999999995</v>
      </c>
      <c r="CJ8" s="40">
        <f t="shared" si="44"/>
        <v>56.16</v>
      </c>
      <c r="CK8" s="40">
        <f t="shared" si="18"/>
        <v>5.6159999999999997</v>
      </c>
      <c r="CL8" s="40">
        <f t="shared" si="45"/>
        <v>6.6923999999999957</v>
      </c>
      <c r="CM8" s="57">
        <f t="shared" si="19"/>
        <v>0.5147999999999997</v>
      </c>
      <c r="CN8" s="58">
        <v>13</v>
      </c>
      <c r="CO8" s="40">
        <f t="shared" si="20"/>
        <v>68.468399999999988</v>
      </c>
      <c r="CP8" s="40">
        <f t="shared" si="46"/>
        <v>28.08</v>
      </c>
      <c r="CQ8" s="40">
        <f t="shared" si="21"/>
        <v>2.8079999999999998</v>
      </c>
      <c r="CR8" s="40">
        <f t="shared" si="22"/>
        <v>1.5443999999999991</v>
      </c>
      <c r="CS8" s="57">
        <f t="shared" si="23"/>
        <v>0.25739999999999985</v>
      </c>
      <c r="CT8" s="58">
        <v>6</v>
      </c>
      <c r="CU8" s="58">
        <f t="shared" si="24"/>
        <v>32.432399999999994</v>
      </c>
      <c r="CV8" s="40">
        <f t="shared" si="25"/>
        <v>28.08</v>
      </c>
      <c r="CW8" s="40">
        <v>0</v>
      </c>
      <c r="CX8" s="40">
        <v>0</v>
      </c>
      <c r="CY8" s="57">
        <f t="shared" si="26"/>
        <v>0.23399999999999987</v>
      </c>
      <c r="CZ8" s="58">
        <f t="shared" ca="1" si="27"/>
        <v>-2</v>
      </c>
      <c r="DA8" s="58">
        <f t="shared" si="28"/>
        <v>28.08</v>
      </c>
      <c r="DB8" s="40">
        <f t="shared" si="29"/>
        <v>168.47999999999996</v>
      </c>
      <c r="DC8" s="40">
        <f t="shared" si="30"/>
        <v>14.04</v>
      </c>
      <c r="DD8" s="40">
        <f t="shared" ca="1" si="30"/>
        <v>21.621599999999987</v>
      </c>
      <c r="DE8" s="40">
        <f t="shared" ca="1" si="31"/>
        <v>204.14159999999993</v>
      </c>
      <c r="DF8" s="64">
        <f t="shared" ca="1" si="32"/>
        <v>1.8901999999999992E-2</v>
      </c>
      <c r="DG8" s="40">
        <f>19.5+19.5+195+39+117+39+39+39+58.5+39+39+39+39+39+97.5+97.5+39+58.5+39+39+19.5+19.5+39+97.5</f>
        <v>1306.5</v>
      </c>
      <c r="DH8" s="65">
        <f t="shared" si="33"/>
        <v>6</v>
      </c>
      <c r="DI8" s="40">
        <f>1.06+33.3+30+30+30+74.65</f>
        <v>199.01</v>
      </c>
      <c r="DJ8" s="135">
        <v>250</v>
      </c>
      <c r="DK8" s="40">
        <f t="shared" ca="1" si="39"/>
        <v>4579.2415999999994</v>
      </c>
      <c r="DL8" s="135">
        <f>30.8+496.2+211.4</f>
        <v>738.4</v>
      </c>
      <c r="DM8" s="40">
        <f>93.75+460</f>
        <v>553.75</v>
      </c>
      <c r="DN8" s="135">
        <v>118.5</v>
      </c>
      <c r="DO8" s="40">
        <v>100</v>
      </c>
      <c r="DP8" s="135">
        <v>810</v>
      </c>
      <c r="DQ8" s="40">
        <f t="shared" si="34"/>
        <v>2320.65</v>
      </c>
      <c r="DR8" s="56" t="s">
        <v>2773</v>
      </c>
      <c r="DS8" s="135">
        <f>200+200+500+800+800+1000+5900+1000+400</f>
        <v>10800</v>
      </c>
      <c r="DT8" s="135">
        <v>0</v>
      </c>
      <c r="DU8" s="59">
        <f t="shared" si="35"/>
        <v>10800</v>
      </c>
      <c r="DV8" s="220">
        <f>0.26+0.28+0.35+0.38+0.53+0.56+0.57+0.09</f>
        <v>3.02</v>
      </c>
      <c r="DW8" s="38" t="s">
        <v>3500</v>
      </c>
      <c r="DX8" s="38" t="s">
        <v>3502</v>
      </c>
      <c r="DY8" s="38" t="s">
        <v>3501</v>
      </c>
      <c r="EI8" s="38" t="s">
        <v>3503</v>
      </c>
      <c r="EK8" s="38" t="s">
        <v>3504</v>
      </c>
      <c r="EM8" s="38" t="s">
        <v>3505</v>
      </c>
      <c r="EN8" s="38" t="s">
        <v>301</v>
      </c>
      <c r="EO8" s="38" t="s">
        <v>3506</v>
      </c>
      <c r="EQ8" s="38" t="s">
        <v>3507</v>
      </c>
      <c r="ES8" s="38" t="s">
        <v>3508</v>
      </c>
      <c r="ET8" s="38" t="s">
        <v>821</v>
      </c>
      <c r="EU8" s="38" t="s">
        <v>3509</v>
      </c>
      <c r="EW8" s="38" t="s">
        <v>3510</v>
      </c>
      <c r="EX8" s="38" t="s">
        <v>3505</v>
      </c>
      <c r="EY8" s="38" t="s">
        <v>301</v>
      </c>
      <c r="FN8" s="39" t="s">
        <v>473</v>
      </c>
      <c r="FO8" s="39" t="s">
        <v>474</v>
      </c>
      <c r="FP8" s="39" t="s">
        <v>475</v>
      </c>
      <c r="FQ8" s="39" t="s">
        <v>438</v>
      </c>
      <c r="FR8" s="39" t="s">
        <v>260</v>
      </c>
      <c r="FS8" s="38">
        <v>298.94</v>
      </c>
      <c r="ID8" s="136">
        <v>44863</v>
      </c>
      <c r="IE8" s="221">
        <v>8000</v>
      </c>
      <c r="IF8" s="222">
        <v>800</v>
      </c>
      <c r="II8" s="39" t="s">
        <v>3963</v>
      </c>
      <c r="IJ8" s="39" t="s">
        <v>794</v>
      </c>
      <c r="IK8" s="39" t="s">
        <v>438</v>
      </c>
      <c r="IM8" s="135"/>
      <c r="IN8" s="135">
        <v>94</v>
      </c>
      <c r="IO8" s="40">
        <v>3420.76</v>
      </c>
      <c r="IP8" s="135">
        <f>SUM(IO8-IQ8)</f>
        <v>2259.84</v>
      </c>
      <c r="IQ8" s="135">
        <v>1160.92</v>
      </c>
      <c r="IR8" s="136">
        <v>44823</v>
      </c>
      <c r="IS8" s="136">
        <v>44837</v>
      </c>
      <c r="IT8" s="54">
        <v>44865</v>
      </c>
      <c r="IU8" s="136">
        <v>44869</v>
      </c>
      <c r="IW8" s="39"/>
    </row>
    <row r="9" spans="1:257">
      <c r="A9" s="24">
        <v>102019009</v>
      </c>
      <c r="B9" s="14" t="s">
        <v>546</v>
      </c>
      <c r="C9" s="20"/>
      <c r="D9" s="13">
        <v>2010</v>
      </c>
      <c r="E9" s="24"/>
      <c r="F9" s="24"/>
      <c r="G9" s="18"/>
      <c r="H9" s="18"/>
      <c r="I9" s="18"/>
      <c r="J9" s="18" t="s">
        <v>510</v>
      </c>
      <c r="K9" s="18" t="s">
        <v>891</v>
      </c>
      <c r="L9" s="18" t="s">
        <v>1054</v>
      </c>
      <c r="M9" s="18" t="s">
        <v>426</v>
      </c>
      <c r="N9" s="18"/>
      <c r="O9" s="13"/>
      <c r="P9" s="18"/>
      <c r="Q9" s="18"/>
      <c r="R9" s="18"/>
      <c r="S9" s="18"/>
      <c r="T9" s="13"/>
      <c r="U9" s="18"/>
      <c r="V9" s="18"/>
      <c r="W9" s="18"/>
      <c r="X9" s="18"/>
      <c r="Y9" s="18"/>
      <c r="Z9" s="18"/>
      <c r="AA9" s="18"/>
      <c r="AB9" s="18"/>
      <c r="AC9" s="18"/>
      <c r="AD9" s="18"/>
      <c r="AE9" s="18"/>
      <c r="AF9" s="18"/>
      <c r="AG9" s="26"/>
      <c r="AH9" s="18"/>
      <c r="AI9" s="18"/>
      <c r="AJ9" s="14" t="s">
        <v>328</v>
      </c>
      <c r="AK9" s="14"/>
      <c r="AL9" s="18" t="s">
        <v>438</v>
      </c>
      <c r="AM9" s="24" t="s">
        <v>260</v>
      </c>
      <c r="AN9" s="18"/>
      <c r="AO9" s="63"/>
      <c r="AP9" s="63"/>
      <c r="AQ9" s="18"/>
      <c r="AR9" s="18"/>
      <c r="AS9" s="20"/>
      <c r="AT9" s="20"/>
      <c r="AU9" s="13" t="s">
        <v>258</v>
      </c>
      <c r="AV9" s="13"/>
      <c r="AW9" s="13"/>
      <c r="AX9" s="19"/>
      <c r="AY9" s="117"/>
      <c r="AZ9" s="114"/>
      <c r="BA9" s="19"/>
      <c r="BB9" s="19"/>
      <c r="BC9" s="19"/>
      <c r="BD9" s="19"/>
      <c r="BE9" s="19"/>
      <c r="BF9" s="19"/>
      <c r="BG9" s="20">
        <f t="shared" si="0"/>
        <v>1520.65</v>
      </c>
      <c r="BH9" s="22">
        <f t="shared" si="1"/>
        <v>-133.68929391631411</v>
      </c>
      <c r="BI9" s="22">
        <f t="shared" si="2"/>
        <v>133.68929391631411</v>
      </c>
      <c r="BJ9" s="14">
        <f t="shared" si="3"/>
        <v>0.43333333333333335</v>
      </c>
      <c r="BK9" s="22">
        <f t="shared" si="4"/>
        <v>134.12262724964745</v>
      </c>
      <c r="BL9" s="14"/>
      <c r="BM9" s="14">
        <f t="shared" si="5"/>
        <v>0</v>
      </c>
      <c r="BN9" s="14">
        <f t="shared" ca="1" si="6"/>
        <v>0</v>
      </c>
      <c r="BO9" s="17">
        <f t="shared" si="7"/>
        <v>0</v>
      </c>
      <c r="BP9" s="23">
        <f t="shared" ca="1" si="37"/>
        <v>53</v>
      </c>
      <c r="BQ9" s="14">
        <f t="shared" ca="1" si="8"/>
        <v>0</v>
      </c>
      <c r="BR9" s="14"/>
      <c r="BS9" s="14">
        <f t="shared" si="9"/>
        <v>0</v>
      </c>
      <c r="BT9" s="14">
        <f t="shared" ca="1" si="10"/>
        <v>0</v>
      </c>
      <c r="BU9" s="17">
        <f t="shared" si="11"/>
        <v>0</v>
      </c>
      <c r="BV9" s="23">
        <f t="shared" ca="1" si="38"/>
        <v>41</v>
      </c>
      <c r="BW9" s="14">
        <f t="shared" ca="1" si="12"/>
        <v>0</v>
      </c>
      <c r="BX9" s="14">
        <f>SUM(DU9*0.0052)</f>
        <v>5.2</v>
      </c>
      <c r="BY9" s="14">
        <f t="shared" si="13"/>
        <v>0.52</v>
      </c>
      <c r="BZ9" s="14">
        <f t="shared" si="40"/>
        <v>1.763666666666666</v>
      </c>
      <c r="CA9" s="17">
        <f t="shared" si="14"/>
        <v>4.7666666666666649E-2</v>
      </c>
      <c r="CB9" s="23">
        <v>37</v>
      </c>
      <c r="CC9" s="14">
        <f t="shared" si="15"/>
        <v>7.4836666666666662</v>
      </c>
      <c r="CD9" s="14">
        <f t="shared" si="41"/>
        <v>5.2</v>
      </c>
      <c r="CE9" s="14">
        <f t="shared" si="42"/>
        <v>0.52</v>
      </c>
      <c r="CF9" s="14">
        <f t="shared" si="16"/>
        <v>1.239333333333333</v>
      </c>
      <c r="CG9" s="17">
        <f t="shared" si="43"/>
        <v>4.7666666666666649E-2</v>
      </c>
      <c r="CH9" s="23">
        <v>26</v>
      </c>
      <c r="CI9" s="14">
        <f t="shared" si="17"/>
        <v>6.9593333333333334</v>
      </c>
      <c r="CJ9" s="14">
        <f t="shared" si="44"/>
        <v>5.2</v>
      </c>
      <c r="CK9" s="14">
        <f t="shared" si="18"/>
        <v>0.52</v>
      </c>
      <c r="CL9" s="14">
        <f t="shared" si="45"/>
        <v>0.61966666666666648</v>
      </c>
      <c r="CM9" s="17">
        <f t="shared" si="19"/>
        <v>4.7666666666666649E-2</v>
      </c>
      <c r="CN9" s="23">
        <v>13</v>
      </c>
      <c r="CO9" s="14">
        <f t="shared" si="20"/>
        <v>6.339666666666667</v>
      </c>
      <c r="CP9" s="14">
        <f t="shared" si="46"/>
        <v>2.6</v>
      </c>
      <c r="CQ9" s="14">
        <f t="shared" si="21"/>
        <v>0.26</v>
      </c>
      <c r="CR9" s="14">
        <f t="shared" si="22"/>
        <v>0.14299999999999996</v>
      </c>
      <c r="CS9" s="17">
        <f t="shared" si="23"/>
        <v>2.3833333333333324E-2</v>
      </c>
      <c r="CT9" s="23">
        <v>6</v>
      </c>
      <c r="CU9" s="23">
        <f t="shared" si="24"/>
        <v>3.0030000000000001</v>
      </c>
      <c r="CV9" s="14">
        <f t="shared" si="25"/>
        <v>2.6</v>
      </c>
      <c r="CW9" s="14">
        <v>0</v>
      </c>
      <c r="CX9" s="14">
        <v>0</v>
      </c>
      <c r="CY9" s="17">
        <f t="shared" si="26"/>
        <v>2.1666666666666657E-2</v>
      </c>
      <c r="CZ9" s="23">
        <f t="shared" ca="1" si="27"/>
        <v>-2</v>
      </c>
      <c r="DA9" s="23">
        <f t="shared" si="28"/>
        <v>2.6</v>
      </c>
      <c r="DB9" s="14">
        <v>88.1</v>
      </c>
      <c r="DC9" s="14">
        <v>8.81</v>
      </c>
      <c r="DD9" s="14">
        <f>SUM(DE9-DC9-DB9)</f>
        <v>85.43</v>
      </c>
      <c r="DE9" s="14">
        <v>182.34</v>
      </c>
      <c r="DF9" s="47">
        <f t="shared" si="32"/>
        <v>0.18234</v>
      </c>
      <c r="DG9" s="14">
        <f>292.5+19.5+58.5+39+39+19.5+97.5+58.5+97.5</f>
        <v>721.5</v>
      </c>
      <c r="DH9" s="32">
        <f t="shared" si="33"/>
        <v>1</v>
      </c>
      <c r="DI9" s="14">
        <f>74.65+7.13*2</f>
        <v>88.910000000000011</v>
      </c>
      <c r="DJ9" s="14">
        <v>0</v>
      </c>
      <c r="DK9" s="14">
        <f t="shared" si="39"/>
        <v>1306.1500000000001</v>
      </c>
      <c r="DL9" s="14">
        <v>313.39999999999998</v>
      </c>
      <c r="DM9" s="14"/>
      <c r="DN9" s="14"/>
      <c r="DO9" s="14"/>
      <c r="DP9" s="25"/>
      <c r="DQ9" s="14">
        <f t="shared" si="34"/>
        <v>313.39999999999998</v>
      </c>
      <c r="DR9" s="24" t="s">
        <v>3830</v>
      </c>
      <c r="DS9" s="25">
        <v>1000</v>
      </c>
      <c r="DT9" s="25">
        <v>0</v>
      </c>
      <c r="DU9" s="25">
        <f t="shared" si="35"/>
        <v>1000</v>
      </c>
      <c r="DV9" s="36">
        <v>0.06</v>
      </c>
      <c r="DW9" t="s">
        <v>3932</v>
      </c>
      <c r="DX9" s="18" t="s">
        <v>3933</v>
      </c>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27"/>
      <c r="FF9" s="18"/>
      <c r="FG9" s="18"/>
      <c r="FH9" s="18"/>
      <c r="FI9" s="18"/>
      <c r="FJ9" s="18"/>
      <c r="FK9" s="18"/>
      <c r="FL9" s="18"/>
      <c r="FM9" s="18"/>
      <c r="FN9" s="18"/>
      <c r="FO9" s="18"/>
      <c r="FP9" s="18"/>
      <c r="FQ9" s="18"/>
      <c r="FR9" s="18"/>
      <c r="FS9" s="14"/>
      <c r="FT9" s="18"/>
      <c r="FU9" s="18"/>
      <c r="FV9" s="18"/>
      <c r="FW9" s="18"/>
      <c r="FX9" s="28"/>
      <c r="FY9" s="18"/>
      <c r="FZ9" s="18"/>
      <c r="GA9" s="18"/>
      <c r="GB9" s="18"/>
      <c r="GC9" s="18"/>
      <c r="GD9" s="18"/>
      <c r="GE9" s="18"/>
      <c r="GF9" s="18"/>
      <c r="GG9" s="18"/>
      <c r="GH9" s="28"/>
      <c r="GI9" s="18"/>
      <c r="GJ9" s="18"/>
      <c r="GK9" s="18"/>
      <c r="GL9" s="18"/>
      <c r="GM9" s="18"/>
      <c r="GN9" s="18"/>
      <c r="GO9" s="18"/>
      <c r="GP9" s="18"/>
      <c r="GQ9" s="18"/>
      <c r="GR9" s="18"/>
      <c r="GS9" s="18"/>
      <c r="GT9" s="18"/>
      <c r="GU9" s="18"/>
      <c r="GV9" s="18"/>
      <c r="GW9" s="27"/>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27">
        <v>44863</v>
      </c>
      <c r="IE9" s="123">
        <v>100</v>
      </c>
      <c r="IF9" s="123">
        <v>10</v>
      </c>
      <c r="IG9" s="27"/>
      <c r="IH9" s="18"/>
      <c r="II9" s="18" t="s">
        <v>3957</v>
      </c>
      <c r="IJ9" s="18" t="s">
        <v>3958</v>
      </c>
      <c r="IK9" s="18" t="s">
        <v>438</v>
      </c>
      <c r="IL9" s="18"/>
      <c r="IM9" s="14"/>
      <c r="IN9" s="14">
        <v>51.33</v>
      </c>
      <c r="IO9" s="14"/>
      <c r="IP9" s="4"/>
      <c r="IQ9" s="4"/>
      <c r="IR9" s="18"/>
      <c r="IS9" s="18"/>
      <c r="IT9" s="18"/>
      <c r="IU9" s="18"/>
      <c r="IV9" s="27"/>
    </row>
    <row r="10" spans="1:257">
      <c r="A10" s="24">
        <v>102020037</v>
      </c>
      <c r="B10" s="18" t="s">
        <v>1637</v>
      </c>
      <c r="C10" s="18"/>
      <c r="D10" s="13">
        <v>2021</v>
      </c>
      <c r="E10" s="24"/>
      <c r="F10" s="24"/>
      <c r="G10" s="18"/>
      <c r="H10" s="18"/>
      <c r="I10" s="18"/>
      <c r="J10" s="18" t="s">
        <v>311</v>
      </c>
      <c r="K10" s="18" t="s">
        <v>1638</v>
      </c>
      <c r="L10" s="18" t="s">
        <v>1639</v>
      </c>
      <c r="M10" s="18"/>
      <c r="N10" s="18"/>
      <c r="O10" s="18" t="s">
        <v>258</v>
      </c>
      <c r="P10" s="18"/>
      <c r="Q10" s="18"/>
      <c r="R10" s="18"/>
      <c r="S10" s="18"/>
      <c r="T10" s="18"/>
      <c r="U10" s="18"/>
      <c r="V10" s="18"/>
      <c r="W10" s="18"/>
      <c r="X10" s="18"/>
      <c r="Y10" s="18"/>
      <c r="Z10" s="18"/>
      <c r="AA10" s="18"/>
      <c r="AB10" s="18"/>
      <c r="AC10" s="18"/>
      <c r="AD10" s="18"/>
      <c r="AE10" s="18"/>
      <c r="AF10" s="18"/>
      <c r="AG10" s="26"/>
      <c r="AH10" s="18"/>
      <c r="AI10" s="18"/>
      <c r="AJ10" s="18" t="s">
        <v>328</v>
      </c>
      <c r="AK10" s="18"/>
      <c r="AL10" s="18" t="s">
        <v>329</v>
      </c>
      <c r="AM10" s="18"/>
      <c r="AN10" s="18" t="s">
        <v>3930</v>
      </c>
      <c r="AO10" s="24" t="s">
        <v>1640</v>
      </c>
      <c r="AP10" s="24" t="s">
        <v>258</v>
      </c>
      <c r="AQ10" s="18" t="s">
        <v>274</v>
      </c>
      <c r="AR10" s="18" t="s">
        <v>275</v>
      </c>
      <c r="AS10" s="13"/>
      <c r="AT10" s="13"/>
      <c r="AU10" s="13"/>
      <c r="AV10" s="13"/>
      <c r="AW10" s="13"/>
      <c r="AX10" s="19"/>
      <c r="AY10" s="117"/>
      <c r="AZ10" s="114">
        <v>44824</v>
      </c>
      <c r="BA10" s="19"/>
      <c r="BB10" s="19"/>
      <c r="BC10" s="19"/>
      <c r="BD10" s="19"/>
      <c r="BE10" s="19"/>
      <c r="BF10" s="19"/>
      <c r="BG10" s="20">
        <f t="shared" si="0"/>
        <v>1370.4928000000002</v>
      </c>
      <c r="BH10" s="22">
        <f t="shared" si="1"/>
        <v>-120.48809045434012</v>
      </c>
      <c r="BI10" s="22">
        <f t="shared" si="2"/>
        <v>120.48809045434012</v>
      </c>
      <c r="BJ10" s="14">
        <f t="shared" si="3"/>
        <v>0.51999999999999991</v>
      </c>
      <c r="BK10" s="22">
        <f t="shared" si="4"/>
        <v>121.00809045434012</v>
      </c>
      <c r="BL10" s="14">
        <v>6.24</v>
      </c>
      <c r="BM10" s="14">
        <f t="shared" si="5"/>
        <v>0.62400000000000011</v>
      </c>
      <c r="BN10" s="14">
        <f t="shared" si="6"/>
        <v>3.489199999999999</v>
      </c>
      <c r="BO10" s="17">
        <f t="shared" si="7"/>
        <v>5.719999999999998E-2</v>
      </c>
      <c r="BP10" s="23">
        <v>61</v>
      </c>
      <c r="BQ10" s="14">
        <f t="shared" si="8"/>
        <v>10.353199999999999</v>
      </c>
      <c r="BR10" s="14">
        <v>6.24</v>
      </c>
      <c r="BS10" s="14">
        <f t="shared" si="9"/>
        <v>0.62400000000000011</v>
      </c>
      <c r="BT10" s="14">
        <f t="shared" si="10"/>
        <v>2.8027999999999991</v>
      </c>
      <c r="BU10" s="17">
        <f t="shared" si="11"/>
        <v>5.719999999999998E-2</v>
      </c>
      <c r="BV10" s="23">
        <v>49</v>
      </c>
      <c r="BW10" s="14">
        <f t="shared" si="12"/>
        <v>9.6668000000000003</v>
      </c>
      <c r="BX10" s="14">
        <v>6.24</v>
      </c>
      <c r="BY10" s="14">
        <f t="shared" si="13"/>
        <v>0.62400000000000011</v>
      </c>
      <c r="BZ10" s="14">
        <f t="shared" si="40"/>
        <v>2.1163999999999992</v>
      </c>
      <c r="CA10" s="17">
        <f t="shared" si="14"/>
        <v>5.719999999999998E-2</v>
      </c>
      <c r="CB10" s="23">
        <v>37</v>
      </c>
      <c r="CC10" s="14">
        <f t="shared" si="15"/>
        <v>8.9803999999999995</v>
      </c>
      <c r="CD10" s="14">
        <f t="shared" si="41"/>
        <v>6.2399999999999993</v>
      </c>
      <c r="CE10" s="14">
        <f t="shared" si="42"/>
        <v>0.624</v>
      </c>
      <c r="CF10" s="14">
        <f t="shared" si="16"/>
        <v>1.4871999999999992</v>
      </c>
      <c r="CG10" s="17">
        <f t="shared" si="43"/>
        <v>5.7199999999999966E-2</v>
      </c>
      <c r="CH10" s="23">
        <v>26</v>
      </c>
      <c r="CI10" s="14">
        <f t="shared" si="17"/>
        <v>8.3511999999999986</v>
      </c>
      <c r="CJ10" s="14">
        <f t="shared" si="44"/>
        <v>6.2399999999999993</v>
      </c>
      <c r="CK10" s="14">
        <f t="shared" si="18"/>
        <v>0.624</v>
      </c>
      <c r="CL10" s="14">
        <f t="shared" si="45"/>
        <v>0.74359999999999959</v>
      </c>
      <c r="CM10" s="17">
        <f t="shared" si="19"/>
        <v>5.7199999999999966E-2</v>
      </c>
      <c r="CN10" s="23">
        <v>13</v>
      </c>
      <c r="CO10" s="14">
        <f t="shared" si="20"/>
        <v>7.6075999999999988</v>
      </c>
      <c r="CP10" s="14">
        <f t="shared" si="46"/>
        <v>3.1199999999999997</v>
      </c>
      <c r="CQ10" s="14">
        <f t="shared" si="21"/>
        <v>0.312</v>
      </c>
      <c r="CR10" s="14">
        <f t="shared" si="22"/>
        <v>0.17159999999999989</v>
      </c>
      <c r="CS10" s="17">
        <f t="shared" si="23"/>
        <v>2.8599999999999983E-2</v>
      </c>
      <c r="CT10" s="23">
        <v>6</v>
      </c>
      <c r="CU10" s="23">
        <f t="shared" si="24"/>
        <v>3.6035999999999992</v>
      </c>
      <c r="CV10" s="14">
        <f t="shared" si="25"/>
        <v>3.1199999999999997</v>
      </c>
      <c r="CW10" s="14">
        <v>0</v>
      </c>
      <c r="CX10" s="14">
        <v>0</v>
      </c>
      <c r="CY10" s="17">
        <f t="shared" si="26"/>
        <v>2.5999999999999985E-2</v>
      </c>
      <c r="CZ10" s="23">
        <f t="shared" ca="1" si="27"/>
        <v>-2</v>
      </c>
      <c r="DA10" s="23">
        <f t="shared" si="28"/>
        <v>3.1199999999999997</v>
      </c>
      <c r="DB10" s="14">
        <f t="shared" si="29"/>
        <v>37.439999999999991</v>
      </c>
      <c r="DC10" s="14">
        <f t="shared" si="30"/>
        <v>3.4320000000000004</v>
      </c>
      <c r="DD10" s="14">
        <f t="shared" si="30"/>
        <v>10.810799999999995</v>
      </c>
      <c r="DE10" s="14">
        <f>SUM(DB10:DD10)</f>
        <v>51.682799999999986</v>
      </c>
      <c r="DF10" s="47">
        <f t="shared" si="32"/>
        <v>4.3068999999999989E-2</v>
      </c>
      <c r="DG10" s="14">
        <f>292.5+58.5+39+39+19.5+97.5+58.5+97.5</f>
        <v>702</v>
      </c>
      <c r="DH10" s="32">
        <f t="shared" si="33"/>
        <v>2</v>
      </c>
      <c r="DI10" s="14">
        <f>74.65+7.13*2</f>
        <v>88.910000000000011</v>
      </c>
      <c r="DJ10" s="14">
        <v>0</v>
      </c>
      <c r="DK10" s="14">
        <f t="shared" si="39"/>
        <v>1155.9928000000002</v>
      </c>
      <c r="DL10" s="14">
        <v>313.39999999999998</v>
      </c>
      <c r="DM10" s="14"/>
      <c r="DN10" s="14"/>
      <c r="DO10" s="14"/>
      <c r="DP10" s="25"/>
      <c r="DQ10" s="14">
        <f t="shared" si="34"/>
        <v>313.39999999999998</v>
      </c>
      <c r="DR10" s="24" t="s">
        <v>3466</v>
      </c>
      <c r="DS10" s="25">
        <v>1200</v>
      </c>
      <c r="DT10" s="25">
        <v>0</v>
      </c>
      <c r="DU10" s="25">
        <f t="shared" si="35"/>
        <v>1200</v>
      </c>
      <c r="DV10" s="36">
        <v>0.16</v>
      </c>
      <c r="DW10" s="18" t="s">
        <v>3928</v>
      </c>
      <c r="DX10" s="18" t="s">
        <v>3929</v>
      </c>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27">
        <v>44863</v>
      </c>
      <c r="IE10" s="123">
        <v>1155.99</v>
      </c>
      <c r="IF10" s="123">
        <v>160</v>
      </c>
      <c r="IG10" s="18"/>
      <c r="IH10" s="18"/>
      <c r="II10" s="18" t="s">
        <v>3955</v>
      </c>
      <c r="IJ10" s="18" t="s">
        <v>3956</v>
      </c>
      <c r="IK10" s="18" t="s">
        <v>329</v>
      </c>
      <c r="IL10" s="18"/>
      <c r="IM10" s="14"/>
      <c r="IN10" s="14">
        <v>52.5</v>
      </c>
      <c r="IO10" s="14"/>
      <c r="IP10" s="4"/>
      <c r="IQ10" s="4"/>
      <c r="IR10" s="18"/>
      <c r="IS10" s="18"/>
      <c r="IT10" s="18"/>
      <c r="IU10" s="18"/>
      <c r="IV10" s="18"/>
    </row>
    <row r="11" spans="1:257">
      <c r="CT11" s="23"/>
      <c r="CV11" s="14"/>
      <c r="CW11" s="14"/>
      <c r="CX11" s="14"/>
      <c r="CY11" s="17"/>
      <c r="CZ11" s="23"/>
      <c r="DA11" s="23"/>
      <c r="DB11" s="14"/>
      <c r="DC11" s="14"/>
      <c r="DD11" s="14"/>
      <c r="IE11" s="124"/>
      <c r="IF11" s="124"/>
      <c r="IM11" s="4"/>
      <c r="IN11" s="4"/>
      <c r="IO11" s="14"/>
      <c r="IP11" s="4"/>
      <c r="IQ11" s="14"/>
    </row>
    <row r="12" spans="1:257">
      <c r="CV12" s="14"/>
      <c r="CW12" s="14"/>
      <c r="CX12" s="14"/>
      <c r="CY12" s="17"/>
      <c r="CZ12" s="23"/>
      <c r="DA12" s="23"/>
      <c r="DB12" s="14"/>
      <c r="DC12" s="14"/>
      <c r="DD12" s="14"/>
      <c r="IE12" s="125"/>
      <c r="IF12" s="125"/>
      <c r="IM12" s="4"/>
      <c r="IN12" s="4"/>
      <c r="IO12" s="14"/>
      <c r="IP12" s="14"/>
    </row>
    <row r="13" spans="1:257">
      <c r="IO13" s="14"/>
      <c r="IP13" s="14"/>
      <c r="IQ13" s="14"/>
    </row>
    <row r="14" spans="1:257">
      <c r="IO14" s="14"/>
      <c r="IP14" s="14"/>
      <c r="IQ14" s="14"/>
    </row>
    <row r="15" spans="1:257">
      <c r="IO15" s="14"/>
    </row>
    <row r="16" spans="1:257">
      <c r="IO16" s="14"/>
    </row>
    <row r="17" spans="249:249">
      <c r="IO17" s="1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88C4-92B2-4148-B8EC-C6F1314AB33C}">
  <dimension ref="A1:IP40"/>
  <sheetViews>
    <sheetView workbookViewId="0">
      <pane ySplit="1" topLeftCell="A2" activePane="bottomLeft" state="frozen"/>
      <selection pane="bottomLeft" sqref="A1:XFD1048576"/>
    </sheetView>
  </sheetViews>
  <sheetFormatPr defaultColWidth="9.140625" defaultRowHeight="15"/>
  <cols>
    <col min="1" max="1" width="10" bestFit="1" customWidth="1"/>
    <col min="2" max="2" width="31.28515625" bestFit="1" customWidth="1"/>
    <col min="3" max="3" width="6.28515625" style="1" bestFit="1" customWidth="1"/>
    <col min="4" max="4" width="16.140625" bestFit="1" customWidth="1"/>
    <col min="5" max="5" width="13.85546875" bestFit="1" customWidth="1"/>
    <col min="6" max="6" width="15.7109375" bestFit="1" customWidth="1"/>
    <col min="7" max="7" width="16.42578125" bestFit="1" customWidth="1"/>
    <col min="8" max="8" width="17.85546875" bestFit="1" customWidth="1"/>
    <col min="9" max="9" width="14.42578125" bestFit="1" customWidth="1"/>
    <col min="10" max="10" width="16.140625" bestFit="1" customWidth="1"/>
    <col min="11" max="11" width="25" bestFit="1" customWidth="1"/>
    <col min="12" max="12" width="10.5703125" bestFit="1" customWidth="1"/>
    <col min="13" max="13" width="10.140625" bestFit="1" customWidth="1"/>
    <col min="14" max="14" width="6.140625" bestFit="1" customWidth="1"/>
    <col min="15" max="15" width="12" bestFit="1" customWidth="1"/>
    <col min="16" max="16" width="11.5703125" bestFit="1" customWidth="1"/>
    <col min="17" max="17" width="12" bestFit="1" customWidth="1"/>
    <col min="18" max="18" width="11.5703125" bestFit="1" customWidth="1"/>
    <col min="19" max="19" width="7.5703125" bestFit="1" customWidth="1"/>
    <col min="20" max="20" width="12" bestFit="1" customWidth="1"/>
    <col min="21" max="21" width="11.5703125" bestFit="1" customWidth="1"/>
    <col min="22" max="22" width="12" bestFit="1" customWidth="1"/>
    <col min="23" max="23" width="11.5703125" bestFit="1" customWidth="1"/>
    <col min="24" max="24" width="7.5703125" bestFit="1" customWidth="1"/>
    <col min="25" max="25" width="12" bestFit="1" customWidth="1"/>
    <col min="26" max="26" width="27.7109375" bestFit="1" customWidth="1"/>
    <col min="27" max="27" width="18.28515625" bestFit="1" customWidth="1"/>
    <col min="28" max="28" width="19.7109375" bestFit="1" customWidth="1"/>
    <col min="29" max="29" width="16.140625" bestFit="1" customWidth="1"/>
    <col min="30" max="30" width="15.5703125" bestFit="1" customWidth="1"/>
    <col min="31" max="31" width="12.5703125" bestFit="1" customWidth="1"/>
    <col min="32" max="32" width="12.7109375" bestFit="1" customWidth="1"/>
    <col min="33" max="33" width="13.7109375" bestFit="1" customWidth="1"/>
    <col min="34" max="34" width="14.85546875" bestFit="1" customWidth="1"/>
    <col min="35" max="35" width="19.7109375" bestFit="1" customWidth="1"/>
    <col min="36" max="36" width="17.85546875" bestFit="1" customWidth="1"/>
    <col min="37" max="37" width="20" bestFit="1" customWidth="1"/>
    <col min="38" max="38" width="22.5703125" bestFit="1" customWidth="1"/>
    <col min="39" max="39" width="16.28515625" bestFit="1" customWidth="1"/>
    <col min="40" max="40" width="19.42578125" bestFit="1" customWidth="1"/>
    <col min="41" max="41" width="25.85546875" bestFit="1" customWidth="1"/>
    <col min="42" max="42" width="20.7109375" bestFit="1" customWidth="1"/>
    <col min="43" max="43" width="22.5703125" bestFit="1" customWidth="1"/>
    <col min="44" max="44" width="16.28515625" bestFit="1" customWidth="1"/>
    <col min="45" max="45" width="18.42578125" bestFit="1" customWidth="1"/>
    <col min="46" max="46" width="19.140625" bestFit="1" customWidth="1"/>
    <col min="47" max="47" width="16.5703125" bestFit="1" customWidth="1"/>
    <col min="48" max="48" width="10.140625" bestFit="1" customWidth="1"/>
    <col min="49" max="49" width="16.7109375" bestFit="1" customWidth="1"/>
    <col min="50" max="50" width="10" bestFit="1" customWidth="1"/>
    <col min="51" max="51" width="15.7109375" bestFit="1" customWidth="1"/>
    <col min="52" max="52" width="10.85546875" bestFit="1" customWidth="1"/>
    <col min="53" max="53" width="19.5703125" bestFit="1" customWidth="1"/>
    <col min="54" max="54" width="19.85546875" bestFit="1" customWidth="1"/>
    <col min="55" max="56" width="15.7109375" bestFit="1" customWidth="1"/>
    <col min="57" max="57" width="22.7109375" bestFit="1" customWidth="1"/>
    <col min="58" max="58" width="23" bestFit="1" customWidth="1"/>
    <col min="59" max="59" width="16.140625" bestFit="1" customWidth="1"/>
    <col min="60" max="60" width="9" bestFit="1" customWidth="1"/>
    <col min="61" max="61" width="16.5703125" bestFit="1" customWidth="1"/>
    <col min="62" max="62" width="15.85546875" bestFit="1" customWidth="1"/>
    <col min="63" max="63" width="13.42578125" bestFit="1" customWidth="1"/>
    <col min="64" max="64" width="8.42578125" bestFit="1" customWidth="1"/>
    <col min="65" max="65" width="12.140625" bestFit="1" customWidth="1"/>
    <col min="66" max="66" width="12.42578125" bestFit="1" customWidth="1"/>
    <col min="67" max="67" width="23" bestFit="1" customWidth="1"/>
    <col min="68" max="68" width="14" bestFit="1" customWidth="1"/>
    <col min="69" max="69" width="9.85546875" bestFit="1" customWidth="1"/>
    <col min="70" max="70" width="8.42578125" bestFit="1" customWidth="1"/>
    <col min="71" max="71" width="12.140625" bestFit="1" customWidth="1"/>
    <col min="72" max="72" width="12.42578125" bestFit="1" customWidth="1"/>
    <col min="73" max="73" width="23" bestFit="1" customWidth="1"/>
    <col min="74" max="74" width="14" bestFit="1" customWidth="1"/>
    <col min="75" max="75" width="9.85546875" bestFit="1" customWidth="1"/>
    <col min="76" max="76" width="8.42578125" bestFit="1" customWidth="1"/>
    <col min="77" max="77" width="12.140625" bestFit="1" customWidth="1"/>
    <col min="78" max="78" width="12.42578125" bestFit="1" customWidth="1"/>
    <col min="79" max="79" width="23" bestFit="1" customWidth="1"/>
    <col min="80" max="80" width="14" bestFit="1" customWidth="1"/>
    <col min="81" max="81" width="9.85546875" bestFit="1" customWidth="1"/>
    <col min="82" max="82" width="8.42578125" bestFit="1" customWidth="1"/>
    <col min="83" max="83" width="12.140625" bestFit="1" customWidth="1"/>
    <col min="84" max="84" width="12.42578125" bestFit="1" customWidth="1"/>
    <col min="85" max="85" width="23" bestFit="1" customWidth="1"/>
    <col min="86" max="86" width="14" bestFit="1" customWidth="1"/>
    <col min="87" max="87" width="9.85546875" bestFit="1" customWidth="1"/>
    <col min="88" max="88" width="8.42578125" bestFit="1" customWidth="1"/>
    <col min="89" max="89" width="12.140625" bestFit="1" customWidth="1"/>
    <col min="90" max="90" width="12.42578125" bestFit="1" customWidth="1"/>
    <col min="91" max="91" width="23" bestFit="1" customWidth="1"/>
    <col min="92" max="92" width="14" bestFit="1" customWidth="1"/>
    <col min="93" max="93" width="9.85546875" bestFit="1" customWidth="1"/>
    <col min="94" max="94" width="8.42578125" bestFit="1" customWidth="1"/>
    <col min="95" max="95" width="12.140625" bestFit="1" customWidth="1"/>
    <col min="96" max="96" width="12.42578125" bestFit="1" customWidth="1"/>
    <col min="97" max="97" width="23" bestFit="1" customWidth="1"/>
    <col min="98" max="98" width="14" bestFit="1" customWidth="1"/>
    <col min="99" max="99" width="9.85546875" bestFit="1" customWidth="1"/>
    <col min="100" max="100" width="8.42578125" bestFit="1" customWidth="1"/>
    <col min="101" max="101" width="9.28515625" bestFit="1" customWidth="1"/>
    <col min="102" max="102" width="12.5703125" bestFit="1" customWidth="1"/>
    <col min="103" max="103" width="13.5703125" bestFit="1" customWidth="1"/>
    <col min="104" max="104" width="9.140625" bestFit="1" customWidth="1"/>
    <col min="105" max="105" width="16.7109375" bestFit="1" customWidth="1"/>
    <col min="106" max="106" width="9.140625" style="4" bestFit="1" customWidth="1"/>
    <col min="107" max="107" width="9.5703125" bestFit="1" customWidth="1"/>
    <col min="108" max="108" width="12.85546875" bestFit="1" customWidth="1"/>
    <col min="109" max="109" width="10.140625" bestFit="1" customWidth="1"/>
    <col min="110" max="110" width="9.140625" bestFit="1" customWidth="1"/>
    <col min="111" max="111" width="16.28515625" bestFit="1" customWidth="1"/>
    <col min="112" max="112" width="8.28515625" bestFit="1" customWidth="1"/>
    <col min="113" max="113" width="15.5703125" bestFit="1" customWidth="1"/>
    <col min="114" max="114" width="14.28515625" style="4" bestFit="1" customWidth="1"/>
    <col min="115" max="115" width="18.5703125" style="4" bestFit="1" customWidth="1"/>
    <col min="116" max="116" width="18.7109375" bestFit="1" customWidth="1"/>
    <col min="117" max="117" width="9.7109375" bestFit="1" customWidth="1"/>
    <col min="118" max="118" width="13.85546875" bestFit="1" customWidth="1"/>
    <col min="119" max="119" width="16.5703125" bestFit="1" customWidth="1"/>
    <col min="120" max="120" width="13.140625" bestFit="1" customWidth="1"/>
    <col min="121" max="121" width="12.5703125" bestFit="1" customWidth="1"/>
    <col min="122" max="124" width="255.7109375" bestFit="1" customWidth="1"/>
    <col min="125" max="125" width="183.5703125" bestFit="1" customWidth="1"/>
    <col min="126" max="130" width="14.5703125" bestFit="1" customWidth="1"/>
    <col min="131" max="133" width="15.5703125" bestFit="1" customWidth="1"/>
    <col min="134" max="134" width="48.85546875" bestFit="1" customWidth="1"/>
    <col min="135" max="135" width="16.28515625" bestFit="1" customWidth="1"/>
    <col min="136" max="136" width="26.42578125" bestFit="1" customWidth="1"/>
    <col min="137" max="137" width="18" bestFit="1" customWidth="1"/>
    <col min="138" max="138" width="19.85546875" bestFit="1" customWidth="1"/>
    <col min="139" max="139" width="18.28515625" bestFit="1" customWidth="1"/>
    <col min="140" max="140" width="22.5703125" bestFit="1" customWidth="1"/>
    <col min="141" max="141" width="16.28515625" bestFit="1" customWidth="1"/>
    <col min="142" max="142" width="26.5703125" bestFit="1" customWidth="1"/>
    <col min="143" max="143" width="24.85546875" bestFit="1" customWidth="1"/>
    <col min="144" max="144" width="19.7109375" bestFit="1" customWidth="1"/>
    <col min="145" max="145" width="16.28515625" bestFit="1" customWidth="1"/>
    <col min="146" max="146" width="39.140625" bestFit="1" customWidth="1"/>
    <col min="147" max="147" width="16.28515625" bestFit="1" customWidth="1"/>
    <col min="148" max="148" width="23.42578125" bestFit="1" customWidth="1"/>
    <col min="149" max="149" width="19.28515625" bestFit="1" customWidth="1"/>
    <col min="150" max="150" width="16.140625" bestFit="1" customWidth="1"/>
    <col min="151" max="151" width="25.140625" bestFit="1" customWidth="1"/>
    <col min="152" max="152" width="32.42578125" bestFit="1" customWidth="1"/>
    <col min="153" max="153" width="16.85546875" bestFit="1" customWidth="1"/>
    <col min="154" max="154" width="18.5703125" bestFit="1" customWidth="1"/>
    <col min="155" max="155" width="19" bestFit="1" customWidth="1"/>
    <col min="156" max="156" width="14.28515625" bestFit="1" customWidth="1"/>
    <col min="157" max="157" width="36.85546875" bestFit="1" customWidth="1"/>
    <col min="159" max="160" width="18.42578125" bestFit="1" customWidth="1"/>
    <col min="161" max="161" width="12.7109375" bestFit="1" customWidth="1"/>
    <col min="162" max="162" width="20.42578125" bestFit="1" customWidth="1"/>
    <col min="163" max="163" width="14.28515625" bestFit="1" customWidth="1"/>
    <col min="164" max="164" width="10.85546875" bestFit="1" customWidth="1"/>
    <col min="165" max="165" width="12.28515625" bestFit="1" customWidth="1"/>
    <col min="166" max="166" width="25.85546875" bestFit="1" customWidth="1"/>
    <col min="167" max="167" width="19.140625" bestFit="1" customWidth="1"/>
    <col min="168" max="168" width="19.5703125" bestFit="1" customWidth="1"/>
    <col min="169" max="169" width="19.7109375" bestFit="1" customWidth="1"/>
    <col min="170" max="170" width="23.140625" bestFit="1" customWidth="1"/>
    <col min="171" max="171" width="19.5703125" style="4" bestFit="1" customWidth="1"/>
    <col min="172" max="172" width="25.85546875" bestFit="1" customWidth="1"/>
    <col min="173" max="173" width="21.42578125" bestFit="1" customWidth="1"/>
    <col min="174" max="174" width="51.7109375" bestFit="1" customWidth="1"/>
    <col min="175" max="175" width="27.140625" bestFit="1" customWidth="1"/>
    <col min="176" max="176" width="19.7109375" bestFit="1" customWidth="1"/>
    <col min="177" max="177" width="16.28515625" bestFit="1" customWidth="1"/>
    <col min="178" max="178" width="11.7109375" bestFit="1" customWidth="1"/>
    <col min="179" max="179" width="36.85546875" bestFit="1" customWidth="1"/>
    <col min="180" max="180" width="12.85546875" bestFit="1" customWidth="1"/>
    <col min="181" max="181" width="15.28515625" bestFit="1" customWidth="1"/>
    <col min="182" max="182" width="11.7109375" bestFit="1" customWidth="1"/>
    <col min="183" max="183" width="14" bestFit="1" customWidth="1"/>
    <col min="184" max="184" width="21.42578125" bestFit="1" customWidth="1"/>
    <col min="185" max="185" width="21.85546875" bestFit="1" customWidth="1"/>
    <col min="186" max="186" width="23.28515625" bestFit="1" customWidth="1"/>
    <col min="187" max="187" width="17.7109375" bestFit="1" customWidth="1"/>
    <col min="188" max="188" width="15.140625" bestFit="1" customWidth="1"/>
    <col min="189" max="189" width="13.28515625" bestFit="1" customWidth="1"/>
    <col min="190" max="190" width="9.85546875" bestFit="1" customWidth="1"/>
    <col min="191" max="191" width="14.42578125" bestFit="1" customWidth="1"/>
    <col min="192" max="192" width="16.7109375" bestFit="1" customWidth="1"/>
    <col min="193" max="193" width="13.28515625" bestFit="1" customWidth="1"/>
    <col min="194" max="194" width="14" bestFit="1" customWidth="1"/>
    <col min="195" max="195" width="21.42578125" bestFit="1" customWidth="1"/>
    <col min="196" max="196" width="21.85546875" bestFit="1" customWidth="1"/>
    <col min="197" max="197" width="23.28515625" bestFit="1" customWidth="1"/>
    <col min="198" max="198" width="17.7109375" bestFit="1" customWidth="1"/>
    <col min="199" max="199" width="15.140625" bestFit="1" customWidth="1"/>
    <col min="200" max="200" width="13.28515625" bestFit="1" customWidth="1"/>
    <col min="201" max="201" width="9.85546875" bestFit="1" customWidth="1"/>
    <col min="202" max="202" width="14" bestFit="1" customWidth="1"/>
    <col min="203" max="203" width="21.42578125" bestFit="1" customWidth="1"/>
    <col min="204" max="204" width="21.85546875" bestFit="1" customWidth="1"/>
    <col min="205" max="205" width="23.28515625" bestFit="1" customWidth="1"/>
    <col min="206" max="206" width="17.7109375" bestFit="1" customWidth="1"/>
    <col min="207" max="207" width="15.140625" bestFit="1" customWidth="1"/>
    <col min="208" max="208" width="13.28515625" bestFit="1" customWidth="1"/>
    <col min="209" max="209" width="9.85546875" bestFit="1" customWidth="1"/>
    <col min="210" max="210" width="14" bestFit="1" customWidth="1"/>
    <col min="211" max="211" width="21.42578125" bestFit="1" customWidth="1"/>
    <col min="212" max="212" width="21.85546875" bestFit="1" customWidth="1"/>
    <col min="213" max="213" width="23.28515625" bestFit="1" customWidth="1"/>
    <col min="214" max="214" width="17.7109375" bestFit="1" customWidth="1"/>
    <col min="215" max="215" width="15.140625" bestFit="1" customWidth="1"/>
    <col min="216" max="216" width="13.28515625" bestFit="1" customWidth="1"/>
    <col min="217" max="217" width="9.85546875" bestFit="1" customWidth="1"/>
    <col min="218" max="218" width="14" bestFit="1" customWidth="1"/>
    <col min="219" max="219" width="21.42578125" bestFit="1" customWidth="1"/>
    <col min="220" max="220" width="21.85546875" bestFit="1" customWidth="1"/>
    <col min="221" max="221" width="23.28515625" bestFit="1" customWidth="1"/>
    <col min="222" max="222" width="17.7109375" bestFit="1" customWidth="1"/>
    <col min="223" max="223" width="15.140625" bestFit="1" customWidth="1"/>
    <col min="224" max="224" width="13.28515625" bestFit="1" customWidth="1"/>
    <col min="225" max="225" width="9.85546875" bestFit="1" customWidth="1"/>
    <col min="226" max="226" width="14" bestFit="1" customWidth="1"/>
    <col min="227" max="227" width="21.42578125" bestFit="1" customWidth="1"/>
    <col min="228" max="228" width="21.85546875" bestFit="1" customWidth="1"/>
    <col min="229" max="229" width="23.28515625" bestFit="1" customWidth="1"/>
    <col min="230" max="230" width="17.7109375" bestFit="1" customWidth="1"/>
    <col min="231" max="231" width="15.140625" bestFit="1" customWidth="1"/>
    <col min="232" max="232" width="13.28515625" bestFit="1" customWidth="1"/>
    <col min="233" max="233" width="9.85546875" bestFit="1" customWidth="1"/>
    <col min="234" max="234" width="11.5703125" style="9" bestFit="1" customWidth="1"/>
    <col min="235" max="235" width="10.140625" bestFit="1" customWidth="1"/>
    <col min="236" max="236" width="12.5703125" style="4" bestFit="1" customWidth="1"/>
    <col min="237" max="237" width="17.5703125" bestFit="1" customWidth="1"/>
    <col min="238" max="238" width="20.85546875" bestFit="1" customWidth="1"/>
    <col min="239" max="239" width="97" bestFit="1" customWidth="1"/>
    <col min="240" max="240" width="20.5703125" bestFit="1" customWidth="1"/>
    <col min="241" max="241" width="24.42578125" bestFit="1" customWidth="1"/>
    <col min="242" max="242" width="10.5703125" bestFit="1" customWidth="1"/>
    <col min="243" max="243" width="16.85546875" bestFit="1" customWidth="1"/>
    <col min="244" max="244" width="15.140625" style="4" bestFit="1" customWidth="1"/>
    <col min="245" max="245" width="14.85546875" bestFit="1" customWidth="1"/>
    <col min="246" max="246" width="21.85546875" bestFit="1" customWidth="1"/>
    <col min="247" max="247" width="18.140625" style="38" bestFit="1" customWidth="1"/>
    <col min="248" max="248" width="31.5703125" bestFit="1" customWidth="1"/>
    <col min="249" max="249" width="26.85546875" bestFit="1" customWidth="1"/>
    <col min="250" max="250" width="15.7109375" bestFit="1" customWidth="1"/>
  </cols>
  <sheetData>
    <row r="1" spans="1:250" s="322" customFormat="1" ht="15" customHeight="1">
      <c r="A1" s="322" t="s">
        <v>0</v>
      </c>
      <c r="B1" s="322" t="s">
        <v>1</v>
      </c>
      <c r="C1" s="323" t="s">
        <v>2</v>
      </c>
      <c r="D1" s="323" t="s">
        <v>1519</v>
      </c>
      <c r="E1" s="322" t="s">
        <v>3</v>
      </c>
      <c r="F1" s="340" t="s">
        <v>4</v>
      </c>
      <c r="G1" s="322" t="s">
        <v>5</v>
      </c>
      <c r="H1" s="322" t="s">
        <v>6</v>
      </c>
      <c r="I1" s="322" t="s">
        <v>7</v>
      </c>
      <c r="J1" s="322" t="s">
        <v>8</v>
      </c>
      <c r="K1" s="322" t="s">
        <v>9</v>
      </c>
      <c r="L1" s="322" t="s">
        <v>10</v>
      </c>
      <c r="M1" s="322" t="s">
        <v>11</v>
      </c>
      <c r="N1" s="322" t="s">
        <v>12</v>
      </c>
      <c r="O1" s="324" t="s">
        <v>13</v>
      </c>
      <c r="P1" s="322" t="s">
        <v>14</v>
      </c>
      <c r="Q1" s="322" t="s">
        <v>15</v>
      </c>
      <c r="R1" s="322" t="s">
        <v>16</v>
      </c>
      <c r="S1" s="322" t="s">
        <v>17</v>
      </c>
      <c r="T1" s="324" t="s">
        <v>18</v>
      </c>
      <c r="U1" s="322" t="s">
        <v>19</v>
      </c>
      <c r="V1" s="322" t="s">
        <v>20</v>
      </c>
      <c r="W1" s="322" t="s">
        <v>21</v>
      </c>
      <c r="X1" s="322" t="s">
        <v>22</v>
      </c>
      <c r="Y1" s="324" t="s">
        <v>23</v>
      </c>
      <c r="Z1" s="322" t="s">
        <v>24</v>
      </c>
      <c r="AA1" s="322" t="s">
        <v>25</v>
      </c>
      <c r="AB1" s="322" t="s">
        <v>26</v>
      </c>
      <c r="AC1" s="322" t="s">
        <v>27</v>
      </c>
      <c r="AD1" s="322" t="s">
        <v>28</v>
      </c>
      <c r="AE1" s="322" t="s">
        <v>29</v>
      </c>
      <c r="AF1" s="322" t="s">
        <v>30</v>
      </c>
      <c r="AG1" s="341" t="s">
        <v>31</v>
      </c>
      <c r="AH1" s="322" t="s">
        <v>32</v>
      </c>
      <c r="AI1" s="322" t="s">
        <v>33</v>
      </c>
      <c r="AJ1" s="326" t="s">
        <v>34</v>
      </c>
      <c r="AK1" s="326" t="s">
        <v>35</v>
      </c>
      <c r="AL1" s="326" t="s">
        <v>36</v>
      </c>
      <c r="AM1" s="326" t="s">
        <v>37</v>
      </c>
      <c r="AN1" s="322" t="s">
        <v>38</v>
      </c>
      <c r="AO1" s="324" t="s">
        <v>39</v>
      </c>
      <c r="AP1" s="327" t="s">
        <v>40</v>
      </c>
      <c r="AQ1" s="324" t="s">
        <v>41</v>
      </c>
      <c r="AR1" s="322" t="s">
        <v>42</v>
      </c>
      <c r="AS1" s="328" t="s">
        <v>43</v>
      </c>
      <c r="AT1" s="328" t="s">
        <v>44</v>
      </c>
      <c r="AU1" s="323" t="s">
        <v>45</v>
      </c>
      <c r="AV1" s="323" t="s">
        <v>46</v>
      </c>
      <c r="AW1" s="323" t="s">
        <v>47</v>
      </c>
      <c r="AX1" s="324" t="s">
        <v>48</v>
      </c>
      <c r="AY1" s="324" t="s">
        <v>49</v>
      </c>
      <c r="AZ1" s="342" t="s">
        <v>50</v>
      </c>
      <c r="BA1" s="324" t="s">
        <v>51</v>
      </c>
      <c r="BB1" s="324" t="s">
        <v>52</v>
      </c>
      <c r="BC1" s="324" t="s">
        <v>53</v>
      </c>
      <c r="BD1" s="324" t="s">
        <v>54</v>
      </c>
      <c r="BE1" s="324" t="s">
        <v>55</v>
      </c>
      <c r="BF1" s="324" t="s">
        <v>56</v>
      </c>
      <c r="BG1" s="324" t="s">
        <v>57</v>
      </c>
      <c r="BH1" s="324" t="s">
        <v>58</v>
      </c>
      <c r="BI1" s="324" t="s">
        <v>59</v>
      </c>
      <c r="BJ1" s="324" t="s">
        <v>2418</v>
      </c>
      <c r="BK1" s="324" t="s">
        <v>2419</v>
      </c>
      <c r="BL1" s="326" t="s">
        <v>72</v>
      </c>
      <c r="BM1" s="326" t="s">
        <v>73</v>
      </c>
      <c r="BN1" s="326" t="s">
        <v>74</v>
      </c>
      <c r="BO1" s="331" t="s">
        <v>75</v>
      </c>
      <c r="BP1" s="332" t="s">
        <v>76</v>
      </c>
      <c r="BQ1" s="326" t="s">
        <v>77</v>
      </c>
      <c r="BR1" s="326" t="s">
        <v>78</v>
      </c>
      <c r="BS1" s="326" t="s">
        <v>79</v>
      </c>
      <c r="BT1" s="326" t="s">
        <v>80</v>
      </c>
      <c r="BU1" s="331" t="s">
        <v>81</v>
      </c>
      <c r="BV1" s="332" t="s">
        <v>82</v>
      </c>
      <c r="BW1" s="326" t="s">
        <v>83</v>
      </c>
      <c r="BX1" s="326" t="s">
        <v>84</v>
      </c>
      <c r="BY1" s="326" t="s">
        <v>85</v>
      </c>
      <c r="BZ1" s="326" t="s">
        <v>86</v>
      </c>
      <c r="CA1" s="331" t="s">
        <v>87</v>
      </c>
      <c r="CB1" s="332" t="s">
        <v>88</v>
      </c>
      <c r="CC1" s="326" t="s">
        <v>89</v>
      </c>
      <c r="CD1" s="326" t="s">
        <v>90</v>
      </c>
      <c r="CE1" s="326" t="s">
        <v>91</v>
      </c>
      <c r="CF1" s="326" t="s">
        <v>92</v>
      </c>
      <c r="CG1" s="331" t="s">
        <v>93</v>
      </c>
      <c r="CH1" s="332" t="s">
        <v>94</v>
      </c>
      <c r="CI1" s="326" t="s">
        <v>95</v>
      </c>
      <c r="CJ1" s="326" t="s">
        <v>96</v>
      </c>
      <c r="CK1" s="326" t="s">
        <v>97</v>
      </c>
      <c r="CL1" s="326" t="s">
        <v>98</v>
      </c>
      <c r="CM1" s="331" t="s">
        <v>99</v>
      </c>
      <c r="CN1" s="332" t="s">
        <v>100</v>
      </c>
      <c r="CO1" s="326" t="s">
        <v>101</v>
      </c>
      <c r="CP1" s="326" t="s">
        <v>1908</v>
      </c>
      <c r="CQ1" s="326" t="s">
        <v>1989</v>
      </c>
      <c r="CR1" s="326" t="s">
        <v>1990</v>
      </c>
      <c r="CS1" s="331" t="s">
        <v>1991</v>
      </c>
      <c r="CT1" s="332" t="s">
        <v>1992</v>
      </c>
      <c r="CU1" s="326" t="s">
        <v>1993</v>
      </c>
      <c r="CV1" s="326" t="s">
        <v>2544</v>
      </c>
      <c r="CW1" s="326" t="s">
        <v>102</v>
      </c>
      <c r="CX1" s="326" t="s">
        <v>103</v>
      </c>
      <c r="CY1" s="326" t="s">
        <v>104</v>
      </c>
      <c r="CZ1" s="326" t="s">
        <v>105</v>
      </c>
      <c r="DA1" s="326" t="s">
        <v>1909</v>
      </c>
      <c r="DB1" s="326" t="s">
        <v>107</v>
      </c>
      <c r="DC1" s="332" t="s">
        <v>108</v>
      </c>
      <c r="DD1" s="326" t="s">
        <v>109</v>
      </c>
      <c r="DE1" s="326" t="s">
        <v>110</v>
      </c>
      <c r="DF1" s="326" t="s">
        <v>111</v>
      </c>
      <c r="DG1" s="326" t="s">
        <v>113</v>
      </c>
      <c r="DH1" s="326" t="s">
        <v>112</v>
      </c>
      <c r="DI1" s="326" t="s">
        <v>114</v>
      </c>
      <c r="DJ1" s="326" t="s">
        <v>115</v>
      </c>
      <c r="DK1" s="333" t="s">
        <v>116</v>
      </c>
      <c r="DL1" s="326" t="s">
        <v>117</v>
      </c>
      <c r="DM1" s="324" t="s">
        <v>106</v>
      </c>
      <c r="DN1" s="333" t="s">
        <v>118</v>
      </c>
      <c r="DO1" s="333" t="s">
        <v>119</v>
      </c>
      <c r="DP1" s="333" t="s">
        <v>120</v>
      </c>
      <c r="DQ1" s="337" t="s">
        <v>121</v>
      </c>
      <c r="DR1" s="322" t="s">
        <v>122</v>
      </c>
      <c r="DS1" s="322" t="s">
        <v>123</v>
      </c>
      <c r="DT1" s="322" t="s">
        <v>124</v>
      </c>
      <c r="DU1" s="322" t="s">
        <v>125</v>
      </c>
      <c r="DV1" s="322" t="s">
        <v>126</v>
      </c>
      <c r="DW1" s="322" t="s">
        <v>127</v>
      </c>
      <c r="DX1" s="322" t="s">
        <v>128</v>
      </c>
      <c r="DY1" s="322" t="s">
        <v>129</v>
      </c>
      <c r="DZ1" s="322" t="s">
        <v>130</v>
      </c>
      <c r="EA1" s="322" t="s">
        <v>131</v>
      </c>
      <c r="EB1" s="322" t="s">
        <v>132</v>
      </c>
      <c r="EC1" s="322" t="s">
        <v>133</v>
      </c>
      <c r="ED1" s="322" t="s">
        <v>134</v>
      </c>
      <c r="EE1" s="322" t="s">
        <v>135</v>
      </c>
      <c r="EF1" s="322" t="s">
        <v>136</v>
      </c>
      <c r="EG1" s="322" t="s">
        <v>137</v>
      </c>
      <c r="EH1" s="322" t="s">
        <v>138</v>
      </c>
      <c r="EI1" s="322" t="s">
        <v>139</v>
      </c>
      <c r="EJ1" s="322" t="s">
        <v>140</v>
      </c>
      <c r="EK1" s="322" t="s">
        <v>141</v>
      </c>
      <c r="EL1" s="322" t="s">
        <v>142</v>
      </c>
      <c r="EM1" s="322" t="s">
        <v>143</v>
      </c>
      <c r="EN1" s="322" t="s">
        <v>144</v>
      </c>
      <c r="EO1" s="322" t="s">
        <v>145</v>
      </c>
      <c r="EP1" s="322" t="s">
        <v>146</v>
      </c>
      <c r="EQ1" s="322" t="s">
        <v>147</v>
      </c>
      <c r="ER1" s="322" t="s">
        <v>148</v>
      </c>
      <c r="ES1" s="322" t="s">
        <v>149</v>
      </c>
      <c r="ET1" s="322" t="s">
        <v>150</v>
      </c>
      <c r="EU1" s="322" t="s">
        <v>151</v>
      </c>
      <c r="EV1" s="322" t="s">
        <v>152</v>
      </c>
      <c r="EW1" s="322" t="s">
        <v>153</v>
      </c>
      <c r="EX1" s="322" t="s">
        <v>154</v>
      </c>
      <c r="EY1" s="322" t="s">
        <v>155</v>
      </c>
      <c r="EZ1" s="334" t="s">
        <v>156</v>
      </c>
      <c r="FA1" s="335" t="s">
        <v>157</v>
      </c>
      <c r="FB1" s="322" t="s">
        <v>158</v>
      </c>
      <c r="FC1" s="322" t="s">
        <v>159</v>
      </c>
      <c r="FD1" s="322" t="s">
        <v>160</v>
      </c>
      <c r="FE1" s="322" t="s">
        <v>161</v>
      </c>
      <c r="FF1" s="322" t="s">
        <v>162</v>
      </c>
      <c r="FG1" s="322" t="s">
        <v>163</v>
      </c>
      <c r="FH1" s="335" t="s">
        <v>164</v>
      </c>
      <c r="FI1" s="334" t="s">
        <v>165</v>
      </c>
      <c r="FJ1" s="322" t="s">
        <v>166</v>
      </c>
      <c r="FK1" s="322" t="s">
        <v>167</v>
      </c>
      <c r="FL1" s="322" t="s">
        <v>168</v>
      </c>
      <c r="FM1" s="322" t="s">
        <v>169</v>
      </c>
      <c r="FN1" s="322" t="s">
        <v>170</v>
      </c>
      <c r="FO1" s="326" t="s">
        <v>171</v>
      </c>
      <c r="FP1" s="322" t="s">
        <v>172</v>
      </c>
      <c r="FQ1" s="322" t="s">
        <v>173</v>
      </c>
      <c r="FR1" s="322" t="s">
        <v>174</v>
      </c>
      <c r="FS1" s="322" t="s">
        <v>175</v>
      </c>
      <c r="FT1" s="322" t="s">
        <v>176</v>
      </c>
      <c r="FU1" s="322" t="s">
        <v>177</v>
      </c>
      <c r="FV1" s="334" t="s">
        <v>178</v>
      </c>
      <c r="FW1" s="322" t="s">
        <v>179</v>
      </c>
      <c r="FX1" s="322" t="s">
        <v>180</v>
      </c>
      <c r="FY1" s="322" t="s">
        <v>181</v>
      </c>
      <c r="FZ1" s="322" t="s">
        <v>182</v>
      </c>
      <c r="GA1" s="322" t="s">
        <v>183</v>
      </c>
      <c r="GB1" s="322" t="s">
        <v>184</v>
      </c>
      <c r="GC1" s="322" t="s">
        <v>185</v>
      </c>
      <c r="GD1" s="322" t="s">
        <v>186</v>
      </c>
      <c r="GE1" s="322" t="s">
        <v>187</v>
      </c>
      <c r="GF1" s="322" t="s">
        <v>188</v>
      </c>
      <c r="GG1" s="322" t="s">
        <v>189</v>
      </c>
      <c r="GH1" s="322" t="s">
        <v>190</v>
      </c>
      <c r="GI1" s="322" t="s">
        <v>191</v>
      </c>
      <c r="GJ1" s="322" t="s">
        <v>192</v>
      </c>
      <c r="GK1" s="322" t="s">
        <v>193</v>
      </c>
      <c r="GL1" s="322" t="s">
        <v>194</v>
      </c>
      <c r="GM1" s="322" t="s">
        <v>195</v>
      </c>
      <c r="GN1" s="322" t="s">
        <v>196</v>
      </c>
      <c r="GO1" s="322" t="s">
        <v>197</v>
      </c>
      <c r="GP1" s="322" t="s">
        <v>198</v>
      </c>
      <c r="GQ1" s="322" t="s">
        <v>199</v>
      </c>
      <c r="GR1" s="322" t="s">
        <v>200</v>
      </c>
      <c r="GS1" s="322" t="s">
        <v>201</v>
      </c>
      <c r="GT1" s="322" t="s">
        <v>202</v>
      </c>
      <c r="GU1" s="322" t="s">
        <v>203</v>
      </c>
      <c r="GV1" s="322" t="s">
        <v>204</v>
      </c>
      <c r="GW1" s="322" t="s">
        <v>205</v>
      </c>
      <c r="GX1" s="322" t="s">
        <v>206</v>
      </c>
      <c r="GY1" s="322" t="s">
        <v>207</v>
      </c>
      <c r="GZ1" s="322" t="s">
        <v>208</v>
      </c>
      <c r="HA1" s="322" t="s">
        <v>209</v>
      </c>
      <c r="HB1" s="322" t="s">
        <v>210</v>
      </c>
      <c r="HC1" s="322" t="s">
        <v>211</v>
      </c>
      <c r="HD1" s="322" t="s">
        <v>212</v>
      </c>
      <c r="HE1" s="322" t="s">
        <v>213</v>
      </c>
      <c r="HF1" s="322" t="s">
        <v>214</v>
      </c>
      <c r="HG1" s="322" t="s">
        <v>215</v>
      </c>
      <c r="HH1" s="322" t="s">
        <v>216</v>
      </c>
      <c r="HI1" s="322" t="s">
        <v>217</v>
      </c>
      <c r="HJ1" s="322" t="s">
        <v>218</v>
      </c>
      <c r="HK1" s="322" t="s">
        <v>219</v>
      </c>
      <c r="HL1" s="322" t="s">
        <v>220</v>
      </c>
      <c r="HM1" s="322" t="s">
        <v>221</v>
      </c>
      <c r="HN1" s="322" t="s">
        <v>222</v>
      </c>
      <c r="HO1" s="322" t="s">
        <v>223</v>
      </c>
      <c r="HP1" s="322" t="s">
        <v>224</v>
      </c>
      <c r="HQ1" s="322" t="s">
        <v>225</v>
      </c>
      <c r="HR1" s="322" t="s">
        <v>226</v>
      </c>
      <c r="HS1" s="322" t="s">
        <v>227</v>
      </c>
      <c r="HT1" s="322" t="s">
        <v>228</v>
      </c>
      <c r="HU1" s="322" t="s">
        <v>229</v>
      </c>
      <c r="HV1" s="322" t="s">
        <v>230</v>
      </c>
      <c r="HW1" s="322" t="s">
        <v>231</v>
      </c>
      <c r="HX1" s="322" t="s">
        <v>232</v>
      </c>
      <c r="HY1" s="322" t="s">
        <v>233</v>
      </c>
      <c r="HZ1" s="334" t="s">
        <v>234</v>
      </c>
      <c r="IA1" s="326" t="s">
        <v>235</v>
      </c>
      <c r="IB1" s="326" t="s">
        <v>236</v>
      </c>
      <c r="IC1" s="334" t="s">
        <v>237</v>
      </c>
      <c r="ID1" s="322" t="s">
        <v>238</v>
      </c>
      <c r="IE1" s="326" t="s">
        <v>239</v>
      </c>
      <c r="IF1" s="326" t="s">
        <v>240</v>
      </c>
      <c r="IG1" s="326" t="s">
        <v>241</v>
      </c>
      <c r="IH1" s="326" t="s">
        <v>242</v>
      </c>
      <c r="II1" s="326" t="s">
        <v>243</v>
      </c>
      <c r="IJ1" s="326" t="s">
        <v>244</v>
      </c>
      <c r="IK1" s="326" t="s">
        <v>245</v>
      </c>
      <c r="IL1" s="326" t="s">
        <v>246</v>
      </c>
      <c r="IM1" s="343" t="s">
        <v>247</v>
      </c>
      <c r="IN1" s="326" t="s">
        <v>248</v>
      </c>
      <c r="IO1" s="326" t="s">
        <v>249</v>
      </c>
      <c r="IP1" s="326" t="s">
        <v>250</v>
      </c>
    </row>
    <row r="2" spans="1:250" s="102" customFormat="1">
      <c r="A2" s="86">
        <v>102018104</v>
      </c>
      <c r="B2" s="86" t="s">
        <v>476</v>
      </c>
      <c r="C2" s="98"/>
      <c r="D2" s="86"/>
      <c r="E2" s="86" t="s">
        <v>477</v>
      </c>
      <c r="F2" s="104">
        <v>180004468</v>
      </c>
      <c r="G2" s="104"/>
      <c r="H2" s="104"/>
      <c r="I2" s="104"/>
      <c r="J2" s="86" t="s">
        <v>305</v>
      </c>
      <c r="K2" s="86" t="s">
        <v>478</v>
      </c>
      <c r="L2" s="86" t="s">
        <v>479</v>
      </c>
      <c r="M2" s="86" t="s">
        <v>309</v>
      </c>
      <c r="N2" s="86"/>
      <c r="O2" s="98"/>
      <c r="P2" s="86" t="s">
        <v>478</v>
      </c>
      <c r="Q2" s="86" t="s">
        <v>480</v>
      </c>
      <c r="R2" s="86" t="s">
        <v>357</v>
      </c>
      <c r="S2" s="86"/>
      <c r="T2" s="98"/>
      <c r="U2" s="86"/>
      <c r="V2" s="86"/>
      <c r="W2" s="86"/>
      <c r="X2" s="86"/>
      <c r="Y2" s="86"/>
      <c r="Z2" s="86"/>
      <c r="AA2" s="86"/>
      <c r="AB2" s="86"/>
      <c r="AC2" s="86"/>
      <c r="AD2" s="86"/>
      <c r="AE2" s="86"/>
      <c r="AF2" s="86"/>
      <c r="AG2" s="99" t="s">
        <v>481</v>
      </c>
      <c r="AH2" s="86"/>
      <c r="AI2" s="86"/>
      <c r="AJ2" s="89" t="s">
        <v>328</v>
      </c>
      <c r="AK2" s="89"/>
      <c r="AL2" s="89" t="s">
        <v>259</v>
      </c>
      <c r="AM2" s="86"/>
      <c r="AN2" s="86"/>
      <c r="AO2" s="86" t="s">
        <v>482</v>
      </c>
      <c r="AP2" s="98"/>
      <c r="AQ2" s="89" t="s">
        <v>259</v>
      </c>
      <c r="AR2" s="89" t="s">
        <v>260</v>
      </c>
      <c r="AS2" s="87"/>
      <c r="AT2" s="98"/>
      <c r="AU2" s="98"/>
      <c r="AV2" s="98"/>
      <c r="AW2" s="98"/>
      <c r="AX2" s="109"/>
      <c r="AY2" s="109"/>
      <c r="AZ2" s="109"/>
      <c r="BA2" s="109"/>
      <c r="BB2" s="98"/>
      <c r="BC2" s="109"/>
      <c r="BD2" s="109"/>
      <c r="BE2" s="109"/>
      <c r="BF2" s="109"/>
      <c r="BG2" s="87"/>
      <c r="BH2" s="88"/>
      <c r="BI2" s="88"/>
      <c r="BJ2" s="89"/>
      <c r="BK2" s="89"/>
      <c r="BL2" s="89"/>
      <c r="BM2" s="89"/>
      <c r="BN2" s="89"/>
      <c r="BO2" s="90"/>
      <c r="BP2" s="91"/>
      <c r="BQ2" s="89"/>
      <c r="BR2" s="89"/>
      <c r="BS2" s="103"/>
      <c r="BT2" s="103"/>
      <c r="BU2" s="90"/>
      <c r="BV2" s="91"/>
      <c r="BW2" s="89"/>
      <c r="BX2" s="89"/>
      <c r="BY2" s="103"/>
      <c r="BZ2" s="103"/>
      <c r="CA2" s="90"/>
      <c r="CB2" s="91"/>
      <c r="CC2" s="89"/>
      <c r="CD2" s="89"/>
      <c r="CE2" s="103"/>
      <c r="CF2" s="89"/>
      <c r="CG2" s="90"/>
      <c r="CH2" s="91"/>
      <c r="CI2" s="89"/>
      <c r="CJ2" s="89"/>
      <c r="CK2" s="89"/>
      <c r="CL2" s="89"/>
      <c r="CM2" s="90"/>
      <c r="CN2" s="91"/>
      <c r="CO2" s="89"/>
      <c r="CP2" s="89"/>
      <c r="CQ2" s="89"/>
      <c r="CR2" s="89"/>
      <c r="CS2" s="90"/>
      <c r="CT2" s="91"/>
      <c r="CU2" s="89"/>
      <c r="CV2" s="103"/>
      <c r="CW2" s="89"/>
      <c r="CX2" s="89"/>
      <c r="CY2" s="89"/>
      <c r="CZ2" s="89">
        <v>4.42</v>
      </c>
      <c r="DA2" s="89"/>
      <c r="DB2" s="100">
        <v>234</v>
      </c>
      <c r="DC2" s="89"/>
      <c r="DD2" s="92">
        <f>25.03</f>
        <v>25.03</v>
      </c>
      <c r="DE2" s="89"/>
      <c r="DF2" s="89"/>
      <c r="DG2" s="89">
        <f>761.2/2</f>
        <v>380.6</v>
      </c>
      <c r="DH2" s="89"/>
      <c r="DI2" s="89"/>
      <c r="DJ2" s="89"/>
      <c r="DK2" s="89"/>
      <c r="DL2" s="93"/>
      <c r="DM2" s="89"/>
      <c r="DN2" s="93">
        <v>300</v>
      </c>
      <c r="DO2" s="93">
        <v>0</v>
      </c>
      <c r="DP2" s="93">
        <v>300</v>
      </c>
      <c r="DQ2" s="94">
        <v>0.04</v>
      </c>
      <c r="DR2" s="86" t="s">
        <v>2540</v>
      </c>
      <c r="DS2" s="86" t="s">
        <v>2541</v>
      </c>
      <c r="DT2" s="86" t="s">
        <v>2543</v>
      </c>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101"/>
      <c r="FA2" s="105"/>
      <c r="FB2" s="86"/>
      <c r="FC2" s="86"/>
      <c r="FD2" s="86"/>
      <c r="FE2" s="86"/>
      <c r="FF2" s="86"/>
      <c r="FG2" s="86"/>
      <c r="FH2" s="105"/>
      <c r="FI2" s="86"/>
      <c r="FJ2" s="96" t="s">
        <v>372</v>
      </c>
      <c r="FK2" s="96" t="s">
        <v>373</v>
      </c>
      <c r="FL2" s="96" t="s">
        <v>374</v>
      </c>
      <c r="FM2" s="96" t="s">
        <v>259</v>
      </c>
      <c r="FN2" s="96" t="s">
        <v>260</v>
      </c>
      <c r="FO2" s="89">
        <v>0.68</v>
      </c>
      <c r="FP2" s="86"/>
      <c r="FQ2" s="86"/>
      <c r="FR2" s="86"/>
      <c r="FS2" s="86"/>
      <c r="FT2" s="86"/>
      <c r="FU2" s="101"/>
      <c r="FV2" s="86"/>
      <c r="FW2" s="86"/>
      <c r="FX2" s="86"/>
      <c r="FY2" s="86"/>
      <c r="FZ2" s="86"/>
      <c r="GA2" s="86"/>
      <c r="GB2" s="86"/>
      <c r="GC2" s="86"/>
      <c r="GD2" s="86"/>
      <c r="GE2" s="86"/>
      <c r="GF2" s="101"/>
      <c r="GG2" s="86"/>
      <c r="GH2" s="86"/>
      <c r="GI2" s="86"/>
      <c r="GJ2" s="86"/>
      <c r="GK2" s="86"/>
      <c r="GL2" s="86"/>
      <c r="GM2" s="86"/>
      <c r="GN2" s="86"/>
      <c r="GO2" s="86"/>
      <c r="GP2" s="86"/>
      <c r="GQ2" s="101"/>
      <c r="GR2" s="86"/>
      <c r="GS2" s="86"/>
      <c r="GT2" s="86"/>
      <c r="GU2" s="86"/>
      <c r="GV2" s="86"/>
      <c r="GW2" s="86"/>
      <c r="GX2" s="86"/>
      <c r="GY2" s="101"/>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101"/>
      <c r="HZ2" s="101">
        <v>44499</v>
      </c>
      <c r="IA2" s="89">
        <v>300</v>
      </c>
      <c r="IB2" s="89">
        <v>30</v>
      </c>
      <c r="IC2" s="89"/>
      <c r="ID2" s="101"/>
      <c r="IE2" s="86" t="s">
        <v>3939</v>
      </c>
      <c r="IF2" s="86" t="s">
        <v>2123</v>
      </c>
      <c r="IG2" s="86" t="s">
        <v>259</v>
      </c>
      <c r="IH2" s="86"/>
      <c r="II2" s="89"/>
      <c r="IJ2" s="89">
        <v>48</v>
      </c>
      <c r="IK2" s="103"/>
      <c r="IL2" s="89"/>
      <c r="IM2" s="54"/>
      <c r="IN2" s="101"/>
      <c r="IO2" s="101"/>
      <c r="IP2" s="101">
        <v>44137</v>
      </c>
    </row>
    <row r="3" spans="1:250" s="72" customFormat="1">
      <c r="A3" s="72">
        <v>102019033</v>
      </c>
      <c r="B3" s="75" t="s">
        <v>601</v>
      </c>
      <c r="C3" s="73"/>
      <c r="D3" s="73"/>
      <c r="E3" s="81" t="s">
        <v>2413</v>
      </c>
      <c r="F3" s="84">
        <v>210001170</v>
      </c>
      <c r="K3" s="72" t="s">
        <v>602</v>
      </c>
      <c r="O3" s="95"/>
      <c r="T3" s="95"/>
      <c r="AG3" s="83"/>
      <c r="AJ3" s="75" t="s">
        <v>328</v>
      </c>
      <c r="AK3" s="75"/>
      <c r="AL3" s="72" t="s">
        <v>329</v>
      </c>
      <c r="AN3" s="72" t="s">
        <v>603</v>
      </c>
      <c r="AO3" s="107" t="s">
        <v>604</v>
      </c>
      <c r="AP3" s="107" t="s">
        <v>258</v>
      </c>
      <c r="AQ3" s="81" t="s">
        <v>259</v>
      </c>
      <c r="AR3" s="81" t="s">
        <v>260</v>
      </c>
      <c r="AS3" s="73"/>
      <c r="AT3" s="73" t="s">
        <v>258</v>
      </c>
      <c r="AU3" s="95"/>
      <c r="AV3" s="95" t="s">
        <v>258</v>
      </c>
      <c r="AW3" s="95" t="s">
        <v>258</v>
      </c>
      <c r="AX3" s="85">
        <v>44238</v>
      </c>
      <c r="AY3" s="85">
        <v>43842</v>
      </c>
      <c r="AZ3" s="85">
        <v>44151</v>
      </c>
      <c r="BA3" s="85">
        <v>44302</v>
      </c>
      <c r="BB3" s="84" t="s">
        <v>318</v>
      </c>
      <c r="BC3" s="85">
        <v>44288</v>
      </c>
      <c r="BD3" s="85">
        <v>44295</v>
      </c>
      <c r="BE3" s="85">
        <v>44316</v>
      </c>
      <c r="BF3" s="84" t="s">
        <v>319</v>
      </c>
      <c r="BG3" s="73">
        <v>4794.7460000000001</v>
      </c>
      <c r="BH3" s="74">
        <v>-421.53434863253955</v>
      </c>
      <c r="BI3" s="74">
        <v>421.53434863253955</v>
      </c>
      <c r="BJ3" s="75">
        <v>14.04</v>
      </c>
      <c r="BK3" s="74">
        <v>435.57434863253957</v>
      </c>
      <c r="BL3" s="75"/>
      <c r="BM3" s="75">
        <v>0</v>
      </c>
      <c r="BN3" s="75">
        <v>0</v>
      </c>
      <c r="BO3" s="76">
        <v>0</v>
      </c>
      <c r="BP3" s="77">
        <v>70</v>
      </c>
      <c r="BQ3" s="75">
        <v>0</v>
      </c>
      <c r="BR3" s="75">
        <v>69.680000000000007</v>
      </c>
      <c r="BS3" s="75">
        <f>SUM(BR3*0.1)</f>
        <v>6.9680000000000009</v>
      </c>
      <c r="BT3" s="75">
        <f>SUM(BU3*BV3)</f>
        <v>38.962733333333325</v>
      </c>
      <c r="BU3" s="76">
        <f>SUM((BR3+BS3)*0.00833333333333333)</f>
        <v>0.63873333333333315</v>
      </c>
      <c r="BV3" s="77">
        <v>61</v>
      </c>
      <c r="BW3" s="75">
        <f>SUM(BR3,BS3,BT3)</f>
        <v>115.61073333333334</v>
      </c>
      <c r="BX3" s="75">
        <v>69.680000000000007</v>
      </c>
      <c r="BY3" s="75">
        <f>SUM(BX3*0.1)</f>
        <v>6.9680000000000009</v>
      </c>
      <c r="BZ3" s="75">
        <f>SUM(CA3*CB3)</f>
        <v>31.297933333333326</v>
      </c>
      <c r="CA3" s="76">
        <f>SUM((BX3+BY3)*0.00833333333333333)</f>
        <v>0.63873333333333315</v>
      </c>
      <c r="CB3" s="77">
        <v>49</v>
      </c>
      <c r="CC3" s="75">
        <f>SUM(BX3,BY3,BZ3)</f>
        <v>107.94593333333333</v>
      </c>
      <c r="CD3" s="75">
        <v>69.680000000000007</v>
      </c>
      <c r="CE3" s="75">
        <f>SUM(CD3*0.1)</f>
        <v>6.9680000000000009</v>
      </c>
      <c r="CF3" s="75">
        <f>SUM(CG3*CH3)</f>
        <v>23.633133333333326</v>
      </c>
      <c r="CG3" s="76">
        <f>SUM((CD3+CE3)*0.00833333333333333)</f>
        <v>0.63873333333333315</v>
      </c>
      <c r="CH3" s="77">
        <v>37</v>
      </c>
      <c r="CI3" s="75">
        <f>SUM(CD3,CE3,CF3)</f>
        <v>100.28113333333334</v>
      </c>
      <c r="CJ3" s="75">
        <v>168.48</v>
      </c>
      <c r="CK3" s="75">
        <v>16.847999999999999</v>
      </c>
      <c r="CL3" s="75">
        <f>SUM(CM3*CN3)</f>
        <v>38.609999999999978</v>
      </c>
      <c r="CM3" s="76">
        <f>SUM((CJ3+CK3)*0.00833333333333333)</f>
        <v>1.5443999999999991</v>
      </c>
      <c r="CN3" s="77">
        <v>25</v>
      </c>
      <c r="CO3" s="75">
        <f>SUM(CJ3,CK3,CL3)</f>
        <v>223.93799999999996</v>
      </c>
      <c r="CP3" s="75">
        <v>168.48</v>
      </c>
      <c r="CQ3" s="75">
        <v>16.847999999999999</v>
      </c>
      <c r="CR3" s="75">
        <f>SUM(CS3*CT3)</f>
        <v>20.077199999999987</v>
      </c>
      <c r="CS3" s="76">
        <f>SUM((CP3+CQ3)*0.00833333333333333)</f>
        <v>1.5443999999999991</v>
      </c>
      <c r="CT3" s="77">
        <v>13</v>
      </c>
      <c r="CU3" s="75">
        <f>SUM(CP3,CQ3,CR3)</f>
        <v>205.40519999999995</v>
      </c>
      <c r="CV3" s="75">
        <f>SUM(DP3*0.0052)</f>
        <v>168.48</v>
      </c>
      <c r="CW3" s="75">
        <f>SUM(BL3, BR3, BX3, CD3,CJ3,CP3, CV3)</f>
        <v>714.48</v>
      </c>
      <c r="CX3" s="75">
        <f t="shared" ref="CX3:CY7" si="0">SUM(BM3, BS3, BY3, CE3,CK3,CQ3)</f>
        <v>54.6</v>
      </c>
      <c r="CY3" s="75">
        <f t="shared" si="0"/>
        <v>152.58099999999993</v>
      </c>
      <c r="CZ3" s="75">
        <f>SUM(CW3:CY3)</f>
        <v>921.66099999999994</v>
      </c>
      <c r="DA3" s="78">
        <v>2.2782901234567901E-2</v>
      </c>
      <c r="DB3" s="75">
        <f xml:space="preserve"> 1664.5+565.5</f>
        <v>2230</v>
      </c>
      <c r="DC3" s="79">
        <v>2</v>
      </c>
      <c r="DD3" s="75">
        <f>47+25.03</f>
        <v>72.03</v>
      </c>
      <c r="DE3" s="75">
        <v>350</v>
      </c>
      <c r="DF3" s="75">
        <f>SUM(CZ3,DB3,DL3, DE3, DD3,FO3)</f>
        <v>6095.2910000000002</v>
      </c>
      <c r="DG3" s="75">
        <f>732.58+182.42</f>
        <v>915</v>
      </c>
      <c r="DH3" s="75">
        <v>478.75</v>
      </c>
      <c r="DI3" s="75">
        <v>238.25</v>
      </c>
      <c r="DJ3" s="75">
        <f>SUM(DP3*0.004)</f>
        <v>129.6</v>
      </c>
      <c r="DK3" s="80">
        <v>760</v>
      </c>
      <c r="DL3" s="75">
        <f>SUM(DG3:DK3)</f>
        <v>2521.6</v>
      </c>
      <c r="DM3" s="81" t="s">
        <v>2217</v>
      </c>
      <c r="DN3" s="80">
        <v>32400</v>
      </c>
      <c r="DO3" s="80">
        <v>0</v>
      </c>
      <c r="DP3" s="80">
        <v>32400</v>
      </c>
      <c r="DQ3" s="82">
        <v>15</v>
      </c>
      <c r="DR3" s="72" t="s">
        <v>1985</v>
      </c>
      <c r="DS3" s="72" t="s">
        <v>1986</v>
      </c>
      <c r="DT3" s="72" t="s">
        <v>2250</v>
      </c>
      <c r="EZ3" s="106"/>
      <c r="FI3" s="106"/>
      <c r="FO3" s="75"/>
      <c r="FT3" s="112"/>
      <c r="GD3" s="112"/>
      <c r="GS3" s="106"/>
      <c r="HZ3" s="106">
        <v>44499</v>
      </c>
      <c r="IA3" s="75">
        <v>37000</v>
      </c>
      <c r="IB3" s="75">
        <v>3700</v>
      </c>
      <c r="IC3" s="106"/>
      <c r="IE3" s="72" t="s">
        <v>2755</v>
      </c>
      <c r="IF3" s="72" t="s">
        <v>2744</v>
      </c>
      <c r="IG3" s="72" t="s">
        <v>2745</v>
      </c>
      <c r="IJ3" s="75">
        <v>207.33</v>
      </c>
      <c r="IK3" s="75">
        <f>SUM(IA3-DF3-II3)</f>
        <v>30904.708999999999</v>
      </c>
      <c r="IL3" s="106">
        <v>44333</v>
      </c>
      <c r="IM3" s="106">
        <v>44349</v>
      </c>
      <c r="IN3" s="106">
        <v>44501</v>
      </c>
      <c r="IO3" s="106">
        <v>44505</v>
      </c>
    </row>
    <row r="4" spans="1:250" s="72" customFormat="1">
      <c r="A4" s="72">
        <v>102019034</v>
      </c>
      <c r="B4" s="75" t="s">
        <v>605</v>
      </c>
      <c r="C4" s="73"/>
      <c r="D4" s="73"/>
      <c r="E4" s="81" t="s">
        <v>2412</v>
      </c>
      <c r="F4" s="84">
        <v>210002039</v>
      </c>
      <c r="J4" s="72" t="s">
        <v>311</v>
      </c>
      <c r="K4" s="72" t="s">
        <v>415</v>
      </c>
      <c r="L4" s="72" t="s">
        <v>606</v>
      </c>
      <c r="M4" s="72" t="s">
        <v>403</v>
      </c>
      <c r="O4" s="95"/>
      <c r="P4" s="72" t="s">
        <v>607</v>
      </c>
      <c r="Q4" s="72" t="s">
        <v>1015</v>
      </c>
      <c r="R4" s="72" t="s">
        <v>392</v>
      </c>
      <c r="T4" s="95"/>
      <c r="AD4" s="72" t="s">
        <v>2248</v>
      </c>
      <c r="AE4" s="72" t="s">
        <v>253</v>
      </c>
      <c r="AF4" s="72" t="s">
        <v>607</v>
      </c>
      <c r="AG4" s="83" t="s">
        <v>2492</v>
      </c>
      <c r="AH4" s="72" t="s">
        <v>2493</v>
      </c>
      <c r="AI4" s="72" t="s">
        <v>267</v>
      </c>
      <c r="AJ4" s="75" t="s">
        <v>328</v>
      </c>
      <c r="AK4" s="75"/>
      <c r="AL4" s="72" t="s">
        <v>329</v>
      </c>
      <c r="AN4" s="72" t="s">
        <v>603</v>
      </c>
      <c r="AO4" s="107" t="s">
        <v>604</v>
      </c>
      <c r="AP4" s="107" t="s">
        <v>258</v>
      </c>
      <c r="AQ4" s="81" t="s">
        <v>259</v>
      </c>
      <c r="AR4" s="81" t="s">
        <v>260</v>
      </c>
      <c r="AS4" s="73"/>
      <c r="AT4" s="73" t="s">
        <v>258</v>
      </c>
      <c r="AU4" s="95"/>
      <c r="AV4" s="95" t="s">
        <v>258</v>
      </c>
      <c r="AW4" s="95" t="s">
        <v>258</v>
      </c>
      <c r="AX4" s="85">
        <v>44270</v>
      </c>
      <c r="AY4" s="85">
        <v>43842</v>
      </c>
      <c r="AZ4" s="85">
        <v>43870</v>
      </c>
      <c r="BA4" s="85">
        <v>44302</v>
      </c>
      <c r="BB4" s="84" t="s">
        <v>318</v>
      </c>
      <c r="BC4" s="85">
        <v>44295</v>
      </c>
      <c r="BD4" s="85"/>
      <c r="BE4" s="85">
        <v>44316</v>
      </c>
      <c r="BF4" s="84" t="s">
        <v>319</v>
      </c>
      <c r="BG4" s="73">
        <v>4372.3808666666664</v>
      </c>
      <c r="BH4" s="74">
        <v>-384.4017432005183</v>
      </c>
      <c r="BI4" s="74">
        <v>384.4017432005183</v>
      </c>
      <c r="BJ4" s="75">
        <v>5.8066666666666658</v>
      </c>
      <c r="BK4" s="74">
        <v>390.20840986718497</v>
      </c>
      <c r="BL4" s="75"/>
      <c r="BM4" s="75">
        <v>0</v>
      </c>
      <c r="BN4" s="75">
        <v>0</v>
      </c>
      <c r="BO4" s="76">
        <v>0</v>
      </c>
      <c r="BP4" s="77">
        <v>70</v>
      </c>
      <c r="BQ4" s="75">
        <v>0</v>
      </c>
      <c r="BR4" s="75">
        <v>43.16</v>
      </c>
      <c r="BS4" s="75">
        <f>SUM(BR4*0.1)</f>
        <v>4.3159999999999998</v>
      </c>
      <c r="BT4" s="75">
        <f>SUM(BU4*BV4)</f>
        <v>24.133633333333325</v>
      </c>
      <c r="BU4" s="76">
        <f>SUM((BR4+BS4)*0.00833333333333333)</f>
        <v>0.39563333333333317</v>
      </c>
      <c r="BV4" s="77">
        <v>61</v>
      </c>
      <c r="BW4" s="75">
        <f>SUM(BR4,BS4,BT4)</f>
        <v>71.609633333333321</v>
      </c>
      <c r="BX4" s="75">
        <v>43.16</v>
      </c>
      <c r="BY4" s="75">
        <f>SUM(BX4*0.1)</f>
        <v>4.3159999999999998</v>
      </c>
      <c r="BZ4" s="75">
        <f>SUM(CA4*CB4)</f>
        <v>19.386033333333327</v>
      </c>
      <c r="CA4" s="76">
        <f>SUM((BX4+BY4)*0.00833333333333333)</f>
        <v>0.39563333333333317</v>
      </c>
      <c r="CB4" s="77">
        <v>49</v>
      </c>
      <c r="CC4" s="75">
        <f>SUM(BX4,BY4,BZ4)</f>
        <v>66.862033333333329</v>
      </c>
      <c r="CD4" s="75">
        <v>43.16</v>
      </c>
      <c r="CE4" s="75">
        <f>SUM(CD4*0.1)</f>
        <v>4.3159999999999998</v>
      </c>
      <c r="CF4" s="75">
        <f>SUM(CG4*CH4)</f>
        <v>14.638433333333328</v>
      </c>
      <c r="CG4" s="76">
        <f>SUM((CD4+CE4)*0.00833333333333333)</f>
        <v>0.39563333333333317</v>
      </c>
      <c r="CH4" s="77">
        <v>37</v>
      </c>
      <c r="CI4" s="75">
        <f>SUM(CD4,CE4,CF4)</f>
        <v>62.114433333333324</v>
      </c>
      <c r="CJ4" s="75">
        <v>69.679999999999993</v>
      </c>
      <c r="CK4" s="75">
        <v>6.968</v>
      </c>
      <c r="CL4" s="75">
        <f>SUM(CM4*CN4)</f>
        <v>15.968333333333327</v>
      </c>
      <c r="CM4" s="76">
        <f>SUM((CJ4+CK4)*0.00833333333333333)</f>
        <v>0.63873333333333304</v>
      </c>
      <c r="CN4" s="77">
        <v>25</v>
      </c>
      <c r="CO4" s="75">
        <f>SUM(CJ4,CK4,CL4)</f>
        <v>92.61633333333333</v>
      </c>
      <c r="CP4" s="75">
        <v>69.679999999999993</v>
      </c>
      <c r="CQ4" s="75">
        <v>6.968</v>
      </c>
      <c r="CR4" s="75">
        <f>SUM(CS4*CT4)</f>
        <v>8.3035333333333288</v>
      </c>
      <c r="CS4" s="76">
        <f>SUM((CP4+CQ4)*0.00833333333333333)</f>
        <v>0.63873333333333304</v>
      </c>
      <c r="CT4" s="77">
        <v>13</v>
      </c>
      <c r="CU4" s="75">
        <f>SUM(CP4,CQ4,CR4)</f>
        <v>84.95153333333333</v>
      </c>
      <c r="CV4" s="75">
        <f>SUM(DP4*0.0052)</f>
        <v>69.679999999999993</v>
      </c>
      <c r="CW4" s="75">
        <f>SUM(BL4, BR4, BX4, CD4,CJ4,CP4, CV4)</f>
        <v>338.52</v>
      </c>
      <c r="CX4" s="75">
        <f t="shared" si="0"/>
        <v>26.884</v>
      </c>
      <c r="CY4" s="75">
        <f t="shared" si="0"/>
        <v>82.42996666666663</v>
      </c>
      <c r="CZ4" s="75">
        <f>SUM(CW4:CY4)</f>
        <v>447.83396666666664</v>
      </c>
      <c r="DA4" s="78">
        <v>2.7668721393034824E-2</v>
      </c>
      <c r="DB4" s="75">
        <v>2184.5</v>
      </c>
      <c r="DC4" s="79">
        <v>4</v>
      </c>
      <c r="DD4" s="75">
        <f>48.54+25.03</f>
        <v>73.569999999999993</v>
      </c>
      <c r="DE4" s="75">
        <v>450</v>
      </c>
      <c r="DF4" s="75">
        <f>SUM(CZ4,DB4,DL4, DE4, DD4,FO4)</f>
        <v>5123.9039666666667</v>
      </c>
      <c r="DG4" s="75">
        <f>807.58+182.42</f>
        <v>990</v>
      </c>
      <c r="DH4" s="75">
        <v>191.25</v>
      </c>
      <c r="DI4" s="75">
        <v>76.75</v>
      </c>
      <c r="DJ4" s="75">
        <v>100</v>
      </c>
      <c r="DK4" s="80">
        <v>610</v>
      </c>
      <c r="DL4" s="75">
        <f>SUM(DG4:DK4)</f>
        <v>1968</v>
      </c>
      <c r="DM4" s="81" t="s">
        <v>2217</v>
      </c>
      <c r="DN4" s="80">
        <v>12500</v>
      </c>
      <c r="DO4" s="80">
        <v>900</v>
      </c>
      <c r="DP4" s="80">
        <v>13400</v>
      </c>
      <c r="DQ4" s="82">
        <v>1.1200000000000001</v>
      </c>
      <c r="DR4" s="72" t="s">
        <v>1994</v>
      </c>
      <c r="DS4" s="72" t="s">
        <v>1995</v>
      </c>
      <c r="ED4" s="72" t="s">
        <v>2246</v>
      </c>
      <c r="EF4" s="72" t="s">
        <v>2247</v>
      </c>
      <c r="EH4" s="72" t="s">
        <v>756</v>
      </c>
      <c r="EI4" s="72" t="s">
        <v>757</v>
      </c>
      <c r="EJ4" s="72" t="s">
        <v>2248</v>
      </c>
      <c r="EL4" s="72" t="s">
        <v>2249</v>
      </c>
      <c r="EN4" s="72" t="s">
        <v>267</v>
      </c>
      <c r="EO4" s="72" t="s">
        <v>268</v>
      </c>
      <c r="EZ4" s="106"/>
      <c r="FI4" s="106"/>
      <c r="FO4" s="75"/>
      <c r="FT4" s="112"/>
      <c r="GD4" s="112"/>
      <c r="GS4" s="106"/>
      <c r="HZ4" s="106">
        <v>44499</v>
      </c>
      <c r="IA4" s="75">
        <v>6750</v>
      </c>
      <c r="IB4" s="75">
        <v>1000</v>
      </c>
      <c r="IC4" s="106"/>
      <c r="IE4" s="72" t="s">
        <v>2746</v>
      </c>
      <c r="IF4" s="72" t="s">
        <v>2747</v>
      </c>
      <c r="IG4" s="72" t="s">
        <v>329</v>
      </c>
      <c r="IJ4" s="75">
        <v>105.17</v>
      </c>
      <c r="IK4" s="75">
        <f>SUM(IA4-DF4-II4)</f>
        <v>1626.0960333333333</v>
      </c>
      <c r="IL4" s="106">
        <v>44333</v>
      </c>
      <c r="IM4" s="106">
        <v>44349</v>
      </c>
      <c r="IN4" s="106">
        <v>44501</v>
      </c>
      <c r="IO4" s="106">
        <v>44505</v>
      </c>
    </row>
    <row r="5" spans="1:250" s="72" customFormat="1">
      <c r="A5" s="72">
        <v>102019051</v>
      </c>
      <c r="B5" s="75" t="s">
        <v>643</v>
      </c>
      <c r="C5" s="95"/>
      <c r="D5" s="95" t="s">
        <v>258</v>
      </c>
      <c r="E5" s="81"/>
      <c r="F5" s="84"/>
      <c r="J5" s="72" t="s">
        <v>311</v>
      </c>
      <c r="K5" s="72" t="s">
        <v>644</v>
      </c>
      <c r="L5" s="72" t="s">
        <v>512</v>
      </c>
      <c r="M5" s="72" t="s">
        <v>645</v>
      </c>
      <c r="O5" s="95"/>
      <c r="T5" s="95"/>
      <c r="AG5" s="83"/>
      <c r="AJ5" s="75" t="s">
        <v>646</v>
      </c>
      <c r="AK5" s="75" t="s">
        <v>258</v>
      </c>
      <c r="AL5" s="72" t="s">
        <v>386</v>
      </c>
      <c r="AM5" s="72" t="s">
        <v>260</v>
      </c>
      <c r="AN5" s="72" t="s">
        <v>603</v>
      </c>
      <c r="AO5" s="107" t="s">
        <v>604</v>
      </c>
      <c r="AP5" s="107" t="s">
        <v>258</v>
      </c>
      <c r="AQ5" s="81" t="s">
        <v>259</v>
      </c>
      <c r="AR5" s="81" t="s">
        <v>260</v>
      </c>
      <c r="AS5" s="73"/>
      <c r="AT5" s="73"/>
      <c r="AU5" s="95" t="s">
        <v>258</v>
      </c>
      <c r="AV5" s="95" t="s">
        <v>258</v>
      </c>
      <c r="AW5" s="95" t="s">
        <v>258</v>
      </c>
      <c r="AX5" s="84"/>
      <c r="AY5" s="85">
        <v>43842</v>
      </c>
      <c r="AZ5" s="85">
        <v>44222</v>
      </c>
      <c r="BA5" s="84"/>
      <c r="BB5" s="84"/>
      <c r="BC5" s="84"/>
      <c r="BD5" s="84"/>
      <c r="BE5" s="84"/>
      <c r="BF5" s="84"/>
      <c r="BG5" s="73">
        <v>1532.1934666666666</v>
      </c>
      <c r="BH5" s="74">
        <v>-134.70414803002413</v>
      </c>
      <c r="BI5" s="74">
        <v>134.70414803002413</v>
      </c>
      <c r="BJ5" s="75">
        <v>6.8466666666666667</v>
      </c>
      <c r="BK5" s="74">
        <v>141.55081469669079</v>
      </c>
      <c r="BL5" s="75"/>
      <c r="BM5" s="75">
        <v>0</v>
      </c>
      <c r="BN5" s="75">
        <v>0</v>
      </c>
      <c r="BO5" s="76">
        <v>0</v>
      </c>
      <c r="BP5" s="77">
        <v>70</v>
      </c>
      <c r="BQ5" s="75">
        <v>0</v>
      </c>
      <c r="BR5" s="75">
        <v>90.48</v>
      </c>
      <c r="BS5" s="75">
        <f>SUM(BR5*0.1)</f>
        <v>9.048</v>
      </c>
      <c r="BT5" s="75">
        <f>SUM(BU5*BV5)</f>
        <v>50.593399999999981</v>
      </c>
      <c r="BU5" s="76">
        <f>SUM((BR5+BS5)*0.00833333333333333)</f>
        <v>0.82939999999999969</v>
      </c>
      <c r="BV5" s="77">
        <v>61</v>
      </c>
      <c r="BW5" s="75">
        <f>SUM(BR5,BS5,BT5)</f>
        <v>150.12139999999999</v>
      </c>
      <c r="BX5" s="75">
        <v>90.48</v>
      </c>
      <c r="BY5" s="75">
        <f>SUM(BX5*0.1)</f>
        <v>9.048</v>
      </c>
      <c r="BZ5" s="75">
        <f>SUM(CA5*CB5)</f>
        <v>40.640599999999985</v>
      </c>
      <c r="CA5" s="76">
        <f>SUM((BX5+BY5)*0.00833333333333333)</f>
        <v>0.82939999999999969</v>
      </c>
      <c r="CB5" s="77">
        <v>49</v>
      </c>
      <c r="CC5" s="75">
        <f>SUM(BX5,BY5,BZ5)</f>
        <v>140.1686</v>
      </c>
      <c r="CD5" s="75">
        <v>90.48</v>
      </c>
      <c r="CE5" s="75">
        <f>SUM(CD5*0.1)</f>
        <v>9.048</v>
      </c>
      <c r="CF5" s="75">
        <f>SUM(CG5*CH5)</f>
        <v>30.687799999999989</v>
      </c>
      <c r="CG5" s="76">
        <f>SUM((CD5+CE5)*0.00833333333333333)</f>
        <v>0.82939999999999969</v>
      </c>
      <c r="CH5" s="77">
        <v>37</v>
      </c>
      <c r="CI5" s="75">
        <f>SUM(CD5,CE5,CF5)</f>
        <v>130.2158</v>
      </c>
      <c r="CJ5" s="75">
        <v>82.16</v>
      </c>
      <c r="CK5" s="75">
        <v>8.2159999999999993</v>
      </c>
      <c r="CL5" s="75">
        <f>SUM(CM5*CN5)</f>
        <v>18.828333333333322</v>
      </c>
      <c r="CM5" s="76">
        <f>SUM((CJ5+CK5)*0.00833333333333333)</f>
        <v>0.75313333333333288</v>
      </c>
      <c r="CN5" s="77">
        <v>25</v>
      </c>
      <c r="CO5" s="75">
        <f>SUM(CJ5,CK5,CL5)</f>
        <v>109.20433333333331</v>
      </c>
      <c r="CP5" s="75">
        <v>82.16</v>
      </c>
      <c r="CQ5" s="75">
        <v>8.2159999999999993</v>
      </c>
      <c r="CR5" s="75">
        <f>SUM(CS5*CT5)</f>
        <v>9.7907333333333266</v>
      </c>
      <c r="CS5" s="76">
        <f>SUM((CP5+CQ5)*0.00833333333333333)</f>
        <v>0.75313333333333288</v>
      </c>
      <c r="CT5" s="77">
        <v>13</v>
      </c>
      <c r="CU5" s="75">
        <f>SUM(CP5,CQ5,CR5)</f>
        <v>100.16673333333331</v>
      </c>
      <c r="CV5" s="75">
        <f>SUM(DP5*0.0052)</f>
        <v>82.16</v>
      </c>
      <c r="CW5" s="75">
        <f>SUM(BL5, BR5, BX5, CD5,CJ5,CP5, CV5)</f>
        <v>517.91999999999996</v>
      </c>
      <c r="CX5" s="75">
        <f t="shared" si="0"/>
        <v>43.576000000000001</v>
      </c>
      <c r="CY5" s="75">
        <f t="shared" si="0"/>
        <v>150.5408666666666</v>
      </c>
      <c r="CZ5" s="75">
        <f>SUM(CW5:CY5)</f>
        <v>712.03686666666658</v>
      </c>
      <c r="DA5" s="78">
        <v>3.9107181434599153E-2</v>
      </c>
      <c r="DB5" s="75">
        <f>403.5+273</f>
        <v>676.5</v>
      </c>
      <c r="DC5" s="79">
        <v>2</v>
      </c>
      <c r="DD5" s="75">
        <f>13.72+25.03</f>
        <v>38.75</v>
      </c>
      <c r="DE5" s="75">
        <v>250</v>
      </c>
      <c r="DF5" s="75">
        <f>SUM(CZ5,DB5,DL5, DE5, DD5,FO5)</f>
        <v>1944.0668666666666</v>
      </c>
      <c r="DG5" s="75">
        <f>32.58+(702.6/3)</f>
        <v>266.78000000000003</v>
      </c>
      <c r="DH5" s="75"/>
      <c r="DI5" s="75"/>
      <c r="DJ5" s="75"/>
      <c r="DK5" s="80"/>
      <c r="DL5" s="75">
        <f>SUM(DG5:DK5)</f>
        <v>266.78000000000003</v>
      </c>
      <c r="DM5" s="81" t="s">
        <v>2217</v>
      </c>
      <c r="DN5" s="80">
        <v>15800</v>
      </c>
      <c r="DO5" s="80">
        <v>0</v>
      </c>
      <c r="DP5" s="80">
        <v>15800</v>
      </c>
      <c r="DQ5" s="82">
        <v>0.99</v>
      </c>
      <c r="DR5" s="77" t="s">
        <v>2218</v>
      </c>
      <c r="DS5" s="72" t="s">
        <v>2219</v>
      </c>
      <c r="EZ5" s="106"/>
      <c r="FI5" s="106"/>
      <c r="FO5" s="75"/>
      <c r="FT5" s="112"/>
      <c r="GD5" s="112"/>
      <c r="GS5" s="106"/>
      <c r="HZ5" s="106">
        <v>44499</v>
      </c>
      <c r="IA5" s="75">
        <v>9500</v>
      </c>
      <c r="IB5" s="75">
        <v>950</v>
      </c>
      <c r="IC5" s="106"/>
      <c r="IE5" s="72" t="s">
        <v>2723</v>
      </c>
      <c r="IF5" s="72" t="s">
        <v>2724</v>
      </c>
      <c r="IG5" s="72" t="s">
        <v>2722</v>
      </c>
      <c r="IJ5" s="75">
        <v>115.67</v>
      </c>
      <c r="IK5" s="75">
        <f>SUM(IA5-DF5-II5)</f>
        <v>7555.9331333333339</v>
      </c>
      <c r="IN5" s="106"/>
    </row>
    <row r="6" spans="1:250" s="72" customFormat="1">
      <c r="A6" s="72">
        <v>102019059</v>
      </c>
      <c r="B6" s="75" t="s">
        <v>660</v>
      </c>
      <c r="C6" s="95"/>
      <c r="D6" s="95" t="s">
        <v>258</v>
      </c>
      <c r="E6" s="81"/>
      <c r="F6" s="84"/>
      <c r="J6" s="72" t="s">
        <v>510</v>
      </c>
      <c r="K6" s="72" t="s">
        <v>661</v>
      </c>
      <c r="L6" s="72" t="s">
        <v>662</v>
      </c>
      <c r="O6" s="95"/>
      <c r="T6" s="95"/>
      <c r="AG6" s="83"/>
      <c r="AJ6" s="75" t="s">
        <v>328</v>
      </c>
      <c r="AK6" s="75"/>
      <c r="AL6" s="72" t="s">
        <v>259</v>
      </c>
      <c r="AN6" s="72" t="s">
        <v>603</v>
      </c>
      <c r="AO6" s="107" t="s">
        <v>604</v>
      </c>
      <c r="AP6" s="107" t="s">
        <v>258</v>
      </c>
      <c r="AQ6" s="81" t="s">
        <v>259</v>
      </c>
      <c r="AR6" s="81" t="s">
        <v>260</v>
      </c>
      <c r="AS6" s="73"/>
      <c r="AT6" s="73"/>
      <c r="AU6" s="95" t="s">
        <v>258</v>
      </c>
      <c r="AV6" s="95" t="s">
        <v>258</v>
      </c>
      <c r="AW6" s="95" t="s">
        <v>258</v>
      </c>
      <c r="AX6" s="84"/>
      <c r="AY6" s="85">
        <v>43842</v>
      </c>
      <c r="AZ6" s="85">
        <v>44222</v>
      </c>
      <c r="BA6" s="84"/>
      <c r="BB6" s="84"/>
      <c r="BC6" s="84"/>
      <c r="BD6" s="84"/>
      <c r="BE6" s="84"/>
      <c r="BF6" s="84"/>
      <c r="BG6" s="73">
        <v>1216.3200000000002</v>
      </c>
      <c r="BH6" s="74">
        <v>-106.93385195560528</v>
      </c>
      <c r="BI6" s="74">
        <v>106.93385195560528</v>
      </c>
      <c r="BJ6" s="75">
        <v>2.6</v>
      </c>
      <c r="BK6" s="74">
        <v>109.53385195560527</v>
      </c>
      <c r="BL6" s="75"/>
      <c r="BM6" s="75">
        <v>0</v>
      </c>
      <c r="BN6" s="75">
        <v>0</v>
      </c>
      <c r="BO6" s="76">
        <v>0</v>
      </c>
      <c r="BP6" s="77">
        <v>70</v>
      </c>
      <c r="BQ6" s="75">
        <v>0</v>
      </c>
      <c r="BR6" s="75">
        <v>31.2</v>
      </c>
      <c r="BS6" s="75">
        <f>SUM(BR6*0.1)</f>
        <v>3.12</v>
      </c>
      <c r="BT6" s="75">
        <f>SUM(BU6*BV6)</f>
        <v>17.445999999999991</v>
      </c>
      <c r="BU6" s="76">
        <f>SUM((BR6+BS6)*0.00833333333333333)</f>
        <v>0.28599999999999987</v>
      </c>
      <c r="BV6" s="77">
        <v>61</v>
      </c>
      <c r="BW6" s="75">
        <f>SUM(BR6,BS6,BT6)</f>
        <v>51.765999999999991</v>
      </c>
      <c r="BX6" s="75">
        <v>31.2</v>
      </c>
      <c r="BY6" s="75">
        <f>SUM(BX6*0.1)</f>
        <v>3.12</v>
      </c>
      <c r="BZ6" s="75">
        <f>SUM(CA6*CB6)</f>
        <v>14.013999999999994</v>
      </c>
      <c r="CA6" s="76">
        <f>SUM((BX6+BY6)*0.00833333333333333)</f>
        <v>0.28599999999999987</v>
      </c>
      <c r="CB6" s="77">
        <v>49</v>
      </c>
      <c r="CC6" s="75">
        <f>SUM(BX6,BY6,BZ6)</f>
        <v>48.333999999999996</v>
      </c>
      <c r="CD6" s="75">
        <v>31.2</v>
      </c>
      <c r="CE6" s="75">
        <f>SUM(CD6*0.1)</f>
        <v>3.12</v>
      </c>
      <c r="CF6" s="75">
        <f>SUM(CG6*CH6)</f>
        <v>10.581999999999995</v>
      </c>
      <c r="CG6" s="76">
        <f>SUM((CD6+CE6)*0.00833333333333333)</f>
        <v>0.28599999999999987</v>
      </c>
      <c r="CH6" s="77">
        <v>37</v>
      </c>
      <c r="CI6" s="75">
        <f>SUM(CD6,CE6,CF6)</f>
        <v>44.901999999999994</v>
      </c>
      <c r="CJ6" s="75">
        <v>31.2</v>
      </c>
      <c r="CK6" s="75">
        <v>3.12</v>
      </c>
      <c r="CL6" s="75">
        <f>SUM(CM6*CN6)</f>
        <v>7.1499999999999968</v>
      </c>
      <c r="CM6" s="76">
        <f>SUM((CJ6+CK6)*0.00833333333333333)</f>
        <v>0.28599999999999987</v>
      </c>
      <c r="CN6" s="77">
        <v>25</v>
      </c>
      <c r="CO6" s="75">
        <f>SUM(CJ6,CK6,CL6)</f>
        <v>41.47</v>
      </c>
      <c r="CP6" s="75">
        <v>31.2</v>
      </c>
      <c r="CQ6" s="75">
        <v>3.12</v>
      </c>
      <c r="CR6" s="75">
        <f>SUM(CS6*CT6)</f>
        <v>3.7179999999999982</v>
      </c>
      <c r="CS6" s="76">
        <f>SUM((CP6+CQ6)*0.00833333333333333)</f>
        <v>0.28599999999999987</v>
      </c>
      <c r="CT6" s="77">
        <v>13</v>
      </c>
      <c r="CU6" s="75">
        <f>SUM(CP6,CQ6,CR6)</f>
        <v>38.037999999999997</v>
      </c>
      <c r="CV6" s="75">
        <f>SUM(DP6*0.0052)</f>
        <v>31.2</v>
      </c>
      <c r="CW6" s="75">
        <f>SUM(BL6, BR6, BX6, CD6,CJ6,CP6, CV6)</f>
        <v>187.2</v>
      </c>
      <c r="CX6" s="75">
        <f t="shared" si="0"/>
        <v>15.600000000000001</v>
      </c>
      <c r="CY6" s="75">
        <f t="shared" si="0"/>
        <v>52.909999999999975</v>
      </c>
      <c r="CZ6" s="75">
        <f>SUM(CW6:CY6)</f>
        <v>255.70999999999995</v>
      </c>
      <c r="DA6" s="78">
        <v>3.6703333333333331E-2</v>
      </c>
      <c r="DB6" s="75">
        <f>403.5+273</f>
        <v>676.5</v>
      </c>
      <c r="DC6" s="79">
        <v>7</v>
      </c>
      <c r="DD6" s="75">
        <f>45.52+25.03</f>
        <v>70.550000000000011</v>
      </c>
      <c r="DE6" s="75">
        <v>300</v>
      </c>
      <c r="DF6" s="75">
        <f>SUM(CZ6,DB6,DL6, DE6, DD6,FO6)</f>
        <v>1580.1499999999999</v>
      </c>
      <c r="DG6" s="75">
        <f>32.58+(702.6/3)</f>
        <v>266.78000000000003</v>
      </c>
      <c r="DH6" s="75"/>
      <c r="DI6" s="75"/>
      <c r="DJ6" s="75"/>
      <c r="DK6" s="80"/>
      <c r="DL6" s="75">
        <f>SUM(DG6:DK6)</f>
        <v>266.78000000000003</v>
      </c>
      <c r="DM6" s="81" t="s">
        <v>2217</v>
      </c>
      <c r="DN6" s="80">
        <v>6000</v>
      </c>
      <c r="DO6" s="80">
        <v>0</v>
      </c>
      <c r="DP6" s="80">
        <v>6000</v>
      </c>
      <c r="DQ6" s="82">
        <v>0.21</v>
      </c>
      <c r="DR6" s="72" t="s">
        <v>2235</v>
      </c>
      <c r="DS6" s="72" t="s">
        <v>2236</v>
      </c>
      <c r="ED6" s="72" t="s">
        <v>2222</v>
      </c>
      <c r="EF6" s="72" t="s">
        <v>2223</v>
      </c>
      <c r="EG6" s="72" t="s">
        <v>784</v>
      </c>
      <c r="EH6" s="72" t="s">
        <v>259</v>
      </c>
      <c r="EI6" s="72" t="s">
        <v>260</v>
      </c>
      <c r="EJ6" s="72" t="s">
        <v>2224</v>
      </c>
      <c r="EL6" s="72" t="s">
        <v>2225</v>
      </c>
      <c r="EN6" s="72" t="s">
        <v>2226</v>
      </c>
      <c r="EP6" s="72" t="s">
        <v>2227</v>
      </c>
      <c r="EQ6" s="72" t="s">
        <v>258</v>
      </c>
      <c r="ER6" s="72" t="s">
        <v>2228</v>
      </c>
      <c r="EZ6" s="106"/>
      <c r="FI6" s="106"/>
      <c r="FJ6" s="72" t="s">
        <v>372</v>
      </c>
      <c r="FK6" s="72" t="s">
        <v>373</v>
      </c>
      <c r="FL6" s="72" t="s">
        <v>374</v>
      </c>
      <c r="FM6" s="72" t="s">
        <v>259</v>
      </c>
      <c r="FN6" s="72" t="s">
        <v>260</v>
      </c>
      <c r="FO6" s="111">
        <v>10.61</v>
      </c>
      <c r="FP6" s="72" t="s">
        <v>2229</v>
      </c>
      <c r="FR6" s="72" t="s">
        <v>2230</v>
      </c>
      <c r="FT6" s="72" t="s">
        <v>2231</v>
      </c>
      <c r="FV6" s="106">
        <v>38961</v>
      </c>
      <c r="FW6" s="72" t="s">
        <v>2232</v>
      </c>
      <c r="GD6" s="112"/>
      <c r="GS6" s="106"/>
      <c r="HZ6" s="106">
        <v>44499</v>
      </c>
      <c r="IA6" s="75">
        <v>1580.15</v>
      </c>
      <c r="IB6" s="75">
        <v>200</v>
      </c>
      <c r="IC6" s="106"/>
      <c r="IE6" s="72" t="s">
        <v>2717</v>
      </c>
      <c r="IF6" s="72" t="s">
        <v>2123</v>
      </c>
      <c r="IG6" s="72" t="s">
        <v>259</v>
      </c>
      <c r="IJ6" s="75">
        <v>73</v>
      </c>
      <c r="IK6" s="75">
        <f>SUM(IA6-DF6-II6)</f>
        <v>2.2737367544323206E-13</v>
      </c>
      <c r="IN6" s="106"/>
    </row>
    <row r="7" spans="1:250" s="72" customFormat="1">
      <c r="A7" s="72">
        <v>102019067</v>
      </c>
      <c r="B7" s="75" t="s">
        <v>671</v>
      </c>
      <c r="C7" s="95"/>
      <c r="D7" s="95"/>
      <c r="E7" s="81" t="s">
        <v>2386</v>
      </c>
      <c r="F7" s="84">
        <v>210001575</v>
      </c>
      <c r="J7" s="72" t="s">
        <v>311</v>
      </c>
      <c r="K7" s="72" t="s">
        <v>672</v>
      </c>
      <c r="L7" s="72" t="s">
        <v>673</v>
      </c>
      <c r="M7" s="72" t="s">
        <v>537</v>
      </c>
      <c r="O7" s="95"/>
      <c r="T7" s="95"/>
      <c r="AG7" s="83"/>
      <c r="AJ7" s="75" t="s">
        <v>328</v>
      </c>
      <c r="AK7" s="75"/>
      <c r="AL7" s="72" t="s">
        <v>386</v>
      </c>
      <c r="AN7" s="72" t="s">
        <v>603</v>
      </c>
      <c r="AO7" s="107" t="s">
        <v>604</v>
      </c>
      <c r="AP7" s="107" t="s">
        <v>258</v>
      </c>
      <c r="AQ7" s="81" t="s">
        <v>259</v>
      </c>
      <c r="AR7" s="81" t="s">
        <v>260</v>
      </c>
      <c r="AS7" s="73"/>
      <c r="AT7" s="73"/>
      <c r="AU7" s="95" t="s">
        <v>258</v>
      </c>
      <c r="AV7" s="95" t="s">
        <v>258</v>
      </c>
      <c r="AW7" s="95" t="s">
        <v>258</v>
      </c>
      <c r="AX7" s="85">
        <v>44256</v>
      </c>
      <c r="AY7" s="85">
        <v>43842</v>
      </c>
      <c r="AZ7" s="85">
        <v>44222</v>
      </c>
      <c r="BA7" s="85">
        <v>44302</v>
      </c>
      <c r="BB7" s="84" t="s">
        <v>318</v>
      </c>
      <c r="BC7" s="85">
        <v>44288</v>
      </c>
      <c r="BD7" s="85">
        <v>44295</v>
      </c>
      <c r="BE7" s="85">
        <v>44316</v>
      </c>
      <c r="BF7" s="84" t="s">
        <v>319</v>
      </c>
      <c r="BG7" s="73">
        <v>4526.1300666666657</v>
      </c>
      <c r="BH7" s="74">
        <v>-397.91874052942239</v>
      </c>
      <c r="BI7" s="74">
        <v>397.91874052942239</v>
      </c>
      <c r="BJ7" s="75">
        <v>20.106666666666666</v>
      </c>
      <c r="BK7" s="74">
        <v>418.02540719608908</v>
      </c>
      <c r="BL7" s="75"/>
      <c r="BM7" s="75">
        <v>0</v>
      </c>
      <c r="BN7" s="75">
        <v>0</v>
      </c>
      <c r="BO7" s="76">
        <v>0</v>
      </c>
      <c r="BP7" s="77">
        <v>70</v>
      </c>
      <c r="BQ7" s="75">
        <v>0</v>
      </c>
      <c r="BR7" s="75">
        <v>232.44</v>
      </c>
      <c r="BS7" s="75">
        <f>SUM(BR7*0.1)</f>
        <v>23.244</v>
      </c>
      <c r="BT7" s="75">
        <f>SUM(BU7*BV7)</f>
        <v>129.97269999999995</v>
      </c>
      <c r="BU7" s="76">
        <f>SUM((BR7+BS7)*0.00833333333333333)</f>
        <v>2.1306999999999992</v>
      </c>
      <c r="BV7" s="77">
        <v>61</v>
      </c>
      <c r="BW7" s="75">
        <f>SUM(BR7,BS7,BT7)</f>
        <v>385.65669999999994</v>
      </c>
      <c r="BX7" s="75">
        <v>232.44</v>
      </c>
      <c r="BY7" s="75">
        <f>SUM(BX7*0.1)</f>
        <v>23.244</v>
      </c>
      <c r="BZ7" s="75">
        <f>SUM(CA7*CB7)</f>
        <v>104.40429999999996</v>
      </c>
      <c r="CA7" s="76">
        <f>SUM((BX7+BY7)*0.00833333333333333)</f>
        <v>2.1306999999999992</v>
      </c>
      <c r="CB7" s="77">
        <v>49</v>
      </c>
      <c r="CC7" s="75">
        <f>SUM(BX7,BY7,BZ7)</f>
        <v>360.08829999999995</v>
      </c>
      <c r="CD7" s="75">
        <v>232.44</v>
      </c>
      <c r="CE7" s="75">
        <f>SUM(CD7*0.1)</f>
        <v>23.244</v>
      </c>
      <c r="CF7" s="75">
        <f>SUM(CG7*CH7)</f>
        <v>78.835899999999967</v>
      </c>
      <c r="CG7" s="76">
        <f>SUM((CD7+CE7)*0.00833333333333333)</f>
        <v>2.1306999999999992</v>
      </c>
      <c r="CH7" s="77">
        <v>37</v>
      </c>
      <c r="CI7" s="75">
        <f>SUM(CD7,CE7,CF7)</f>
        <v>334.51989999999995</v>
      </c>
      <c r="CJ7" s="75">
        <v>241.28</v>
      </c>
      <c r="CK7" s="75">
        <v>24.128</v>
      </c>
      <c r="CL7" s="75">
        <f>SUM(CM7*CN7)</f>
        <v>55.293333333333315</v>
      </c>
      <c r="CM7" s="76">
        <f>SUM((CJ7+CK7)*0.00833333333333333)</f>
        <v>2.2117333333333327</v>
      </c>
      <c r="CN7" s="77">
        <v>25</v>
      </c>
      <c r="CO7" s="75">
        <f>SUM(CJ7,CK7,CL7)</f>
        <v>320.70133333333331</v>
      </c>
      <c r="CP7" s="75">
        <v>241.28</v>
      </c>
      <c r="CQ7" s="75">
        <v>24.128</v>
      </c>
      <c r="CR7" s="75">
        <f>SUM(CS7*CT7)</f>
        <v>28.752533333333325</v>
      </c>
      <c r="CS7" s="76">
        <f>SUM((CP7+CQ7)*0.00833333333333333)</f>
        <v>2.2117333333333327</v>
      </c>
      <c r="CT7" s="77">
        <v>13</v>
      </c>
      <c r="CU7" s="75">
        <f>SUM(CP7,CQ7,CR7)</f>
        <v>294.16053333333332</v>
      </c>
      <c r="CV7" s="75">
        <f>SUM(DP7*0.0052)</f>
        <v>241.28</v>
      </c>
      <c r="CW7" s="75">
        <f>SUM(BL7, BR7, BX7, CD7,CJ7,CP7, CV7)</f>
        <v>1421.1599999999999</v>
      </c>
      <c r="CX7" s="75">
        <f t="shared" si="0"/>
        <v>117.988</v>
      </c>
      <c r="CY7" s="75">
        <f t="shared" si="0"/>
        <v>397.25876666666647</v>
      </c>
      <c r="CZ7" s="75">
        <f>SUM(CW7:CY7)</f>
        <v>1936.4067666666665</v>
      </c>
      <c r="DA7" s="78">
        <v>3.5833622126436773E-2</v>
      </c>
      <c r="DB7" s="75">
        <v>1789.5</v>
      </c>
      <c r="DC7" s="79">
        <v>2</v>
      </c>
      <c r="DD7" s="75">
        <f>14.62+25.03</f>
        <v>39.65</v>
      </c>
      <c r="DE7" s="75">
        <v>150</v>
      </c>
      <c r="DF7" s="75">
        <f>SUM(CZ7,DB7,DL7, DE7, DD7,FO7)</f>
        <v>5851.906766666666</v>
      </c>
      <c r="DG7" s="75">
        <f>673.58+182.42</f>
        <v>856</v>
      </c>
      <c r="DH7" s="75">
        <v>203.75</v>
      </c>
      <c r="DI7" s="75">
        <v>81</v>
      </c>
      <c r="DJ7" s="75">
        <f>SUM(DP7*0.004)</f>
        <v>185.6</v>
      </c>
      <c r="DK7" s="80">
        <v>610</v>
      </c>
      <c r="DL7" s="75">
        <f>SUM(DG7:DK7)</f>
        <v>1936.35</v>
      </c>
      <c r="DM7" s="81" t="s">
        <v>2217</v>
      </c>
      <c r="DN7" s="80">
        <v>46400</v>
      </c>
      <c r="DO7" s="80">
        <v>0</v>
      </c>
      <c r="DP7" s="80">
        <v>46400</v>
      </c>
      <c r="DQ7" s="82">
        <v>12.3</v>
      </c>
      <c r="DR7" s="72" t="s">
        <v>2220</v>
      </c>
      <c r="DS7" s="72" t="s">
        <v>2221</v>
      </c>
      <c r="EZ7" s="106"/>
      <c r="FI7" s="106"/>
      <c r="FO7" s="75"/>
      <c r="FT7" s="112"/>
      <c r="GD7" s="112"/>
      <c r="GS7" s="106"/>
      <c r="HZ7" s="106">
        <v>44499</v>
      </c>
      <c r="IA7" s="75">
        <v>41000</v>
      </c>
      <c r="IB7" s="75">
        <v>4100</v>
      </c>
      <c r="IC7" s="106"/>
      <c r="IE7" s="72" t="s">
        <v>2718</v>
      </c>
      <c r="IF7" s="72" t="s">
        <v>2719</v>
      </c>
      <c r="IG7" s="72" t="s">
        <v>386</v>
      </c>
      <c r="IJ7" s="75">
        <v>248.17</v>
      </c>
      <c r="IK7" s="75">
        <f>SUM(IA7-DF7-II7)</f>
        <v>35148.093233333333</v>
      </c>
      <c r="IL7" s="106">
        <v>44333</v>
      </c>
      <c r="IM7" s="106">
        <v>44349</v>
      </c>
      <c r="IN7" s="106">
        <v>44501</v>
      </c>
      <c r="IO7" s="106">
        <v>44505</v>
      </c>
    </row>
    <row r="8" spans="1:250" s="72" customFormat="1" ht="15" customHeight="1">
      <c r="A8" s="72">
        <v>102019068</v>
      </c>
      <c r="B8" s="75" t="s">
        <v>674</v>
      </c>
      <c r="C8" s="73"/>
      <c r="D8" s="75"/>
      <c r="E8" s="81" t="s">
        <v>1749</v>
      </c>
      <c r="F8" s="84">
        <v>200001003</v>
      </c>
      <c r="G8" s="84"/>
      <c r="H8" s="84"/>
      <c r="I8" s="84"/>
      <c r="J8" s="72" t="s">
        <v>311</v>
      </c>
      <c r="K8" s="72" t="s">
        <v>675</v>
      </c>
      <c r="L8" s="72" t="s">
        <v>676</v>
      </c>
      <c r="M8" s="72" t="s">
        <v>401</v>
      </c>
      <c r="O8" s="95"/>
      <c r="T8" s="95"/>
      <c r="AG8" s="83"/>
      <c r="AJ8" s="75" t="s">
        <v>328</v>
      </c>
      <c r="AK8" s="75"/>
      <c r="AL8" s="72" t="s">
        <v>600</v>
      </c>
      <c r="AO8" s="75" t="s">
        <v>677</v>
      </c>
      <c r="AP8" s="73"/>
      <c r="AQ8" s="72" t="s">
        <v>600</v>
      </c>
      <c r="AR8" s="81"/>
      <c r="AS8" s="73"/>
      <c r="AT8" s="73"/>
      <c r="AU8" s="95"/>
      <c r="AV8" s="95"/>
      <c r="AW8" s="95"/>
      <c r="AX8" s="113"/>
      <c r="AY8" s="113"/>
      <c r="AZ8" s="113"/>
      <c r="BA8" s="113"/>
      <c r="BB8" s="95"/>
      <c r="BC8" s="113"/>
      <c r="BD8" s="113"/>
      <c r="BE8" s="113"/>
      <c r="BF8" s="95"/>
      <c r="BG8" s="73"/>
      <c r="BH8" s="74"/>
      <c r="BI8" s="74"/>
      <c r="BJ8" s="75"/>
      <c r="BK8" s="75"/>
      <c r="BL8" s="75"/>
      <c r="BM8" s="75"/>
      <c r="BN8" s="75"/>
      <c r="BO8" s="76"/>
      <c r="BP8" s="77"/>
      <c r="BQ8" s="75"/>
      <c r="BR8" s="75"/>
      <c r="BS8" s="75"/>
      <c r="BT8" s="75"/>
      <c r="BU8" s="76"/>
      <c r="BV8" s="77"/>
      <c r="BW8" s="75"/>
      <c r="BX8" s="75"/>
      <c r="BY8" s="75"/>
      <c r="BZ8" s="75"/>
      <c r="CA8" s="76"/>
      <c r="CB8" s="77"/>
      <c r="CC8" s="75"/>
      <c r="CD8" s="75"/>
      <c r="CE8" s="75"/>
      <c r="CF8" s="75"/>
      <c r="CG8" s="76"/>
      <c r="CH8" s="77"/>
      <c r="CI8" s="75"/>
      <c r="CJ8" s="75"/>
      <c r="CK8" s="75"/>
      <c r="CL8" s="75"/>
      <c r="CM8" s="76"/>
      <c r="CN8" s="77"/>
      <c r="CO8" s="75"/>
      <c r="CP8" s="75"/>
      <c r="CQ8" s="75"/>
      <c r="CR8" s="75"/>
      <c r="CS8" s="76"/>
      <c r="CT8" s="77"/>
      <c r="CU8" s="75"/>
      <c r="CV8" s="75"/>
      <c r="CW8" s="75"/>
      <c r="CX8" s="75"/>
      <c r="CY8" s="75"/>
      <c r="CZ8" s="75"/>
      <c r="DA8" s="75"/>
      <c r="DB8" s="107">
        <v>234</v>
      </c>
      <c r="DC8" s="75"/>
      <c r="DD8" s="79">
        <f>25.03</f>
        <v>25.03</v>
      </c>
      <c r="DE8" s="75"/>
      <c r="DF8" s="75"/>
      <c r="DG8" s="75">
        <f>761.2/2</f>
        <v>380.6</v>
      </c>
      <c r="DH8" s="75"/>
      <c r="DI8" s="75"/>
      <c r="DJ8" s="75"/>
      <c r="DK8" s="75"/>
      <c r="DL8" s="80"/>
      <c r="DM8" s="75"/>
      <c r="DN8" s="80">
        <v>11000</v>
      </c>
      <c r="DO8" s="80">
        <v>0</v>
      </c>
      <c r="DP8" s="80">
        <v>11000</v>
      </c>
      <c r="DQ8" s="82">
        <v>0.55000000000000004</v>
      </c>
      <c r="DR8" s="72" t="s">
        <v>1935</v>
      </c>
      <c r="DS8" s="72" t="s">
        <v>1529</v>
      </c>
      <c r="DT8" s="72" t="s">
        <v>2542</v>
      </c>
      <c r="EM8" s="75"/>
      <c r="EN8" s="75"/>
      <c r="EO8" s="75"/>
      <c r="EP8" s="75"/>
      <c r="EQ8" s="75"/>
      <c r="ER8" s="75"/>
      <c r="ES8" s="75"/>
      <c r="ET8" s="75"/>
      <c r="EU8" s="75"/>
      <c r="EV8" s="75"/>
      <c r="EZ8" s="106"/>
      <c r="FN8" s="75"/>
      <c r="FO8" s="75"/>
      <c r="FS8" s="112"/>
      <c r="FU8" s="106"/>
      <c r="GD8" s="112"/>
      <c r="GF8" s="106"/>
      <c r="GR8" s="106"/>
      <c r="HY8" s="106"/>
      <c r="HZ8" s="106">
        <v>44499</v>
      </c>
      <c r="IA8" s="75">
        <v>4100</v>
      </c>
      <c r="IB8" s="75">
        <v>410</v>
      </c>
      <c r="IC8" s="75"/>
      <c r="ID8" s="106"/>
      <c r="IE8" s="72" t="s">
        <v>2753</v>
      </c>
      <c r="IF8" s="72" t="s">
        <v>2725</v>
      </c>
      <c r="IG8" s="72" t="s">
        <v>2726</v>
      </c>
      <c r="II8" s="75"/>
      <c r="IJ8" s="75">
        <v>83.67</v>
      </c>
      <c r="IK8" s="75"/>
      <c r="IL8" s="75"/>
      <c r="IM8" s="106"/>
      <c r="IN8" s="106"/>
      <c r="IO8" s="106"/>
      <c r="IP8" s="106">
        <v>44137</v>
      </c>
    </row>
    <row r="9" spans="1:250" s="72" customFormat="1" ht="15" customHeight="1">
      <c r="A9" s="72">
        <v>102019070</v>
      </c>
      <c r="B9" s="75" t="s">
        <v>691</v>
      </c>
      <c r="C9" s="95"/>
      <c r="D9" s="95"/>
      <c r="E9" s="81" t="s">
        <v>2384</v>
      </c>
      <c r="F9" s="84">
        <v>210001577</v>
      </c>
      <c r="J9" s="72" t="s">
        <v>253</v>
      </c>
      <c r="K9" s="72" t="s">
        <v>692</v>
      </c>
      <c r="L9" s="72" t="s">
        <v>693</v>
      </c>
      <c r="O9" s="95"/>
      <c r="T9" s="95"/>
      <c r="AG9" s="83"/>
      <c r="AJ9" s="75" t="s">
        <v>328</v>
      </c>
      <c r="AK9" s="75"/>
      <c r="AL9" s="72" t="s">
        <v>600</v>
      </c>
      <c r="AN9" s="72" t="s">
        <v>603</v>
      </c>
      <c r="AO9" s="107" t="s">
        <v>604</v>
      </c>
      <c r="AP9" s="107" t="s">
        <v>258</v>
      </c>
      <c r="AQ9" s="81" t="s">
        <v>259</v>
      </c>
      <c r="AR9" s="81" t="s">
        <v>260</v>
      </c>
      <c r="AS9" s="73"/>
      <c r="AT9" s="73"/>
      <c r="AU9" s="95" t="s">
        <v>258</v>
      </c>
      <c r="AV9" s="95" t="s">
        <v>258</v>
      </c>
      <c r="AW9" s="95" t="s">
        <v>258</v>
      </c>
      <c r="AX9" s="85">
        <v>44256</v>
      </c>
      <c r="AY9" s="85">
        <v>43842</v>
      </c>
      <c r="AZ9" s="85">
        <v>44222</v>
      </c>
      <c r="BA9" s="85">
        <v>44302</v>
      </c>
      <c r="BB9" s="84" t="s">
        <v>318</v>
      </c>
      <c r="BC9" s="85">
        <v>44288</v>
      </c>
      <c r="BD9" s="85">
        <v>44295</v>
      </c>
      <c r="BE9" s="85">
        <v>44316</v>
      </c>
      <c r="BF9" s="84" t="s">
        <v>319</v>
      </c>
      <c r="BG9" s="73">
        <v>3530.0248666666666</v>
      </c>
      <c r="BH9" s="74">
        <v>-310.34526809699628</v>
      </c>
      <c r="BI9" s="74">
        <v>310.34526809699628</v>
      </c>
      <c r="BJ9" s="75">
        <v>6.8466666666666667</v>
      </c>
      <c r="BK9" s="74">
        <v>317.19193476366297</v>
      </c>
      <c r="BL9" s="75"/>
      <c r="BM9" s="75">
        <v>0</v>
      </c>
      <c r="BN9" s="75">
        <v>0</v>
      </c>
      <c r="BO9" s="76">
        <v>0</v>
      </c>
      <c r="BP9" s="77">
        <v>70</v>
      </c>
      <c r="BQ9" s="75">
        <v>0</v>
      </c>
      <c r="BR9" s="75">
        <v>66.040000000000006</v>
      </c>
      <c r="BS9" s="75">
        <f>SUM(BR9*0.1)</f>
        <v>6.604000000000001</v>
      </c>
      <c r="BT9" s="75">
        <f>SUM(BU9*BV9)</f>
        <v>36.927366666666657</v>
      </c>
      <c r="BU9" s="76">
        <f>SUM((BR9+BS9)*0.00833333333333333)</f>
        <v>0.6053666666666665</v>
      </c>
      <c r="BV9" s="77">
        <v>61</v>
      </c>
      <c r="BW9" s="75">
        <f>SUM(BR9,BS9,BT9)</f>
        <v>109.57136666666666</v>
      </c>
      <c r="BX9" s="75">
        <v>66.040000000000006</v>
      </c>
      <c r="BY9" s="75">
        <f t="shared" ref="BY9:BY15" si="1">SUM(BX9*0.1)</f>
        <v>6.604000000000001</v>
      </c>
      <c r="BZ9" s="75">
        <f t="shared" ref="BZ9:BZ24" si="2">SUM(CA9*CB9)</f>
        <v>29.662966666666659</v>
      </c>
      <c r="CA9" s="76">
        <f t="shared" ref="CA9:CA24" si="3">SUM((BX9+BY9)*0.00833333333333333)</f>
        <v>0.6053666666666665</v>
      </c>
      <c r="CB9" s="77">
        <v>49</v>
      </c>
      <c r="CC9" s="75">
        <f t="shared" ref="CC9:CC24" si="4">SUM(BX9,BY9,BZ9)</f>
        <v>102.30696666666667</v>
      </c>
      <c r="CD9" s="75">
        <v>66.040000000000006</v>
      </c>
      <c r="CE9" s="75">
        <f t="shared" ref="CE9:CE24" si="5">SUM(CD9*0.1)</f>
        <v>6.604000000000001</v>
      </c>
      <c r="CF9" s="75">
        <f t="shared" ref="CF9:CF24" si="6">SUM(CG9*CH9)</f>
        <v>22.39856666666666</v>
      </c>
      <c r="CG9" s="76">
        <f t="shared" ref="CG9:CG24" si="7">SUM((CD9+CE9)*0.00833333333333333)</f>
        <v>0.6053666666666665</v>
      </c>
      <c r="CH9" s="77">
        <v>37</v>
      </c>
      <c r="CI9" s="75">
        <f t="shared" ref="CI9:CI24" si="8">SUM(CD9,CE9,CF9)</f>
        <v>95.042566666666659</v>
      </c>
      <c r="CJ9" s="75">
        <v>82.16</v>
      </c>
      <c r="CK9" s="75">
        <v>8.2159999999999993</v>
      </c>
      <c r="CL9" s="75">
        <f t="shared" ref="CL9:CL24" si="9">SUM(CM9*CN9)</f>
        <v>18.828333333333322</v>
      </c>
      <c r="CM9" s="76">
        <f t="shared" ref="CM9:CM24" si="10">SUM((CJ9+CK9)*0.00833333333333333)</f>
        <v>0.75313333333333288</v>
      </c>
      <c r="CN9" s="77">
        <v>25</v>
      </c>
      <c r="CO9" s="75">
        <f t="shared" ref="CO9:CO24" si="11">SUM(CJ9,CK9,CL9)</f>
        <v>109.20433333333331</v>
      </c>
      <c r="CP9" s="75">
        <v>82.16</v>
      </c>
      <c r="CQ9" s="75">
        <v>8.2159999999999993</v>
      </c>
      <c r="CR9" s="75">
        <f t="shared" ref="CR9:CR24" si="12">SUM(CS9*CT9)</f>
        <v>9.7907333333333266</v>
      </c>
      <c r="CS9" s="76">
        <f t="shared" ref="CS9:CS24" si="13">SUM((CP9+CQ9)*0.00833333333333333)</f>
        <v>0.75313333333333288</v>
      </c>
      <c r="CT9" s="77">
        <v>13</v>
      </c>
      <c r="CU9" s="75">
        <f t="shared" ref="CU9:CU24" si="14">SUM(CP9,CQ9,CR9)</f>
        <v>100.16673333333331</v>
      </c>
      <c r="CV9" s="75">
        <f t="shared" ref="CV9:CV24" si="15">SUM(DP9*0.0052)</f>
        <v>82.16</v>
      </c>
      <c r="CW9" s="75">
        <f t="shared" ref="CW9:CW24" si="16">SUM(BL9, BR9, BX9, CD9,CJ9,CP9, CV9)</f>
        <v>444.59999999999991</v>
      </c>
      <c r="CX9" s="75">
        <f t="shared" ref="CX9:CX24" si="17">SUM(BM9, BS9, BY9, CE9,CK9,CQ9)</f>
        <v>36.244000000000007</v>
      </c>
      <c r="CY9" s="75">
        <f t="shared" ref="CY9:CY24" si="18">SUM(BN9, BT9, BZ9, CF9,CL9,CR9)</f>
        <v>117.60796666666661</v>
      </c>
      <c r="CZ9" s="75">
        <f t="shared" ref="CZ9:CZ24" si="19">SUM(CW9:CY9)</f>
        <v>598.45196666666652</v>
      </c>
      <c r="DA9" s="78">
        <v>3.20458776371308E-2</v>
      </c>
      <c r="DB9" s="75">
        <v>1749</v>
      </c>
      <c r="DC9" s="79">
        <v>2</v>
      </c>
      <c r="DD9" s="75">
        <f>15.62+25.03</f>
        <v>40.65</v>
      </c>
      <c r="DE9" s="75">
        <v>300</v>
      </c>
      <c r="DF9" s="75">
        <f t="shared" ref="DF9:DF24" si="20">SUM(CZ9,DB9,DL9, DE9, DD9,FO9)</f>
        <v>4514.6019666666662</v>
      </c>
      <c r="DG9" s="75">
        <f>674.58+182.42</f>
        <v>857</v>
      </c>
      <c r="DH9" s="75">
        <v>191.25</v>
      </c>
      <c r="DI9" s="75">
        <v>68.25</v>
      </c>
      <c r="DJ9" s="75">
        <v>100</v>
      </c>
      <c r="DK9" s="80">
        <v>610</v>
      </c>
      <c r="DL9" s="75">
        <f t="shared" ref="DL9:DL24" si="21">SUM(DG9:DK9)</f>
        <v>1826.5</v>
      </c>
      <c r="DM9" s="81" t="s">
        <v>2217</v>
      </c>
      <c r="DN9" s="80">
        <v>15500</v>
      </c>
      <c r="DO9" s="80">
        <v>300</v>
      </c>
      <c r="DP9" s="80">
        <v>15800</v>
      </c>
      <c r="DQ9" s="82">
        <v>0.97</v>
      </c>
      <c r="DR9" s="72" t="s">
        <v>2233</v>
      </c>
      <c r="DS9" s="72" t="s">
        <v>2234</v>
      </c>
      <c r="EZ9" s="106"/>
      <c r="FI9" s="106"/>
      <c r="FO9" s="75"/>
      <c r="FT9" s="112"/>
      <c r="GD9" s="112"/>
      <c r="GS9" s="106"/>
      <c r="HZ9" s="106">
        <v>44499</v>
      </c>
      <c r="IA9" s="75">
        <v>5500</v>
      </c>
      <c r="IB9" s="75">
        <v>600</v>
      </c>
      <c r="IC9" s="106"/>
      <c r="IE9" s="72" t="s">
        <v>2757</v>
      </c>
      <c r="IF9" s="72" t="s">
        <v>2732</v>
      </c>
      <c r="IG9" s="72" t="s">
        <v>300</v>
      </c>
      <c r="IJ9" s="75">
        <v>115.67</v>
      </c>
      <c r="IK9" s="75">
        <f t="shared" ref="IK9:IK24" si="22">SUM(IA9-DF9-II9)</f>
        <v>985.39803333333384</v>
      </c>
      <c r="IL9" s="106">
        <v>44333</v>
      </c>
      <c r="IM9" s="106">
        <v>44349</v>
      </c>
      <c r="IN9" s="106">
        <v>44501</v>
      </c>
      <c r="IO9" s="106">
        <v>44505</v>
      </c>
    </row>
    <row r="10" spans="1:250" s="72" customFormat="1">
      <c r="A10" s="72">
        <v>102019074</v>
      </c>
      <c r="B10" s="75" t="s">
        <v>694</v>
      </c>
      <c r="C10" s="95"/>
      <c r="D10" s="95"/>
      <c r="E10" s="81" t="s">
        <v>2385</v>
      </c>
      <c r="F10" s="84">
        <v>210001576</v>
      </c>
      <c r="J10" s="72" t="s">
        <v>253</v>
      </c>
      <c r="K10" s="72" t="s">
        <v>695</v>
      </c>
      <c r="L10" s="72" t="s">
        <v>696</v>
      </c>
      <c r="O10" s="95"/>
      <c r="T10" s="95"/>
      <c r="AG10" s="83"/>
      <c r="AJ10" s="75" t="s">
        <v>328</v>
      </c>
      <c r="AK10" s="75"/>
      <c r="AL10" s="72" t="s">
        <v>386</v>
      </c>
      <c r="AN10" s="72" t="s">
        <v>603</v>
      </c>
      <c r="AO10" s="107" t="s">
        <v>604</v>
      </c>
      <c r="AP10" s="107" t="s">
        <v>258</v>
      </c>
      <c r="AQ10" s="81" t="s">
        <v>259</v>
      </c>
      <c r="AR10" s="81" t="s">
        <v>260</v>
      </c>
      <c r="AS10" s="73"/>
      <c r="AT10" s="73"/>
      <c r="AU10" s="95" t="s">
        <v>258</v>
      </c>
      <c r="AV10" s="95" t="s">
        <v>258</v>
      </c>
      <c r="AW10" s="95" t="s">
        <v>258</v>
      </c>
      <c r="AX10" s="85">
        <v>44256</v>
      </c>
      <c r="AY10" s="85">
        <v>43842</v>
      </c>
      <c r="AZ10" s="85">
        <v>44222</v>
      </c>
      <c r="BA10" s="85">
        <v>44302</v>
      </c>
      <c r="BB10" s="84" t="s">
        <v>318</v>
      </c>
      <c r="BC10" s="85">
        <v>44288</v>
      </c>
      <c r="BD10" s="85">
        <v>44295</v>
      </c>
      <c r="BE10" s="85">
        <v>44316</v>
      </c>
      <c r="BF10" s="84" t="s">
        <v>319</v>
      </c>
      <c r="BG10" s="73">
        <v>3745.0756666666666</v>
      </c>
      <c r="BH10" s="74">
        <v>-329.25164997851965</v>
      </c>
      <c r="BI10" s="74">
        <v>329.25164997851965</v>
      </c>
      <c r="BJ10" s="75">
        <v>8.7966666666666651</v>
      </c>
      <c r="BK10" s="74">
        <v>338.04831664518633</v>
      </c>
      <c r="BL10" s="75"/>
      <c r="BM10" s="75">
        <v>0</v>
      </c>
      <c r="BN10" s="75">
        <v>0</v>
      </c>
      <c r="BO10" s="76">
        <v>0</v>
      </c>
      <c r="BP10" s="77">
        <v>70</v>
      </c>
      <c r="BQ10" s="75">
        <v>0</v>
      </c>
      <c r="BR10" s="75">
        <v>84.76</v>
      </c>
      <c r="BS10" s="75">
        <f>SUM(BR10*0.1)</f>
        <v>8.4760000000000009</v>
      </c>
      <c r="BT10" s="75">
        <f>SUM(BU10*BV10)</f>
        <v>47.394966666666647</v>
      </c>
      <c r="BU10" s="76">
        <f>SUM((BR10+BS10)*0.00833333333333333)</f>
        <v>0.77696666666666636</v>
      </c>
      <c r="BV10" s="77">
        <v>61</v>
      </c>
      <c r="BW10" s="75">
        <f>SUM(BR10,BS10,BT10)</f>
        <v>140.63096666666667</v>
      </c>
      <c r="BX10" s="75">
        <v>84.76</v>
      </c>
      <c r="BY10" s="75">
        <f t="shared" si="1"/>
        <v>8.4760000000000009</v>
      </c>
      <c r="BZ10" s="75">
        <f t="shared" si="2"/>
        <v>38.071366666666648</v>
      </c>
      <c r="CA10" s="76">
        <f t="shared" si="3"/>
        <v>0.77696666666666636</v>
      </c>
      <c r="CB10" s="77">
        <v>49</v>
      </c>
      <c r="CC10" s="75">
        <f t="shared" si="4"/>
        <v>131.30736666666667</v>
      </c>
      <c r="CD10" s="75">
        <v>84.76</v>
      </c>
      <c r="CE10" s="75">
        <f t="shared" si="5"/>
        <v>8.4760000000000009</v>
      </c>
      <c r="CF10" s="75">
        <f t="shared" si="6"/>
        <v>28.747766666666656</v>
      </c>
      <c r="CG10" s="76">
        <f t="shared" si="7"/>
        <v>0.77696666666666636</v>
      </c>
      <c r="CH10" s="77">
        <v>37</v>
      </c>
      <c r="CI10" s="75">
        <f t="shared" si="8"/>
        <v>121.98376666666667</v>
      </c>
      <c r="CJ10" s="75">
        <v>105.55999999999999</v>
      </c>
      <c r="CK10" s="75">
        <v>10.555999999999999</v>
      </c>
      <c r="CL10" s="75">
        <f t="shared" si="9"/>
        <v>24.19083333333332</v>
      </c>
      <c r="CM10" s="76">
        <f t="shared" si="10"/>
        <v>0.96763333333333279</v>
      </c>
      <c r="CN10" s="77">
        <v>25</v>
      </c>
      <c r="CO10" s="75">
        <f t="shared" si="11"/>
        <v>140.30683333333332</v>
      </c>
      <c r="CP10" s="75">
        <v>105.55999999999999</v>
      </c>
      <c r="CQ10" s="75">
        <v>10.555999999999999</v>
      </c>
      <c r="CR10" s="75">
        <f t="shared" si="12"/>
        <v>12.579233333333326</v>
      </c>
      <c r="CS10" s="76">
        <f t="shared" si="13"/>
        <v>0.96763333333333279</v>
      </c>
      <c r="CT10" s="77">
        <v>13</v>
      </c>
      <c r="CU10" s="75">
        <f t="shared" si="14"/>
        <v>128.69523333333331</v>
      </c>
      <c r="CV10" s="75">
        <f t="shared" si="15"/>
        <v>105.55999999999999</v>
      </c>
      <c r="CW10" s="75">
        <f t="shared" si="16"/>
        <v>570.96</v>
      </c>
      <c r="CX10" s="75">
        <f t="shared" si="17"/>
        <v>46.54</v>
      </c>
      <c r="CY10" s="75">
        <f t="shared" si="18"/>
        <v>150.9841666666666</v>
      </c>
      <c r="CZ10" s="75">
        <f t="shared" si="19"/>
        <v>768.48416666666662</v>
      </c>
      <c r="DA10" s="78">
        <v>3.2025894909688012E-2</v>
      </c>
      <c r="DB10" s="75">
        <v>1846.5</v>
      </c>
      <c r="DC10" s="79">
        <v>4</v>
      </c>
      <c r="DD10" s="75">
        <f>20.12+25.03</f>
        <v>45.150000000000006</v>
      </c>
      <c r="DE10" s="75">
        <v>350</v>
      </c>
      <c r="DF10" s="75">
        <f t="shared" si="20"/>
        <v>4853.3841666666667</v>
      </c>
      <c r="DG10" s="75">
        <f>674.58+182.42</f>
        <v>857</v>
      </c>
      <c r="DH10" s="75">
        <v>203.75</v>
      </c>
      <c r="DI10" s="75">
        <v>72.5</v>
      </c>
      <c r="DJ10" s="75">
        <v>100</v>
      </c>
      <c r="DK10" s="80">
        <v>610</v>
      </c>
      <c r="DL10" s="75">
        <f t="shared" si="21"/>
        <v>1843.25</v>
      </c>
      <c r="DM10" s="81" t="s">
        <v>2217</v>
      </c>
      <c r="DN10" s="80">
        <v>20300</v>
      </c>
      <c r="DO10" s="80">
        <v>0</v>
      </c>
      <c r="DP10" s="80">
        <v>20300</v>
      </c>
      <c r="DQ10" s="82">
        <v>1.06</v>
      </c>
      <c r="DR10" s="72" t="s">
        <v>2237</v>
      </c>
      <c r="DS10" s="72" t="s">
        <v>2238</v>
      </c>
      <c r="DT10" s="72" t="s">
        <v>2239</v>
      </c>
      <c r="ED10" s="72" t="s">
        <v>2240</v>
      </c>
      <c r="EE10" s="72" t="s">
        <v>258</v>
      </c>
      <c r="EF10" s="72" t="s">
        <v>2228</v>
      </c>
      <c r="EJ10" s="72" t="s">
        <v>2241</v>
      </c>
      <c r="EK10" s="72" t="s">
        <v>258</v>
      </c>
      <c r="EL10" s="72" t="s">
        <v>2228</v>
      </c>
      <c r="EZ10" s="106"/>
      <c r="FI10" s="106"/>
      <c r="FO10" s="75"/>
      <c r="FT10" s="112"/>
      <c r="GD10" s="112"/>
      <c r="GS10" s="106"/>
      <c r="HZ10" s="106">
        <v>44499</v>
      </c>
      <c r="IA10" s="75">
        <v>10000</v>
      </c>
      <c r="IB10" s="75">
        <v>1000</v>
      </c>
      <c r="IC10" s="106"/>
      <c r="IE10" s="72" t="s">
        <v>2742</v>
      </c>
      <c r="IF10" s="72" t="s">
        <v>2743</v>
      </c>
      <c r="IG10" s="72" t="s">
        <v>386</v>
      </c>
      <c r="IJ10" s="75">
        <v>135.16999999999999</v>
      </c>
      <c r="IK10" s="75">
        <f t="shared" si="22"/>
        <v>5146.6158333333333</v>
      </c>
      <c r="IL10" s="106">
        <v>44333</v>
      </c>
      <c r="IM10" s="106">
        <v>44349</v>
      </c>
      <c r="IN10" s="106">
        <v>44501</v>
      </c>
      <c r="IO10" s="106">
        <v>44505</v>
      </c>
    </row>
    <row r="11" spans="1:250" s="72" customFormat="1">
      <c r="A11" s="72">
        <v>102020006</v>
      </c>
      <c r="B11" s="75" t="s">
        <v>1545</v>
      </c>
      <c r="C11" s="95" t="s">
        <v>258</v>
      </c>
      <c r="D11" s="95"/>
      <c r="E11" s="72" t="s">
        <v>2414</v>
      </c>
      <c r="F11" s="72">
        <v>210000904</v>
      </c>
      <c r="J11" s="72" t="s">
        <v>311</v>
      </c>
      <c r="K11" s="72" t="s">
        <v>1546</v>
      </c>
      <c r="L11" s="72" t="s">
        <v>1547</v>
      </c>
      <c r="M11" s="72" t="s">
        <v>392</v>
      </c>
      <c r="AD11" s="72" t="s">
        <v>1884</v>
      </c>
      <c r="AE11" s="72" t="s">
        <v>311</v>
      </c>
      <c r="AF11" s="72" t="s">
        <v>1546</v>
      </c>
      <c r="AG11" s="83" t="s">
        <v>1881</v>
      </c>
      <c r="AH11" s="72" t="s">
        <v>1882</v>
      </c>
      <c r="AI11" s="72" t="s">
        <v>1883</v>
      </c>
      <c r="AJ11" s="75" t="s">
        <v>1548</v>
      </c>
      <c r="AK11" s="72" t="s">
        <v>258</v>
      </c>
      <c r="AL11" s="72" t="s">
        <v>438</v>
      </c>
      <c r="AM11" s="72" t="s">
        <v>260</v>
      </c>
      <c r="AO11" s="107" t="s">
        <v>1549</v>
      </c>
      <c r="AP11" s="81" t="s">
        <v>258</v>
      </c>
      <c r="AQ11" s="81" t="s">
        <v>798</v>
      </c>
      <c r="AR11" s="72" t="s">
        <v>750</v>
      </c>
      <c r="AS11" s="95" t="s">
        <v>258</v>
      </c>
      <c r="AT11" s="95" t="s">
        <v>258</v>
      </c>
      <c r="AU11" s="95"/>
      <c r="AV11" s="95"/>
      <c r="AW11" s="95"/>
      <c r="AX11" s="85">
        <v>44230</v>
      </c>
      <c r="AY11" s="85">
        <v>43982</v>
      </c>
      <c r="AZ11" s="85">
        <v>43978</v>
      </c>
      <c r="BA11" s="85"/>
      <c r="BB11" s="84"/>
      <c r="BC11" s="85"/>
      <c r="BD11" s="85"/>
      <c r="BE11" s="85">
        <v>44428</v>
      </c>
      <c r="BF11" s="84" t="s">
        <v>319</v>
      </c>
      <c r="BG11" s="73">
        <v>2263.81</v>
      </c>
      <c r="BH11" s="74">
        <v>-199.02486467016803</v>
      </c>
      <c r="BI11" s="74">
        <v>199.02486467016803</v>
      </c>
      <c r="BJ11" s="75">
        <v>5.2866666666666662</v>
      </c>
      <c r="BK11" s="74">
        <v>204.31153133683469</v>
      </c>
      <c r="BL11" s="75"/>
      <c r="BM11" s="75">
        <v>0</v>
      </c>
      <c r="BN11" s="75">
        <v>0</v>
      </c>
      <c r="BO11" s="76">
        <v>0</v>
      </c>
      <c r="BP11" s="77">
        <v>70</v>
      </c>
      <c r="BQ11" s="75">
        <v>0</v>
      </c>
      <c r="BR11" s="75"/>
      <c r="BS11" s="75">
        <v>0</v>
      </c>
      <c r="BT11" s="75">
        <f>SUM(BU11*BV11)</f>
        <v>0</v>
      </c>
      <c r="BU11" s="76">
        <v>0</v>
      </c>
      <c r="BV11" s="77">
        <v>58</v>
      </c>
      <c r="BW11" s="75">
        <f>SUM(BR11,BS11,BT11)</f>
        <v>0</v>
      </c>
      <c r="BX11" s="75">
        <v>0</v>
      </c>
      <c r="BY11" s="75">
        <f t="shared" si="1"/>
        <v>0</v>
      </c>
      <c r="BZ11" s="75">
        <f t="shared" si="2"/>
        <v>0</v>
      </c>
      <c r="CA11" s="76">
        <f t="shared" si="3"/>
        <v>0</v>
      </c>
      <c r="CB11" s="77">
        <v>49</v>
      </c>
      <c r="CC11" s="75">
        <f t="shared" si="4"/>
        <v>0</v>
      </c>
      <c r="CD11" s="75">
        <v>18.940000000000001</v>
      </c>
      <c r="CE11" s="75">
        <f t="shared" si="5"/>
        <v>1.8940000000000001</v>
      </c>
      <c r="CF11" s="75">
        <f t="shared" si="6"/>
        <v>6.4238166666666645</v>
      </c>
      <c r="CG11" s="76">
        <f t="shared" si="7"/>
        <v>0.17361666666666661</v>
      </c>
      <c r="CH11" s="77">
        <v>37</v>
      </c>
      <c r="CI11" s="75">
        <f t="shared" si="8"/>
        <v>27.257816666666667</v>
      </c>
      <c r="CJ11" s="75">
        <v>63.44</v>
      </c>
      <c r="CK11" s="75">
        <v>6.3440000000000003</v>
      </c>
      <c r="CL11" s="75">
        <f t="shared" si="9"/>
        <v>14.538333333333325</v>
      </c>
      <c r="CM11" s="76">
        <f t="shared" si="10"/>
        <v>0.58153333333333301</v>
      </c>
      <c r="CN11" s="77">
        <v>25</v>
      </c>
      <c r="CO11" s="75">
        <f t="shared" si="11"/>
        <v>84.322333333333319</v>
      </c>
      <c r="CP11" s="75">
        <v>63.44</v>
      </c>
      <c r="CQ11" s="75">
        <v>6.3440000000000003</v>
      </c>
      <c r="CR11" s="75">
        <f t="shared" si="12"/>
        <v>7.559933333333329</v>
      </c>
      <c r="CS11" s="76">
        <f t="shared" si="13"/>
        <v>0.58153333333333301</v>
      </c>
      <c r="CT11" s="77">
        <v>13</v>
      </c>
      <c r="CU11" s="75">
        <f t="shared" si="14"/>
        <v>77.343933333333325</v>
      </c>
      <c r="CV11" s="75">
        <f t="shared" si="15"/>
        <v>63.44</v>
      </c>
      <c r="CW11" s="75">
        <f t="shared" si="16"/>
        <v>209.26</v>
      </c>
      <c r="CX11" s="75">
        <f t="shared" si="17"/>
        <v>14.582000000000001</v>
      </c>
      <c r="CY11" s="75">
        <f t="shared" si="18"/>
        <v>28.52208333333332</v>
      </c>
      <c r="CZ11" s="75">
        <f t="shared" si="19"/>
        <v>252.3640833333333</v>
      </c>
      <c r="DA11" s="78">
        <v>1.5045901639344262E-2</v>
      </c>
      <c r="DB11" s="75">
        <v>1612</v>
      </c>
      <c r="DC11" s="79">
        <v>4</v>
      </c>
      <c r="DD11" s="75">
        <f>32.25+25.03</f>
        <v>57.28</v>
      </c>
      <c r="DE11" s="75">
        <v>150</v>
      </c>
      <c r="DF11" s="75">
        <f t="shared" si="20"/>
        <v>4034.3840833333338</v>
      </c>
      <c r="DG11" s="75">
        <f>37.25+182.42</f>
        <v>219.67</v>
      </c>
      <c r="DH11" s="75"/>
      <c r="DI11" s="75">
        <v>88.75</v>
      </c>
      <c r="DJ11" s="75">
        <v>100</v>
      </c>
      <c r="DK11" s="80">
        <v>610</v>
      </c>
      <c r="DL11" s="75">
        <f t="shared" si="21"/>
        <v>1018.42</v>
      </c>
      <c r="DM11" s="81" t="s">
        <v>2299</v>
      </c>
      <c r="DN11" s="80">
        <v>2000</v>
      </c>
      <c r="DO11" s="80">
        <v>10200</v>
      </c>
      <c r="DP11" s="80">
        <v>12200</v>
      </c>
      <c r="DQ11" s="82">
        <v>0.02</v>
      </c>
      <c r="DR11" s="108" t="s">
        <v>1850</v>
      </c>
      <c r="DS11" s="72" t="s">
        <v>1851</v>
      </c>
      <c r="DT11" s="72" t="s">
        <v>1852</v>
      </c>
      <c r="EU11" s="72" t="s">
        <v>1853</v>
      </c>
      <c r="EV11" s="72" t="s">
        <v>1854</v>
      </c>
      <c r="EW11" s="72" t="s">
        <v>936</v>
      </c>
      <c r="EX11" s="72" t="s">
        <v>386</v>
      </c>
      <c r="EY11" s="72" t="s">
        <v>260</v>
      </c>
      <c r="EZ11" s="106">
        <v>40331</v>
      </c>
      <c r="FA11" s="72" t="s">
        <v>1855</v>
      </c>
      <c r="FJ11" s="72" t="s">
        <v>473</v>
      </c>
      <c r="FK11" s="72" t="s">
        <v>474</v>
      </c>
      <c r="FL11" s="72" t="s">
        <v>475</v>
      </c>
      <c r="FM11" s="72" t="s">
        <v>438</v>
      </c>
      <c r="FN11" s="72" t="s">
        <v>260</v>
      </c>
      <c r="FO11" s="75">
        <f>944.32</f>
        <v>944.32</v>
      </c>
      <c r="FP11" s="72" t="s">
        <v>473</v>
      </c>
      <c r="FQ11" s="72" t="s">
        <v>474</v>
      </c>
      <c r="FS11" s="72" t="s">
        <v>475</v>
      </c>
      <c r="FT11" s="72" t="s">
        <v>438</v>
      </c>
      <c r="FU11" s="72" t="s">
        <v>260</v>
      </c>
      <c r="FV11" s="106">
        <v>40331</v>
      </c>
      <c r="FW11" s="72" t="s">
        <v>1855</v>
      </c>
      <c r="HZ11" s="106">
        <v>44499</v>
      </c>
      <c r="IA11" s="72">
        <v>8500</v>
      </c>
      <c r="IB11" s="75">
        <v>10000</v>
      </c>
      <c r="IE11" s="72" t="s">
        <v>2720</v>
      </c>
      <c r="IF11" s="72" t="s">
        <v>2721</v>
      </c>
      <c r="IG11" s="72" t="s">
        <v>2722</v>
      </c>
      <c r="II11" s="72">
        <v>4083.37</v>
      </c>
      <c r="IJ11" s="75">
        <v>100.17</v>
      </c>
      <c r="IK11" s="75">
        <f t="shared" si="22"/>
        <v>382.24591666666583</v>
      </c>
      <c r="IL11" s="106">
        <v>44434</v>
      </c>
      <c r="IM11" s="106">
        <v>44453</v>
      </c>
      <c r="IN11" s="106">
        <v>44501</v>
      </c>
    </row>
    <row r="12" spans="1:250" s="39" customFormat="1" ht="15" customHeight="1">
      <c r="A12" s="39">
        <v>102020051</v>
      </c>
      <c r="B12" s="39" t="s">
        <v>1674</v>
      </c>
      <c r="C12" s="51"/>
      <c r="D12" s="51"/>
      <c r="E12" s="39" t="s">
        <v>1891</v>
      </c>
      <c r="F12" s="39">
        <v>200003752</v>
      </c>
      <c r="J12" s="39" t="s">
        <v>311</v>
      </c>
      <c r="K12" s="39" t="s">
        <v>672</v>
      </c>
      <c r="L12" s="39" t="s">
        <v>1675</v>
      </c>
      <c r="M12" s="39" t="s">
        <v>326</v>
      </c>
      <c r="AG12" s="55"/>
      <c r="AJ12" s="39" t="s">
        <v>328</v>
      </c>
      <c r="AL12" s="39" t="s">
        <v>259</v>
      </c>
      <c r="AN12" s="39" t="s">
        <v>1676</v>
      </c>
      <c r="AO12" s="56" t="s">
        <v>1677</v>
      </c>
      <c r="AP12" s="56" t="s">
        <v>258</v>
      </c>
      <c r="AQ12" s="56" t="s">
        <v>1857</v>
      </c>
      <c r="AS12" s="51"/>
      <c r="AT12" s="51"/>
      <c r="AU12" s="51" t="s">
        <v>258</v>
      </c>
      <c r="AV12" s="51" t="s">
        <v>258</v>
      </c>
      <c r="AW12" s="51" t="s">
        <v>258</v>
      </c>
      <c r="AX12" s="52">
        <v>44018</v>
      </c>
      <c r="AY12" s="52">
        <v>43982</v>
      </c>
      <c r="AZ12" s="52">
        <v>43977</v>
      </c>
      <c r="BA12" s="52">
        <v>44071</v>
      </c>
      <c r="BB12" s="53" t="s">
        <v>318</v>
      </c>
      <c r="BC12" s="52">
        <v>44057</v>
      </c>
      <c r="BD12" s="52">
        <v>44064</v>
      </c>
      <c r="BE12" s="52">
        <v>44316</v>
      </c>
      <c r="BF12" s="53" t="s">
        <v>319</v>
      </c>
      <c r="BG12" s="49">
        <v>3347.3198833333331</v>
      </c>
      <c r="BH12" s="50">
        <v>-294.28259738590214</v>
      </c>
      <c r="BI12" s="50">
        <v>294.28259738590214</v>
      </c>
      <c r="BJ12" s="40">
        <v>5.6333333333333329</v>
      </c>
      <c r="BK12" s="50">
        <v>299.91593071923546</v>
      </c>
      <c r="BL12" s="40"/>
      <c r="BM12" s="40">
        <v>0</v>
      </c>
      <c r="BN12" s="40">
        <v>0</v>
      </c>
      <c r="BO12" s="57">
        <v>0</v>
      </c>
      <c r="BP12" s="58">
        <v>70</v>
      </c>
      <c r="BQ12" s="40">
        <v>0</v>
      </c>
      <c r="BR12" s="40"/>
      <c r="BS12" s="40">
        <v>0</v>
      </c>
      <c r="BT12" s="40">
        <v>0</v>
      </c>
      <c r="BU12" s="57">
        <v>0</v>
      </c>
      <c r="BV12" s="58">
        <v>58</v>
      </c>
      <c r="BW12" s="40">
        <v>0</v>
      </c>
      <c r="BX12" s="40">
        <v>52.01</v>
      </c>
      <c r="BY12" s="40">
        <f t="shared" si="1"/>
        <v>5.2010000000000005</v>
      </c>
      <c r="BZ12" s="40">
        <f t="shared" si="2"/>
        <v>23.361158333333321</v>
      </c>
      <c r="CA12" s="57">
        <f t="shared" si="3"/>
        <v>0.47675833333333312</v>
      </c>
      <c r="CB12" s="58">
        <v>49</v>
      </c>
      <c r="CC12" s="40">
        <f t="shared" si="4"/>
        <v>80.57215833333332</v>
      </c>
      <c r="CD12" s="40">
        <v>67.599999999999994</v>
      </c>
      <c r="CE12" s="40">
        <f t="shared" si="5"/>
        <v>6.76</v>
      </c>
      <c r="CF12" s="40">
        <f t="shared" si="6"/>
        <v>22.927666666666656</v>
      </c>
      <c r="CG12" s="57">
        <f t="shared" si="7"/>
        <v>0.61966666666666637</v>
      </c>
      <c r="CH12" s="58">
        <v>37</v>
      </c>
      <c r="CI12" s="40">
        <f t="shared" si="8"/>
        <v>97.287666666666652</v>
      </c>
      <c r="CJ12" s="40">
        <v>67.599999999999994</v>
      </c>
      <c r="CK12" s="40">
        <v>6.76</v>
      </c>
      <c r="CL12" s="40">
        <f t="shared" si="9"/>
        <v>15.49166666666666</v>
      </c>
      <c r="CM12" s="57">
        <f t="shared" si="10"/>
        <v>0.61966666666666637</v>
      </c>
      <c r="CN12" s="58">
        <v>25</v>
      </c>
      <c r="CO12" s="40">
        <f t="shared" si="11"/>
        <v>89.851666666666659</v>
      </c>
      <c r="CP12" s="40">
        <v>67.599999999999994</v>
      </c>
      <c r="CQ12" s="40">
        <v>6.76</v>
      </c>
      <c r="CR12" s="40">
        <f t="shared" si="12"/>
        <v>8.0556666666666636</v>
      </c>
      <c r="CS12" s="57">
        <f t="shared" si="13"/>
        <v>0.61966666666666637</v>
      </c>
      <c r="CT12" s="58">
        <v>13</v>
      </c>
      <c r="CU12" s="40">
        <f t="shared" si="14"/>
        <v>82.415666666666667</v>
      </c>
      <c r="CV12" s="40">
        <f t="shared" si="15"/>
        <v>67.599999999999994</v>
      </c>
      <c r="CW12" s="40">
        <f t="shared" si="16"/>
        <v>322.40999999999997</v>
      </c>
      <c r="CX12" s="40">
        <f t="shared" si="17"/>
        <v>25.481000000000002</v>
      </c>
      <c r="CY12" s="40">
        <f t="shared" si="18"/>
        <v>69.836158333333302</v>
      </c>
      <c r="CZ12" s="40">
        <f t="shared" si="19"/>
        <v>417.72715833333325</v>
      </c>
      <c r="DA12" s="64">
        <v>2.6393837179487175E-2</v>
      </c>
      <c r="DB12" s="40">
        <v>1664</v>
      </c>
      <c r="DC12" s="65">
        <v>2</v>
      </c>
      <c r="DD12" s="40">
        <f>42.7+25.03</f>
        <v>67.73</v>
      </c>
      <c r="DE12" s="40">
        <v>200</v>
      </c>
      <c r="DF12" s="40">
        <f t="shared" si="20"/>
        <v>4275.3771583333328</v>
      </c>
      <c r="DG12" s="40">
        <f>758+182.42</f>
        <v>940.42</v>
      </c>
      <c r="DH12" s="40">
        <v>198.75</v>
      </c>
      <c r="DI12" s="40">
        <v>76.75</v>
      </c>
      <c r="DJ12" s="40">
        <v>100</v>
      </c>
      <c r="DK12" s="59">
        <v>610</v>
      </c>
      <c r="DL12" s="40">
        <f t="shared" si="21"/>
        <v>1925.92</v>
      </c>
      <c r="DM12" s="56" t="s">
        <v>2299</v>
      </c>
      <c r="DN12" s="59">
        <v>13000</v>
      </c>
      <c r="DO12" s="59">
        <v>0</v>
      </c>
      <c r="DP12" s="59">
        <v>13000</v>
      </c>
      <c r="DQ12" s="60">
        <v>1</v>
      </c>
      <c r="DR12" s="110" t="s">
        <v>1844</v>
      </c>
      <c r="DS12" s="110" t="s">
        <v>1845</v>
      </c>
      <c r="DT12" s="110" t="s">
        <v>1846</v>
      </c>
      <c r="FO12" s="40"/>
      <c r="HZ12" s="54">
        <v>44499</v>
      </c>
      <c r="IA12" s="39">
        <f>7500+1500</f>
        <v>9000</v>
      </c>
      <c r="IB12" s="40">
        <v>0</v>
      </c>
      <c r="IE12" s="39" t="s">
        <v>2763</v>
      </c>
      <c r="IF12" s="39" t="s">
        <v>1251</v>
      </c>
      <c r="IG12" s="39" t="s">
        <v>349</v>
      </c>
      <c r="IJ12" s="40">
        <v>103.33</v>
      </c>
      <c r="IK12" s="40">
        <f t="shared" si="22"/>
        <v>4724.6228416666672</v>
      </c>
      <c r="IL12" s="54">
        <v>44333</v>
      </c>
      <c r="IM12" s="54">
        <v>44349</v>
      </c>
      <c r="IN12" s="54">
        <v>44501</v>
      </c>
      <c r="IO12" s="54">
        <v>44505</v>
      </c>
    </row>
    <row r="13" spans="1:250" s="72" customFormat="1">
      <c r="A13" s="72">
        <v>102020053</v>
      </c>
      <c r="B13" s="72" t="s">
        <v>1680</v>
      </c>
      <c r="C13" s="95"/>
      <c r="D13" s="95"/>
      <c r="E13" s="72" t="s">
        <v>1890</v>
      </c>
      <c r="F13" s="72">
        <v>200003753</v>
      </c>
      <c r="J13" s="72" t="s">
        <v>311</v>
      </c>
      <c r="K13" s="72" t="s">
        <v>1681</v>
      </c>
      <c r="L13" s="72" t="s">
        <v>1099</v>
      </c>
      <c r="M13" s="72" t="s">
        <v>396</v>
      </c>
      <c r="AJ13" s="72" t="s">
        <v>328</v>
      </c>
      <c r="AL13" s="72" t="s">
        <v>329</v>
      </c>
      <c r="AO13" s="81" t="s">
        <v>1682</v>
      </c>
      <c r="AP13" s="81" t="s">
        <v>258</v>
      </c>
      <c r="AQ13" s="81" t="s">
        <v>1683</v>
      </c>
      <c r="AS13" s="95"/>
      <c r="AT13" s="95"/>
      <c r="AU13" s="95" t="s">
        <v>258</v>
      </c>
      <c r="AV13" s="95" t="s">
        <v>258</v>
      </c>
      <c r="AW13" s="95" t="s">
        <v>258</v>
      </c>
      <c r="AX13" s="85">
        <v>44018</v>
      </c>
      <c r="AY13" s="85">
        <v>43982</v>
      </c>
      <c r="AZ13" s="85">
        <v>43977</v>
      </c>
      <c r="BA13" s="85">
        <v>44071</v>
      </c>
      <c r="BB13" s="84" t="s">
        <v>318</v>
      </c>
      <c r="BC13" s="85">
        <v>44057</v>
      </c>
      <c r="BD13" s="85">
        <v>44064</v>
      </c>
      <c r="BE13" s="85">
        <v>44316</v>
      </c>
      <c r="BF13" s="84" t="s">
        <v>319</v>
      </c>
      <c r="BG13" s="73">
        <v>3199.4107999999997</v>
      </c>
      <c r="BH13" s="74">
        <v>-281.27903909527475</v>
      </c>
      <c r="BI13" s="74">
        <v>281.27903909527475</v>
      </c>
      <c r="BJ13" s="75">
        <v>6.0233333333333334</v>
      </c>
      <c r="BK13" s="74">
        <v>287.30237242860807</v>
      </c>
      <c r="BL13" s="75"/>
      <c r="BM13" s="75">
        <v>0</v>
      </c>
      <c r="BN13" s="75">
        <v>0</v>
      </c>
      <c r="BO13" s="76">
        <v>0</v>
      </c>
      <c r="BP13" s="77">
        <v>70</v>
      </c>
      <c r="BQ13" s="75">
        <v>0</v>
      </c>
      <c r="BR13" s="75"/>
      <c r="BS13" s="75">
        <v>0</v>
      </c>
      <c r="BT13" s="75">
        <v>0</v>
      </c>
      <c r="BU13" s="76">
        <v>0</v>
      </c>
      <c r="BV13" s="77">
        <v>58</v>
      </c>
      <c r="BW13" s="75">
        <v>0</v>
      </c>
      <c r="BX13" s="75">
        <v>66.56</v>
      </c>
      <c r="BY13" s="75">
        <f t="shared" si="1"/>
        <v>6.6560000000000006</v>
      </c>
      <c r="BZ13" s="75">
        <f t="shared" si="2"/>
        <v>29.896533333333327</v>
      </c>
      <c r="CA13" s="76">
        <f t="shared" si="3"/>
        <v>0.61013333333333319</v>
      </c>
      <c r="CB13" s="77">
        <v>49</v>
      </c>
      <c r="CC13" s="75">
        <f t="shared" si="4"/>
        <v>103.11253333333333</v>
      </c>
      <c r="CD13" s="75">
        <v>66.56</v>
      </c>
      <c r="CE13" s="75">
        <f t="shared" si="5"/>
        <v>6.6560000000000006</v>
      </c>
      <c r="CF13" s="75">
        <f t="shared" si="6"/>
        <v>22.574933333333327</v>
      </c>
      <c r="CG13" s="76">
        <f t="shared" si="7"/>
        <v>0.61013333333333319</v>
      </c>
      <c r="CH13" s="77">
        <v>37</v>
      </c>
      <c r="CI13" s="75">
        <f t="shared" si="8"/>
        <v>95.790933333333328</v>
      </c>
      <c r="CJ13" s="75">
        <v>72.28</v>
      </c>
      <c r="CK13" s="75">
        <v>7.2280000000000006</v>
      </c>
      <c r="CL13" s="75">
        <f t="shared" si="9"/>
        <v>16.564166666666658</v>
      </c>
      <c r="CM13" s="76">
        <f t="shared" si="10"/>
        <v>0.6625666666666663</v>
      </c>
      <c r="CN13" s="77">
        <v>25</v>
      </c>
      <c r="CO13" s="75">
        <f t="shared" si="11"/>
        <v>96.072166666666647</v>
      </c>
      <c r="CP13" s="75">
        <v>72.28</v>
      </c>
      <c r="CQ13" s="75">
        <v>7.2280000000000006</v>
      </c>
      <c r="CR13" s="75">
        <f t="shared" si="12"/>
        <v>8.6133666666666624</v>
      </c>
      <c r="CS13" s="76">
        <f t="shared" si="13"/>
        <v>0.6625666666666663</v>
      </c>
      <c r="CT13" s="77">
        <v>13</v>
      </c>
      <c r="CU13" s="75">
        <f t="shared" si="14"/>
        <v>88.12136666666666</v>
      </c>
      <c r="CV13" s="75">
        <f t="shared" si="15"/>
        <v>72.28</v>
      </c>
      <c r="CW13" s="75">
        <f t="shared" si="16"/>
        <v>349.96000000000004</v>
      </c>
      <c r="CX13" s="75">
        <f t="shared" si="17"/>
        <v>27.768000000000004</v>
      </c>
      <c r="CY13" s="75">
        <f t="shared" si="18"/>
        <v>77.648999999999987</v>
      </c>
      <c r="CZ13" s="75">
        <f t="shared" si="19"/>
        <v>455.37700000000007</v>
      </c>
      <c r="DA13" s="78">
        <v>2.7011568345323742E-2</v>
      </c>
      <c r="DB13" s="75">
        <v>1599</v>
      </c>
      <c r="DC13" s="79">
        <v>2</v>
      </c>
      <c r="DD13" s="75">
        <f>51.7+25.03</f>
        <v>76.73</v>
      </c>
      <c r="DE13" s="75">
        <v>200</v>
      </c>
      <c r="DF13" s="75">
        <f t="shared" si="20"/>
        <v>4132.777</v>
      </c>
      <c r="DG13" s="75">
        <f>758+182.42</f>
        <v>940.42</v>
      </c>
      <c r="DH13" s="75">
        <v>178.75</v>
      </c>
      <c r="DI13" s="75">
        <v>72.5</v>
      </c>
      <c r="DJ13" s="75">
        <v>100</v>
      </c>
      <c r="DK13" s="80">
        <v>510</v>
      </c>
      <c r="DL13" s="75">
        <f t="shared" si="21"/>
        <v>1801.67</v>
      </c>
      <c r="DM13" s="81" t="s">
        <v>2299</v>
      </c>
      <c r="DN13" s="80">
        <v>13900</v>
      </c>
      <c r="DO13" s="80">
        <v>0</v>
      </c>
      <c r="DP13" s="80">
        <v>13900</v>
      </c>
      <c r="DQ13" s="82">
        <v>2.35</v>
      </c>
      <c r="DR13" s="108" t="s">
        <v>1842</v>
      </c>
      <c r="DS13" s="108" t="s">
        <v>1843</v>
      </c>
      <c r="FO13" s="75"/>
      <c r="HZ13" s="106">
        <v>44499</v>
      </c>
      <c r="IA13" s="72">
        <v>6000</v>
      </c>
      <c r="IB13" s="75">
        <v>5000</v>
      </c>
      <c r="IE13" s="72" t="s">
        <v>2713</v>
      </c>
      <c r="IF13" s="72" t="s">
        <v>2714</v>
      </c>
      <c r="IG13" s="72" t="s">
        <v>259</v>
      </c>
      <c r="IJ13" s="75">
        <v>107.33</v>
      </c>
      <c r="IK13" s="75">
        <f t="shared" si="22"/>
        <v>1867.223</v>
      </c>
      <c r="IL13" s="106">
        <v>44333</v>
      </c>
      <c r="IM13" s="106">
        <v>44349</v>
      </c>
      <c r="IN13" s="106">
        <v>44501</v>
      </c>
      <c r="IO13" s="106">
        <v>44505</v>
      </c>
    </row>
    <row r="14" spans="1:250" s="72" customFormat="1">
      <c r="A14" s="72">
        <v>102020054</v>
      </c>
      <c r="B14" s="72" t="s">
        <v>1684</v>
      </c>
      <c r="C14" s="95"/>
      <c r="D14" s="95"/>
      <c r="E14" s="72" t="s">
        <v>1889</v>
      </c>
      <c r="F14" s="72">
        <v>200003754</v>
      </c>
      <c r="J14" s="72" t="s">
        <v>253</v>
      </c>
      <c r="K14" s="72" t="s">
        <v>1685</v>
      </c>
      <c r="L14" s="72" t="s">
        <v>764</v>
      </c>
      <c r="M14" s="72" t="s">
        <v>426</v>
      </c>
      <c r="AG14" s="83"/>
      <c r="AJ14" s="72" t="s">
        <v>328</v>
      </c>
      <c r="AL14" s="72" t="s">
        <v>329</v>
      </c>
      <c r="AO14" s="81" t="s">
        <v>1686</v>
      </c>
      <c r="AP14" s="81" t="s">
        <v>258</v>
      </c>
      <c r="AQ14" s="81" t="s">
        <v>438</v>
      </c>
      <c r="AR14" s="72" t="s">
        <v>260</v>
      </c>
      <c r="AS14" s="95"/>
      <c r="AT14" s="95"/>
      <c r="AU14" s="95" t="s">
        <v>258</v>
      </c>
      <c r="AV14" s="95" t="s">
        <v>258</v>
      </c>
      <c r="AW14" s="95" t="s">
        <v>258</v>
      </c>
      <c r="AX14" s="85">
        <v>44018</v>
      </c>
      <c r="AY14" s="85">
        <v>43982</v>
      </c>
      <c r="AZ14" s="85">
        <v>43972</v>
      </c>
      <c r="BA14" s="85">
        <v>44071</v>
      </c>
      <c r="BB14" s="84" t="s">
        <v>318</v>
      </c>
      <c r="BC14" s="85">
        <v>44057</v>
      </c>
      <c r="BD14" s="85">
        <v>44064</v>
      </c>
      <c r="BE14" s="85">
        <v>44358</v>
      </c>
      <c r="BF14" s="84" t="s">
        <v>319</v>
      </c>
      <c r="BG14" s="73">
        <v>4010.4900000000002</v>
      </c>
      <c r="BH14" s="74">
        <v>-352.58578657708119</v>
      </c>
      <c r="BI14" s="74">
        <v>352.58578657708119</v>
      </c>
      <c r="BJ14" s="75">
        <v>9.836666666666666</v>
      </c>
      <c r="BK14" s="74">
        <v>362.42245324374784</v>
      </c>
      <c r="BL14" s="75"/>
      <c r="BM14" s="75">
        <v>0</v>
      </c>
      <c r="BN14" s="75">
        <v>0</v>
      </c>
      <c r="BO14" s="76">
        <v>0</v>
      </c>
      <c r="BP14" s="77">
        <v>70</v>
      </c>
      <c r="BQ14" s="75">
        <v>0</v>
      </c>
      <c r="BR14" s="75"/>
      <c r="BS14" s="75">
        <v>0</v>
      </c>
      <c r="BT14" s="75">
        <v>0</v>
      </c>
      <c r="BU14" s="76">
        <v>0</v>
      </c>
      <c r="BV14" s="77">
        <v>58</v>
      </c>
      <c r="BW14" s="75">
        <v>0</v>
      </c>
      <c r="BX14" s="75">
        <v>107.64</v>
      </c>
      <c r="BY14" s="75">
        <f t="shared" si="1"/>
        <v>10.764000000000001</v>
      </c>
      <c r="BZ14" s="75">
        <f t="shared" si="2"/>
        <v>48.348299999999981</v>
      </c>
      <c r="CA14" s="76">
        <f t="shared" si="3"/>
        <v>0.98669999999999958</v>
      </c>
      <c r="CB14" s="77">
        <v>49</v>
      </c>
      <c r="CC14" s="75">
        <f t="shared" si="4"/>
        <v>166.75229999999999</v>
      </c>
      <c r="CD14" s="75">
        <v>107.64</v>
      </c>
      <c r="CE14" s="75">
        <f t="shared" si="5"/>
        <v>10.764000000000001</v>
      </c>
      <c r="CF14" s="75">
        <f t="shared" si="6"/>
        <v>36.507899999999985</v>
      </c>
      <c r="CG14" s="76">
        <f t="shared" si="7"/>
        <v>0.98669999999999958</v>
      </c>
      <c r="CH14" s="77">
        <v>37</v>
      </c>
      <c r="CI14" s="75">
        <f t="shared" si="8"/>
        <v>154.91189999999997</v>
      </c>
      <c r="CJ14" s="75">
        <v>118.04</v>
      </c>
      <c r="CK14" s="75">
        <v>11.804000000000002</v>
      </c>
      <c r="CL14" s="75">
        <f t="shared" si="9"/>
        <v>27.050833333333319</v>
      </c>
      <c r="CM14" s="76">
        <f t="shared" si="10"/>
        <v>1.0820333333333327</v>
      </c>
      <c r="CN14" s="77">
        <v>25</v>
      </c>
      <c r="CO14" s="75">
        <f t="shared" si="11"/>
        <v>156.89483333333331</v>
      </c>
      <c r="CP14" s="75">
        <v>118.03999999999999</v>
      </c>
      <c r="CQ14" s="75">
        <v>11.804</v>
      </c>
      <c r="CR14" s="75">
        <f t="shared" si="12"/>
        <v>14.066433333333325</v>
      </c>
      <c r="CS14" s="76">
        <f t="shared" si="13"/>
        <v>1.0820333333333327</v>
      </c>
      <c r="CT14" s="77">
        <v>13</v>
      </c>
      <c r="CU14" s="75">
        <f t="shared" si="14"/>
        <v>143.91043333333332</v>
      </c>
      <c r="CV14" s="75">
        <f t="shared" si="15"/>
        <v>118.03999999999999</v>
      </c>
      <c r="CW14" s="75">
        <f t="shared" si="16"/>
        <v>569.4</v>
      </c>
      <c r="CX14" s="75">
        <f t="shared" si="17"/>
        <v>45.13600000000001</v>
      </c>
      <c r="CY14" s="75">
        <f t="shared" si="18"/>
        <v>125.97346666666661</v>
      </c>
      <c r="CZ14" s="75">
        <f t="shared" si="19"/>
        <v>740.50946666666653</v>
      </c>
      <c r="DA14" s="78">
        <v>2.5962114537444934E-2</v>
      </c>
      <c r="DB14" s="75">
        <v>1735.5</v>
      </c>
      <c r="DC14" s="79">
        <v>2</v>
      </c>
      <c r="DD14" s="75">
        <f>15.4+25.03</f>
        <v>40.43</v>
      </c>
      <c r="DE14" s="75">
        <v>200</v>
      </c>
      <c r="DF14" s="75">
        <f t="shared" si="20"/>
        <v>4781.1094666666668</v>
      </c>
      <c r="DG14" s="75">
        <f>758+182.42</f>
        <v>940.42</v>
      </c>
      <c r="DH14" s="75">
        <v>291.25</v>
      </c>
      <c r="DI14" s="75">
        <v>98</v>
      </c>
      <c r="DJ14" s="75">
        <v>100</v>
      </c>
      <c r="DK14" s="80">
        <v>635</v>
      </c>
      <c r="DL14" s="75">
        <f t="shared" si="21"/>
        <v>2064.67</v>
      </c>
      <c r="DM14" s="81" t="s">
        <v>2299</v>
      </c>
      <c r="DN14" s="80">
        <v>20000</v>
      </c>
      <c r="DO14" s="80">
        <v>2700</v>
      </c>
      <c r="DP14" s="80">
        <v>22700</v>
      </c>
      <c r="DQ14" s="82">
        <v>1.34</v>
      </c>
      <c r="DR14" s="72" t="s">
        <v>1834</v>
      </c>
      <c r="DS14" s="72" t="s">
        <v>1835</v>
      </c>
      <c r="FO14" s="75"/>
      <c r="HZ14" s="106">
        <v>44499</v>
      </c>
      <c r="IA14" s="72">
        <v>16000</v>
      </c>
      <c r="IB14" s="75">
        <v>1600</v>
      </c>
      <c r="IE14" s="72" t="s">
        <v>2739</v>
      </c>
      <c r="IF14" s="72" t="s">
        <v>2740</v>
      </c>
      <c r="IG14" s="72" t="s">
        <v>2741</v>
      </c>
      <c r="IJ14" s="75">
        <v>145.66999999999999</v>
      </c>
      <c r="IK14" s="75">
        <f t="shared" si="22"/>
        <v>11218.890533333333</v>
      </c>
      <c r="IL14" s="106">
        <v>44349</v>
      </c>
      <c r="IM14" s="106">
        <v>44397</v>
      </c>
      <c r="IN14" s="106">
        <v>44501</v>
      </c>
      <c r="IO14" s="106">
        <v>44505</v>
      </c>
    </row>
    <row r="15" spans="1:250" s="72" customFormat="1">
      <c r="A15" s="72">
        <v>102020071</v>
      </c>
      <c r="B15" s="72" t="s">
        <v>1724</v>
      </c>
      <c r="C15" s="95"/>
      <c r="D15" s="95" t="s">
        <v>258</v>
      </c>
      <c r="K15" s="72" t="s">
        <v>1725</v>
      </c>
      <c r="Z15" s="72" t="s">
        <v>700</v>
      </c>
      <c r="AA15" s="72" t="s">
        <v>1716</v>
      </c>
      <c r="AB15" s="72" t="s">
        <v>274</v>
      </c>
      <c r="AC15" s="72" t="s">
        <v>275</v>
      </c>
      <c r="AG15" s="83"/>
      <c r="AJ15" s="72" t="s">
        <v>328</v>
      </c>
      <c r="AL15" s="72" t="s">
        <v>259</v>
      </c>
      <c r="AO15" s="81" t="s">
        <v>1726</v>
      </c>
      <c r="AP15" s="81" t="s">
        <v>258</v>
      </c>
      <c r="AQ15" s="81" t="s">
        <v>1727</v>
      </c>
      <c r="AS15" s="95"/>
      <c r="AT15" s="95"/>
      <c r="AU15" s="95"/>
      <c r="AV15" s="95"/>
      <c r="AW15" s="95"/>
      <c r="AX15" s="84"/>
      <c r="AY15" s="85">
        <v>43982</v>
      </c>
      <c r="AZ15" s="85">
        <v>43959</v>
      </c>
      <c r="BA15" s="84"/>
      <c r="BB15" s="84"/>
      <c r="BC15" s="84"/>
      <c r="BD15" s="84"/>
      <c r="BE15" s="84"/>
      <c r="BF15" s="84"/>
      <c r="BG15" s="73">
        <v>807.65599999999995</v>
      </c>
      <c r="BH15" s="74">
        <v>-71.005793816640619</v>
      </c>
      <c r="BI15" s="74">
        <v>71.005793816640619</v>
      </c>
      <c r="BJ15" s="75">
        <v>1.3</v>
      </c>
      <c r="BK15" s="74">
        <v>72.305793816640616</v>
      </c>
      <c r="BL15" s="75"/>
      <c r="BM15" s="75">
        <v>0</v>
      </c>
      <c r="BN15" s="75">
        <v>0</v>
      </c>
      <c r="BO15" s="76">
        <v>0</v>
      </c>
      <c r="BP15" s="77">
        <v>70</v>
      </c>
      <c r="BQ15" s="75">
        <v>0</v>
      </c>
      <c r="BR15" s="75"/>
      <c r="BS15" s="75">
        <f>SUM(BR15*0.1)</f>
        <v>0</v>
      </c>
      <c r="BT15" s="75">
        <f>SUM(BU15*BV15)</f>
        <v>0</v>
      </c>
      <c r="BU15" s="76">
        <v>0</v>
      </c>
      <c r="BV15" s="77">
        <v>58</v>
      </c>
      <c r="BW15" s="75">
        <v>0</v>
      </c>
      <c r="BX15" s="75">
        <v>15.6</v>
      </c>
      <c r="BY15" s="75">
        <f t="shared" si="1"/>
        <v>1.56</v>
      </c>
      <c r="BZ15" s="75">
        <f t="shared" si="2"/>
        <v>7.006999999999997</v>
      </c>
      <c r="CA15" s="76">
        <f t="shared" si="3"/>
        <v>0.14299999999999993</v>
      </c>
      <c r="CB15" s="77">
        <v>49</v>
      </c>
      <c r="CC15" s="75">
        <f t="shared" si="4"/>
        <v>24.166999999999998</v>
      </c>
      <c r="CD15" s="75">
        <v>15.6</v>
      </c>
      <c r="CE15" s="75">
        <f t="shared" si="5"/>
        <v>1.56</v>
      </c>
      <c r="CF15" s="75">
        <f t="shared" si="6"/>
        <v>5.2909999999999977</v>
      </c>
      <c r="CG15" s="76">
        <f t="shared" si="7"/>
        <v>0.14299999999999993</v>
      </c>
      <c r="CH15" s="77">
        <v>37</v>
      </c>
      <c r="CI15" s="75">
        <f t="shared" si="8"/>
        <v>22.450999999999997</v>
      </c>
      <c r="CJ15" s="75">
        <v>15.6</v>
      </c>
      <c r="CK15" s="75">
        <v>1.56</v>
      </c>
      <c r="CL15" s="75">
        <f t="shared" si="9"/>
        <v>3.5749999999999984</v>
      </c>
      <c r="CM15" s="76">
        <f t="shared" si="10"/>
        <v>0.14299999999999993</v>
      </c>
      <c r="CN15" s="77">
        <v>25</v>
      </c>
      <c r="CO15" s="75">
        <f t="shared" si="11"/>
        <v>20.734999999999999</v>
      </c>
      <c r="CP15" s="75">
        <v>15.6</v>
      </c>
      <c r="CQ15" s="75">
        <v>1.56</v>
      </c>
      <c r="CR15" s="75">
        <f t="shared" si="12"/>
        <v>1.8589999999999991</v>
      </c>
      <c r="CS15" s="76">
        <f t="shared" si="13"/>
        <v>0.14299999999999993</v>
      </c>
      <c r="CT15" s="77">
        <v>13</v>
      </c>
      <c r="CU15" s="75">
        <f t="shared" si="14"/>
        <v>19.018999999999998</v>
      </c>
      <c r="CV15" s="75">
        <f t="shared" si="15"/>
        <v>15.6</v>
      </c>
      <c r="CW15" s="75">
        <f t="shared" si="16"/>
        <v>78</v>
      </c>
      <c r="CX15" s="75">
        <f t="shared" si="17"/>
        <v>6.24</v>
      </c>
      <c r="CY15" s="75">
        <f t="shared" si="18"/>
        <v>17.731999999999992</v>
      </c>
      <c r="CZ15" s="75">
        <f t="shared" si="19"/>
        <v>101.97199999999998</v>
      </c>
      <c r="DA15" s="78">
        <v>2.8218666666666663E-2</v>
      </c>
      <c r="DB15" s="75">
        <f xml:space="preserve"> 331.5+273</f>
        <v>604.5</v>
      </c>
      <c r="DC15" s="79">
        <v>4</v>
      </c>
      <c r="DD15" s="75">
        <f>27+25.03</f>
        <v>52.03</v>
      </c>
      <c r="DE15" s="75">
        <v>150</v>
      </c>
      <c r="DF15" s="75">
        <f t="shared" si="20"/>
        <v>1148.002</v>
      </c>
      <c r="DG15" s="75">
        <f>(702.6/3)</f>
        <v>234.20000000000002</v>
      </c>
      <c r="DH15" s="75"/>
      <c r="DI15" s="75"/>
      <c r="DJ15" s="75"/>
      <c r="DK15" s="80"/>
      <c r="DL15" s="75">
        <f t="shared" si="21"/>
        <v>234.20000000000002</v>
      </c>
      <c r="DM15" s="81" t="s">
        <v>2299</v>
      </c>
      <c r="DN15" s="80">
        <v>3000</v>
      </c>
      <c r="DO15" s="80">
        <v>0</v>
      </c>
      <c r="DP15" s="80">
        <v>3000</v>
      </c>
      <c r="DQ15" s="82">
        <v>0.19</v>
      </c>
      <c r="DR15" s="72" t="s">
        <v>1828</v>
      </c>
      <c r="DS15" s="72" t="s">
        <v>1829</v>
      </c>
      <c r="FJ15" s="72" t="s">
        <v>372</v>
      </c>
      <c r="FK15" s="72" t="s">
        <v>373</v>
      </c>
      <c r="FL15" s="72" t="s">
        <v>374</v>
      </c>
      <c r="FM15" s="72" t="s">
        <v>259</v>
      </c>
      <c r="FN15" s="72" t="s">
        <v>260</v>
      </c>
      <c r="FO15" s="111">
        <v>5.3</v>
      </c>
      <c r="HZ15" s="106">
        <v>44499</v>
      </c>
      <c r="IA15" s="72">
        <v>1148</v>
      </c>
      <c r="IB15" s="75">
        <v>160</v>
      </c>
      <c r="IE15" s="72" t="s">
        <v>2715</v>
      </c>
      <c r="IF15" s="72" t="s">
        <v>2716</v>
      </c>
      <c r="IG15" s="72" t="s">
        <v>1022</v>
      </c>
      <c r="IJ15" s="75">
        <v>60</v>
      </c>
      <c r="IK15" s="75">
        <f t="shared" si="22"/>
        <v>-1.9999999999527063E-3</v>
      </c>
      <c r="IN15" s="106"/>
    </row>
    <row r="16" spans="1:250" s="72" customFormat="1">
      <c r="A16" s="72">
        <v>102021002</v>
      </c>
      <c r="B16" s="72" t="s">
        <v>2016</v>
      </c>
      <c r="C16" s="95"/>
      <c r="E16" s="72" t="s">
        <v>2471</v>
      </c>
      <c r="F16" s="72">
        <v>210002739</v>
      </c>
      <c r="K16" s="72" t="s">
        <v>2017</v>
      </c>
      <c r="Z16" s="72" t="s">
        <v>2145</v>
      </c>
      <c r="AA16" s="72" t="s">
        <v>2127</v>
      </c>
      <c r="AB16" s="72" t="s">
        <v>2128</v>
      </c>
      <c r="AC16" s="72" t="s">
        <v>2129</v>
      </c>
      <c r="AG16" s="83"/>
      <c r="AJ16" s="72" t="s">
        <v>328</v>
      </c>
      <c r="AL16" s="72" t="s">
        <v>267</v>
      </c>
      <c r="AO16" s="81" t="s">
        <v>2130</v>
      </c>
      <c r="AP16" s="81"/>
      <c r="AQ16" s="81" t="s">
        <v>2128</v>
      </c>
      <c r="AS16" s="95"/>
      <c r="AT16" s="95"/>
      <c r="AU16" s="95" t="s">
        <v>258</v>
      </c>
      <c r="AV16" s="95" t="s">
        <v>258</v>
      </c>
      <c r="AW16" s="95" t="s">
        <v>258</v>
      </c>
      <c r="AX16" s="85">
        <v>44299</v>
      </c>
      <c r="AY16" s="85">
        <v>44262</v>
      </c>
      <c r="AZ16" s="85">
        <v>44242</v>
      </c>
      <c r="BA16" s="85">
        <v>44330</v>
      </c>
      <c r="BB16" s="84" t="s">
        <v>318</v>
      </c>
      <c r="BC16" s="85">
        <v>44323</v>
      </c>
      <c r="BD16" s="85">
        <v>44323</v>
      </c>
      <c r="BE16" s="85">
        <v>44358</v>
      </c>
      <c r="BF16" s="84" t="s">
        <v>319</v>
      </c>
      <c r="BG16" s="73">
        <v>2393.4863333333333</v>
      </c>
      <c r="BH16" s="74">
        <v>-210.42547456790248</v>
      </c>
      <c r="BI16" s="74">
        <v>210.42547456790248</v>
      </c>
      <c r="BJ16" s="75">
        <v>7.5399999999999991</v>
      </c>
      <c r="BK16" s="74">
        <v>217.96547456790248</v>
      </c>
      <c r="BL16" s="75"/>
      <c r="BM16" s="75">
        <v>0</v>
      </c>
      <c r="BN16" s="75">
        <v>0</v>
      </c>
      <c r="BO16" s="76">
        <v>0</v>
      </c>
      <c r="BP16" s="77">
        <v>70</v>
      </c>
      <c r="BQ16" s="75">
        <v>0</v>
      </c>
      <c r="BR16" s="75"/>
      <c r="BS16" s="75">
        <v>0</v>
      </c>
      <c r="BT16" s="75">
        <v>0</v>
      </c>
      <c r="BU16" s="76">
        <v>0</v>
      </c>
      <c r="BV16" s="77">
        <v>58</v>
      </c>
      <c r="BW16" s="75">
        <v>0</v>
      </c>
      <c r="BX16" s="75"/>
      <c r="BY16" s="75">
        <v>0</v>
      </c>
      <c r="BZ16" s="75">
        <f t="shared" si="2"/>
        <v>0</v>
      </c>
      <c r="CA16" s="76">
        <f t="shared" si="3"/>
        <v>0</v>
      </c>
      <c r="CB16" s="77">
        <v>49</v>
      </c>
      <c r="CC16" s="75">
        <f t="shared" si="4"/>
        <v>0</v>
      </c>
      <c r="CD16" s="75">
        <v>58.76</v>
      </c>
      <c r="CE16" s="75">
        <f t="shared" si="5"/>
        <v>5.8760000000000003</v>
      </c>
      <c r="CF16" s="75">
        <f t="shared" si="6"/>
        <v>19.929433333333325</v>
      </c>
      <c r="CG16" s="76">
        <f t="shared" si="7"/>
        <v>0.53863333333333308</v>
      </c>
      <c r="CH16" s="77">
        <v>37</v>
      </c>
      <c r="CI16" s="75">
        <f t="shared" si="8"/>
        <v>84.565433333333317</v>
      </c>
      <c r="CJ16" s="75">
        <v>90.47999999999999</v>
      </c>
      <c r="CK16" s="75">
        <v>9.048</v>
      </c>
      <c r="CL16" s="75">
        <f t="shared" si="9"/>
        <v>20.734999999999989</v>
      </c>
      <c r="CM16" s="76">
        <f t="shared" si="10"/>
        <v>0.82939999999999958</v>
      </c>
      <c r="CN16" s="77">
        <v>25</v>
      </c>
      <c r="CO16" s="75">
        <f t="shared" si="11"/>
        <v>120.26299999999998</v>
      </c>
      <c r="CP16" s="75">
        <v>90.47999999999999</v>
      </c>
      <c r="CQ16" s="75">
        <v>9.048</v>
      </c>
      <c r="CR16" s="75">
        <f t="shared" si="12"/>
        <v>10.782199999999994</v>
      </c>
      <c r="CS16" s="76">
        <f t="shared" si="13"/>
        <v>0.82939999999999958</v>
      </c>
      <c r="CT16" s="77">
        <v>13</v>
      </c>
      <c r="CU16" s="75">
        <f t="shared" si="14"/>
        <v>110.31019999999998</v>
      </c>
      <c r="CV16" s="75">
        <f t="shared" si="15"/>
        <v>90.47999999999999</v>
      </c>
      <c r="CW16" s="75">
        <f t="shared" si="16"/>
        <v>330.19999999999993</v>
      </c>
      <c r="CX16" s="75">
        <f t="shared" si="17"/>
        <v>23.972000000000001</v>
      </c>
      <c r="CY16" s="75">
        <f t="shared" si="18"/>
        <v>51.44663333333331</v>
      </c>
      <c r="CZ16" s="75">
        <f t="shared" si="19"/>
        <v>405.61863333333321</v>
      </c>
      <c r="DA16" s="78">
        <v>1.7732547892720302E-2</v>
      </c>
      <c r="DB16" s="75">
        <v>1553.5</v>
      </c>
      <c r="DC16" s="79">
        <v>4</v>
      </c>
      <c r="DD16" s="75">
        <f>60.78+25.03</f>
        <v>85.81</v>
      </c>
      <c r="DE16" s="75">
        <v>200</v>
      </c>
      <c r="DF16" s="75">
        <f t="shared" si="20"/>
        <v>3717.5086333333334</v>
      </c>
      <c r="DG16" s="75">
        <f>422.41+182.42</f>
        <v>604.83000000000004</v>
      </c>
      <c r="DH16" s="75">
        <v>203.75</v>
      </c>
      <c r="DI16" s="75">
        <v>54</v>
      </c>
      <c r="DJ16" s="75">
        <v>100</v>
      </c>
      <c r="DK16" s="80">
        <v>510</v>
      </c>
      <c r="DL16" s="75">
        <f t="shared" si="21"/>
        <v>1472.58</v>
      </c>
      <c r="DM16" s="81" t="s">
        <v>1997</v>
      </c>
      <c r="DN16" s="80">
        <v>17400</v>
      </c>
      <c r="DO16" s="80">
        <v>0</v>
      </c>
      <c r="DP16" s="80">
        <v>17400</v>
      </c>
      <c r="DQ16" s="82">
        <v>0.87</v>
      </c>
      <c r="DR16" s="72" t="s">
        <v>2328</v>
      </c>
      <c r="DS16" s="72" t="s">
        <v>2329</v>
      </c>
      <c r="ED16" s="72" t="s">
        <v>2325</v>
      </c>
      <c r="EF16" s="72" t="s">
        <v>2326</v>
      </c>
      <c r="EH16" s="72" t="s">
        <v>2128</v>
      </c>
      <c r="EI16" s="72" t="s">
        <v>2327</v>
      </c>
      <c r="FO16" s="75"/>
      <c r="HZ16" s="106">
        <v>44499</v>
      </c>
      <c r="IA16" s="72">
        <v>18000</v>
      </c>
      <c r="IB16" s="75">
        <v>10000</v>
      </c>
      <c r="IE16" s="72" t="s">
        <v>2758</v>
      </c>
      <c r="IF16" s="72" t="s">
        <v>2738</v>
      </c>
      <c r="IG16" s="72" t="s">
        <v>279</v>
      </c>
      <c r="IJ16" s="75">
        <v>125</v>
      </c>
      <c r="IK16" s="75">
        <f t="shared" si="22"/>
        <v>14282.491366666667</v>
      </c>
      <c r="IL16" s="106">
        <v>44377</v>
      </c>
      <c r="IM16" s="106">
        <v>44397</v>
      </c>
      <c r="IN16" s="106">
        <v>44501</v>
      </c>
      <c r="IO16" s="106">
        <v>44505</v>
      </c>
    </row>
    <row r="17" spans="1:250" s="72" customFormat="1">
      <c r="A17" s="72">
        <v>102021004</v>
      </c>
      <c r="B17" s="72" t="s">
        <v>1999</v>
      </c>
      <c r="C17" s="95"/>
      <c r="E17" s="72" t="s">
        <v>2473</v>
      </c>
      <c r="F17" s="72">
        <v>210002344</v>
      </c>
      <c r="J17" s="72" t="s">
        <v>554</v>
      </c>
      <c r="K17" s="72" t="s">
        <v>394</v>
      </c>
      <c r="L17" s="72" t="s">
        <v>577</v>
      </c>
      <c r="M17" s="72" t="s">
        <v>428</v>
      </c>
      <c r="AG17" s="83"/>
      <c r="AO17" s="81" t="s">
        <v>2131</v>
      </c>
      <c r="AP17" s="81" t="s">
        <v>258</v>
      </c>
      <c r="AQ17" s="81" t="s">
        <v>329</v>
      </c>
      <c r="AR17" s="72" t="s">
        <v>260</v>
      </c>
      <c r="AS17" s="95"/>
      <c r="AT17" s="95" t="s">
        <v>258</v>
      </c>
      <c r="AU17" s="95"/>
      <c r="AV17" s="95" t="s">
        <v>258</v>
      </c>
      <c r="AW17" s="95" t="s">
        <v>258</v>
      </c>
      <c r="AX17" s="85">
        <v>44280</v>
      </c>
      <c r="AY17" s="85">
        <v>44248</v>
      </c>
      <c r="AZ17" s="85">
        <v>44242</v>
      </c>
      <c r="BA17" s="85">
        <v>44330</v>
      </c>
      <c r="BB17" s="84" t="s">
        <v>318</v>
      </c>
      <c r="BC17" s="85">
        <v>44316</v>
      </c>
      <c r="BD17" s="85">
        <v>44323</v>
      </c>
      <c r="BE17" s="85">
        <v>44358</v>
      </c>
      <c r="BF17" s="84" t="s">
        <v>319</v>
      </c>
      <c r="BG17" s="73">
        <v>3689.3085999999998</v>
      </c>
      <c r="BH17" s="74">
        <v>-324.34883883430456</v>
      </c>
      <c r="BI17" s="74">
        <v>324.34883883430456</v>
      </c>
      <c r="BJ17" s="75">
        <v>30.723333333333333</v>
      </c>
      <c r="BK17" s="74">
        <v>355.07217216763792</v>
      </c>
      <c r="BL17" s="75"/>
      <c r="BM17" s="75">
        <v>0</v>
      </c>
      <c r="BN17" s="75">
        <v>0</v>
      </c>
      <c r="BO17" s="76">
        <v>0</v>
      </c>
      <c r="BP17" s="77">
        <v>70</v>
      </c>
      <c r="BQ17" s="75">
        <v>0</v>
      </c>
      <c r="BR17" s="75"/>
      <c r="BS17" s="75">
        <v>0</v>
      </c>
      <c r="BT17" s="75">
        <v>0</v>
      </c>
      <c r="BU17" s="76">
        <v>0</v>
      </c>
      <c r="BV17" s="77">
        <v>58</v>
      </c>
      <c r="BW17" s="75">
        <v>0</v>
      </c>
      <c r="BX17" s="75"/>
      <c r="BY17" s="75">
        <v>0</v>
      </c>
      <c r="BZ17" s="75">
        <f t="shared" si="2"/>
        <v>0</v>
      </c>
      <c r="CA17" s="76">
        <f t="shared" si="3"/>
        <v>0</v>
      </c>
      <c r="CB17" s="77">
        <v>49</v>
      </c>
      <c r="CC17" s="75">
        <f t="shared" si="4"/>
        <v>0</v>
      </c>
      <c r="CD17" s="75">
        <v>300.04000000000002</v>
      </c>
      <c r="CE17" s="75">
        <f t="shared" si="5"/>
        <v>30.004000000000005</v>
      </c>
      <c r="CF17" s="75">
        <f t="shared" si="6"/>
        <v>101.76356666666663</v>
      </c>
      <c r="CG17" s="76">
        <f t="shared" si="7"/>
        <v>2.750366666666666</v>
      </c>
      <c r="CH17" s="77">
        <v>37</v>
      </c>
      <c r="CI17" s="75">
        <f t="shared" si="8"/>
        <v>431.80756666666667</v>
      </c>
      <c r="CJ17" s="75">
        <v>368.68</v>
      </c>
      <c r="CK17" s="75">
        <v>36.868000000000002</v>
      </c>
      <c r="CL17" s="75">
        <f t="shared" si="9"/>
        <v>84.48916666666662</v>
      </c>
      <c r="CM17" s="76">
        <f t="shared" si="10"/>
        <v>3.3795666666666651</v>
      </c>
      <c r="CN17" s="77">
        <v>25</v>
      </c>
      <c r="CO17" s="75">
        <f t="shared" si="11"/>
        <v>490.03716666666662</v>
      </c>
      <c r="CP17" s="75">
        <v>368.68</v>
      </c>
      <c r="CQ17" s="75">
        <v>36.868000000000002</v>
      </c>
      <c r="CR17" s="75">
        <f t="shared" si="12"/>
        <v>43.934366666666648</v>
      </c>
      <c r="CS17" s="76">
        <f t="shared" si="13"/>
        <v>3.3795666666666651</v>
      </c>
      <c r="CT17" s="77">
        <v>13</v>
      </c>
      <c r="CU17" s="75">
        <f t="shared" si="14"/>
        <v>449.48236666666662</v>
      </c>
      <c r="CV17" s="75">
        <f t="shared" si="15"/>
        <v>368.68</v>
      </c>
      <c r="CW17" s="75">
        <f t="shared" si="16"/>
        <v>1406.0800000000002</v>
      </c>
      <c r="CX17" s="75">
        <f t="shared" si="17"/>
        <v>103.74000000000001</v>
      </c>
      <c r="CY17" s="75">
        <f t="shared" si="18"/>
        <v>230.1870999999999</v>
      </c>
      <c r="CZ17" s="75">
        <f t="shared" si="19"/>
        <v>1740.0071</v>
      </c>
      <c r="DA17" s="78">
        <v>1.8939331452750355E-2</v>
      </c>
      <c r="DB17" s="75">
        <v>1553.5</v>
      </c>
      <c r="DC17" s="79">
        <v>2</v>
      </c>
      <c r="DD17" s="75">
        <f>15.64+25.03</f>
        <v>40.67</v>
      </c>
      <c r="DE17" s="75">
        <v>200</v>
      </c>
      <c r="DF17" s="75">
        <f t="shared" si="20"/>
        <v>5536.0671000000002</v>
      </c>
      <c r="DG17" s="75">
        <f>759.62+182.42</f>
        <v>942.04</v>
      </c>
      <c r="DH17" s="75">
        <v>203.75</v>
      </c>
      <c r="DI17" s="75">
        <v>62.5</v>
      </c>
      <c r="DJ17" s="75">
        <f>SUM(DP17*0.004)</f>
        <v>283.60000000000002</v>
      </c>
      <c r="DK17" s="80">
        <v>510</v>
      </c>
      <c r="DL17" s="75">
        <f t="shared" si="21"/>
        <v>2001.8899999999999</v>
      </c>
      <c r="DM17" s="81" t="s">
        <v>1997</v>
      </c>
      <c r="DN17" s="80">
        <v>6400</v>
      </c>
      <c r="DO17" s="80">
        <v>64500</v>
      </c>
      <c r="DP17" s="80">
        <v>70900</v>
      </c>
      <c r="DQ17" s="82">
        <v>0.94</v>
      </c>
      <c r="DR17" s="72" t="s">
        <v>2415</v>
      </c>
      <c r="DS17" s="72" t="s">
        <v>2416</v>
      </c>
      <c r="DT17" s="72" t="s">
        <v>2307</v>
      </c>
      <c r="FO17" s="75"/>
      <c r="FP17" s="72" t="s">
        <v>439</v>
      </c>
      <c r="FQ17" s="72" t="s">
        <v>1530</v>
      </c>
      <c r="FR17" s="72" t="s">
        <v>2308</v>
      </c>
      <c r="FS17" s="72" t="s">
        <v>440</v>
      </c>
      <c r="FT17" s="72" t="s">
        <v>274</v>
      </c>
      <c r="FU17" s="72" t="s">
        <v>275</v>
      </c>
      <c r="FV17" s="106">
        <v>39668</v>
      </c>
      <c r="FW17" s="72" t="s">
        <v>2309</v>
      </c>
      <c r="HZ17" s="106">
        <v>44499</v>
      </c>
      <c r="IA17" s="72">
        <v>38000</v>
      </c>
      <c r="IB17" s="75">
        <v>30000</v>
      </c>
      <c r="IE17" s="72" t="s">
        <v>2713</v>
      </c>
      <c r="IF17" s="72" t="s">
        <v>2714</v>
      </c>
      <c r="IG17" s="72" t="s">
        <v>259</v>
      </c>
      <c r="IJ17" s="75">
        <v>354.33</v>
      </c>
      <c r="IK17" s="75">
        <f t="shared" si="22"/>
        <v>32463.9329</v>
      </c>
      <c r="IL17" s="106">
        <v>44377</v>
      </c>
      <c r="IM17" s="106">
        <v>44397</v>
      </c>
      <c r="IN17" s="106">
        <v>44501</v>
      </c>
      <c r="IO17" s="106">
        <v>44505</v>
      </c>
    </row>
    <row r="18" spans="1:250" s="72" customFormat="1">
      <c r="A18" s="72">
        <v>102021008</v>
      </c>
      <c r="B18" s="72" t="s">
        <v>2136</v>
      </c>
      <c r="C18" s="95" t="s">
        <v>258</v>
      </c>
      <c r="E18" s="72" t="s">
        <v>2495</v>
      </c>
      <c r="F18" s="72">
        <v>210003120</v>
      </c>
      <c r="J18" s="72" t="s">
        <v>311</v>
      </c>
      <c r="K18" s="72" t="s">
        <v>810</v>
      </c>
      <c r="L18" s="72" t="s">
        <v>811</v>
      </c>
      <c r="M18" s="72" t="s">
        <v>326</v>
      </c>
      <c r="AG18" s="83"/>
      <c r="AJ18" s="72" t="s">
        <v>812</v>
      </c>
      <c r="AK18" s="72" t="s">
        <v>258</v>
      </c>
      <c r="AL18" s="72" t="s">
        <v>438</v>
      </c>
      <c r="AM18" s="72" t="s">
        <v>260</v>
      </c>
      <c r="AO18" s="81" t="s">
        <v>814</v>
      </c>
      <c r="AP18" s="81"/>
      <c r="AQ18" s="81" t="s">
        <v>438</v>
      </c>
      <c r="AS18" s="95"/>
      <c r="AT18" s="95"/>
      <c r="AU18" s="95" t="s">
        <v>258</v>
      </c>
      <c r="AV18" s="95" t="s">
        <v>258</v>
      </c>
      <c r="AW18" s="95" t="s">
        <v>258</v>
      </c>
      <c r="AX18" s="85">
        <v>44309</v>
      </c>
      <c r="AY18" s="85">
        <v>44248</v>
      </c>
      <c r="AZ18" s="85">
        <v>44270</v>
      </c>
      <c r="BA18" s="85">
        <v>44358</v>
      </c>
      <c r="BB18" s="84" t="s">
        <v>318</v>
      </c>
      <c r="BC18" s="85">
        <v>44344</v>
      </c>
      <c r="BD18" s="85">
        <v>44351</v>
      </c>
      <c r="BE18" s="85">
        <v>44358</v>
      </c>
      <c r="BF18" s="84" t="s">
        <v>319</v>
      </c>
      <c r="BG18" s="73">
        <v>2610.7248</v>
      </c>
      <c r="BH18" s="74">
        <v>-229.52418710538936</v>
      </c>
      <c r="BI18" s="74">
        <v>229.52418710538936</v>
      </c>
      <c r="BJ18" s="75">
        <v>25.74</v>
      </c>
      <c r="BK18" s="74">
        <v>255.26418710538937</v>
      </c>
      <c r="BL18" s="75"/>
      <c r="BM18" s="75">
        <v>0</v>
      </c>
      <c r="BN18" s="75">
        <v>0</v>
      </c>
      <c r="BO18" s="76">
        <v>0</v>
      </c>
      <c r="BP18" s="77">
        <v>70</v>
      </c>
      <c r="BQ18" s="75">
        <v>0</v>
      </c>
      <c r="BR18" s="75"/>
      <c r="BS18" s="75">
        <v>0</v>
      </c>
      <c r="BT18" s="75">
        <v>0</v>
      </c>
      <c r="BU18" s="76">
        <v>0</v>
      </c>
      <c r="BV18" s="77">
        <v>58</v>
      </c>
      <c r="BW18" s="75">
        <v>0</v>
      </c>
      <c r="BX18" s="75"/>
      <c r="BY18" s="75">
        <v>0</v>
      </c>
      <c r="BZ18" s="75">
        <f t="shared" si="2"/>
        <v>0</v>
      </c>
      <c r="CA18" s="76">
        <f t="shared" si="3"/>
        <v>0</v>
      </c>
      <c r="CB18" s="77">
        <v>49</v>
      </c>
      <c r="CC18" s="75">
        <f t="shared" si="4"/>
        <v>0</v>
      </c>
      <c r="CD18" s="75">
        <v>313.04000000000002</v>
      </c>
      <c r="CE18" s="75">
        <f t="shared" si="5"/>
        <v>31.304000000000002</v>
      </c>
      <c r="CF18" s="75">
        <f t="shared" si="6"/>
        <v>106.17273333333331</v>
      </c>
      <c r="CG18" s="76">
        <f t="shared" si="7"/>
        <v>2.8695333333333326</v>
      </c>
      <c r="CH18" s="77">
        <v>37</v>
      </c>
      <c r="CI18" s="75">
        <f t="shared" si="8"/>
        <v>450.51673333333338</v>
      </c>
      <c r="CJ18" s="75">
        <v>308.88</v>
      </c>
      <c r="CK18" s="75">
        <v>30.888000000000002</v>
      </c>
      <c r="CL18" s="75">
        <f t="shared" si="9"/>
        <v>70.784999999999968</v>
      </c>
      <c r="CM18" s="76">
        <f t="shared" si="10"/>
        <v>2.8313999999999986</v>
      </c>
      <c r="CN18" s="77">
        <v>25</v>
      </c>
      <c r="CO18" s="75">
        <f t="shared" si="11"/>
        <v>410.55299999999994</v>
      </c>
      <c r="CP18" s="75">
        <v>308.88</v>
      </c>
      <c r="CQ18" s="75">
        <v>30.888000000000002</v>
      </c>
      <c r="CR18" s="75">
        <f t="shared" si="12"/>
        <v>36.808199999999985</v>
      </c>
      <c r="CS18" s="76">
        <f t="shared" si="13"/>
        <v>2.8313999999999986</v>
      </c>
      <c r="CT18" s="77">
        <v>13</v>
      </c>
      <c r="CU18" s="75">
        <f t="shared" si="14"/>
        <v>376.57619999999997</v>
      </c>
      <c r="CV18" s="75">
        <f t="shared" si="15"/>
        <v>308.88</v>
      </c>
      <c r="CW18" s="75">
        <f t="shared" si="16"/>
        <v>1239.68</v>
      </c>
      <c r="CX18" s="75">
        <f t="shared" si="17"/>
        <v>93.080000000000013</v>
      </c>
      <c r="CY18" s="75">
        <f t="shared" si="18"/>
        <v>213.76593333333329</v>
      </c>
      <c r="CZ18" s="75">
        <f t="shared" si="19"/>
        <v>1546.5259333333333</v>
      </c>
      <c r="DA18" s="78">
        <v>2.0259845117845118E-2</v>
      </c>
      <c r="DB18" s="75">
        <v>1332.5</v>
      </c>
      <c r="DC18" s="79">
        <v>3</v>
      </c>
      <c r="DD18" s="75">
        <f>24.88+25.03</f>
        <v>49.91</v>
      </c>
      <c r="DE18" s="75">
        <v>175</v>
      </c>
      <c r="DF18" s="75">
        <f t="shared" si="20"/>
        <v>5972.3659333333326</v>
      </c>
      <c r="DG18" s="75">
        <f>47.41+182.42</f>
        <v>229.82999999999998</v>
      </c>
      <c r="DH18" s="75">
        <v>203.75</v>
      </c>
      <c r="DI18" s="75">
        <v>62.5</v>
      </c>
      <c r="DJ18" s="75">
        <f>SUM(DP18*0.004)</f>
        <v>237.6</v>
      </c>
      <c r="DK18" s="80">
        <v>510</v>
      </c>
      <c r="DL18" s="75">
        <f t="shared" si="21"/>
        <v>1243.6799999999998</v>
      </c>
      <c r="DM18" s="81" t="s">
        <v>1997</v>
      </c>
      <c r="DN18" s="80">
        <v>3200</v>
      </c>
      <c r="DO18" s="80">
        <v>56200</v>
      </c>
      <c r="DP18" s="80">
        <v>59400</v>
      </c>
      <c r="DQ18" s="82">
        <v>0.34</v>
      </c>
      <c r="DR18" s="72" t="s">
        <v>2403</v>
      </c>
      <c r="DS18" s="72" t="s">
        <v>2404</v>
      </c>
      <c r="DT18" s="72" t="s">
        <v>2405</v>
      </c>
      <c r="FJ18" s="72" t="s">
        <v>473</v>
      </c>
      <c r="FK18" s="72" t="s">
        <v>474</v>
      </c>
      <c r="FL18" s="72" t="s">
        <v>475</v>
      </c>
      <c r="FM18" s="72" t="s">
        <v>438</v>
      </c>
      <c r="FN18" s="72" t="s">
        <v>260</v>
      </c>
      <c r="FO18" s="75">
        <f>1363.77+0.55+260.43</f>
        <v>1624.75</v>
      </c>
      <c r="HZ18" s="106">
        <v>44499</v>
      </c>
      <c r="IA18" s="72">
        <v>46000</v>
      </c>
      <c r="IB18" s="75">
        <v>4600</v>
      </c>
      <c r="IE18" s="72" t="s">
        <v>2756</v>
      </c>
      <c r="IF18" s="72" t="s">
        <v>2737</v>
      </c>
      <c r="IG18" s="72" t="s">
        <v>438</v>
      </c>
      <c r="IJ18" s="75">
        <v>304.5</v>
      </c>
      <c r="IK18" s="75">
        <f t="shared" si="22"/>
        <v>40027.634066666666</v>
      </c>
      <c r="IL18" s="106">
        <v>44377</v>
      </c>
      <c r="IM18" s="106">
        <v>44397</v>
      </c>
      <c r="IN18" s="106">
        <v>44501</v>
      </c>
      <c r="IO18" s="106">
        <v>44505</v>
      </c>
    </row>
    <row r="19" spans="1:250" s="72" customFormat="1">
      <c r="A19" s="72">
        <v>102021013</v>
      </c>
      <c r="B19" s="72" t="s">
        <v>2013</v>
      </c>
      <c r="C19" s="95"/>
      <c r="E19" s="72" t="s">
        <v>2522</v>
      </c>
      <c r="F19" s="72">
        <v>210004664</v>
      </c>
      <c r="J19" s="72" t="s">
        <v>311</v>
      </c>
      <c r="K19" s="72" t="s">
        <v>1142</v>
      </c>
      <c r="L19" s="72" t="s">
        <v>574</v>
      </c>
      <c r="AG19" s="83"/>
      <c r="AN19" s="72" t="s">
        <v>2143</v>
      </c>
      <c r="AO19" s="81" t="s">
        <v>2142</v>
      </c>
      <c r="AP19" s="81" t="s">
        <v>258</v>
      </c>
      <c r="AQ19" s="81" t="s">
        <v>344</v>
      </c>
      <c r="AR19" s="72" t="s">
        <v>260</v>
      </c>
      <c r="AS19" s="95"/>
      <c r="AT19" s="95" t="s">
        <v>258</v>
      </c>
      <c r="AU19" s="95"/>
      <c r="AV19" s="95" t="s">
        <v>258</v>
      </c>
      <c r="AW19" s="95" t="s">
        <v>258</v>
      </c>
      <c r="AX19" s="85">
        <v>44364</v>
      </c>
      <c r="AY19" s="85">
        <v>44332</v>
      </c>
      <c r="AZ19" s="85">
        <v>44334</v>
      </c>
      <c r="BA19" s="85">
        <v>44400</v>
      </c>
      <c r="BB19" s="84" t="s">
        <v>318</v>
      </c>
      <c r="BC19" s="85">
        <v>44386</v>
      </c>
      <c r="BD19" s="85">
        <v>44386</v>
      </c>
      <c r="BE19" s="85">
        <v>44428</v>
      </c>
      <c r="BF19" s="84" t="s">
        <v>319</v>
      </c>
      <c r="BG19" s="73">
        <v>3185.97</v>
      </c>
      <c r="BH19" s="74">
        <v>-280.09737923819364</v>
      </c>
      <c r="BI19" s="74">
        <v>280.09737923819364</v>
      </c>
      <c r="BJ19" s="75">
        <v>7.7566666666666668</v>
      </c>
      <c r="BK19" s="74">
        <v>287.8540459048603</v>
      </c>
      <c r="BL19" s="75"/>
      <c r="BM19" s="75">
        <v>0</v>
      </c>
      <c r="BN19" s="75">
        <v>0</v>
      </c>
      <c r="BO19" s="76">
        <v>0</v>
      </c>
      <c r="BP19" s="77">
        <v>70</v>
      </c>
      <c r="BQ19" s="75">
        <v>0</v>
      </c>
      <c r="BR19" s="75"/>
      <c r="BS19" s="75">
        <v>0</v>
      </c>
      <c r="BT19" s="75">
        <v>0</v>
      </c>
      <c r="BU19" s="76">
        <v>0</v>
      </c>
      <c r="BV19" s="77">
        <v>58</v>
      </c>
      <c r="BW19" s="75">
        <v>0</v>
      </c>
      <c r="BX19" s="75"/>
      <c r="BY19" s="75">
        <v>0</v>
      </c>
      <c r="BZ19" s="75">
        <f t="shared" si="2"/>
        <v>0</v>
      </c>
      <c r="CA19" s="76">
        <f t="shared" si="3"/>
        <v>0</v>
      </c>
      <c r="CB19" s="77">
        <v>49</v>
      </c>
      <c r="CC19" s="75">
        <f t="shared" si="4"/>
        <v>0</v>
      </c>
      <c r="CD19" s="75">
        <v>172.12</v>
      </c>
      <c r="CE19" s="75">
        <f t="shared" si="5"/>
        <v>17.212</v>
      </c>
      <c r="CF19" s="75">
        <f t="shared" si="6"/>
        <v>58.377366666666639</v>
      </c>
      <c r="CG19" s="76">
        <f t="shared" si="7"/>
        <v>1.5777666666666659</v>
      </c>
      <c r="CH19" s="77">
        <v>37</v>
      </c>
      <c r="CI19" s="75">
        <f t="shared" si="8"/>
        <v>247.70936666666663</v>
      </c>
      <c r="CJ19" s="75">
        <v>270.92</v>
      </c>
      <c r="CK19" s="75">
        <v>27.092000000000002</v>
      </c>
      <c r="CL19" s="75">
        <f t="shared" si="9"/>
        <v>62.085833333333305</v>
      </c>
      <c r="CM19" s="76">
        <f t="shared" si="10"/>
        <v>2.4834333333333323</v>
      </c>
      <c r="CN19" s="77">
        <v>25</v>
      </c>
      <c r="CO19" s="75">
        <f t="shared" si="11"/>
        <v>360.09783333333331</v>
      </c>
      <c r="CP19" s="75">
        <v>270.92</v>
      </c>
      <c r="CQ19" s="75">
        <v>27.092000000000002</v>
      </c>
      <c r="CR19" s="75">
        <f t="shared" si="12"/>
        <v>32.284633333333318</v>
      </c>
      <c r="CS19" s="76">
        <f t="shared" si="13"/>
        <v>2.4834333333333323</v>
      </c>
      <c r="CT19" s="77">
        <v>13</v>
      </c>
      <c r="CU19" s="75">
        <f t="shared" si="14"/>
        <v>330.29663333333332</v>
      </c>
      <c r="CV19" s="75">
        <f t="shared" si="15"/>
        <v>270.92</v>
      </c>
      <c r="CW19" s="75">
        <f t="shared" si="16"/>
        <v>984.88000000000011</v>
      </c>
      <c r="CX19" s="75">
        <f t="shared" si="17"/>
        <v>71.396000000000001</v>
      </c>
      <c r="CY19" s="75">
        <f t="shared" si="18"/>
        <v>152.74783333333326</v>
      </c>
      <c r="CZ19" s="75">
        <f t="shared" si="19"/>
        <v>1209.0238333333334</v>
      </c>
      <c r="DA19" s="78">
        <v>5.0944692737430165E-2</v>
      </c>
      <c r="DB19" s="75">
        <v>1579.5</v>
      </c>
      <c r="DC19" s="79">
        <v>1</v>
      </c>
      <c r="DD19" s="75">
        <f>10.78+25.03</f>
        <v>35.81</v>
      </c>
      <c r="DE19" s="75">
        <v>100</v>
      </c>
      <c r="DF19" s="75">
        <f t="shared" si="20"/>
        <v>4395.0338333333339</v>
      </c>
      <c r="DG19" s="75">
        <f>394.53+182.42</f>
        <v>576.94999999999993</v>
      </c>
      <c r="DH19" s="75">
        <v>216.25</v>
      </c>
      <c r="DI19" s="75">
        <v>67.5</v>
      </c>
      <c r="DJ19" s="75">
        <v>100</v>
      </c>
      <c r="DK19" s="80">
        <v>510</v>
      </c>
      <c r="DL19" s="75">
        <f t="shared" si="21"/>
        <v>1470.6999999999998</v>
      </c>
      <c r="DM19" s="81" t="s">
        <v>1997</v>
      </c>
      <c r="DN19" s="80">
        <v>38000</v>
      </c>
      <c r="DO19" s="80">
        <v>14100</v>
      </c>
      <c r="DP19" s="80">
        <f>SUM(DN19,DO19)</f>
        <v>52100</v>
      </c>
      <c r="DQ19" s="82">
        <v>16</v>
      </c>
      <c r="DR19" s="72" t="s">
        <v>2500</v>
      </c>
      <c r="DS19" s="72" t="s">
        <v>2501</v>
      </c>
      <c r="FO19" s="75"/>
      <c r="HZ19" s="106">
        <v>44499</v>
      </c>
      <c r="IA19" s="72">
        <v>36000</v>
      </c>
      <c r="IB19" s="75">
        <v>3600</v>
      </c>
      <c r="IE19" s="72" t="s">
        <v>2735</v>
      </c>
      <c r="IF19" s="72" t="s">
        <v>2736</v>
      </c>
      <c r="IG19" s="72" t="s">
        <v>344</v>
      </c>
      <c r="IJ19" s="75">
        <v>273.17</v>
      </c>
      <c r="IK19" s="75">
        <f t="shared" si="22"/>
        <v>31604.966166666665</v>
      </c>
      <c r="IL19" s="106">
        <v>44434</v>
      </c>
      <c r="IM19" s="106">
        <v>44453</v>
      </c>
      <c r="IN19" s="106">
        <v>44501</v>
      </c>
      <c r="IO19" s="106">
        <v>44505</v>
      </c>
    </row>
    <row r="20" spans="1:250" s="72" customFormat="1">
      <c r="A20" s="72">
        <v>102021014</v>
      </c>
      <c r="B20" s="72" t="s">
        <v>2014</v>
      </c>
      <c r="C20" s="95"/>
      <c r="E20" s="72" t="s">
        <v>2523</v>
      </c>
      <c r="F20" s="72">
        <v>210004662</v>
      </c>
      <c r="J20" s="72" t="s">
        <v>434</v>
      </c>
      <c r="K20" s="72" t="s">
        <v>1142</v>
      </c>
      <c r="L20" s="72" t="s">
        <v>574</v>
      </c>
      <c r="P20" s="72" t="s">
        <v>1142</v>
      </c>
      <c r="Q20" s="72" t="s">
        <v>2015</v>
      </c>
      <c r="AG20" s="83"/>
      <c r="AJ20" s="72" t="s">
        <v>328</v>
      </c>
      <c r="AL20" s="81" t="s">
        <v>344</v>
      </c>
      <c r="AN20" s="72" t="s">
        <v>2143</v>
      </c>
      <c r="AO20" s="81" t="s">
        <v>2142</v>
      </c>
      <c r="AP20" s="81" t="s">
        <v>258</v>
      </c>
      <c r="AQ20" s="81" t="s">
        <v>344</v>
      </c>
      <c r="AS20" s="95"/>
      <c r="AT20" s="95" t="s">
        <v>258</v>
      </c>
      <c r="AU20" s="95"/>
      <c r="AV20" s="95" t="s">
        <v>258</v>
      </c>
      <c r="AW20" s="95" t="s">
        <v>258</v>
      </c>
      <c r="AX20" s="85">
        <v>44364</v>
      </c>
      <c r="AY20" s="85">
        <v>44332</v>
      </c>
      <c r="AZ20" s="85">
        <v>44334</v>
      </c>
      <c r="BA20" s="85">
        <v>44400</v>
      </c>
      <c r="BB20" s="84" t="s">
        <v>318</v>
      </c>
      <c r="BC20" s="85">
        <v>44386</v>
      </c>
      <c r="BD20" s="85">
        <v>44386</v>
      </c>
      <c r="BE20" s="85">
        <v>44428</v>
      </c>
      <c r="BF20" s="84" t="s">
        <v>319</v>
      </c>
      <c r="BG20" s="73">
        <v>3020.7099999999996</v>
      </c>
      <c r="BH20" s="74">
        <v>-265.56839971456225</v>
      </c>
      <c r="BI20" s="74">
        <v>265.56839971456225</v>
      </c>
      <c r="BJ20" s="75">
        <v>16.553333333333331</v>
      </c>
      <c r="BK20" s="74">
        <v>282.12173304789559</v>
      </c>
      <c r="BL20" s="75"/>
      <c r="BM20" s="75">
        <v>0</v>
      </c>
      <c r="BN20" s="75">
        <v>0</v>
      </c>
      <c r="BO20" s="76">
        <v>0</v>
      </c>
      <c r="BP20" s="77">
        <v>70</v>
      </c>
      <c r="BQ20" s="75">
        <v>0</v>
      </c>
      <c r="BR20" s="75"/>
      <c r="BS20" s="75">
        <v>0</v>
      </c>
      <c r="BT20" s="75">
        <v>0</v>
      </c>
      <c r="BU20" s="76">
        <v>0</v>
      </c>
      <c r="BV20" s="77">
        <v>58</v>
      </c>
      <c r="BW20" s="75">
        <v>0</v>
      </c>
      <c r="BX20" s="75"/>
      <c r="BY20" s="75">
        <v>0</v>
      </c>
      <c r="BZ20" s="75">
        <f t="shared" si="2"/>
        <v>0</v>
      </c>
      <c r="CA20" s="76">
        <f t="shared" si="3"/>
        <v>0</v>
      </c>
      <c r="CB20" s="77">
        <v>49</v>
      </c>
      <c r="CC20" s="75">
        <f t="shared" si="4"/>
        <v>0</v>
      </c>
      <c r="CD20" s="75">
        <v>172.64</v>
      </c>
      <c r="CE20" s="75">
        <f t="shared" si="5"/>
        <v>17.263999999999999</v>
      </c>
      <c r="CF20" s="75">
        <f t="shared" si="6"/>
        <v>58.553733333333312</v>
      </c>
      <c r="CG20" s="76">
        <f t="shared" si="7"/>
        <v>1.5825333333333327</v>
      </c>
      <c r="CH20" s="77">
        <v>37</v>
      </c>
      <c r="CI20" s="75">
        <f t="shared" si="8"/>
        <v>248.45773333333329</v>
      </c>
      <c r="CJ20" s="75">
        <v>198.64</v>
      </c>
      <c r="CK20" s="75">
        <v>19.864000000000001</v>
      </c>
      <c r="CL20" s="75">
        <f t="shared" si="9"/>
        <v>45.521666666666647</v>
      </c>
      <c r="CM20" s="76">
        <f t="shared" si="10"/>
        <v>1.8208666666666657</v>
      </c>
      <c r="CN20" s="77">
        <v>25</v>
      </c>
      <c r="CO20" s="75">
        <f t="shared" si="11"/>
        <v>264.02566666666667</v>
      </c>
      <c r="CP20" s="75">
        <v>198.64</v>
      </c>
      <c r="CQ20" s="75">
        <v>19.864000000000001</v>
      </c>
      <c r="CR20" s="75">
        <f t="shared" si="12"/>
        <v>23.671266666666654</v>
      </c>
      <c r="CS20" s="76">
        <f t="shared" si="13"/>
        <v>1.8208666666666657</v>
      </c>
      <c r="CT20" s="77">
        <v>13</v>
      </c>
      <c r="CU20" s="75">
        <f t="shared" si="14"/>
        <v>242.17526666666663</v>
      </c>
      <c r="CV20" s="75">
        <f t="shared" si="15"/>
        <v>198.64</v>
      </c>
      <c r="CW20" s="75">
        <f t="shared" si="16"/>
        <v>768.56</v>
      </c>
      <c r="CX20" s="75">
        <f t="shared" si="17"/>
        <v>56.992000000000004</v>
      </c>
      <c r="CY20" s="75">
        <f t="shared" si="18"/>
        <v>127.74666666666661</v>
      </c>
      <c r="CZ20" s="75">
        <f t="shared" si="19"/>
        <v>953.29866666666658</v>
      </c>
      <c r="DA20" s="78">
        <v>1.9208115183246072E-2</v>
      </c>
      <c r="DB20" s="75">
        <v>1521</v>
      </c>
      <c r="DC20" s="79">
        <v>2</v>
      </c>
      <c r="DD20" s="75">
        <f>17.18+25.03</f>
        <v>42.21</v>
      </c>
      <c r="DE20" s="75">
        <v>100</v>
      </c>
      <c r="DF20" s="75">
        <f t="shared" si="20"/>
        <v>4146.5086666666666</v>
      </c>
      <c r="DG20" s="75">
        <f>392.53+182.42</f>
        <v>574.94999999999993</v>
      </c>
      <c r="DH20" s="75">
        <v>216.25</v>
      </c>
      <c r="DI20" s="75">
        <v>76</v>
      </c>
      <c r="DJ20" s="75">
        <f>SUM(DP20*0.004)</f>
        <v>152.80000000000001</v>
      </c>
      <c r="DK20" s="80">
        <v>510</v>
      </c>
      <c r="DL20" s="75">
        <f t="shared" si="21"/>
        <v>1530</v>
      </c>
      <c r="DM20" s="81" t="s">
        <v>1997</v>
      </c>
      <c r="DN20" s="80">
        <v>38200</v>
      </c>
      <c r="DO20" s="80">
        <v>0</v>
      </c>
      <c r="DP20" s="80">
        <v>38200</v>
      </c>
      <c r="DQ20" s="82">
        <v>10</v>
      </c>
      <c r="DR20" s="72" t="s">
        <v>2363</v>
      </c>
      <c r="DS20" s="72" t="s">
        <v>2502</v>
      </c>
      <c r="DT20" s="72" t="s">
        <v>2503</v>
      </c>
      <c r="FO20" s="75"/>
      <c r="HZ20" s="106">
        <v>44499</v>
      </c>
      <c r="IA20" s="72">
        <v>45000</v>
      </c>
      <c r="IB20" s="75">
        <v>4500</v>
      </c>
      <c r="IE20" s="72" t="s">
        <v>2735</v>
      </c>
      <c r="IF20" s="72" t="s">
        <v>2736</v>
      </c>
      <c r="IG20" s="72" t="s">
        <v>344</v>
      </c>
      <c r="IJ20" s="75">
        <v>242</v>
      </c>
      <c r="IK20" s="75">
        <f t="shared" si="22"/>
        <v>40853.491333333332</v>
      </c>
      <c r="IL20" s="106">
        <v>44434</v>
      </c>
      <c r="IM20" s="106">
        <v>44453</v>
      </c>
      <c r="IN20" s="106">
        <v>44501</v>
      </c>
      <c r="IO20" s="106">
        <v>44505</v>
      </c>
    </row>
    <row r="21" spans="1:250" s="42" customFormat="1">
      <c r="A21" s="72">
        <v>102021021</v>
      </c>
      <c r="B21" s="72" t="s">
        <v>2096</v>
      </c>
      <c r="C21" s="95"/>
      <c r="D21" s="72"/>
      <c r="E21" s="72" t="s">
        <v>2469</v>
      </c>
      <c r="F21" s="72">
        <v>210002684</v>
      </c>
      <c r="G21" s="72"/>
      <c r="H21" s="72"/>
      <c r="I21" s="72"/>
      <c r="J21" s="72" t="s">
        <v>253</v>
      </c>
      <c r="K21" s="72" t="s">
        <v>2036</v>
      </c>
      <c r="L21" s="72" t="s">
        <v>817</v>
      </c>
      <c r="M21" s="72" t="s">
        <v>763</v>
      </c>
      <c r="N21" s="72"/>
      <c r="O21" s="72"/>
      <c r="P21" s="72"/>
      <c r="Q21" s="72"/>
      <c r="R21" s="72"/>
      <c r="S21" s="72"/>
      <c r="T21" s="72"/>
      <c r="U21" s="72"/>
      <c r="V21" s="72"/>
      <c r="W21" s="72"/>
      <c r="X21" s="72"/>
      <c r="Y21" s="72"/>
      <c r="Z21" s="72"/>
      <c r="AA21" s="72"/>
      <c r="AB21" s="72"/>
      <c r="AC21" s="72"/>
      <c r="AD21" s="72"/>
      <c r="AE21" s="72"/>
      <c r="AF21" s="72"/>
      <c r="AG21" s="83"/>
      <c r="AH21" s="72"/>
      <c r="AI21" s="72"/>
      <c r="AJ21" s="75" t="s">
        <v>2149</v>
      </c>
      <c r="AK21" s="72" t="s">
        <v>258</v>
      </c>
      <c r="AL21" s="72" t="s">
        <v>279</v>
      </c>
      <c r="AM21" s="72" t="s">
        <v>260</v>
      </c>
      <c r="AN21" s="72"/>
      <c r="AO21" s="81" t="s">
        <v>2148</v>
      </c>
      <c r="AP21" s="81" t="s">
        <v>258</v>
      </c>
      <c r="AQ21" s="81" t="s">
        <v>600</v>
      </c>
      <c r="AR21" s="72" t="s">
        <v>260</v>
      </c>
      <c r="AS21" s="95"/>
      <c r="AT21" s="95"/>
      <c r="AU21" s="95" t="s">
        <v>258</v>
      </c>
      <c r="AV21" s="95" t="s">
        <v>258</v>
      </c>
      <c r="AW21" s="95" t="s">
        <v>258</v>
      </c>
      <c r="AX21" s="85">
        <v>44294</v>
      </c>
      <c r="AY21" s="85">
        <v>44262</v>
      </c>
      <c r="AZ21" s="85">
        <v>44245</v>
      </c>
      <c r="BA21" s="85">
        <v>44330</v>
      </c>
      <c r="BB21" s="84" t="s">
        <v>318</v>
      </c>
      <c r="BC21" s="85">
        <v>44316</v>
      </c>
      <c r="BD21" s="85">
        <v>44323</v>
      </c>
      <c r="BE21" s="85">
        <v>44358</v>
      </c>
      <c r="BF21" s="84" t="s">
        <v>319</v>
      </c>
      <c r="BG21" s="73">
        <v>2585.3406666666665</v>
      </c>
      <c r="BH21" s="74">
        <v>-227.29251850182447</v>
      </c>
      <c r="BI21" s="74">
        <v>227.29251850182447</v>
      </c>
      <c r="BJ21" s="75">
        <v>10.4</v>
      </c>
      <c r="BK21" s="74">
        <v>237.69251850182448</v>
      </c>
      <c r="BL21" s="75"/>
      <c r="BM21" s="75">
        <v>0</v>
      </c>
      <c r="BN21" s="75">
        <v>0</v>
      </c>
      <c r="BO21" s="76">
        <v>0</v>
      </c>
      <c r="BP21" s="77">
        <v>70</v>
      </c>
      <c r="BQ21" s="75">
        <v>0</v>
      </c>
      <c r="BR21" s="75"/>
      <c r="BS21" s="75">
        <v>0</v>
      </c>
      <c r="BT21" s="75">
        <v>0</v>
      </c>
      <c r="BU21" s="76">
        <v>0</v>
      </c>
      <c r="BV21" s="77">
        <v>58</v>
      </c>
      <c r="BW21" s="75">
        <v>0</v>
      </c>
      <c r="BX21" s="75"/>
      <c r="BY21" s="75">
        <v>0</v>
      </c>
      <c r="BZ21" s="75">
        <f t="shared" si="2"/>
        <v>0</v>
      </c>
      <c r="CA21" s="76">
        <f t="shared" si="3"/>
        <v>0</v>
      </c>
      <c r="CB21" s="77">
        <v>49</v>
      </c>
      <c r="CC21" s="75">
        <f t="shared" si="4"/>
        <v>0</v>
      </c>
      <c r="CD21" s="75">
        <v>98.8</v>
      </c>
      <c r="CE21" s="75">
        <f t="shared" si="5"/>
        <v>9.8800000000000008</v>
      </c>
      <c r="CF21" s="75">
        <f t="shared" si="6"/>
        <v>33.509666666666647</v>
      </c>
      <c r="CG21" s="76">
        <f t="shared" si="7"/>
        <v>0.90566666666666618</v>
      </c>
      <c r="CH21" s="77">
        <v>37</v>
      </c>
      <c r="CI21" s="75">
        <f t="shared" si="8"/>
        <v>142.18966666666665</v>
      </c>
      <c r="CJ21" s="75">
        <v>124.8</v>
      </c>
      <c r="CK21" s="75">
        <v>12.48</v>
      </c>
      <c r="CL21" s="75">
        <f t="shared" si="9"/>
        <v>28.599999999999987</v>
      </c>
      <c r="CM21" s="76">
        <f t="shared" si="10"/>
        <v>1.1439999999999995</v>
      </c>
      <c r="CN21" s="77">
        <v>25</v>
      </c>
      <c r="CO21" s="75">
        <f t="shared" si="11"/>
        <v>165.88</v>
      </c>
      <c r="CP21" s="75">
        <v>124.8</v>
      </c>
      <c r="CQ21" s="75">
        <v>12.48</v>
      </c>
      <c r="CR21" s="75">
        <f t="shared" si="12"/>
        <v>14.871999999999993</v>
      </c>
      <c r="CS21" s="76">
        <f t="shared" si="13"/>
        <v>1.1439999999999995</v>
      </c>
      <c r="CT21" s="77">
        <v>13</v>
      </c>
      <c r="CU21" s="75">
        <f t="shared" si="14"/>
        <v>152.15199999999999</v>
      </c>
      <c r="CV21" s="75">
        <f t="shared" si="15"/>
        <v>124.8</v>
      </c>
      <c r="CW21" s="75">
        <f t="shared" si="16"/>
        <v>473.2</v>
      </c>
      <c r="CX21" s="75">
        <f t="shared" si="17"/>
        <v>34.840000000000003</v>
      </c>
      <c r="CY21" s="75">
        <f t="shared" si="18"/>
        <v>76.981666666666626</v>
      </c>
      <c r="CZ21" s="75">
        <f t="shared" si="19"/>
        <v>585.02166666666653</v>
      </c>
      <c r="DA21" s="78">
        <v>1.8776694444444443E-2</v>
      </c>
      <c r="DB21" s="75">
        <v>1371.5</v>
      </c>
      <c r="DC21" s="79">
        <v>2</v>
      </c>
      <c r="DD21" s="75">
        <f>18.54+25.03</f>
        <v>43.57</v>
      </c>
      <c r="DE21" s="75">
        <v>200</v>
      </c>
      <c r="DF21" s="75">
        <f t="shared" si="20"/>
        <v>3970.1716666666666</v>
      </c>
      <c r="DG21" s="75">
        <f>746.41+182.42</f>
        <v>928.82999999999993</v>
      </c>
      <c r="DH21" s="75">
        <v>203.75</v>
      </c>
      <c r="DI21" s="75">
        <v>62.5</v>
      </c>
      <c r="DJ21" s="75">
        <v>100</v>
      </c>
      <c r="DK21" s="80">
        <v>475</v>
      </c>
      <c r="DL21" s="75">
        <f t="shared" si="21"/>
        <v>1770.08</v>
      </c>
      <c r="DM21" s="81" t="s">
        <v>1997</v>
      </c>
      <c r="DN21" s="80">
        <v>18000</v>
      </c>
      <c r="DO21" s="80">
        <v>6000</v>
      </c>
      <c r="DP21" s="80">
        <v>24000</v>
      </c>
      <c r="DQ21" s="82">
        <v>1</v>
      </c>
      <c r="DR21" s="72" t="s">
        <v>2345</v>
      </c>
      <c r="DS21" s="72" t="s">
        <v>2346</v>
      </c>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5"/>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106">
        <v>44499</v>
      </c>
      <c r="IA21" s="72">
        <v>12500</v>
      </c>
      <c r="IB21" s="75">
        <v>1300</v>
      </c>
      <c r="IC21" s="72"/>
      <c r="ID21" s="72"/>
      <c r="IE21" s="72" t="s">
        <v>2733</v>
      </c>
      <c r="IF21" s="72" t="s">
        <v>2734</v>
      </c>
      <c r="IG21" s="72" t="s">
        <v>349</v>
      </c>
      <c r="IH21" s="72"/>
      <c r="II21" s="72"/>
      <c r="IJ21" s="75">
        <v>151</v>
      </c>
      <c r="IK21" s="75">
        <f t="shared" si="22"/>
        <v>8529.8283333333329</v>
      </c>
      <c r="IL21" s="106">
        <v>44377</v>
      </c>
      <c r="IM21" s="106">
        <v>44397</v>
      </c>
      <c r="IN21" s="106">
        <v>44501</v>
      </c>
      <c r="IO21" s="106">
        <v>44505</v>
      </c>
      <c r="IP21" s="72"/>
    </row>
    <row r="22" spans="1:250" s="72" customFormat="1">
      <c r="A22" s="72">
        <v>102021023</v>
      </c>
      <c r="B22" s="72" t="s">
        <v>2152</v>
      </c>
      <c r="C22" s="95" t="s">
        <v>258</v>
      </c>
      <c r="E22" s="72" t="s">
        <v>2524</v>
      </c>
      <c r="F22" s="72">
        <v>210004659</v>
      </c>
      <c r="J22" s="72" t="s">
        <v>311</v>
      </c>
      <c r="K22" s="72" t="s">
        <v>2114</v>
      </c>
      <c r="L22" s="72" t="s">
        <v>2115</v>
      </c>
      <c r="M22" s="72" t="s">
        <v>396</v>
      </c>
      <c r="P22" s="72" t="s">
        <v>2114</v>
      </c>
      <c r="Q22" s="72" t="s">
        <v>1355</v>
      </c>
      <c r="R22" s="72" t="s">
        <v>396</v>
      </c>
      <c r="AG22" s="83"/>
      <c r="AJ22" s="72" t="s">
        <v>328</v>
      </c>
      <c r="AL22" s="72" t="s">
        <v>438</v>
      </c>
      <c r="AO22" s="81" t="s">
        <v>2151</v>
      </c>
      <c r="AP22" s="81" t="s">
        <v>258</v>
      </c>
      <c r="AQ22" s="81" t="s">
        <v>438</v>
      </c>
      <c r="AR22" s="72" t="s">
        <v>260</v>
      </c>
      <c r="AS22" s="95"/>
      <c r="AT22" s="95" t="s">
        <v>258</v>
      </c>
      <c r="AU22" s="95"/>
      <c r="AV22" s="95" t="s">
        <v>258</v>
      </c>
      <c r="AW22" s="95" t="s">
        <v>258</v>
      </c>
      <c r="AX22" s="85">
        <v>44364</v>
      </c>
      <c r="AY22" s="85">
        <v>44332</v>
      </c>
      <c r="AZ22" s="85">
        <v>44328</v>
      </c>
      <c r="BA22" s="85">
        <v>44400</v>
      </c>
      <c r="BB22" s="84" t="s">
        <v>318</v>
      </c>
      <c r="BC22" s="85">
        <v>44386</v>
      </c>
      <c r="BD22" s="85">
        <v>44386</v>
      </c>
      <c r="BE22" s="85">
        <v>44428</v>
      </c>
      <c r="BF22" s="84" t="s">
        <v>319</v>
      </c>
      <c r="BG22" s="73">
        <v>2030.6425333333334</v>
      </c>
      <c r="BH22" s="74">
        <v>-178.52573996499436</v>
      </c>
      <c r="BI22" s="74">
        <v>178.52573996499436</v>
      </c>
      <c r="BJ22" s="75">
        <v>1.0399999999999998</v>
      </c>
      <c r="BK22" s="74">
        <v>179.56573996499435</v>
      </c>
      <c r="BL22" s="75"/>
      <c r="BM22" s="75">
        <v>0</v>
      </c>
      <c r="BN22" s="75">
        <v>0</v>
      </c>
      <c r="BO22" s="76">
        <v>0</v>
      </c>
      <c r="BP22" s="77">
        <v>70</v>
      </c>
      <c r="BQ22" s="75">
        <v>0</v>
      </c>
      <c r="BR22" s="75"/>
      <c r="BS22" s="75">
        <v>0</v>
      </c>
      <c r="BT22" s="75">
        <v>0</v>
      </c>
      <c r="BU22" s="76">
        <v>0</v>
      </c>
      <c r="BV22" s="77">
        <v>58</v>
      </c>
      <c r="BW22" s="75">
        <v>0</v>
      </c>
      <c r="BX22" s="75"/>
      <c r="BY22" s="75">
        <v>0</v>
      </c>
      <c r="BZ22" s="75">
        <f t="shared" si="2"/>
        <v>0</v>
      </c>
      <c r="CA22" s="76">
        <f t="shared" si="3"/>
        <v>0</v>
      </c>
      <c r="CB22" s="77">
        <v>49</v>
      </c>
      <c r="CC22" s="75">
        <f t="shared" si="4"/>
        <v>0</v>
      </c>
      <c r="CD22" s="75">
        <v>13.52</v>
      </c>
      <c r="CE22" s="75">
        <f t="shared" si="5"/>
        <v>1.3520000000000001</v>
      </c>
      <c r="CF22" s="75">
        <f t="shared" si="6"/>
        <v>4.5855333333333315</v>
      </c>
      <c r="CG22" s="76">
        <f t="shared" si="7"/>
        <v>0.12393333333333328</v>
      </c>
      <c r="CH22" s="77">
        <v>37</v>
      </c>
      <c r="CI22" s="75">
        <f t="shared" si="8"/>
        <v>19.45753333333333</v>
      </c>
      <c r="CJ22" s="75">
        <v>12.479999999999999</v>
      </c>
      <c r="CK22" s="75">
        <v>1.248</v>
      </c>
      <c r="CL22" s="75">
        <f t="shared" si="9"/>
        <v>2.8599999999999981</v>
      </c>
      <c r="CM22" s="76">
        <f t="shared" si="10"/>
        <v>0.11439999999999993</v>
      </c>
      <c r="CN22" s="77">
        <v>25</v>
      </c>
      <c r="CO22" s="75">
        <f t="shared" si="11"/>
        <v>16.587999999999997</v>
      </c>
      <c r="CP22" s="75">
        <v>12.479999999999999</v>
      </c>
      <c r="CQ22" s="75">
        <v>1.248</v>
      </c>
      <c r="CR22" s="75">
        <f t="shared" si="12"/>
        <v>1.4871999999999992</v>
      </c>
      <c r="CS22" s="76">
        <f t="shared" si="13"/>
        <v>0.11439999999999993</v>
      </c>
      <c r="CT22" s="77">
        <v>13</v>
      </c>
      <c r="CU22" s="75">
        <f t="shared" si="14"/>
        <v>15.215199999999998</v>
      </c>
      <c r="CV22" s="75">
        <f t="shared" si="15"/>
        <v>12.479999999999999</v>
      </c>
      <c r="CW22" s="75">
        <f t="shared" si="16"/>
        <v>50.959999999999994</v>
      </c>
      <c r="CX22" s="75">
        <f t="shared" si="17"/>
        <v>3.8479999999999999</v>
      </c>
      <c r="CY22" s="75">
        <f t="shared" si="18"/>
        <v>8.9327333333333296</v>
      </c>
      <c r="CZ22" s="75">
        <f t="shared" si="19"/>
        <v>63.740733333333324</v>
      </c>
      <c r="DA22" s="78">
        <v>2.0917722222222219E-2</v>
      </c>
      <c r="DB22" s="75">
        <v>1872</v>
      </c>
      <c r="DC22" s="79">
        <v>2</v>
      </c>
      <c r="DD22" s="75">
        <f>17.16+25.03</f>
        <v>42.19</v>
      </c>
      <c r="DE22" s="75">
        <v>200</v>
      </c>
      <c r="DF22" s="75">
        <f t="shared" si="20"/>
        <v>3825.5207333333328</v>
      </c>
      <c r="DG22" s="75">
        <f>398.53+182.42</f>
        <v>580.94999999999993</v>
      </c>
      <c r="DH22" s="75">
        <v>216.25</v>
      </c>
      <c r="DI22" s="75">
        <v>76</v>
      </c>
      <c r="DJ22" s="75">
        <v>100</v>
      </c>
      <c r="DK22" s="80">
        <v>655</v>
      </c>
      <c r="DL22" s="75">
        <f t="shared" si="21"/>
        <v>1628.1999999999998</v>
      </c>
      <c r="DM22" s="81" t="s">
        <v>1997</v>
      </c>
      <c r="DN22" s="80">
        <v>2400</v>
      </c>
      <c r="DO22" s="80">
        <v>0</v>
      </c>
      <c r="DP22" s="80">
        <v>2400</v>
      </c>
      <c r="DQ22" s="82">
        <v>0.64</v>
      </c>
      <c r="DR22" s="72" t="s">
        <v>2496</v>
      </c>
      <c r="DS22" s="72" t="s">
        <v>2497</v>
      </c>
      <c r="FJ22" s="72" t="s">
        <v>473</v>
      </c>
      <c r="FK22" s="72" t="s">
        <v>474</v>
      </c>
      <c r="FL22" s="72" t="s">
        <v>475</v>
      </c>
      <c r="FM22" s="72" t="s">
        <v>438</v>
      </c>
      <c r="FN22" s="72" t="s">
        <v>260</v>
      </c>
      <c r="FO22" s="75">
        <f>6.21+0.55+0.55+0.55+0.55+0.55+0.55+9.88</f>
        <v>19.39</v>
      </c>
      <c r="HZ22" s="106">
        <v>44499</v>
      </c>
      <c r="IA22" s="72">
        <v>3825.52</v>
      </c>
      <c r="IB22" s="75">
        <v>390</v>
      </c>
      <c r="IE22" s="72" t="s">
        <v>2715</v>
      </c>
      <c r="IF22" s="72" t="s">
        <v>2716</v>
      </c>
      <c r="IG22" s="72" t="s">
        <v>1022</v>
      </c>
      <c r="IJ22" s="75">
        <v>64</v>
      </c>
      <c r="IK22" s="75">
        <f t="shared" si="22"/>
        <v>-7.3333333284608671E-4</v>
      </c>
      <c r="IL22" s="106">
        <v>44481</v>
      </c>
      <c r="IM22" s="106">
        <v>44491</v>
      </c>
      <c r="IN22" s="106">
        <v>44501</v>
      </c>
      <c r="IO22" s="106">
        <v>44505</v>
      </c>
    </row>
    <row r="23" spans="1:250" s="72" customFormat="1">
      <c r="A23" s="72">
        <v>102021034</v>
      </c>
      <c r="B23" s="72" t="s">
        <v>2063</v>
      </c>
      <c r="C23" s="95"/>
      <c r="E23" s="72" t="s">
        <v>2436</v>
      </c>
      <c r="F23" s="72">
        <v>210002643</v>
      </c>
      <c r="J23" s="72" t="s">
        <v>554</v>
      </c>
      <c r="K23" s="72" t="s">
        <v>2064</v>
      </c>
      <c r="L23" s="72" t="s">
        <v>420</v>
      </c>
      <c r="M23" s="72" t="s">
        <v>426</v>
      </c>
      <c r="P23" s="72" t="s">
        <v>2064</v>
      </c>
      <c r="Q23" s="72" t="s">
        <v>2065</v>
      </c>
      <c r="R23" s="72" t="s">
        <v>326</v>
      </c>
      <c r="AG23" s="83"/>
      <c r="AJ23" s="72" t="s">
        <v>328</v>
      </c>
      <c r="AL23" s="72" t="s">
        <v>600</v>
      </c>
      <c r="AO23" s="81" t="s">
        <v>2156</v>
      </c>
      <c r="AP23" s="81" t="s">
        <v>258</v>
      </c>
      <c r="AQ23" s="81" t="s">
        <v>2157</v>
      </c>
      <c r="AS23" s="95"/>
      <c r="AT23" s="95"/>
      <c r="AU23" s="95" t="s">
        <v>258</v>
      </c>
      <c r="AV23" s="95" t="s">
        <v>258</v>
      </c>
      <c r="AW23" s="95" t="s">
        <v>258</v>
      </c>
      <c r="AX23" s="85">
        <v>44280</v>
      </c>
      <c r="AY23" s="85">
        <v>44248</v>
      </c>
      <c r="AZ23" s="85">
        <v>44242</v>
      </c>
      <c r="BA23" s="85">
        <v>44330</v>
      </c>
      <c r="BB23" s="84" t="s">
        <v>318</v>
      </c>
      <c r="BC23" s="85">
        <v>44316</v>
      </c>
      <c r="BD23" s="85">
        <v>44323</v>
      </c>
      <c r="BE23" s="85">
        <v>44358</v>
      </c>
      <c r="BF23" s="84" t="s">
        <v>319</v>
      </c>
      <c r="BG23" s="73">
        <v>3882.2286833333333</v>
      </c>
      <c r="BH23" s="74">
        <v>-341.30957912504192</v>
      </c>
      <c r="BI23" s="74">
        <v>341.30957912504192</v>
      </c>
      <c r="BJ23" s="75">
        <v>38.653333333333329</v>
      </c>
      <c r="BK23" s="74">
        <v>379.96291245837523</v>
      </c>
      <c r="BL23" s="75"/>
      <c r="BM23" s="75">
        <v>0</v>
      </c>
      <c r="BN23" s="75">
        <v>0</v>
      </c>
      <c r="BO23" s="76">
        <v>0</v>
      </c>
      <c r="BP23" s="77">
        <v>70</v>
      </c>
      <c r="BQ23" s="75">
        <v>0</v>
      </c>
      <c r="BR23" s="75"/>
      <c r="BS23" s="75">
        <v>0</v>
      </c>
      <c r="BT23" s="75">
        <v>0</v>
      </c>
      <c r="BU23" s="76">
        <v>0</v>
      </c>
      <c r="BV23" s="77">
        <v>58</v>
      </c>
      <c r="BW23" s="75">
        <v>0</v>
      </c>
      <c r="BX23" s="75"/>
      <c r="BY23" s="75">
        <v>0</v>
      </c>
      <c r="BZ23" s="75">
        <f t="shared" si="2"/>
        <v>0</v>
      </c>
      <c r="CA23" s="76">
        <f t="shared" si="3"/>
        <v>0</v>
      </c>
      <c r="CB23" s="77">
        <v>49</v>
      </c>
      <c r="CC23" s="75">
        <f t="shared" si="4"/>
        <v>0</v>
      </c>
      <c r="CD23" s="75">
        <v>26.31</v>
      </c>
      <c r="CE23" s="75">
        <f t="shared" si="5"/>
        <v>2.6310000000000002</v>
      </c>
      <c r="CF23" s="75">
        <f t="shared" si="6"/>
        <v>8.9234749999999963</v>
      </c>
      <c r="CG23" s="76">
        <f t="shared" si="7"/>
        <v>0.24117499999999989</v>
      </c>
      <c r="CH23" s="77">
        <v>37</v>
      </c>
      <c r="CI23" s="75">
        <f t="shared" si="8"/>
        <v>37.864474999999999</v>
      </c>
      <c r="CJ23" s="75">
        <v>463.84</v>
      </c>
      <c r="CK23" s="75">
        <v>46.384</v>
      </c>
      <c r="CL23" s="75">
        <f t="shared" si="9"/>
        <v>106.29666666666662</v>
      </c>
      <c r="CM23" s="76">
        <f t="shared" si="10"/>
        <v>4.2518666666666647</v>
      </c>
      <c r="CN23" s="77">
        <v>25</v>
      </c>
      <c r="CO23" s="75">
        <f t="shared" si="11"/>
        <v>616.52066666666656</v>
      </c>
      <c r="CP23" s="75">
        <v>463.84</v>
      </c>
      <c r="CQ23" s="75">
        <v>46.384</v>
      </c>
      <c r="CR23" s="75">
        <f t="shared" si="12"/>
        <v>55.274266666666641</v>
      </c>
      <c r="CS23" s="76">
        <f t="shared" si="13"/>
        <v>4.2518666666666647</v>
      </c>
      <c r="CT23" s="77">
        <v>13</v>
      </c>
      <c r="CU23" s="75">
        <f t="shared" si="14"/>
        <v>565.49826666666661</v>
      </c>
      <c r="CV23" s="75">
        <f t="shared" si="15"/>
        <v>463.84</v>
      </c>
      <c r="CW23" s="75">
        <f t="shared" si="16"/>
        <v>1417.83</v>
      </c>
      <c r="CX23" s="75">
        <f t="shared" si="17"/>
        <v>95.399000000000001</v>
      </c>
      <c r="CY23" s="75">
        <f t="shared" si="18"/>
        <v>170.49440833333327</v>
      </c>
      <c r="CZ23" s="75">
        <f t="shared" si="19"/>
        <v>1683.7234083333331</v>
      </c>
      <c r="DA23" s="78">
        <v>1.3381711696562033E-2</v>
      </c>
      <c r="DB23" s="75">
        <v>1605.5</v>
      </c>
      <c r="DC23" s="79">
        <v>3</v>
      </c>
      <c r="DD23" s="75">
        <f>150.21+25.03</f>
        <v>175.24</v>
      </c>
      <c r="DE23" s="75">
        <v>310</v>
      </c>
      <c r="DF23" s="75">
        <f t="shared" si="20"/>
        <v>5875.5534083333332</v>
      </c>
      <c r="DG23" s="75">
        <f>759.62+182.42</f>
        <v>942.04</v>
      </c>
      <c r="DH23" s="75">
        <v>221.25</v>
      </c>
      <c r="DI23" s="75">
        <v>71</v>
      </c>
      <c r="DJ23" s="75">
        <f>SUM(DP23*0.004)</f>
        <v>356.8</v>
      </c>
      <c r="DK23" s="80">
        <v>510</v>
      </c>
      <c r="DL23" s="75">
        <f t="shared" si="21"/>
        <v>2101.09</v>
      </c>
      <c r="DM23" s="81" t="s">
        <v>1997</v>
      </c>
      <c r="DN23" s="80">
        <v>89200</v>
      </c>
      <c r="DO23" s="80">
        <v>0</v>
      </c>
      <c r="DP23" s="80">
        <v>89200</v>
      </c>
      <c r="DQ23" s="82">
        <v>18.600000000000001</v>
      </c>
      <c r="DR23" s="72" t="s">
        <v>2303</v>
      </c>
      <c r="DS23" s="72" t="s">
        <v>2304</v>
      </c>
      <c r="DT23" s="72" t="s">
        <v>2305</v>
      </c>
      <c r="ED23" s="72" t="s">
        <v>2300</v>
      </c>
      <c r="EF23" s="72" t="s">
        <v>2301</v>
      </c>
      <c r="EH23" s="72" t="s">
        <v>2302</v>
      </c>
      <c r="FO23" s="75"/>
      <c r="HZ23" s="106">
        <v>44499</v>
      </c>
      <c r="IA23" s="72">
        <v>76000</v>
      </c>
      <c r="IB23" s="75">
        <v>8000</v>
      </c>
      <c r="IE23" s="72" t="s">
        <v>2754</v>
      </c>
      <c r="IF23" s="72" t="s">
        <v>2729</v>
      </c>
      <c r="IG23" s="72" t="s">
        <v>600</v>
      </c>
      <c r="IJ23" s="75">
        <v>433.83</v>
      </c>
      <c r="IK23" s="75">
        <f t="shared" si="22"/>
        <v>70124.446591666667</v>
      </c>
      <c r="IL23" s="106">
        <v>44377</v>
      </c>
      <c r="IM23" s="106">
        <v>44397</v>
      </c>
      <c r="IN23" s="106">
        <v>44501</v>
      </c>
      <c r="IO23" s="106">
        <v>44505</v>
      </c>
    </row>
    <row r="24" spans="1:250" s="72" customFormat="1">
      <c r="A24" s="72">
        <v>102021042</v>
      </c>
      <c r="B24" s="72" t="s">
        <v>2055</v>
      </c>
      <c r="C24" s="95"/>
      <c r="E24" s="72" t="s">
        <v>2537</v>
      </c>
      <c r="J24" s="72" t="s">
        <v>311</v>
      </c>
      <c r="K24" s="72" t="s">
        <v>956</v>
      </c>
      <c r="L24" s="72" t="s">
        <v>2056</v>
      </c>
      <c r="N24" s="72" t="s">
        <v>341</v>
      </c>
      <c r="AG24" s="83"/>
      <c r="AJ24" s="72" t="s">
        <v>328</v>
      </c>
      <c r="AL24" s="72" t="s">
        <v>267</v>
      </c>
      <c r="AN24" s="72" t="s">
        <v>2163</v>
      </c>
      <c r="AO24" s="81" t="s">
        <v>2164</v>
      </c>
      <c r="AP24" s="81" t="s">
        <v>258</v>
      </c>
      <c r="AQ24" s="81" t="s">
        <v>2165</v>
      </c>
      <c r="AS24" s="95"/>
      <c r="AT24" s="95"/>
      <c r="AU24" s="95" t="s">
        <v>258</v>
      </c>
      <c r="AV24" s="95" t="s">
        <v>258</v>
      </c>
      <c r="AW24" s="95" t="s">
        <v>258</v>
      </c>
      <c r="AX24" s="85">
        <v>44392</v>
      </c>
      <c r="AY24" s="85">
        <v>44332</v>
      </c>
      <c r="AZ24" s="85">
        <v>44362</v>
      </c>
      <c r="BA24" s="85">
        <v>44421</v>
      </c>
      <c r="BB24" s="84" t="s">
        <v>318</v>
      </c>
      <c r="BC24" s="85">
        <v>44414</v>
      </c>
      <c r="BD24" s="85">
        <v>44414</v>
      </c>
      <c r="BE24" s="85">
        <v>44428</v>
      </c>
      <c r="BF24" s="84" t="s">
        <v>319</v>
      </c>
      <c r="BG24" s="73">
        <v>2327.5285333333327</v>
      </c>
      <c r="BH24" s="74">
        <v>-204.62673606116289</v>
      </c>
      <c r="BI24" s="74">
        <v>204.62673606116289</v>
      </c>
      <c r="BJ24" s="75">
        <v>9.7066666666666652</v>
      </c>
      <c r="BK24" s="74">
        <v>214.33340272782957</v>
      </c>
      <c r="BL24" s="75"/>
      <c r="BM24" s="75">
        <v>0</v>
      </c>
      <c r="BN24" s="75">
        <v>0</v>
      </c>
      <c r="BO24" s="76">
        <v>0</v>
      </c>
      <c r="BP24" s="77">
        <v>70</v>
      </c>
      <c r="BQ24" s="75">
        <v>0</v>
      </c>
      <c r="BR24" s="75"/>
      <c r="BS24" s="75">
        <v>0</v>
      </c>
      <c r="BT24" s="75">
        <v>0</v>
      </c>
      <c r="BU24" s="76">
        <v>0</v>
      </c>
      <c r="BV24" s="77">
        <v>58</v>
      </c>
      <c r="BW24" s="75">
        <v>0</v>
      </c>
      <c r="BX24" s="75"/>
      <c r="BY24" s="75">
        <v>0</v>
      </c>
      <c r="BZ24" s="75">
        <f t="shared" si="2"/>
        <v>0</v>
      </c>
      <c r="CA24" s="76">
        <f t="shared" si="3"/>
        <v>0</v>
      </c>
      <c r="CB24" s="77">
        <v>49</v>
      </c>
      <c r="CC24" s="75">
        <f t="shared" si="4"/>
        <v>0</v>
      </c>
      <c r="CD24" s="75">
        <v>86.32</v>
      </c>
      <c r="CE24" s="75">
        <f t="shared" si="5"/>
        <v>8.6319999999999997</v>
      </c>
      <c r="CF24" s="75">
        <f t="shared" si="6"/>
        <v>29.276866666666656</v>
      </c>
      <c r="CG24" s="76">
        <f t="shared" si="7"/>
        <v>0.79126666666666634</v>
      </c>
      <c r="CH24" s="77">
        <v>37</v>
      </c>
      <c r="CI24" s="75">
        <f t="shared" si="8"/>
        <v>124.22886666666665</v>
      </c>
      <c r="CJ24" s="75">
        <v>116.47999999999999</v>
      </c>
      <c r="CK24" s="75">
        <v>11.648</v>
      </c>
      <c r="CL24" s="75">
        <f t="shared" si="9"/>
        <v>26.693333333333317</v>
      </c>
      <c r="CM24" s="76">
        <f t="shared" si="10"/>
        <v>1.0677333333333328</v>
      </c>
      <c r="CN24" s="77">
        <v>25</v>
      </c>
      <c r="CO24" s="75">
        <f t="shared" si="11"/>
        <v>154.82133333333331</v>
      </c>
      <c r="CP24" s="75">
        <v>116.47999999999999</v>
      </c>
      <c r="CQ24" s="75">
        <v>11.648</v>
      </c>
      <c r="CR24" s="75">
        <f t="shared" si="12"/>
        <v>13.880533333333325</v>
      </c>
      <c r="CS24" s="76">
        <f t="shared" si="13"/>
        <v>1.0677333333333328</v>
      </c>
      <c r="CT24" s="77">
        <v>13</v>
      </c>
      <c r="CU24" s="75">
        <f t="shared" si="14"/>
        <v>142.0085333333333</v>
      </c>
      <c r="CV24" s="75">
        <f t="shared" si="15"/>
        <v>116.47999999999999</v>
      </c>
      <c r="CW24" s="75">
        <f t="shared" si="16"/>
        <v>435.76</v>
      </c>
      <c r="CX24" s="75">
        <f t="shared" si="17"/>
        <v>31.928000000000001</v>
      </c>
      <c r="CY24" s="75">
        <f t="shared" si="18"/>
        <v>69.850733333333295</v>
      </c>
      <c r="CZ24" s="75">
        <f t="shared" si="19"/>
        <v>537.53873333333331</v>
      </c>
      <c r="DA24" s="78">
        <v>1.8405291666666664E-2</v>
      </c>
      <c r="DB24" s="75">
        <v>1501.5</v>
      </c>
      <c r="DC24" s="79">
        <v>2</v>
      </c>
      <c r="DD24" s="75">
        <f>13.72+25.03</f>
        <v>38.75</v>
      </c>
      <c r="DE24" s="75">
        <v>150</v>
      </c>
      <c r="DF24" s="75">
        <f t="shared" si="20"/>
        <v>3660.7387333333331</v>
      </c>
      <c r="DG24" s="75">
        <f>24.53+374+182.42</f>
        <v>580.94999999999993</v>
      </c>
      <c r="DH24" s="75">
        <v>178.75</v>
      </c>
      <c r="DI24" s="75">
        <v>63.25</v>
      </c>
      <c r="DJ24" s="75">
        <v>100</v>
      </c>
      <c r="DK24" s="80">
        <v>510</v>
      </c>
      <c r="DL24" s="75">
        <f t="shared" si="21"/>
        <v>1432.9499999999998</v>
      </c>
      <c r="DM24" s="81" t="s">
        <v>1997</v>
      </c>
      <c r="DN24" s="80">
        <v>22400</v>
      </c>
      <c r="DO24" s="80">
        <v>0</v>
      </c>
      <c r="DP24" s="80">
        <v>22400</v>
      </c>
      <c r="DQ24" s="82">
        <v>2</v>
      </c>
      <c r="DR24" s="72" t="s">
        <v>2511</v>
      </c>
      <c r="DS24" s="72" t="s">
        <v>2512</v>
      </c>
      <c r="DT24" s="72" t="s">
        <v>2514</v>
      </c>
      <c r="DU24" s="72" t="s">
        <v>2513</v>
      </c>
      <c r="FO24" s="75"/>
      <c r="HZ24" s="106">
        <v>44499</v>
      </c>
      <c r="IA24" s="72">
        <v>13000</v>
      </c>
      <c r="IB24" s="75">
        <v>1300</v>
      </c>
      <c r="IE24" s="72" t="s">
        <v>2730</v>
      </c>
      <c r="IF24" s="72" t="s">
        <v>2731</v>
      </c>
      <c r="IG24" s="72" t="s">
        <v>290</v>
      </c>
      <c r="IJ24" s="75">
        <v>144.16999999999999</v>
      </c>
      <c r="IK24" s="75">
        <f t="shared" si="22"/>
        <v>9339.2612666666664</v>
      </c>
      <c r="IL24" s="106">
        <v>44434</v>
      </c>
      <c r="IM24" s="106">
        <v>44453</v>
      </c>
      <c r="IN24" s="106">
        <v>44501</v>
      </c>
      <c r="IO24" s="106">
        <v>44505</v>
      </c>
    </row>
    <row r="26" spans="1:250" s="72" customFormat="1" ht="14.45" customHeight="1">
      <c r="A26" s="72">
        <v>102021066</v>
      </c>
      <c r="B26" s="72" t="s">
        <v>2090</v>
      </c>
      <c r="C26" s="95"/>
      <c r="E26" s="72" t="s">
        <v>2525</v>
      </c>
      <c r="F26" s="72">
        <v>210004663</v>
      </c>
      <c r="J26" s="72" t="s">
        <v>554</v>
      </c>
      <c r="K26" s="72" t="s">
        <v>1039</v>
      </c>
      <c r="L26" s="72" t="s">
        <v>1096</v>
      </c>
      <c r="P26" s="72" t="s">
        <v>1039</v>
      </c>
      <c r="Q26" s="72" t="s">
        <v>2091</v>
      </c>
      <c r="AD26" s="72" t="s">
        <v>2534</v>
      </c>
      <c r="AE26" s="72" t="s">
        <v>311</v>
      </c>
      <c r="AF26" s="72" t="s">
        <v>2535</v>
      </c>
      <c r="AG26" s="83" t="s">
        <v>2536</v>
      </c>
      <c r="AJ26" s="72" t="s">
        <v>328</v>
      </c>
      <c r="AL26" s="81" t="s">
        <v>349</v>
      </c>
      <c r="AO26" s="81" t="s">
        <v>2191</v>
      </c>
      <c r="AP26" s="81" t="s">
        <v>258</v>
      </c>
      <c r="AQ26" s="81" t="s">
        <v>2192</v>
      </c>
      <c r="AS26" s="95"/>
      <c r="AT26" s="95"/>
      <c r="AU26" s="95" t="s">
        <v>258</v>
      </c>
      <c r="AV26" s="95" t="s">
        <v>258</v>
      </c>
      <c r="AW26" s="95" t="s">
        <v>258</v>
      </c>
      <c r="AX26" s="85">
        <v>44364</v>
      </c>
      <c r="AY26" s="85">
        <v>44332</v>
      </c>
      <c r="AZ26" s="85">
        <v>44295</v>
      </c>
      <c r="BA26" s="85">
        <v>44400</v>
      </c>
      <c r="BB26" s="84" t="s">
        <v>318</v>
      </c>
      <c r="BC26" s="85">
        <v>44386</v>
      </c>
      <c r="BD26" s="85">
        <v>44386</v>
      </c>
      <c r="BE26" s="85">
        <v>44428</v>
      </c>
      <c r="BF26" s="84" t="s">
        <v>319</v>
      </c>
      <c r="BG26" s="73">
        <v>2813.4799999999996</v>
      </c>
      <c r="BH26" s="74">
        <v>-247.34959040388736</v>
      </c>
      <c r="BI26" s="74">
        <v>247.34959040388736</v>
      </c>
      <c r="BJ26" s="75">
        <v>10.053333333333333</v>
      </c>
      <c r="BK26" s="74">
        <v>257.4029237372207</v>
      </c>
      <c r="BL26" s="75"/>
      <c r="BM26" s="75">
        <v>0</v>
      </c>
      <c r="BN26" s="75">
        <v>0</v>
      </c>
      <c r="BO26" s="76">
        <v>0</v>
      </c>
      <c r="BP26" s="77">
        <v>70</v>
      </c>
      <c r="BQ26" s="75">
        <v>0</v>
      </c>
      <c r="BR26" s="75"/>
      <c r="BS26" s="75">
        <v>0</v>
      </c>
      <c r="BT26" s="75">
        <v>0</v>
      </c>
      <c r="BU26" s="76">
        <v>0</v>
      </c>
      <c r="BV26" s="77">
        <v>58</v>
      </c>
      <c r="BW26" s="75">
        <v>0</v>
      </c>
      <c r="BX26" s="75"/>
      <c r="BY26" s="75">
        <v>0</v>
      </c>
      <c r="BZ26" s="75">
        <f>SUM(CA26*CB26)</f>
        <v>0</v>
      </c>
      <c r="CA26" s="76">
        <f>SUM((BX26+BY26)*0.00833333333333333)</f>
        <v>0</v>
      </c>
      <c r="CB26" s="77">
        <v>49</v>
      </c>
      <c r="CC26" s="75">
        <f>SUM(BX26,BY26,BZ26)</f>
        <v>0</v>
      </c>
      <c r="CD26" s="75">
        <v>19.760000000000002</v>
      </c>
      <c r="CE26" s="75">
        <f>SUM(CD26*0.1)</f>
        <v>1.9760000000000002</v>
      </c>
      <c r="CF26" s="75">
        <f>SUM(CG26*CH26)</f>
        <v>6.7019333333333302</v>
      </c>
      <c r="CG26" s="76">
        <f>SUM((CD26+CE26)*0.00833333333333333)</f>
        <v>0.18113333333333326</v>
      </c>
      <c r="CH26" s="77">
        <v>37</v>
      </c>
      <c r="CI26" s="75">
        <f>SUM(CD26,CE26,CF26)</f>
        <v>28.43793333333333</v>
      </c>
      <c r="CJ26" s="75">
        <v>120.64</v>
      </c>
      <c r="CK26" s="75">
        <v>12.064</v>
      </c>
      <c r="CL26" s="75">
        <f>SUM(CM26*CN26)</f>
        <v>27.646666666666658</v>
      </c>
      <c r="CM26" s="76">
        <f>SUM((CJ26+CK26)*0.00833333333333333)</f>
        <v>1.1058666666666663</v>
      </c>
      <c r="CN26" s="77">
        <v>25</v>
      </c>
      <c r="CO26" s="75">
        <f>SUM(CJ26,CK26,CL26)</f>
        <v>160.35066666666665</v>
      </c>
      <c r="CP26" s="75">
        <v>120.64</v>
      </c>
      <c r="CQ26" s="75">
        <v>12.064</v>
      </c>
      <c r="CR26" s="75">
        <f>SUM(CS26*CT26)</f>
        <v>14.376266666666663</v>
      </c>
      <c r="CS26" s="76">
        <f>SUM((CP26+CQ26)*0.00833333333333333)</f>
        <v>1.1058666666666663</v>
      </c>
      <c r="CT26" s="77">
        <v>13</v>
      </c>
      <c r="CU26" s="75">
        <f>SUM(CP26,CQ26,CR26)</f>
        <v>147.08026666666666</v>
      </c>
      <c r="CV26" s="75">
        <f>SUM(DP26*0.0052)</f>
        <v>120.64</v>
      </c>
      <c r="CW26" s="75">
        <f>SUM(BL26, BR26, BX26, CD26,CJ26,CP26, CV26)</f>
        <v>381.68</v>
      </c>
      <c r="CX26" s="75">
        <f>SUM(BM26, BS26, BY26, CE26,CK26,CQ26)</f>
        <v>26.103999999999999</v>
      </c>
      <c r="CY26" s="75">
        <f>SUM(BN26, BT26, BZ26, CF26,CL26,CR26)</f>
        <v>48.724866666666657</v>
      </c>
      <c r="CZ26" s="75">
        <f>SUM(CW26:CY26)</f>
        <v>456.50886666666668</v>
      </c>
      <c r="DA26" s="78">
        <v>1.4064224137931035E-2</v>
      </c>
      <c r="DB26" s="75">
        <v>1579.5</v>
      </c>
      <c r="DC26" s="79">
        <v>2</v>
      </c>
      <c r="DD26" s="75">
        <f>72.16+25.03</f>
        <v>97.19</v>
      </c>
      <c r="DE26" s="75">
        <v>150</v>
      </c>
      <c r="DF26" s="75">
        <f>SUM(CZ26,DB26,DL26, DE26, DD26,FO26)</f>
        <v>3777.6488666666664</v>
      </c>
      <c r="DG26" s="75">
        <f>397.53+182.42</f>
        <v>579.94999999999993</v>
      </c>
      <c r="DH26" s="75">
        <v>241.25</v>
      </c>
      <c r="DI26" s="75">
        <v>63.25</v>
      </c>
      <c r="DJ26" s="75">
        <v>100</v>
      </c>
      <c r="DK26" s="80">
        <v>510</v>
      </c>
      <c r="DL26" s="75">
        <f>SUM(DG26:DK26)</f>
        <v>1494.4499999999998</v>
      </c>
      <c r="DM26" s="81" t="s">
        <v>1997</v>
      </c>
      <c r="DN26" s="80">
        <v>23200</v>
      </c>
      <c r="DO26" s="80">
        <v>0</v>
      </c>
      <c r="DP26" s="80">
        <v>23200</v>
      </c>
      <c r="DQ26" s="82">
        <v>2</v>
      </c>
      <c r="DR26" s="72" t="s">
        <v>2448</v>
      </c>
      <c r="DS26" s="72" t="s">
        <v>2507</v>
      </c>
      <c r="DT26" s="72" t="s">
        <v>2449</v>
      </c>
      <c r="FO26" s="75"/>
      <c r="HZ26" s="106">
        <v>44499</v>
      </c>
      <c r="IA26" s="72">
        <v>10000</v>
      </c>
      <c r="IB26" s="75">
        <v>5400</v>
      </c>
      <c r="IE26" s="72" t="s">
        <v>2727</v>
      </c>
      <c r="IF26" s="72" t="s">
        <v>2728</v>
      </c>
      <c r="IG26" s="72" t="s">
        <v>349</v>
      </c>
      <c r="IJ26" s="75">
        <v>147.83000000000001</v>
      </c>
      <c r="IK26" s="75">
        <f>SUM(IA26-DF26-II26)</f>
        <v>6222.3511333333336</v>
      </c>
      <c r="IL26" s="106">
        <v>44434</v>
      </c>
      <c r="IM26" s="106">
        <v>44453</v>
      </c>
      <c r="IN26" s="106">
        <v>44501</v>
      </c>
      <c r="IO26" s="106">
        <v>44505</v>
      </c>
    </row>
    <row r="27" spans="1:250">
      <c r="CS27" s="17"/>
      <c r="CV27" s="103"/>
      <c r="IK27" s="103"/>
    </row>
    <row r="28" spans="1:250">
      <c r="CS28" s="17"/>
      <c r="IK28" s="4">
        <f>SUM(IK2:IK27)</f>
        <v>353008.22798333329</v>
      </c>
    </row>
    <row r="29" spans="1:250">
      <c r="DF29" s="4"/>
    </row>
    <row r="30" spans="1:250">
      <c r="CY30" t="s">
        <v>2545</v>
      </c>
      <c r="IK30" t="s">
        <v>813</v>
      </c>
      <c r="IL30" t="s">
        <v>972</v>
      </c>
    </row>
    <row r="31" spans="1:250">
      <c r="IH31" t="s">
        <v>1546</v>
      </c>
      <c r="II31" s="4">
        <f>SUM(IK11)</f>
        <v>382.24591666666583</v>
      </c>
      <c r="IJ31">
        <f>SUM(FO11/DF11)</f>
        <v>0.2340679470507363</v>
      </c>
      <c r="IK31" s="4">
        <f>SUM(II31*IJ31)</f>
        <v>89.471516982693302</v>
      </c>
      <c r="IL31" s="4">
        <f>SUM(II31-IK31)</f>
        <v>292.77439968397255</v>
      </c>
    </row>
    <row r="32" spans="1:250">
      <c r="CY32" t="s">
        <v>2546</v>
      </c>
      <c r="CZ32" s="4">
        <f>18.82+21.5</f>
        <v>40.32</v>
      </c>
      <c r="DA32" s="4"/>
    </row>
    <row r="33" spans="103:246">
      <c r="CY33" t="s">
        <v>2547</v>
      </c>
      <c r="CZ33" s="4">
        <f>(154*2.36)+(71*1.36)+1*1.56+(3*1.2)</f>
        <v>465.16</v>
      </c>
      <c r="DA33" s="4"/>
      <c r="IH33" t="s">
        <v>810</v>
      </c>
      <c r="II33" s="4">
        <f>SUM(IK18)</f>
        <v>40027.634066666666</v>
      </c>
      <c r="IJ33" s="4">
        <f>SUM(FO18/DF18)</f>
        <v>0.27204461651149781</v>
      </c>
      <c r="IK33" s="4">
        <f>SUM(II33*IJ33)</f>
        <v>10889.302359528898</v>
      </c>
      <c r="IL33" s="4">
        <f>SUM(II33-IK33)</f>
        <v>29138.331707137768</v>
      </c>
    </row>
    <row r="34" spans="103:246">
      <c r="CY34" t="s">
        <v>2548</v>
      </c>
      <c r="CZ34" s="4">
        <f>((39*180)+(26*9))*0.0373</f>
        <v>270.57420000000002</v>
      </c>
      <c r="DA34" s="4"/>
    </row>
    <row r="35" spans="103:246">
      <c r="CZ35" s="4"/>
      <c r="DA35" s="4"/>
    </row>
    <row r="36" spans="103:246">
      <c r="CY36" t="s">
        <v>2549</v>
      </c>
      <c r="CZ36" s="4">
        <f>SUM(CZ32:CZ35)</f>
        <v>776.05420000000004</v>
      </c>
    </row>
    <row r="38" spans="103:246">
      <c r="CY38" t="s">
        <v>2550</v>
      </c>
      <c r="CZ38" s="4">
        <f>SUM(CZ36/31)</f>
        <v>25.034006451612903</v>
      </c>
      <c r="II38" t="s">
        <v>2748</v>
      </c>
      <c r="IK38" s="4">
        <f>SUM(IK3:IK10,IK12:IK17,IK19:IK26,IL33)</f>
        <v>341736.67970713775</v>
      </c>
    </row>
    <row r="40" spans="103:246">
      <c r="II40" t="s">
        <v>2749</v>
      </c>
      <c r="IK40" s="4">
        <f>SUM(IK31:IK33)+6997.55</f>
        <v>17976.323876511593</v>
      </c>
    </row>
  </sheetData>
  <sortState xmlns:xlrd2="http://schemas.microsoft.com/office/spreadsheetml/2017/richdata2" ref="A2:IP41">
    <sortCondition ref="A1:A41"/>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2BBF-26A4-40A2-83F6-EE10FE5C3EEC}">
  <dimension ref="A1:IP129"/>
  <sheetViews>
    <sheetView workbookViewId="0">
      <pane ySplit="1" topLeftCell="A2" activePane="bottomLeft" state="frozen"/>
      <selection pane="bottomLeft" sqref="A1:XFD1048576"/>
    </sheetView>
  </sheetViews>
  <sheetFormatPr defaultColWidth="9" defaultRowHeight="14.45" customHeight="1"/>
  <cols>
    <col min="1" max="1" width="10" style="18" bestFit="1" customWidth="1"/>
    <col min="2" max="2" width="25" style="18" bestFit="1" customWidth="1"/>
    <col min="3" max="3" width="14.85546875" style="18" bestFit="1" customWidth="1"/>
    <col min="4" max="4" width="15.7109375" style="18" bestFit="1" customWidth="1"/>
    <col min="5" max="5" width="16.140625" style="18" bestFit="1" customWidth="1"/>
    <col min="6" max="6" width="48.85546875" style="18" bestFit="1" customWidth="1"/>
    <col min="7" max="7" width="17.85546875" style="18" bestFit="1" customWidth="1"/>
    <col min="8" max="8" width="10.140625" style="18" bestFit="1" customWidth="1"/>
    <col min="9" max="9" width="6.140625" style="18" bestFit="1" customWidth="1"/>
    <col min="10" max="10" width="12" style="18" bestFit="1" customWidth="1"/>
    <col min="11" max="11" width="11.5703125" style="18" bestFit="1" customWidth="1"/>
    <col min="12" max="12" width="12" style="18" bestFit="1" customWidth="1"/>
    <col min="13" max="13" width="11.5703125" style="18" bestFit="1" customWidth="1"/>
    <col min="14" max="14" width="7.5703125" style="18" bestFit="1" customWidth="1"/>
    <col min="15" max="15" width="12" style="18" bestFit="1" customWidth="1"/>
    <col min="16" max="16" width="11.5703125" style="18" bestFit="1" customWidth="1"/>
    <col min="17" max="17" width="12" style="18" bestFit="1" customWidth="1"/>
    <col min="18" max="18" width="11.5703125" style="18" bestFit="1" customWidth="1"/>
    <col min="19" max="19" width="7.5703125" style="18" bestFit="1" customWidth="1"/>
    <col min="20" max="20" width="12" style="18" bestFit="1" customWidth="1"/>
    <col min="21" max="21" width="27.7109375" style="18" bestFit="1" customWidth="1"/>
    <col min="22" max="22" width="21.7109375" style="18" bestFit="1" customWidth="1"/>
    <col min="23" max="23" width="19.5703125" style="18" bestFit="1" customWidth="1"/>
    <col min="24" max="24" width="16.140625" style="18" bestFit="1" customWidth="1"/>
    <col min="25" max="25" width="16" style="18" bestFit="1" customWidth="1"/>
    <col min="26" max="26" width="12.5703125" style="18" bestFit="1" customWidth="1"/>
    <col min="27" max="27" width="12.7109375" style="18" bestFit="1" customWidth="1"/>
    <col min="28" max="28" width="13.7109375" style="18" bestFit="1" customWidth="1"/>
    <col min="29" max="29" width="11" style="18" bestFit="1" customWidth="1"/>
    <col min="30" max="30" width="18.5703125" style="18" bestFit="1" customWidth="1"/>
    <col min="31" max="31" width="20.5703125" style="18" bestFit="1" customWidth="1"/>
    <col min="32" max="32" width="20" style="18" bestFit="1" customWidth="1"/>
    <col min="33" max="33" width="22.5703125" style="18" bestFit="1" customWidth="1"/>
    <col min="34" max="34" width="16.28515625" style="18" bestFit="1" customWidth="1"/>
    <col min="35" max="35" width="20.42578125" style="18" bestFit="1" customWidth="1"/>
    <col min="36" max="36" width="40.5703125" style="18" bestFit="1" customWidth="1"/>
    <col min="37" max="37" width="20.7109375" style="18" bestFit="1" customWidth="1"/>
    <col min="38" max="38" width="23.7109375" style="18" bestFit="1" customWidth="1"/>
    <col min="39" max="39" width="18.28515625" style="18" bestFit="1" customWidth="1"/>
    <col min="40" max="40" width="18.42578125" style="18" bestFit="1" customWidth="1"/>
    <col min="41" max="41" width="19.140625" style="18" bestFit="1" customWidth="1"/>
    <col min="42" max="42" width="16.5703125" style="18" bestFit="1" customWidth="1"/>
    <col min="43" max="43" width="10.140625" style="18" bestFit="1" customWidth="1"/>
    <col min="44" max="44" width="16.7109375" style="18" bestFit="1" customWidth="1"/>
    <col min="45" max="45" width="10.7109375" style="18" bestFit="1" customWidth="1"/>
    <col min="46" max="46" width="15.7109375" style="18" bestFit="1" customWidth="1"/>
    <col min="47" max="47" width="10.85546875" style="18" bestFit="1" customWidth="1"/>
    <col min="48" max="48" width="19.5703125" style="18" bestFit="1" customWidth="1"/>
    <col min="49" max="49" width="19.85546875" style="18" bestFit="1" customWidth="1"/>
    <col min="50" max="51" width="15.7109375" style="18" bestFit="1" customWidth="1"/>
    <col min="52" max="52" width="22.7109375" style="18" bestFit="1" customWidth="1"/>
    <col min="53" max="53" width="23" style="18" bestFit="1" customWidth="1"/>
    <col min="54" max="54" width="16.140625" style="18" bestFit="1" customWidth="1"/>
    <col min="55" max="55" width="10.5703125" style="18" bestFit="1" customWidth="1"/>
    <col min="56" max="56" width="16.5703125" style="18" bestFit="1" customWidth="1"/>
    <col min="57" max="57" width="8.42578125" style="18" bestFit="1" customWidth="1"/>
    <col min="58" max="58" width="12.140625" style="18" bestFit="1" customWidth="1"/>
    <col min="59" max="59" width="12.42578125" style="18" bestFit="1" customWidth="1"/>
    <col min="60" max="60" width="23" style="18" bestFit="1" customWidth="1"/>
    <col min="61" max="61" width="14" style="18" bestFit="1" customWidth="1"/>
    <col min="62" max="62" width="9.85546875" style="18" bestFit="1" customWidth="1"/>
    <col min="63" max="63" width="8.42578125" style="18" bestFit="1" customWidth="1"/>
    <col min="64" max="64" width="12.140625" style="18" bestFit="1" customWidth="1"/>
    <col min="65" max="65" width="12.42578125" style="18" bestFit="1" customWidth="1"/>
    <col min="66" max="66" width="23" style="18" bestFit="1" customWidth="1"/>
    <col min="67" max="67" width="14" style="18" bestFit="1" customWidth="1"/>
    <col min="68" max="68" width="9.85546875" style="18" bestFit="1" customWidth="1"/>
    <col min="69" max="69" width="8.42578125" style="18" bestFit="1" customWidth="1"/>
    <col min="70" max="70" width="12.140625" style="18" bestFit="1" customWidth="1"/>
    <col min="71" max="71" width="12.42578125" style="18" bestFit="1" customWidth="1"/>
    <col min="72" max="72" width="23" style="18" bestFit="1" customWidth="1"/>
    <col min="73" max="73" width="14" style="18" bestFit="1" customWidth="1"/>
    <col min="74" max="74" width="9.85546875" style="18" bestFit="1" customWidth="1"/>
    <col min="75" max="75" width="8.42578125" style="18" bestFit="1" customWidth="1"/>
    <col min="76" max="76" width="12.140625" style="18" bestFit="1" customWidth="1"/>
    <col min="77" max="77" width="12.42578125" style="18" bestFit="1" customWidth="1"/>
    <col min="78" max="78" width="23" style="18" bestFit="1" customWidth="1"/>
    <col min="79" max="79" width="14" style="18" bestFit="1" customWidth="1"/>
    <col min="80" max="80" width="9.85546875" style="18" bestFit="1" customWidth="1"/>
    <col min="81" max="81" width="8.42578125" style="18" bestFit="1" customWidth="1"/>
    <col min="82" max="82" width="12.140625" style="18" bestFit="1" customWidth="1"/>
    <col min="83" max="83" width="12.42578125" style="18" bestFit="1" customWidth="1"/>
    <col min="84" max="84" width="23" style="18" bestFit="1" customWidth="1"/>
    <col min="85" max="85" width="14" style="18" bestFit="1" customWidth="1"/>
    <col min="86" max="86" width="9.85546875" style="18" bestFit="1" customWidth="1"/>
    <col min="87" max="87" width="8.42578125" style="18" bestFit="1" customWidth="1"/>
    <col min="88" max="88" width="12.140625" style="18" bestFit="1" customWidth="1"/>
    <col min="89" max="89" width="12.42578125" style="18" bestFit="1" customWidth="1"/>
    <col min="90" max="90" width="23" style="18" bestFit="1" customWidth="1"/>
    <col min="91" max="91" width="14" style="18" bestFit="1" customWidth="1"/>
    <col min="92" max="92" width="9.85546875" style="18" bestFit="1" customWidth="1"/>
    <col min="93" max="93" width="8.42578125" style="18" bestFit="1" customWidth="1"/>
    <col min="94" max="94" width="12.140625" style="18" bestFit="1" customWidth="1"/>
    <col min="95" max="95" width="12.42578125" style="18" bestFit="1" customWidth="1"/>
    <col min="96" max="96" width="23" style="18" bestFit="1" customWidth="1"/>
    <col min="97" max="97" width="14" style="18" bestFit="1" customWidth="1"/>
    <col min="98" max="98" width="9.85546875" style="18" bestFit="1" customWidth="1"/>
    <col min="99" max="99" width="8.42578125" bestFit="1" customWidth="1"/>
    <col min="100" max="100" width="9.28515625" bestFit="1" customWidth="1"/>
    <col min="101" max="101" width="12.5703125" style="18" bestFit="1" customWidth="1"/>
    <col min="102" max="102" width="12.85546875" style="18" bestFit="1" customWidth="1"/>
    <col min="103" max="103" width="9.140625" style="18" bestFit="1" customWidth="1"/>
    <col min="104" max="104" width="9.7109375" style="18" bestFit="1" customWidth="1"/>
    <col min="105" max="105" width="9.140625" style="18" bestFit="1" customWidth="1"/>
    <col min="106" max="106" width="9.5703125" style="18" bestFit="1" customWidth="1"/>
    <col min="107" max="107" width="12.85546875" style="14" bestFit="1" customWidth="1"/>
    <col min="108" max="109" width="10.140625" style="14" bestFit="1" customWidth="1"/>
    <col min="110" max="110" width="9.140625" style="14" bestFit="1" customWidth="1"/>
    <col min="111" max="111" width="16.28515625" style="14" bestFit="1" customWidth="1"/>
    <col min="112" max="112" width="15.5703125" style="14" bestFit="1" customWidth="1"/>
    <col min="113" max="113" width="14.28515625" style="14" bestFit="1" customWidth="1"/>
    <col min="114" max="114" width="18.5703125" style="14" bestFit="1" customWidth="1"/>
    <col min="115" max="115" width="18.7109375" style="14" bestFit="1" customWidth="1"/>
    <col min="116" max="116" width="13.85546875" style="14" bestFit="1" customWidth="1"/>
    <col min="117" max="117" width="16.5703125" style="14" bestFit="1" customWidth="1"/>
    <col min="118" max="118" width="13.140625" style="14" bestFit="1" customWidth="1"/>
    <col min="119" max="119" width="12.5703125" style="23" bestFit="1" customWidth="1"/>
    <col min="120" max="126" width="255.7109375" style="18" bestFit="1" customWidth="1"/>
    <col min="127" max="127" width="226.42578125" style="18" bestFit="1" customWidth="1"/>
    <col min="128" max="128" width="222.85546875" style="18" bestFit="1" customWidth="1"/>
    <col min="129" max="129" width="94.85546875" style="18" bestFit="1" customWidth="1"/>
    <col min="130" max="131" width="15.5703125" style="18" bestFit="1" customWidth="1"/>
    <col min="132" max="132" width="31.28515625" style="18" bestFit="1" customWidth="1"/>
    <col min="133" max="133" width="16.28515625" style="18" bestFit="1" customWidth="1"/>
    <col min="134" max="134" width="22" style="18" bestFit="1" customWidth="1"/>
    <col min="135" max="135" width="21.5703125" style="18" bestFit="1" customWidth="1"/>
    <col min="136" max="136" width="21.85546875" style="18" bestFit="1" customWidth="1"/>
    <col min="137" max="137" width="16.28515625" style="18" bestFit="1" customWidth="1"/>
    <col min="138" max="138" width="22.5703125" style="18" bestFit="1" customWidth="1"/>
    <col min="139" max="139" width="16.28515625" style="18" bestFit="1" customWidth="1"/>
    <col min="140" max="140" width="25.5703125" style="18" bestFit="1" customWidth="1"/>
    <col min="141" max="141" width="24.85546875" style="18" bestFit="1" customWidth="1"/>
    <col min="142" max="142" width="19.7109375" style="18" bestFit="1" customWidth="1"/>
    <col min="143" max="143" width="16.28515625" style="18" bestFit="1" customWidth="1"/>
    <col min="144" max="144" width="22.5703125" style="18" bestFit="1" customWidth="1"/>
    <col min="145" max="145" width="16.28515625" style="18" bestFit="1" customWidth="1"/>
    <col min="146" max="146" width="23.42578125" style="18" bestFit="1" customWidth="1"/>
    <col min="147" max="147" width="19.28515625" style="18" bestFit="1" customWidth="1"/>
    <col min="148" max="148" width="16.28515625" style="18" bestFit="1" customWidth="1"/>
    <col min="149" max="149" width="20.7109375" style="18" bestFit="1" customWidth="1"/>
    <col min="150" max="150" width="28.5703125" style="18" bestFit="1" customWidth="1"/>
    <col min="151" max="151" width="26.85546875" style="18" bestFit="1" customWidth="1"/>
    <col min="152" max="152" width="21" style="18" bestFit="1" customWidth="1"/>
    <col min="153" max="153" width="19" style="18" bestFit="1" customWidth="1"/>
    <col min="154" max="154" width="14.28515625" style="18" bestFit="1" customWidth="1"/>
    <col min="155" max="155" width="23.140625" style="18" bestFit="1" customWidth="1"/>
    <col min="156" max="156" width="21.5703125" style="18" bestFit="1" customWidth="1"/>
    <col min="157" max="157" width="18.42578125" style="18" bestFit="1" customWidth="1"/>
    <col min="158" max="158" width="30.28515625" style="18" bestFit="1" customWidth="1"/>
    <col min="159" max="159" width="23" style="18" bestFit="1" customWidth="1"/>
    <col min="160" max="160" width="20.42578125" style="18" bestFit="1" customWidth="1"/>
    <col min="161" max="161" width="14.28515625" style="18" bestFit="1" customWidth="1"/>
    <col min="162" max="162" width="10.85546875" style="18" bestFit="1" customWidth="1"/>
    <col min="163" max="163" width="25.85546875" style="18" bestFit="1" customWidth="1"/>
    <col min="164" max="164" width="19.140625" style="18" bestFit="1" customWidth="1"/>
    <col min="165" max="165" width="19.5703125" style="18" bestFit="1" customWidth="1"/>
    <col min="166" max="166" width="19.7109375" style="18" bestFit="1" customWidth="1"/>
    <col min="167" max="167" width="23.140625" style="18" bestFit="1" customWidth="1"/>
    <col min="168" max="168" width="19.5703125" style="18" bestFit="1" customWidth="1"/>
    <col min="169" max="169" width="32.140625" style="18" bestFit="1" customWidth="1"/>
    <col min="170" max="170" width="44.140625" style="18" bestFit="1" customWidth="1"/>
    <col min="171" max="171" width="40.28515625" style="18" bestFit="1" customWidth="1"/>
    <col min="172" max="172" width="26" style="18" bestFit="1" customWidth="1"/>
    <col min="173" max="173" width="22.5703125" style="18" bestFit="1" customWidth="1"/>
    <col min="174" max="174" width="16.28515625" style="18" bestFit="1" customWidth="1"/>
    <col min="175" max="175" width="11.7109375" style="18" bestFit="1" customWidth="1"/>
    <col min="176" max="176" width="59.42578125" style="18" bestFit="1" customWidth="1"/>
    <col min="177" max="177" width="12.85546875" style="18" bestFit="1" customWidth="1"/>
    <col min="178" max="178" width="15.28515625" style="18" bestFit="1" customWidth="1"/>
    <col min="179" max="179" width="11.7109375" style="18" bestFit="1" customWidth="1"/>
    <col min="180" max="180" width="38.85546875" style="18" bestFit="1" customWidth="1"/>
    <col min="181" max="181" width="41.28515625" style="18" bestFit="1" customWidth="1"/>
    <col min="182" max="182" width="32" style="18" bestFit="1" customWidth="1"/>
    <col min="183" max="183" width="26" style="18" bestFit="1" customWidth="1"/>
    <col min="184" max="184" width="24.140625" style="18" bestFit="1" customWidth="1"/>
    <col min="185" max="185" width="16.28515625" style="18" bestFit="1" customWidth="1"/>
    <col min="186" max="186" width="13.28515625" style="18" bestFit="1" customWidth="1"/>
    <col min="187" max="187" width="59.42578125" style="18" bestFit="1" customWidth="1"/>
    <col min="188" max="188" width="14.42578125" style="18" bestFit="1" customWidth="1"/>
    <col min="189" max="189" width="16.7109375" style="18" bestFit="1" customWidth="1"/>
    <col min="190" max="190" width="13.28515625" style="18" bestFit="1" customWidth="1"/>
    <col min="191" max="191" width="26.140625" style="18" bestFit="1" customWidth="1"/>
    <col min="192" max="192" width="41.28515625" style="18" bestFit="1" customWidth="1"/>
    <col min="193" max="193" width="21.85546875" style="18" bestFit="1" customWidth="1"/>
    <col min="194" max="194" width="23.28515625" style="18" bestFit="1" customWidth="1"/>
    <col min="195" max="195" width="19.7109375" style="18" bestFit="1" customWidth="1"/>
    <col min="196" max="196" width="16.28515625" style="18" bestFit="1" customWidth="1"/>
    <col min="197" max="197" width="13.28515625" style="18" bestFit="1" customWidth="1"/>
    <col min="198" max="198" width="59.140625" style="18" bestFit="1" customWidth="1"/>
    <col min="199" max="199" width="53.28515625" style="18" bestFit="1" customWidth="1"/>
    <col min="200" max="200" width="41.28515625" style="18" bestFit="1" customWidth="1"/>
    <col min="201" max="201" width="21.85546875" style="18" bestFit="1" customWidth="1"/>
    <col min="202" max="202" width="23.28515625" style="18" bestFit="1" customWidth="1"/>
    <col min="203" max="203" width="23.42578125" style="18" bestFit="1" customWidth="1"/>
    <col min="204" max="204" width="20" style="18" bestFit="1" customWidth="1"/>
    <col min="205" max="205" width="13.28515625" style="18" bestFit="1" customWidth="1"/>
    <col min="206" max="206" width="59.140625" style="18" bestFit="1" customWidth="1"/>
    <col min="207" max="207" width="26.140625" style="18" bestFit="1" customWidth="1"/>
    <col min="208" max="208" width="41.28515625" style="18" bestFit="1" customWidth="1"/>
    <col min="209" max="209" width="21.85546875" style="18" bestFit="1" customWidth="1"/>
    <col min="210" max="210" width="23.28515625" style="18" bestFit="1" customWidth="1"/>
    <col min="211" max="211" width="18.5703125" style="18" bestFit="1" customWidth="1"/>
    <col min="212" max="212" width="16.28515625" style="18" bestFit="1" customWidth="1"/>
    <col min="213" max="213" width="13.28515625" style="18" bestFit="1" customWidth="1"/>
    <col min="214" max="214" width="59.140625" style="18" bestFit="1" customWidth="1"/>
    <col min="215" max="215" width="14" style="18" bestFit="1" customWidth="1"/>
    <col min="216" max="216" width="21.42578125" style="18" bestFit="1" customWidth="1"/>
    <col min="217" max="217" width="21.85546875" style="18" bestFit="1" customWidth="1"/>
    <col min="218" max="218" width="23.28515625" style="18" bestFit="1" customWidth="1"/>
    <col min="219" max="219" width="17.7109375" style="18" bestFit="1" customWidth="1"/>
    <col min="220" max="220" width="15.140625" style="18" bestFit="1" customWidth="1"/>
    <col min="221" max="221" width="13.28515625" style="18" bestFit="1" customWidth="1"/>
    <col min="222" max="222" width="9.85546875" style="18" bestFit="1" customWidth="1"/>
    <col min="223" max="223" width="14" style="18" bestFit="1" customWidth="1"/>
    <col min="224" max="224" width="21.42578125" style="18" bestFit="1" customWidth="1"/>
    <col min="225" max="225" width="21.85546875" style="18" bestFit="1" customWidth="1"/>
    <col min="226" max="226" width="23.28515625" style="18" bestFit="1" customWidth="1"/>
    <col min="227" max="227" width="17.7109375" style="18" bestFit="1" customWidth="1"/>
    <col min="228" max="228" width="15.140625" style="18" bestFit="1" customWidth="1"/>
    <col min="229" max="229" width="13.28515625" style="18" bestFit="1" customWidth="1"/>
    <col min="230" max="230" width="9.85546875" style="18" bestFit="1" customWidth="1"/>
    <col min="231" max="231" width="11.5703125" style="18" bestFit="1" customWidth="1"/>
    <col min="232" max="232" width="13.140625" style="14" bestFit="1" customWidth="1"/>
    <col min="233" max="233" width="16.28515625" style="14" bestFit="1" customWidth="1"/>
    <col min="234" max="234" width="10.140625" style="14" bestFit="1" customWidth="1"/>
    <col min="235" max="235" width="12.5703125" style="14" bestFit="1" customWidth="1"/>
    <col min="236" max="236" width="11.5703125" style="18" bestFit="1" customWidth="1"/>
    <col min="237" max="237" width="70.140625" style="18" bestFit="1" customWidth="1"/>
    <col min="238" max="238" width="20.5703125" style="18" bestFit="1" customWidth="1"/>
    <col min="239" max="239" width="22.5703125" style="18" bestFit="1" customWidth="1"/>
    <col min="240" max="240" width="35.5703125" style="18" bestFit="1" customWidth="1"/>
    <col min="241" max="241" width="12.28515625" style="14" bestFit="1" customWidth="1"/>
    <col min="242" max="242" width="14" style="14" bestFit="1" customWidth="1"/>
    <col min="243" max="243" width="15.140625" style="14" bestFit="1" customWidth="1"/>
    <col min="244" max="244" width="14.85546875" style="18" bestFit="1" customWidth="1"/>
    <col min="245" max="245" width="21.85546875" style="18" bestFit="1" customWidth="1"/>
    <col min="246" max="246" width="18.140625" style="18" bestFit="1" customWidth="1"/>
    <col min="247" max="247" width="31.5703125" style="18" bestFit="1" customWidth="1"/>
    <col min="248" max="248" width="26.85546875" style="18" bestFit="1" customWidth="1"/>
    <col min="249" max="249" width="15.7109375" style="18" bestFit="1" customWidth="1"/>
    <col min="250" max="250" width="11.42578125" style="18" customWidth="1"/>
    <col min="251" max="252" width="18.28515625" style="18" customWidth="1"/>
    <col min="253" max="16384" width="9" style="18"/>
  </cols>
  <sheetData>
    <row r="1" spans="1:249" s="322" customFormat="1" ht="14.45" customHeight="1">
      <c r="A1" s="322" t="s">
        <v>0</v>
      </c>
      <c r="B1" s="322" t="s">
        <v>1</v>
      </c>
      <c r="C1" s="322" t="s">
        <v>3</v>
      </c>
      <c r="D1" s="340" t="s">
        <v>4</v>
      </c>
      <c r="E1" s="322" t="s">
        <v>8</v>
      </c>
      <c r="F1" s="322" t="s">
        <v>9</v>
      </c>
      <c r="G1" s="322" t="s">
        <v>10</v>
      </c>
      <c r="H1" s="322" t="s">
        <v>11</v>
      </c>
      <c r="I1" s="322" t="s">
        <v>12</v>
      </c>
      <c r="J1" s="324" t="s">
        <v>13</v>
      </c>
      <c r="K1" s="322" t="s">
        <v>14</v>
      </c>
      <c r="L1" s="322" t="s">
        <v>15</v>
      </c>
      <c r="M1" s="322" t="s">
        <v>16</v>
      </c>
      <c r="N1" s="322" t="s">
        <v>17</v>
      </c>
      <c r="O1" s="324" t="s">
        <v>18</v>
      </c>
      <c r="P1" s="322" t="s">
        <v>19</v>
      </c>
      <c r="Q1" s="322" t="s">
        <v>20</v>
      </c>
      <c r="R1" s="322" t="s">
        <v>21</v>
      </c>
      <c r="S1" s="322" t="s">
        <v>22</v>
      </c>
      <c r="T1" s="324" t="s">
        <v>23</v>
      </c>
      <c r="U1" s="322" t="s">
        <v>24</v>
      </c>
      <c r="V1" s="322" t="s">
        <v>25</v>
      </c>
      <c r="W1" s="322" t="s">
        <v>26</v>
      </c>
      <c r="X1" s="322" t="s">
        <v>27</v>
      </c>
      <c r="Y1" s="322" t="s">
        <v>28</v>
      </c>
      <c r="Z1" s="322" t="s">
        <v>29</v>
      </c>
      <c r="AA1" s="322" t="s">
        <v>30</v>
      </c>
      <c r="AB1" s="341" t="s">
        <v>31</v>
      </c>
      <c r="AC1" s="322" t="s">
        <v>32</v>
      </c>
      <c r="AD1" s="322" t="s">
        <v>33</v>
      </c>
      <c r="AE1" s="326" t="s">
        <v>34</v>
      </c>
      <c r="AF1" s="326" t="s">
        <v>35</v>
      </c>
      <c r="AG1" s="326" t="s">
        <v>36</v>
      </c>
      <c r="AH1" s="326" t="s">
        <v>37</v>
      </c>
      <c r="AI1" s="322" t="s">
        <v>38</v>
      </c>
      <c r="AJ1" s="322" t="s">
        <v>39</v>
      </c>
      <c r="AK1" s="328" t="s">
        <v>40</v>
      </c>
      <c r="AL1" s="322" t="s">
        <v>41</v>
      </c>
      <c r="AM1" s="322" t="s">
        <v>42</v>
      </c>
      <c r="AN1" s="328" t="s">
        <v>43</v>
      </c>
      <c r="AO1" s="328" t="s">
        <v>44</v>
      </c>
      <c r="AP1" s="323" t="s">
        <v>45</v>
      </c>
      <c r="AQ1" s="323" t="s">
        <v>46</v>
      </c>
      <c r="AR1" s="323" t="s">
        <v>47</v>
      </c>
      <c r="AS1" s="323" t="s">
        <v>48</v>
      </c>
      <c r="AT1" s="323" t="s">
        <v>49</v>
      </c>
      <c r="AU1" s="323" t="s">
        <v>50</v>
      </c>
      <c r="AV1" s="323" t="s">
        <v>51</v>
      </c>
      <c r="AW1" s="323" t="s">
        <v>52</v>
      </c>
      <c r="AX1" s="323" t="s">
        <v>53</v>
      </c>
      <c r="AY1" s="323" t="s">
        <v>54</v>
      </c>
      <c r="AZ1" s="324" t="s">
        <v>55</v>
      </c>
      <c r="BA1" s="324" t="s">
        <v>56</v>
      </c>
      <c r="BB1" s="324" t="s">
        <v>57</v>
      </c>
      <c r="BC1" s="324" t="s">
        <v>58</v>
      </c>
      <c r="BD1" s="324" t="s">
        <v>59</v>
      </c>
      <c r="BE1" s="326" t="s">
        <v>60</v>
      </c>
      <c r="BF1" s="326" t="s">
        <v>61</v>
      </c>
      <c r="BG1" s="326" t="s">
        <v>62</v>
      </c>
      <c r="BH1" s="331" t="s">
        <v>63</v>
      </c>
      <c r="BI1" s="332" t="s">
        <v>64</v>
      </c>
      <c r="BJ1" s="326" t="s">
        <v>65</v>
      </c>
      <c r="BK1" s="326" t="s">
        <v>66</v>
      </c>
      <c r="BL1" s="326" t="s">
        <v>67</v>
      </c>
      <c r="BM1" s="326" t="s">
        <v>68</v>
      </c>
      <c r="BN1" s="331" t="s">
        <v>69</v>
      </c>
      <c r="BO1" s="332" t="s">
        <v>70</v>
      </c>
      <c r="BP1" s="326" t="s">
        <v>71</v>
      </c>
      <c r="BQ1" s="326" t="s">
        <v>72</v>
      </c>
      <c r="BR1" s="326" t="s">
        <v>73</v>
      </c>
      <c r="BS1" s="326" t="s">
        <v>74</v>
      </c>
      <c r="BT1" s="331" t="s">
        <v>75</v>
      </c>
      <c r="BU1" s="332" t="s">
        <v>76</v>
      </c>
      <c r="BV1" s="326" t="s">
        <v>77</v>
      </c>
      <c r="BW1" s="326" t="s">
        <v>78</v>
      </c>
      <c r="BX1" s="326" t="s">
        <v>79</v>
      </c>
      <c r="BY1" s="326" t="s">
        <v>80</v>
      </c>
      <c r="BZ1" s="331" t="s">
        <v>81</v>
      </c>
      <c r="CA1" s="332" t="s">
        <v>82</v>
      </c>
      <c r="CB1" s="326" t="s">
        <v>83</v>
      </c>
      <c r="CC1" s="326" t="s">
        <v>84</v>
      </c>
      <c r="CD1" s="326" t="s">
        <v>85</v>
      </c>
      <c r="CE1" s="326" t="s">
        <v>86</v>
      </c>
      <c r="CF1" s="331" t="s">
        <v>87</v>
      </c>
      <c r="CG1" s="332" t="s">
        <v>88</v>
      </c>
      <c r="CH1" s="326" t="s">
        <v>89</v>
      </c>
      <c r="CI1" s="326" t="s">
        <v>90</v>
      </c>
      <c r="CJ1" s="326" t="s">
        <v>91</v>
      </c>
      <c r="CK1" s="326" t="s">
        <v>92</v>
      </c>
      <c r="CL1" s="331" t="s">
        <v>93</v>
      </c>
      <c r="CM1" s="332" t="s">
        <v>94</v>
      </c>
      <c r="CN1" s="326" t="s">
        <v>95</v>
      </c>
      <c r="CO1" s="326" t="s">
        <v>96</v>
      </c>
      <c r="CP1" s="326" t="s">
        <v>97</v>
      </c>
      <c r="CQ1" s="326" t="s">
        <v>98</v>
      </c>
      <c r="CR1" s="331" t="s">
        <v>99</v>
      </c>
      <c r="CS1" s="332" t="s">
        <v>100</v>
      </c>
      <c r="CT1" s="326" t="s">
        <v>101</v>
      </c>
      <c r="CU1" s="326" t="s">
        <v>1908</v>
      </c>
      <c r="CV1" s="326" t="s">
        <v>102</v>
      </c>
      <c r="CW1" s="326" t="s">
        <v>103</v>
      </c>
      <c r="CX1" s="326" t="s">
        <v>104</v>
      </c>
      <c r="CY1" s="326" t="s">
        <v>105</v>
      </c>
      <c r="CZ1" s="324" t="s">
        <v>106</v>
      </c>
      <c r="DA1" s="326" t="s">
        <v>107</v>
      </c>
      <c r="DB1" s="332" t="s">
        <v>108</v>
      </c>
      <c r="DC1" s="326" t="s">
        <v>109</v>
      </c>
      <c r="DD1" s="326" t="s">
        <v>110</v>
      </c>
      <c r="DE1" s="326" t="s">
        <v>111</v>
      </c>
      <c r="DF1" s="326" t="s">
        <v>112</v>
      </c>
      <c r="DG1" s="326" t="s">
        <v>113</v>
      </c>
      <c r="DH1" s="326" t="s">
        <v>114</v>
      </c>
      <c r="DI1" s="326" t="s">
        <v>115</v>
      </c>
      <c r="DJ1" s="333" t="s">
        <v>116</v>
      </c>
      <c r="DK1" s="326" t="s">
        <v>117</v>
      </c>
      <c r="DL1" s="333" t="s">
        <v>118</v>
      </c>
      <c r="DM1" s="333" t="s">
        <v>119</v>
      </c>
      <c r="DN1" s="333" t="s">
        <v>120</v>
      </c>
      <c r="DO1" s="337" t="s">
        <v>121</v>
      </c>
      <c r="DP1" s="322" t="s">
        <v>122</v>
      </c>
      <c r="DQ1" s="322" t="s">
        <v>123</v>
      </c>
      <c r="DR1" s="322" t="s">
        <v>124</v>
      </c>
      <c r="DS1" s="322" t="s">
        <v>125</v>
      </c>
      <c r="DT1" s="322" t="s">
        <v>126</v>
      </c>
      <c r="DU1" s="322" t="s">
        <v>127</v>
      </c>
      <c r="DV1" s="322" t="s">
        <v>128</v>
      </c>
      <c r="DW1" s="322" t="s">
        <v>129</v>
      </c>
      <c r="DX1" s="322" t="s">
        <v>130</v>
      </c>
      <c r="DY1" s="322" t="s">
        <v>131</v>
      </c>
      <c r="DZ1" s="322" t="s">
        <v>132</v>
      </c>
      <c r="EA1" s="322" t="s">
        <v>133</v>
      </c>
      <c r="EB1" s="322" t="s">
        <v>134</v>
      </c>
      <c r="EC1" s="322" t="s">
        <v>135</v>
      </c>
      <c r="ED1" s="322" t="s">
        <v>136</v>
      </c>
      <c r="EE1" s="322" t="s">
        <v>137</v>
      </c>
      <c r="EF1" s="322" t="s">
        <v>138</v>
      </c>
      <c r="EG1" s="322" t="s">
        <v>139</v>
      </c>
      <c r="EH1" s="322" t="s">
        <v>140</v>
      </c>
      <c r="EI1" s="322" t="s">
        <v>141</v>
      </c>
      <c r="EJ1" s="322" t="s">
        <v>142</v>
      </c>
      <c r="EK1" s="322" t="s">
        <v>143</v>
      </c>
      <c r="EL1" s="322" t="s">
        <v>144</v>
      </c>
      <c r="EM1" s="322" t="s">
        <v>145</v>
      </c>
      <c r="EN1" s="322" t="s">
        <v>146</v>
      </c>
      <c r="EO1" s="322" t="s">
        <v>147</v>
      </c>
      <c r="EP1" s="322" t="s">
        <v>148</v>
      </c>
      <c r="EQ1" s="322" t="s">
        <v>149</v>
      </c>
      <c r="ER1" s="322" t="s">
        <v>150</v>
      </c>
      <c r="ES1" s="322" t="s">
        <v>151</v>
      </c>
      <c r="ET1" s="322" t="s">
        <v>152</v>
      </c>
      <c r="EU1" s="322" t="s">
        <v>153</v>
      </c>
      <c r="EV1" s="322" t="s">
        <v>154</v>
      </c>
      <c r="EW1" s="322" t="s">
        <v>155</v>
      </c>
      <c r="EX1" s="334" t="s">
        <v>156</v>
      </c>
      <c r="EY1" s="335" t="s">
        <v>157</v>
      </c>
      <c r="EZ1" s="322" t="s">
        <v>158</v>
      </c>
      <c r="FA1" s="322" t="s">
        <v>159</v>
      </c>
      <c r="FB1" s="322" t="s">
        <v>160</v>
      </c>
      <c r="FC1" s="322" t="s">
        <v>161</v>
      </c>
      <c r="FD1" s="322" t="s">
        <v>162</v>
      </c>
      <c r="FE1" s="322" t="s">
        <v>163</v>
      </c>
      <c r="FF1" s="335" t="s">
        <v>164</v>
      </c>
      <c r="FG1" s="322" t="s">
        <v>166</v>
      </c>
      <c r="FH1" s="322" t="s">
        <v>167</v>
      </c>
      <c r="FI1" s="322" t="s">
        <v>168</v>
      </c>
      <c r="FJ1" s="322" t="s">
        <v>169</v>
      </c>
      <c r="FK1" s="322" t="s">
        <v>170</v>
      </c>
      <c r="FL1" s="326" t="s">
        <v>171</v>
      </c>
      <c r="FM1" s="322" t="s">
        <v>172</v>
      </c>
      <c r="FN1" s="322" t="s">
        <v>173</v>
      </c>
      <c r="FO1" s="322" t="s">
        <v>174</v>
      </c>
      <c r="FP1" s="322" t="s">
        <v>175</v>
      </c>
      <c r="FQ1" s="322" t="s">
        <v>176</v>
      </c>
      <c r="FR1" s="322" t="s">
        <v>177</v>
      </c>
      <c r="FS1" s="334" t="s">
        <v>178</v>
      </c>
      <c r="FT1" s="322" t="s">
        <v>179</v>
      </c>
      <c r="FU1" s="322" t="s">
        <v>180</v>
      </c>
      <c r="FV1" s="322" t="s">
        <v>181</v>
      </c>
      <c r="FW1" s="322" t="s">
        <v>182</v>
      </c>
      <c r="FX1" s="322" t="s">
        <v>183</v>
      </c>
      <c r="FY1" s="322" t="s">
        <v>184</v>
      </c>
      <c r="FZ1" s="322" t="s">
        <v>185</v>
      </c>
      <c r="GA1" s="322" t="s">
        <v>186</v>
      </c>
      <c r="GB1" s="322" t="s">
        <v>187</v>
      </c>
      <c r="GC1" s="322" t="s">
        <v>188</v>
      </c>
      <c r="GD1" s="322" t="s">
        <v>189</v>
      </c>
      <c r="GE1" s="322" t="s">
        <v>190</v>
      </c>
      <c r="GF1" s="322" t="s">
        <v>191</v>
      </c>
      <c r="GG1" s="322" t="s">
        <v>192</v>
      </c>
      <c r="GH1" s="322" t="s">
        <v>193</v>
      </c>
      <c r="GI1" s="322" t="s">
        <v>194</v>
      </c>
      <c r="GJ1" s="322" t="s">
        <v>195</v>
      </c>
      <c r="GK1" s="322" t="s">
        <v>196</v>
      </c>
      <c r="GL1" s="322" t="s">
        <v>197</v>
      </c>
      <c r="GM1" s="322" t="s">
        <v>198</v>
      </c>
      <c r="GN1" s="322" t="s">
        <v>199</v>
      </c>
      <c r="GO1" s="322" t="s">
        <v>200</v>
      </c>
      <c r="GP1" s="322" t="s">
        <v>201</v>
      </c>
      <c r="GQ1" s="322" t="s">
        <v>202</v>
      </c>
      <c r="GR1" s="322" t="s">
        <v>203</v>
      </c>
      <c r="GS1" s="322" t="s">
        <v>204</v>
      </c>
      <c r="GT1" s="322" t="s">
        <v>205</v>
      </c>
      <c r="GU1" s="322" t="s">
        <v>206</v>
      </c>
      <c r="GV1" s="322" t="s">
        <v>207</v>
      </c>
      <c r="GW1" s="322" t="s">
        <v>208</v>
      </c>
      <c r="GX1" s="322" t="s">
        <v>209</v>
      </c>
      <c r="GY1" s="322" t="s">
        <v>210</v>
      </c>
      <c r="GZ1" s="322" t="s">
        <v>211</v>
      </c>
      <c r="HA1" s="322" t="s">
        <v>212</v>
      </c>
      <c r="HB1" s="322" t="s">
        <v>213</v>
      </c>
      <c r="HC1" s="322" t="s">
        <v>214</v>
      </c>
      <c r="HD1" s="322" t="s">
        <v>215</v>
      </c>
      <c r="HE1" s="322" t="s">
        <v>216</v>
      </c>
      <c r="HF1" s="322" t="s">
        <v>217</v>
      </c>
      <c r="HG1" s="322" t="s">
        <v>218</v>
      </c>
      <c r="HH1" s="322" t="s">
        <v>219</v>
      </c>
      <c r="HI1" s="322" t="s">
        <v>220</v>
      </c>
      <c r="HJ1" s="322" t="s">
        <v>221</v>
      </c>
      <c r="HK1" s="322" t="s">
        <v>222</v>
      </c>
      <c r="HL1" s="322" t="s">
        <v>223</v>
      </c>
      <c r="HM1" s="322" t="s">
        <v>224</v>
      </c>
      <c r="HN1" s="322" t="s">
        <v>225</v>
      </c>
      <c r="HO1" s="322" t="s">
        <v>226</v>
      </c>
      <c r="HP1" s="322" t="s">
        <v>227</v>
      </c>
      <c r="HQ1" s="322" t="s">
        <v>228</v>
      </c>
      <c r="HR1" s="322" t="s">
        <v>229</v>
      </c>
      <c r="HS1" s="322" t="s">
        <v>230</v>
      </c>
      <c r="HT1" s="322" t="s">
        <v>231</v>
      </c>
      <c r="HU1" s="322" t="s">
        <v>232</v>
      </c>
      <c r="HV1" s="322" t="s">
        <v>233</v>
      </c>
      <c r="HW1" s="338" t="s">
        <v>234</v>
      </c>
      <c r="HX1" s="326" t="s">
        <v>120</v>
      </c>
      <c r="HY1" s="326" t="s">
        <v>1919</v>
      </c>
      <c r="HZ1" s="326" t="s">
        <v>235</v>
      </c>
      <c r="IA1" s="326" t="s">
        <v>236</v>
      </c>
      <c r="IB1" s="334" t="s">
        <v>1970</v>
      </c>
      <c r="IC1" s="326" t="s">
        <v>239</v>
      </c>
      <c r="ID1" s="326" t="s">
        <v>240</v>
      </c>
      <c r="IE1" s="326" t="s">
        <v>241</v>
      </c>
      <c r="IF1" s="326" t="s">
        <v>242</v>
      </c>
      <c r="IG1" s="326" t="s">
        <v>243</v>
      </c>
      <c r="IH1" s="326" t="s">
        <v>1978</v>
      </c>
      <c r="II1" s="326" t="s">
        <v>244</v>
      </c>
      <c r="IJ1" s="326" t="s">
        <v>245</v>
      </c>
      <c r="IK1" s="326" t="s">
        <v>246</v>
      </c>
      <c r="IL1" s="326" t="s">
        <v>247</v>
      </c>
      <c r="IM1" s="326" t="s">
        <v>248</v>
      </c>
      <c r="IN1" s="326" t="s">
        <v>249</v>
      </c>
      <c r="IO1" s="326" t="s">
        <v>250</v>
      </c>
    </row>
    <row r="2" spans="1:249" ht="14.45" customHeight="1">
      <c r="A2" s="18">
        <v>102017027</v>
      </c>
      <c r="B2" s="18" t="s">
        <v>303</v>
      </c>
      <c r="C2" s="18" t="s">
        <v>304</v>
      </c>
      <c r="D2" s="19">
        <v>170006440</v>
      </c>
      <c r="E2" s="18" t="s">
        <v>305</v>
      </c>
      <c r="F2" s="18" t="s">
        <v>306</v>
      </c>
      <c r="G2" s="18" t="s">
        <v>307</v>
      </c>
      <c r="J2" s="13" t="s">
        <v>258</v>
      </c>
      <c r="K2" s="18" t="s">
        <v>306</v>
      </c>
      <c r="L2" s="18" t="s">
        <v>308</v>
      </c>
      <c r="M2" s="18" t="s">
        <v>309</v>
      </c>
      <c r="O2" s="13" t="s">
        <v>258</v>
      </c>
      <c r="Y2" s="18" t="s">
        <v>310</v>
      </c>
      <c r="Z2" s="18" t="s">
        <v>311</v>
      </c>
      <c r="AA2" s="18" t="s">
        <v>306</v>
      </c>
      <c r="AB2" s="13" t="s">
        <v>312</v>
      </c>
      <c r="AC2" s="18" t="s">
        <v>313</v>
      </c>
      <c r="AD2" s="18" t="s">
        <v>314</v>
      </c>
      <c r="AE2" s="14" t="s">
        <v>315</v>
      </c>
      <c r="AF2" s="14" t="s">
        <v>258</v>
      </c>
      <c r="AG2" s="14" t="s">
        <v>316</v>
      </c>
      <c r="AH2" s="14" t="s">
        <v>260</v>
      </c>
      <c r="AJ2" s="18" t="s">
        <v>317</v>
      </c>
      <c r="AK2" s="13"/>
      <c r="AL2" s="18" t="s">
        <v>316</v>
      </c>
      <c r="AM2" s="14" t="s">
        <v>260</v>
      </c>
      <c r="AN2" s="20"/>
      <c r="AO2" s="13"/>
      <c r="AP2" s="13" t="s">
        <v>258</v>
      </c>
      <c r="AQ2" s="13" t="s">
        <v>258</v>
      </c>
      <c r="AR2" s="13" t="s">
        <v>258</v>
      </c>
      <c r="AS2" s="21">
        <v>43087</v>
      </c>
      <c r="AT2" s="21">
        <v>43052</v>
      </c>
      <c r="AU2" s="21">
        <v>43047</v>
      </c>
      <c r="AV2" s="21">
        <v>43175</v>
      </c>
      <c r="AW2" s="13" t="s">
        <v>318</v>
      </c>
      <c r="AX2" s="21">
        <v>43140</v>
      </c>
      <c r="AY2" s="21">
        <v>43147</v>
      </c>
      <c r="AZ2" s="21">
        <v>43539</v>
      </c>
      <c r="BA2" s="21" t="s">
        <v>319</v>
      </c>
      <c r="BB2" s="20">
        <f t="shared" ref="BB2:BB18" ca="1" si="0">SUM(DE2)+206.5</f>
        <v>6799.9416500000007</v>
      </c>
      <c r="BC2" s="22">
        <f t="shared" ref="BC2:BC18" ca="1" si="1">PMT(10%/12,12,BB2,0,0)</f>
        <v>-597.82290327204544</v>
      </c>
      <c r="BD2" s="22">
        <f t="shared" ref="BD2:BD18" ca="1" si="2">SUM(BC2*-1)</f>
        <v>597.82290327204544</v>
      </c>
      <c r="BE2" s="14">
        <v>0</v>
      </c>
      <c r="BF2" s="14">
        <f t="shared" ref="BF2:BF18" si="3">SUM(BE2*0.1)</f>
        <v>0</v>
      </c>
      <c r="BG2" s="14">
        <f t="shared" ref="BG2:BG18" ca="1" si="4">SUM(BH2*BI2)</f>
        <v>0</v>
      </c>
      <c r="BH2" s="17">
        <f t="shared" ref="BH2:BH18" si="5">SUM((BE2+BF2)*0.00833333333333333)</f>
        <v>0</v>
      </c>
      <c r="BI2" s="23">
        <f t="shared" ref="BI2:BI18" ca="1" si="6">MONTH(TODAY())+73</f>
        <v>77</v>
      </c>
      <c r="BJ2" s="14">
        <f t="shared" ref="BJ2:BJ18" ca="1" si="7">SUM(BE2:BG2)</f>
        <v>0</v>
      </c>
      <c r="BK2" s="14">
        <v>0</v>
      </c>
      <c r="BL2" s="14">
        <f t="shared" ref="BL2:BL18" si="8">SUM(BK2*0.1)</f>
        <v>0</v>
      </c>
      <c r="BM2" s="14">
        <f t="shared" ref="BM2:BM18" ca="1" si="9">SUM(BN2*BO2)</f>
        <v>0</v>
      </c>
      <c r="BN2" s="17">
        <f t="shared" ref="BN2:BN18" si="10">SUM((BK2+BL2)*0.00833333333333333)</f>
        <v>0</v>
      </c>
      <c r="BO2" s="23">
        <f t="shared" ref="BO2:BO18" ca="1" si="11">MONTH(TODAY())+61</f>
        <v>65</v>
      </c>
      <c r="BP2" s="14">
        <f t="shared" ref="BP2:BP18" ca="1" si="12">SUM(BK2,BL2,BM2)</f>
        <v>0</v>
      </c>
      <c r="BQ2" s="14">
        <v>0</v>
      </c>
      <c r="BR2" s="14">
        <f t="shared" ref="BR2:BR18" si="13">SUM(BQ2*0.1)</f>
        <v>0</v>
      </c>
      <c r="BS2" s="14">
        <f t="shared" ref="BS2:BS18" si="14">SUM(BT2*BU2)</f>
        <v>0</v>
      </c>
      <c r="BT2" s="17">
        <f t="shared" ref="BT2:BT18" si="15">SUM((BQ2+BR2)*0.00833333333333333)</f>
        <v>0</v>
      </c>
      <c r="BU2" s="23">
        <v>61</v>
      </c>
      <c r="BV2" s="14">
        <f t="shared" ref="BV2:BV18" si="16">SUM(BQ2,BR2,BS2)</f>
        <v>0</v>
      </c>
      <c r="BW2" s="14">
        <v>88.66</v>
      </c>
      <c r="BX2" s="14">
        <f t="shared" ref="BX2:BX18" si="17">SUM(BW2*0.1)</f>
        <v>8.8659999999999997</v>
      </c>
      <c r="BY2" s="14">
        <f t="shared" ref="BY2:BY18" si="18">SUM(BZ2*CA2)</f>
        <v>39.82311666666665</v>
      </c>
      <c r="BZ2" s="17">
        <f t="shared" ref="BZ2:BZ18" si="19">SUM((BW2+BX2)*0.00833333333333333)</f>
        <v>0.81271666666666631</v>
      </c>
      <c r="CA2" s="23">
        <v>49</v>
      </c>
      <c r="CB2" s="14">
        <f t="shared" ref="CB2:CB18" si="20">SUM(BW2,BX2,BY2)</f>
        <v>137.34911666666665</v>
      </c>
      <c r="CC2" s="14">
        <v>305.76</v>
      </c>
      <c r="CD2" s="14">
        <f t="shared" ref="CD2:CD18" si="21">SUM(CC2*0.1)</f>
        <v>30.576000000000001</v>
      </c>
      <c r="CE2" s="14">
        <f t="shared" ref="CE2:CE22" si="22">SUM(CF2*CG2)</f>
        <v>103.70359999999997</v>
      </c>
      <c r="CF2" s="17">
        <f t="shared" ref="CF2:CF18" si="23">SUM((CC2+CD2)*0.00833333333333333)</f>
        <v>2.8027999999999991</v>
      </c>
      <c r="CG2" s="23">
        <v>37</v>
      </c>
      <c r="CH2" s="14">
        <f t="shared" ref="CH2:CH22" si="24">SUM(CC2,CD2,CE2)</f>
        <v>440.03959999999995</v>
      </c>
      <c r="CI2" s="14">
        <v>305.76</v>
      </c>
      <c r="CJ2" s="14">
        <f t="shared" ref="CJ2:CJ22" si="25">SUM(CI2*0.1)</f>
        <v>30.576000000000001</v>
      </c>
      <c r="CK2" s="14">
        <f t="shared" ref="CK2:CK22" si="26">SUM(CL2*CM2)</f>
        <v>70.069999999999979</v>
      </c>
      <c r="CL2" s="17">
        <f t="shared" ref="CL2:CL18" si="27">SUM((CI2+CJ2)*0.00833333333333333)</f>
        <v>2.8027999999999991</v>
      </c>
      <c r="CM2" s="23">
        <v>25</v>
      </c>
      <c r="CN2" s="14">
        <f t="shared" ref="CN2:CN22" si="28">SUM(CI2,CJ2,CK2)</f>
        <v>406.40600000000001</v>
      </c>
      <c r="CO2" s="14">
        <f>SUM(DN2*0.0052)</f>
        <v>328.64</v>
      </c>
      <c r="CP2" s="14">
        <f t="shared" ref="CP2:CP22" si="29">SUM(CO2*0.1)</f>
        <v>32.863999999999997</v>
      </c>
      <c r="CQ2" s="14">
        <f t="shared" ref="CQ2:CQ22" si="30">SUM(CR2*CS2)</f>
        <v>39.162933333333307</v>
      </c>
      <c r="CR2" s="17">
        <f t="shared" ref="CR2:CR18" si="31">SUM((CO2+CP2)*0.00833333333333333)</f>
        <v>3.0125333333333315</v>
      </c>
      <c r="CS2" s="23">
        <v>13</v>
      </c>
      <c r="CT2" s="14">
        <f>SUM(CO2,CP2,CQ2)</f>
        <v>400.66693333333325</v>
      </c>
      <c r="CU2" s="14">
        <f t="shared" ref="CU2:CU22" si="32">SUM(DN2*0.0052)</f>
        <v>328.64</v>
      </c>
      <c r="CV2" s="14">
        <f t="shared" ref="CV2:CV7" si="33">SUM(BE2, BK2, BQ2, BW2, CC2, CI2,CO2,CU2)</f>
        <v>1357.46</v>
      </c>
      <c r="CW2" s="14">
        <f t="shared" ref="CW2:CX7" si="34">SUM(BF2, BL2, BR2, BX2, CD2, CJ2,CP2)</f>
        <v>102.88200000000001</v>
      </c>
      <c r="CX2" s="14">
        <f t="shared" ca="1" si="34"/>
        <v>252.75964999999994</v>
      </c>
      <c r="CY2" s="14">
        <f t="shared" ref="CY2:CY8" ca="1" si="35">SUM(CV2:CX2)</f>
        <v>1713.1016500000001</v>
      </c>
      <c r="CZ2" s="24" t="s">
        <v>472</v>
      </c>
      <c r="DA2" s="14">
        <f>1702+526.5</f>
        <v>2228.5</v>
      </c>
      <c r="DB2" s="32">
        <f t="shared" ref="DB2:DB10" si="36">COUNTIF(DH2, "*")+COUNTIF(AJ2, "*")+COUNTIF(AE2, "*")+COUNTIF(V2, "*")+COUNTIF(ED2, "*")+COUNTIF(EJ2, "*")+COUNTIF(EP2, "*")+COUNTIF(ET2, "*")+COUNTIF(FA2, "*")+COUNTIF(FH2, "*")+COUNTIF(FO2, "*")+COUNTIF(FZ2, "*")+COUNTIF(GK2, "*")+COUNTIF(GS2, "*")+COUNTIF(HA2, "*")+COUNTIF(HI2, "*")+COUNTIF(HQ2, "*")</f>
        <v>2</v>
      </c>
      <c r="DC2" s="14">
        <f>7.29*2+0.67*2+1.19*2+0.47*2+75.43+30+39.35</f>
        <v>164.02</v>
      </c>
      <c r="DD2" s="14">
        <v>100</v>
      </c>
      <c r="DE2" s="14">
        <f t="shared" ref="DE2:DE22" ca="1" si="37">SUM(CY2,DA2,DK2, DD2, DC2,FL2)</f>
        <v>6593.4416500000007</v>
      </c>
      <c r="DF2" s="14">
        <f>SUM(93.75+137.5)</f>
        <v>231.25</v>
      </c>
      <c r="DG2" s="14">
        <f>40.16+638+171.31+167.05</f>
        <v>1016.52</v>
      </c>
      <c r="DH2" s="14">
        <v>89.45</v>
      </c>
      <c r="DI2" s="14">
        <f>252.8*2</f>
        <v>505.6</v>
      </c>
      <c r="DJ2" s="25">
        <v>545</v>
      </c>
      <c r="DK2" s="14">
        <f t="shared" ref="DK2:DK22" si="38">SUM(DF2:DJ2)</f>
        <v>2387.8200000000002</v>
      </c>
      <c r="DL2" s="25">
        <v>25200</v>
      </c>
      <c r="DM2" s="25">
        <v>38000</v>
      </c>
      <c r="DN2" s="25">
        <f>SUM(DL2+DM2)</f>
        <v>63200</v>
      </c>
      <c r="DO2" s="36">
        <v>4.3</v>
      </c>
      <c r="DP2" s="18" t="s">
        <v>321</v>
      </c>
      <c r="DQ2" s="18" t="s">
        <v>322</v>
      </c>
      <c r="DR2" s="18" t="s">
        <v>323</v>
      </c>
      <c r="EX2" s="27"/>
      <c r="EY2" s="28"/>
      <c r="FF2" s="28"/>
      <c r="FL2" s="14"/>
      <c r="FS2" s="27"/>
      <c r="HW2" s="27">
        <v>44128</v>
      </c>
      <c r="HX2" s="14">
        <v>63200</v>
      </c>
      <c r="HZ2" s="14">
        <v>13500</v>
      </c>
      <c r="IA2" s="14">
        <v>1300</v>
      </c>
      <c r="IB2" s="27"/>
      <c r="IC2" s="18" t="s">
        <v>772</v>
      </c>
      <c r="ID2" s="18" t="s">
        <v>1153</v>
      </c>
      <c r="IE2" s="18" t="s">
        <v>386</v>
      </c>
      <c r="II2" s="14">
        <v>321.17</v>
      </c>
      <c r="IJ2" s="14">
        <f ca="1">SUM(HZ2)-DE2-IG2</f>
        <v>6906.5583499999993</v>
      </c>
      <c r="IK2" s="27">
        <v>43549</v>
      </c>
      <c r="IL2" s="27">
        <v>43565</v>
      </c>
      <c r="IM2" s="27">
        <v>44131</v>
      </c>
      <c r="IN2" s="27">
        <v>44137</v>
      </c>
    </row>
    <row r="3" spans="1:249" ht="14.45" customHeight="1">
      <c r="A3" s="18">
        <v>102017032</v>
      </c>
      <c r="B3" s="18" t="s">
        <v>1728</v>
      </c>
      <c r="C3" s="18" t="s">
        <v>1896</v>
      </c>
      <c r="D3" s="19">
        <v>200003583</v>
      </c>
      <c r="E3" s="18" t="s">
        <v>311</v>
      </c>
      <c r="F3" s="18" t="s">
        <v>325</v>
      </c>
      <c r="G3" s="18" t="s">
        <v>1513</v>
      </c>
      <c r="H3" s="18" t="s">
        <v>1220</v>
      </c>
      <c r="J3" s="13"/>
      <c r="O3" s="13"/>
      <c r="AB3" s="13" t="s">
        <v>327</v>
      </c>
      <c r="AE3" s="18" t="s">
        <v>1729</v>
      </c>
      <c r="AF3" s="14"/>
      <c r="AG3" s="14" t="s">
        <v>329</v>
      </c>
      <c r="AH3" s="14" t="s">
        <v>260</v>
      </c>
      <c r="AJ3" s="18" t="s">
        <v>1856</v>
      </c>
      <c r="AK3" s="18" t="s">
        <v>258</v>
      </c>
      <c r="AL3" s="18" t="s">
        <v>334</v>
      </c>
      <c r="AN3" s="20"/>
      <c r="AO3" s="13"/>
      <c r="AP3" s="13" t="s">
        <v>258</v>
      </c>
      <c r="AQ3" s="13" t="s">
        <v>258</v>
      </c>
      <c r="AR3" s="13" t="s">
        <v>258</v>
      </c>
      <c r="AS3" s="21"/>
      <c r="AT3" s="21">
        <v>43982</v>
      </c>
      <c r="AU3" s="21">
        <v>43977</v>
      </c>
      <c r="AV3" s="21"/>
      <c r="AW3" s="13"/>
      <c r="AX3" s="21"/>
      <c r="AY3" s="21"/>
      <c r="AZ3" s="21"/>
      <c r="BA3" s="21"/>
      <c r="BB3" s="20">
        <f t="shared" ca="1" si="0"/>
        <v>15095.046199999999</v>
      </c>
      <c r="BC3" s="22">
        <f t="shared" ca="1" si="1"/>
        <v>-1327.0943794509847</v>
      </c>
      <c r="BD3" s="22">
        <f t="shared" ca="1" si="2"/>
        <v>1327.0943794509847</v>
      </c>
      <c r="BE3" s="14">
        <v>0</v>
      </c>
      <c r="BF3" s="14">
        <f t="shared" si="3"/>
        <v>0</v>
      </c>
      <c r="BG3" s="14">
        <f t="shared" ca="1" si="4"/>
        <v>0</v>
      </c>
      <c r="BH3" s="17">
        <f t="shared" si="5"/>
        <v>0</v>
      </c>
      <c r="BI3" s="23">
        <f t="shared" ca="1" si="6"/>
        <v>77</v>
      </c>
      <c r="BJ3" s="14">
        <f t="shared" ca="1" si="7"/>
        <v>0</v>
      </c>
      <c r="BK3" s="14">
        <v>0</v>
      </c>
      <c r="BL3" s="14">
        <f t="shared" si="8"/>
        <v>0</v>
      </c>
      <c r="BM3" s="14">
        <f t="shared" ca="1" si="9"/>
        <v>0</v>
      </c>
      <c r="BN3" s="17">
        <f t="shared" si="10"/>
        <v>0</v>
      </c>
      <c r="BO3" s="23">
        <f t="shared" ca="1" si="11"/>
        <v>65</v>
      </c>
      <c r="BP3" s="14">
        <f t="shared" ca="1" si="12"/>
        <v>0</v>
      </c>
      <c r="BQ3" s="14">
        <v>0</v>
      </c>
      <c r="BR3" s="14">
        <f t="shared" si="13"/>
        <v>0</v>
      </c>
      <c r="BS3" s="14">
        <f t="shared" si="14"/>
        <v>0</v>
      </c>
      <c r="BT3" s="17">
        <f t="shared" si="15"/>
        <v>0</v>
      </c>
      <c r="BU3" s="23">
        <v>61</v>
      </c>
      <c r="BV3" s="14">
        <f t="shared" si="16"/>
        <v>0</v>
      </c>
      <c r="BW3" s="14">
        <v>0</v>
      </c>
      <c r="BX3" s="14">
        <f t="shared" si="17"/>
        <v>0</v>
      </c>
      <c r="BY3" s="14">
        <f t="shared" si="18"/>
        <v>0</v>
      </c>
      <c r="BZ3" s="17">
        <f t="shared" si="19"/>
        <v>0</v>
      </c>
      <c r="CA3" s="23">
        <v>49</v>
      </c>
      <c r="CB3" s="14">
        <f t="shared" si="20"/>
        <v>0</v>
      </c>
      <c r="CC3" s="14">
        <v>649.48</v>
      </c>
      <c r="CD3" s="14">
        <f t="shared" si="21"/>
        <v>64.948000000000008</v>
      </c>
      <c r="CE3" s="14">
        <f t="shared" si="22"/>
        <v>220.28196666666659</v>
      </c>
      <c r="CF3" s="17">
        <f t="shared" si="23"/>
        <v>5.9535666666666645</v>
      </c>
      <c r="CG3" s="23">
        <v>37</v>
      </c>
      <c r="CH3" s="14">
        <f t="shared" si="24"/>
        <v>934.70996666666656</v>
      </c>
      <c r="CI3" s="14">
        <v>649.48</v>
      </c>
      <c r="CJ3" s="14">
        <f t="shared" si="25"/>
        <v>64.948000000000008</v>
      </c>
      <c r="CK3" s="14">
        <f t="shared" si="26"/>
        <v>148.83916666666661</v>
      </c>
      <c r="CL3" s="17">
        <f t="shared" si="27"/>
        <v>5.9535666666666645</v>
      </c>
      <c r="CM3" s="23">
        <v>25</v>
      </c>
      <c r="CN3" s="14">
        <f t="shared" si="28"/>
        <v>863.26716666666664</v>
      </c>
      <c r="CO3" s="14">
        <v>357.76</v>
      </c>
      <c r="CP3" s="14">
        <f t="shared" si="29"/>
        <v>35.776000000000003</v>
      </c>
      <c r="CQ3" s="14">
        <f t="shared" si="30"/>
        <v>42.63306666666665</v>
      </c>
      <c r="CR3" s="17">
        <f t="shared" si="31"/>
        <v>3.2794666666666652</v>
      </c>
      <c r="CS3" s="23">
        <v>13</v>
      </c>
      <c r="CT3" s="14">
        <v>0</v>
      </c>
      <c r="CU3" s="14">
        <f t="shared" si="32"/>
        <v>357.76</v>
      </c>
      <c r="CV3" s="14">
        <f t="shared" si="33"/>
        <v>2014.48</v>
      </c>
      <c r="CW3" s="14">
        <f t="shared" si="34"/>
        <v>165.67200000000003</v>
      </c>
      <c r="CX3" s="14">
        <f t="shared" ca="1" si="34"/>
        <v>411.75419999999986</v>
      </c>
      <c r="CY3" s="14">
        <f t="shared" ca="1" si="35"/>
        <v>2591.9061999999999</v>
      </c>
      <c r="CZ3" s="24" t="s">
        <v>472</v>
      </c>
      <c r="DA3" s="14">
        <f>5204-1574.74+526.5</f>
        <v>4155.76</v>
      </c>
      <c r="DB3" s="32">
        <f t="shared" si="36"/>
        <v>2</v>
      </c>
      <c r="DC3" s="14">
        <f>138.79+30+39.35</f>
        <v>208.14</v>
      </c>
      <c r="DD3" s="14">
        <v>250</v>
      </c>
      <c r="DE3" s="14">
        <f t="shared" ca="1" si="37"/>
        <v>14888.546199999999</v>
      </c>
      <c r="DF3" s="14">
        <f>93.75+93.75+306.5+100+435</f>
        <v>1029</v>
      </c>
      <c r="DG3" s="14">
        <f>40.16+638+620+30.5+25+32.73+167.05</f>
        <v>1553.4399999999998</v>
      </c>
      <c r="DH3" s="14">
        <f>118.55+354.75</f>
        <v>473.3</v>
      </c>
      <c r="DI3" s="14">
        <v>272</v>
      </c>
      <c r="DJ3" s="25">
        <f>110+4200+45</f>
        <v>4355</v>
      </c>
      <c r="DK3" s="14">
        <f t="shared" si="38"/>
        <v>7682.74</v>
      </c>
      <c r="DL3" s="25">
        <v>55100</v>
      </c>
      <c r="DM3" s="25">
        <v>13700</v>
      </c>
      <c r="DN3" s="25">
        <f>SUM(DL3+DM3)</f>
        <v>68800</v>
      </c>
      <c r="DO3" s="36">
        <v>18</v>
      </c>
      <c r="DP3" s="18" t="s">
        <v>330</v>
      </c>
      <c r="DQ3" s="18" t="s">
        <v>1930</v>
      </c>
      <c r="DR3" s="18" t="s">
        <v>331</v>
      </c>
      <c r="DS3" s="18" t="s">
        <v>1931</v>
      </c>
      <c r="DT3" s="18" t="s">
        <v>332</v>
      </c>
      <c r="EX3" s="27"/>
      <c r="EY3" s="28"/>
      <c r="FF3" s="28"/>
      <c r="FL3" s="14"/>
      <c r="FN3" s="44"/>
      <c r="FS3" s="27"/>
      <c r="HW3" s="27">
        <v>44128</v>
      </c>
      <c r="HX3" s="14">
        <v>68800</v>
      </c>
      <c r="HZ3" s="14">
        <v>48000</v>
      </c>
      <c r="IA3" s="14">
        <v>10000</v>
      </c>
      <c r="IB3" s="27"/>
      <c r="IC3" s="18" t="s">
        <v>1982</v>
      </c>
      <c r="ID3" s="18" t="s">
        <v>1981</v>
      </c>
      <c r="IE3" s="18" t="s">
        <v>259</v>
      </c>
      <c r="II3" s="14">
        <v>345.33</v>
      </c>
      <c r="IJ3" s="14">
        <v>31605.8</v>
      </c>
      <c r="IK3" s="27">
        <v>44103</v>
      </c>
      <c r="IL3" s="27">
        <v>44124</v>
      </c>
      <c r="IM3" s="27">
        <v>44131</v>
      </c>
      <c r="IN3" s="27">
        <v>44137</v>
      </c>
    </row>
    <row r="4" spans="1:249" s="39" customFormat="1" ht="14.45" customHeight="1">
      <c r="A4" s="39">
        <v>102017072</v>
      </c>
      <c r="B4" s="39" t="s">
        <v>350</v>
      </c>
      <c r="C4" s="39" t="s">
        <v>351</v>
      </c>
      <c r="D4" s="53">
        <v>180003503</v>
      </c>
      <c r="E4" s="39" t="s">
        <v>305</v>
      </c>
      <c r="F4" s="39" t="s">
        <v>352</v>
      </c>
      <c r="G4" s="39" t="s">
        <v>353</v>
      </c>
      <c r="H4" s="39" t="s">
        <v>354</v>
      </c>
      <c r="J4" s="51" t="s">
        <v>355</v>
      </c>
      <c r="K4" s="39" t="s">
        <v>352</v>
      </c>
      <c r="L4" s="39" t="s">
        <v>356</v>
      </c>
      <c r="M4" s="39" t="s">
        <v>357</v>
      </c>
      <c r="O4" s="51" t="s">
        <v>355</v>
      </c>
      <c r="Y4" s="39" t="s">
        <v>358</v>
      </c>
      <c r="Z4" s="39" t="s">
        <v>311</v>
      </c>
      <c r="AA4" s="51" t="s">
        <v>352</v>
      </c>
      <c r="AB4" s="51" t="s">
        <v>359</v>
      </c>
      <c r="AC4" s="40" t="s">
        <v>360</v>
      </c>
      <c r="AD4" s="40" t="s">
        <v>259</v>
      </c>
      <c r="AE4" s="40" t="s">
        <v>360</v>
      </c>
      <c r="AF4" s="39" t="s">
        <v>258</v>
      </c>
      <c r="AG4" s="40" t="s">
        <v>259</v>
      </c>
      <c r="AH4" s="40" t="s">
        <v>260</v>
      </c>
      <c r="AJ4" s="40" t="s">
        <v>361</v>
      </c>
      <c r="AK4" s="51" t="s">
        <v>258</v>
      </c>
      <c r="AL4" s="40" t="s">
        <v>259</v>
      </c>
      <c r="AM4" s="40" t="s">
        <v>260</v>
      </c>
      <c r="AN4" s="51" t="s">
        <v>258</v>
      </c>
      <c r="AO4" s="51" t="s">
        <v>258</v>
      </c>
      <c r="AP4" s="51"/>
      <c r="AQ4" s="51" t="s">
        <v>258</v>
      </c>
      <c r="AR4" s="51" t="s">
        <v>258</v>
      </c>
      <c r="AS4" s="41">
        <v>43312</v>
      </c>
      <c r="AT4" s="41">
        <v>43280</v>
      </c>
      <c r="AU4" s="41">
        <v>43262</v>
      </c>
      <c r="AV4" s="41">
        <v>43658</v>
      </c>
      <c r="AW4" s="51" t="s">
        <v>318</v>
      </c>
      <c r="AX4" s="41">
        <v>43644</v>
      </c>
      <c r="AY4" s="41">
        <v>43651</v>
      </c>
      <c r="AZ4" s="41"/>
      <c r="BA4" s="41" t="s">
        <v>319</v>
      </c>
      <c r="BB4" s="49">
        <f t="shared" ca="1" si="0"/>
        <v>6206.8151333333344</v>
      </c>
      <c r="BC4" s="50">
        <f t="shared" ca="1" si="1"/>
        <v>-545.67765931965039</v>
      </c>
      <c r="BD4" s="50">
        <f t="shared" ca="1" si="2"/>
        <v>545.67765931965039</v>
      </c>
      <c r="BE4" s="40"/>
      <c r="BF4" s="40">
        <f t="shared" si="3"/>
        <v>0</v>
      </c>
      <c r="BG4" s="40">
        <f t="shared" ca="1" si="4"/>
        <v>0</v>
      </c>
      <c r="BH4" s="57">
        <f t="shared" si="5"/>
        <v>0</v>
      </c>
      <c r="BI4" s="58">
        <f t="shared" ca="1" si="6"/>
        <v>77</v>
      </c>
      <c r="BJ4" s="40">
        <f t="shared" ca="1" si="7"/>
        <v>0</v>
      </c>
      <c r="BK4" s="40">
        <v>0</v>
      </c>
      <c r="BL4" s="40">
        <f t="shared" si="8"/>
        <v>0</v>
      </c>
      <c r="BM4" s="40">
        <f t="shared" ca="1" si="9"/>
        <v>0</v>
      </c>
      <c r="BN4" s="57">
        <f t="shared" si="10"/>
        <v>0</v>
      </c>
      <c r="BO4" s="58">
        <f t="shared" ca="1" si="11"/>
        <v>65</v>
      </c>
      <c r="BP4" s="40">
        <f t="shared" ca="1" si="12"/>
        <v>0</v>
      </c>
      <c r="BQ4" s="40">
        <v>0</v>
      </c>
      <c r="BR4" s="40">
        <f t="shared" si="13"/>
        <v>0</v>
      </c>
      <c r="BS4" s="40">
        <f t="shared" si="14"/>
        <v>0</v>
      </c>
      <c r="BT4" s="57">
        <f t="shared" si="15"/>
        <v>0</v>
      </c>
      <c r="BU4" s="58">
        <v>61</v>
      </c>
      <c r="BV4" s="40">
        <f t="shared" si="16"/>
        <v>0</v>
      </c>
      <c r="BW4" s="40">
        <v>0</v>
      </c>
      <c r="BX4" s="40">
        <f t="shared" si="17"/>
        <v>0</v>
      </c>
      <c r="BY4" s="40">
        <f t="shared" si="18"/>
        <v>0</v>
      </c>
      <c r="BZ4" s="57">
        <f t="shared" si="19"/>
        <v>0</v>
      </c>
      <c r="CA4" s="58">
        <v>49</v>
      </c>
      <c r="CB4" s="40">
        <f t="shared" si="20"/>
        <v>0</v>
      </c>
      <c r="CC4" s="40">
        <v>0</v>
      </c>
      <c r="CD4" s="40">
        <f t="shared" si="21"/>
        <v>0</v>
      </c>
      <c r="CE4" s="40">
        <f t="shared" si="22"/>
        <v>0</v>
      </c>
      <c r="CF4" s="57">
        <f t="shared" si="23"/>
        <v>0</v>
      </c>
      <c r="CG4" s="58">
        <v>37</v>
      </c>
      <c r="CH4" s="40">
        <f t="shared" si="24"/>
        <v>0</v>
      </c>
      <c r="CI4" s="40">
        <v>0</v>
      </c>
      <c r="CJ4" s="40">
        <f t="shared" si="25"/>
        <v>0</v>
      </c>
      <c r="CK4" s="40">
        <f t="shared" si="26"/>
        <v>0</v>
      </c>
      <c r="CL4" s="57">
        <f t="shared" si="27"/>
        <v>0</v>
      </c>
      <c r="CM4" s="58">
        <v>25</v>
      </c>
      <c r="CN4" s="40">
        <f t="shared" si="28"/>
        <v>0</v>
      </c>
      <c r="CO4" s="40">
        <f t="shared" ref="CO4:CO10" si="39">SUM(DN4*0.0052)</f>
        <v>138.32</v>
      </c>
      <c r="CP4" s="40">
        <f t="shared" si="29"/>
        <v>13.832000000000001</v>
      </c>
      <c r="CQ4" s="40">
        <f t="shared" si="30"/>
        <v>16.483133333333324</v>
      </c>
      <c r="CR4" s="57">
        <f t="shared" si="31"/>
        <v>1.2679333333333327</v>
      </c>
      <c r="CS4" s="58">
        <v>13</v>
      </c>
      <c r="CT4" s="40">
        <f t="shared" ref="CT4:CT22" si="40">SUM(CO4,CP4,CQ4)</f>
        <v>168.6351333333333</v>
      </c>
      <c r="CU4" s="40">
        <f t="shared" si="32"/>
        <v>138.32</v>
      </c>
      <c r="CV4" s="40">
        <f t="shared" si="33"/>
        <v>276.64</v>
      </c>
      <c r="CW4" s="40">
        <f t="shared" si="34"/>
        <v>13.832000000000001</v>
      </c>
      <c r="CX4" s="40">
        <f t="shared" ca="1" si="34"/>
        <v>16.483133333333324</v>
      </c>
      <c r="CY4" s="40">
        <f t="shared" ca="1" si="35"/>
        <v>306.95513333333332</v>
      </c>
      <c r="CZ4" s="56">
        <v>2019</v>
      </c>
      <c r="DA4" s="40">
        <f>2165+526.5</f>
        <v>2691.5</v>
      </c>
      <c r="DB4" s="65">
        <f t="shared" si="36"/>
        <v>11</v>
      </c>
      <c r="DC4" s="40">
        <f>70.58+30+39.35</f>
        <v>139.93</v>
      </c>
      <c r="DD4" s="40">
        <v>300</v>
      </c>
      <c r="DE4" s="40">
        <f t="shared" ca="1" si="37"/>
        <v>6000.3151333333344</v>
      </c>
      <c r="DF4" s="40">
        <f>SUM(93.75+245)</f>
        <v>338.75</v>
      </c>
      <c r="DG4" s="40">
        <f>SUM(22.92+699)+167.05</f>
        <v>888.97</v>
      </c>
      <c r="DH4" s="40">
        <v>147</v>
      </c>
      <c r="DI4" s="40">
        <f>150*2</f>
        <v>300</v>
      </c>
      <c r="DJ4" s="59">
        <v>545</v>
      </c>
      <c r="DK4" s="40">
        <f t="shared" si="38"/>
        <v>2219.7200000000003</v>
      </c>
      <c r="DL4" s="59">
        <v>12000</v>
      </c>
      <c r="DM4" s="59">
        <v>14600</v>
      </c>
      <c r="DN4" s="59">
        <f>SUM(DL4+DM4)</f>
        <v>26600</v>
      </c>
      <c r="DO4" s="60">
        <v>0.18</v>
      </c>
      <c r="DP4" s="39" t="s">
        <v>1911</v>
      </c>
      <c r="DQ4" s="39" t="s">
        <v>1912</v>
      </c>
      <c r="EB4" s="39" t="s">
        <v>362</v>
      </c>
      <c r="ED4" s="39" t="s">
        <v>363</v>
      </c>
      <c r="EE4" s="39" t="s">
        <v>364</v>
      </c>
      <c r="EF4" s="39" t="s">
        <v>365</v>
      </c>
      <c r="EG4" s="39" t="s">
        <v>285</v>
      </c>
      <c r="EH4" s="39" t="s">
        <v>366</v>
      </c>
      <c r="EJ4" s="39" t="s">
        <v>367</v>
      </c>
      <c r="EL4" s="39" t="s">
        <v>368</v>
      </c>
      <c r="EM4" s="39" t="s">
        <v>285</v>
      </c>
      <c r="EN4" s="39" t="s">
        <v>369</v>
      </c>
      <c r="EP4" s="39" t="s">
        <v>370</v>
      </c>
      <c r="EQ4" s="61" t="s">
        <v>371</v>
      </c>
      <c r="ER4" s="39" t="s">
        <v>285</v>
      </c>
      <c r="EX4" s="54"/>
      <c r="EY4" s="62"/>
      <c r="FF4" s="62"/>
      <c r="FG4" s="39" t="s">
        <v>372</v>
      </c>
      <c r="FH4" s="39" t="s">
        <v>373</v>
      </c>
      <c r="FI4" s="39" t="s">
        <v>374</v>
      </c>
      <c r="FJ4" s="39" t="s">
        <v>259</v>
      </c>
      <c r="FK4" s="39" t="s">
        <v>260</v>
      </c>
      <c r="FL4" s="40">
        <v>342.21</v>
      </c>
      <c r="FM4" s="39" t="s">
        <v>2280</v>
      </c>
      <c r="FN4" s="39" t="s">
        <v>375</v>
      </c>
      <c r="FO4" s="39" t="s">
        <v>376</v>
      </c>
      <c r="FQ4" s="39" t="s">
        <v>377</v>
      </c>
      <c r="FR4" s="39" t="s">
        <v>275</v>
      </c>
      <c r="FS4" s="54">
        <v>42695</v>
      </c>
      <c r="FT4" s="39" t="s">
        <v>378</v>
      </c>
      <c r="FX4" s="39" t="s">
        <v>379</v>
      </c>
      <c r="FY4" s="39" t="s">
        <v>380</v>
      </c>
      <c r="FZ4" s="39" t="s">
        <v>381</v>
      </c>
      <c r="GB4" s="39" t="s">
        <v>267</v>
      </c>
      <c r="GC4" s="39" t="s">
        <v>268</v>
      </c>
      <c r="GD4" s="54">
        <v>42695</v>
      </c>
      <c r="GE4" s="39" t="s">
        <v>378</v>
      </c>
      <c r="GI4" s="39" t="s">
        <v>382</v>
      </c>
      <c r="GJ4" s="39" t="s">
        <v>383</v>
      </c>
      <c r="GK4" s="39" t="s">
        <v>384</v>
      </c>
      <c r="GL4" s="39" t="s">
        <v>385</v>
      </c>
      <c r="GM4" s="39" t="s">
        <v>386</v>
      </c>
      <c r="GN4" s="39" t="s">
        <v>260</v>
      </c>
      <c r="GO4" s="54">
        <v>41766</v>
      </c>
      <c r="GP4" s="39" t="s">
        <v>387</v>
      </c>
      <c r="GQ4" s="39" t="s">
        <v>382</v>
      </c>
      <c r="GR4" s="39" t="s">
        <v>383</v>
      </c>
      <c r="GS4" s="39" t="s">
        <v>384</v>
      </c>
      <c r="GT4" s="39" t="s">
        <v>385</v>
      </c>
      <c r="GU4" s="39" t="s">
        <v>386</v>
      </c>
      <c r="GV4" s="39" t="s">
        <v>260</v>
      </c>
      <c r="GW4" s="54">
        <v>41507</v>
      </c>
      <c r="GX4" s="39" t="s">
        <v>388</v>
      </c>
      <c r="GY4" s="39" t="s">
        <v>382</v>
      </c>
      <c r="GZ4" s="39" t="s">
        <v>383</v>
      </c>
      <c r="HA4" s="39" t="s">
        <v>384</v>
      </c>
      <c r="HB4" s="39" t="s">
        <v>385</v>
      </c>
      <c r="HC4" s="39" t="s">
        <v>386</v>
      </c>
      <c r="HD4" s="39" t="s">
        <v>260</v>
      </c>
      <c r="HE4" s="54">
        <v>41507</v>
      </c>
      <c r="HF4" s="39" t="s">
        <v>389</v>
      </c>
      <c r="HW4" s="54">
        <v>44128</v>
      </c>
      <c r="HX4" s="40">
        <v>26600</v>
      </c>
      <c r="HY4" s="40"/>
      <c r="HZ4" s="40">
        <v>10000</v>
      </c>
      <c r="IA4" s="40">
        <v>3500</v>
      </c>
      <c r="IB4" s="54"/>
      <c r="IC4" s="39" t="s">
        <v>1947</v>
      </c>
      <c r="ID4" s="39" t="s">
        <v>1563</v>
      </c>
      <c r="IE4" s="39" t="s">
        <v>259</v>
      </c>
      <c r="IF4" s="39" t="s">
        <v>375</v>
      </c>
      <c r="IG4" s="40">
        <v>3999.68</v>
      </c>
      <c r="IH4" s="40" t="s">
        <v>1979</v>
      </c>
      <c r="II4" s="40">
        <v>162.66999999999999</v>
      </c>
      <c r="IJ4" s="40">
        <f t="shared" ref="IJ4:IJ22" ca="1" si="41">SUM(HZ4)-DE4-IG4</f>
        <v>4.8666666657481983E-3</v>
      </c>
      <c r="IK4" s="54">
        <v>43661</v>
      </c>
      <c r="IL4" s="54">
        <v>43682</v>
      </c>
      <c r="IM4" s="54">
        <v>44131</v>
      </c>
      <c r="IN4" s="54">
        <v>44137</v>
      </c>
    </row>
    <row r="5" spans="1:249" ht="14.45" customHeight="1">
      <c r="A5" s="18">
        <v>102018024</v>
      </c>
      <c r="B5" s="14" t="s">
        <v>397</v>
      </c>
      <c r="C5" s="18" t="s">
        <v>398</v>
      </c>
      <c r="D5" s="19">
        <v>180003672</v>
      </c>
      <c r="E5" s="18" t="s">
        <v>305</v>
      </c>
      <c r="F5" s="18" t="s">
        <v>399</v>
      </c>
      <c r="G5" s="18" t="s">
        <v>400</v>
      </c>
      <c r="H5" s="18" t="s">
        <v>401</v>
      </c>
      <c r="J5" s="13"/>
      <c r="K5" s="18" t="s">
        <v>399</v>
      </c>
      <c r="L5" s="18" t="s">
        <v>402</v>
      </c>
      <c r="M5" s="18" t="s">
        <v>403</v>
      </c>
      <c r="O5" s="13"/>
      <c r="AB5" s="37" t="s">
        <v>404</v>
      </c>
      <c r="AE5" s="30" t="s">
        <v>328</v>
      </c>
      <c r="AF5" s="30"/>
      <c r="AG5" s="18" t="s">
        <v>259</v>
      </c>
      <c r="AJ5" s="14" t="s">
        <v>405</v>
      </c>
      <c r="AK5" s="20" t="s">
        <v>258</v>
      </c>
      <c r="AL5" s="14" t="s">
        <v>406</v>
      </c>
      <c r="AN5" s="45"/>
      <c r="AO5" s="13" t="s">
        <v>258</v>
      </c>
      <c r="AP5" s="13"/>
      <c r="AQ5" s="13"/>
      <c r="AR5" s="13"/>
      <c r="AS5" s="13"/>
      <c r="AT5" s="21">
        <v>43280</v>
      </c>
      <c r="AU5" s="21">
        <v>43286</v>
      </c>
      <c r="AV5" s="13"/>
      <c r="AW5" s="13"/>
      <c r="AX5" s="13"/>
      <c r="AY5" s="13"/>
      <c r="AZ5" s="21">
        <v>43399</v>
      </c>
      <c r="BA5" s="21" t="s">
        <v>319</v>
      </c>
      <c r="BB5" s="20">
        <f t="shared" ca="1" si="0"/>
        <v>5020.9879999999994</v>
      </c>
      <c r="BC5" s="22">
        <f t="shared" ca="1" si="1"/>
        <v>-441.42461479123131</v>
      </c>
      <c r="BD5" s="22">
        <f t="shared" ca="1" si="2"/>
        <v>441.42461479123131</v>
      </c>
      <c r="BE5" s="14"/>
      <c r="BF5" s="14">
        <f t="shared" si="3"/>
        <v>0</v>
      </c>
      <c r="BG5" s="14">
        <f t="shared" ca="1" si="4"/>
        <v>0</v>
      </c>
      <c r="BH5" s="17">
        <f t="shared" si="5"/>
        <v>0</v>
      </c>
      <c r="BI5" s="23">
        <f t="shared" ca="1" si="6"/>
        <v>77</v>
      </c>
      <c r="BJ5" s="14">
        <f t="shared" ca="1" si="7"/>
        <v>0</v>
      </c>
      <c r="BK5" s="14"/>
      <c r="BL5" s="14">
        <f t="shared" si="8"/>
        <v>0</v>
      </c>
      <c r="BM5" s="14">
        <f t="shared" ca="1" si="9"/>
        <v>0</v>
      </c>
      <c r="BN5" s="17">
        <f t="shared" si="10"/>
        <v>0</v>
      </c>
      <c r="BO5" s="23">
        <f t="shared" ca="1" si="11"/>
        <v>65</v>
      </c>
      <c r="BP5" s="14">
        <f t="shared" ca="1" si="12"/>
        <v>0</v>
      </c>
      <c r="BQ5" s="14">
        <v>0</v>
      </c>
      <c r="BR5" s="14">
        <f t="shared" si="13"/>
        <v>0</v>
      </c>
      <c r="BS5" s="14">
        <f t="shared" si="14"/>
        <v>0</v>
      </c>
      <c r="BT5" s="17">
        <f t="shared" si="15"/>
        <v>0</v>
      </c>
      <c r="BU5" s="23">
        <v>61</v>
      </c>
      <c r="BV5" s="14">
        <f t="shared" si="16"/>
        <v>0</v>
      </c>
      <c r="BW5" s="14">
        <v>0</v>
      </c>
      <c r="BX5" s="14">
        <f t="shared" si="17"/>
        <v>0</v>
      </c>
      <c r="BY5" s="14">
        <f t="shared" si="18"/>
        <v>0</v>
      </c>
      <c r="BZ5" s="17">
        <f t="shared" si="19"/>
        <v>0</v>
      </c>
      <c r="CA5" s="23">
        <v>49</v>
      </c>
      <c r="CB5" s="14">
        <f t="shared" si="20"/>
        <v>0</v>
      </c>
      <c r="CC5" s="14">
        <v>0</v>
      </c>
      <c r="CD5" s="14">
        <f t="shared" si="21"/>
        <v>0</v>
      </c>
      <c r="CE5" s="14">
        <f t="shared" si="22"/>
        <v>0</v>
      </c>
      <c r="CF5" s="17">
        <f t="shared" si="23"/>
        <v>0</v>
      </c>
      <c r="CG5" s="23">
        <v>37</v>
      </c>
      <c r="CH5" s="14">
        <f t="shared" si="24"/>
        <v>0</v>
      </c>
      <c r="CI5" s="14">
        <v>0</v>
      </c>
      <c r="CJ5" s="14">
        <f t="shared" si="25"/>
        <v>0</v>
      </c>
      <c r="CK5" s="14">
        <f t="shared" si="26"/>
        <v>0</v>
      </c>
      <c r="CL5" s="17">
        <f t="shared" si="27"/>
        <v>0</v>
      </c>
      <c r="CM5" s="23">
        <v>25</v>
      </c>
      <c r="CN5" s="14">
        <f t="shared" si="28"/>
        <v>0</v>
      </c>
      <c r="CO5" s="14">
        <f t="shared" si="39"/>
        <v>187.2</v>
      </c>
      <c r="CP5" s="14">
        <f t="shared" si="29"/>
        <v>18.72</v>
      </c>
      <c r="CQ5" s="14">
        <f t="shared" si="30"/>
        <v>22.307999999999989</v>
      </c>
      <c r="CR5" s="17">
        <f t="shared" si="31"/>
        <v>1.7159999999999991</v>
      </c>
      <c r="CS5" s="23">
        <v>13</v>
      </c>
      <c r="CT5" s="14">
        <f t="shared" si="40"/>
        <v>228.22799999999998</v>
      </c>
      <c r="CU5" s="14">
        <f t="shared" si="32"/>
        <v>187.2</v>
      </c>
      <c r="CV5" s="14">
        <f t="shared" si="33"/>
        <v>374.4</v>
      </c>
      <c r="CW5" s="14">
        <f t="shared" si="34"/>
        <v>18.72</v>
      </c>
      <c r="CX5" s="14">
        <f t="shared" ca="1" si="34"/>
        <v>22.307999999999989</v>
      </c>
      <c r="CY5" s="14">
        <f t="shared" ca="1" si="35"/>
        <v>415.428</v>
      </c>
      <c r="CZ5" s="18" t="s">
        <v>457</v>
      </c>
      <c r="DA5" s="14">
        <f>1371.25+175.5+663</f>
        <v>2209.75</v>
      </c>
      <c r="DB5" s="32">
        <f t="shared" si="36"/>
        <v>3</v>
      </c>
      <c r="DC5" s="14">
        <f>(0.47*3)+(1.21*6)+(5.42*3)+0.46+6.25+28+28+30+39.35</f>
        <v>156.99</v>
      </c>
      <c r="DD5" s="14">
        <f>150+150+100</f>
        <v>400</v>
      </c>
      <c r="DE5" s="14">
        <f t="shared" ca="1" si="37"/>
        <v>4814.4879999999994</v>
      </c>
      <c r="DF5" s="63">
        <v>0</v>
      </c>
      <c r="DG5" s="25">
        <f>22.92+167.05</f>
        <v>189.97000000000003</v>
      </c>
      <c r="DH5" s="25">
        <f>176.85+61.5</f>
        <v>238.35</v>
      </c>
      <c r="DI5" s="25">
        <v>144</v>
      </c>
      <c r="DJ5" s="25">
        <f>450+610</f>
        <v>1060</v>
      </c>
      <c r="DK5" s="14">
        <f t="shared" si="38"/>
        <v>1632.3200000000002</v>
      </c>
      <c r="DL5" s="25">
        <v>36000</v>
      </c>
      <c r="DM5" s="25">
        <v>0</v>
      </c>
      <c r="DN5" s="25">
        <v>36000</v>
      </c>
      <c r="DO5" s="36">
        <v>4.1399999999999997</v>
      </c>
      <c r="DP5" s="18" t="s">
        <v>407</v>
      </c>
      <c r="DQ5" s="18" t="s">
        <v>408</v>
      </c>
      <c r="DR5" s="18" t="s">
        <v>409</v>
      </c>
      <c r="EX5" s="27"/>
      <c r="EY5" s="28"/>
      <c r="FF5" s="28"/>
      <c r="FL5" s="14"/>
      <c r="FM5" s="18" t="s">
        <v>410</v>
      </c>
      <c r="FN5" s="18" t="s">
        <v>411</v>
      </c>
      <c r="FO5" s="18" t="s">
        <v>412</v>
      </c>
      <c r="FQ5" s="18" t="s">
        <v>344</v>
      </c>
      <c r="FR5" s="18" t="s">
        <v>260</v>
      </c>
      <c r="FS5" s="27">
        <v>38583</v>
      </c>
      <c r="FT5" s="27" t="s">
        <v>413</v>
      </c>
      <c r="HW5" s="27">
        <v>44128</v>
      </c>
      <c r="HX5" s="14">
        <v>36000</v>
      </c>
      <c r="HZ5" s="14">
        <v>6100</v>
      </c>
      <c r="IA5" s="14">
        <v>610</v>
      </c>
      <c r="IB5" s="27"/>
      <c r="IC5" s="18" t="s">
        <v>1949</v>
      </c>
      <c r="ID5" s="18" t="s">
        <v>1948</v>
      </c>
      <c r="IE5" s="18" t="s">
        <v>290</v>
      </c>
      <c r="IF5" s="18" t="s">
        <v>1977</v>
      </c>
      <c r="IG5" s="14">
        <v>1285.51</v>
      </c>
      <c r="IH5" s="14" t="s">
        <v>1979</v>
      </c>
      <c r="II5" s="14">
        <v>203</v>
      </c>
      <c r="IJ5" s="14">
        <f t="shared" ca="1" si="41"/>
        <v>2.0000000006348273E-3</v>
      </c>
      <c r="IK5" s="27">
        <v>44068</v>
      </c>
      <c r="IL5" s="27">
        <v>44082</v>
      </c>
      <c r="IM5" s="27">
        <v>44131</v>
      </c>
      <c r="IN5" s="27">
        <v>44133</v>
      </c>
    </row>
    <row r="6" spans="1:249" ht="14.45" customHeight="1">
      <c r="A6" s="18">
        <v>102018074</v>
      </c>
      <c r="B6" s="14" t="s">
        <v>451</v>
      </c>
      <c r="C6" s="24" t="s">
        <v>1537</v>
      </c>
      <c r="D6" s="19">
        <v>200000331</v>
      </c>
      <c r="E6" s="18" t="s">
        <v>311</v>
      </c>
      <c r="F6" s="18" t="s">
        <v>452</v>
      </c>
      <c r="G6" s="18" t="s">
        <v>453</v>
      </c>
      <c r="J6" s="13"/>
      <c r="O6" s="13"/>
      <c r="AB6" s="37"/>
      <c r="AE6" s="14" t="s">
        <v>328</v>
      </c>
      <c r="AF6" s="14"/>
      <c r="AG6" s="18" t="s">
        <v>349</v>
      </c>
      <c r="AH6" s="18" t="s">
        <v>260</v>
      </c>
      <c r="AI6" s="18" t="s">
        <v>454</v>
      </c>
      <c r="AJ6" s="14" t="s">
        <v>455</v>
      </c>
      <c r="AK6" s="20"/>
      <c r="AL6" s="14" t="s">
        <v>456</v>
      </c>
      <c r="AM6" s="24"/>
      <c r="AN6" s="20"/>
      <c r="AO6" s="20"/>
      <c r="AP6" s="13" t="s">
        <v>258</v>
      </c>
      <c r="AQ6" s="13" t="s">
        <v>258</v>
      </c>
      <c r="AR6" s="13" t="s">
        <v>258</v>
      </c>
      <c r="AS6" s="21">
        <v>43850</v>
      </c>
      <c r="AT6" s="21">
        <v>43807</v>
      </c>
      <c r="AU6" s="21">
        <v>43816</v>
      </c>
      <c r="AV6" s="21">
        <v>43896</v>
      </c>
      <c r="AW6" s="13" t="s">
        <v>318</v>
      </c>
      <c r="AX6" s="21">
        <v>43882</v>
      </c>
      <c r="AY6" s="21">
        <v>43889</v>
      </c>
      <c r="AZ6" s="21">
        <v>43924</v>
      </c>
      <c r="BA6" s="13" t="s">
        <v>319</v>
      </c>
      <c r="BB6" s="20">
        <f t="shared" ca="1" si="0"/>
        <v>4440.9884888888892</v>
      </c>
      <c r="BC6" s="22">
        <f t="shared" ca="1" si="1"/>
        <v>-390.43344317892632</v>
      </c>
      <c r="BD6" s="22">
        <f t="shared" ca="1" si="2"/>
        <v>390.43344317892632</v>
      </c>
      <c r="BE6" s="14"/>
      <c r="BF6" s="14">
        <f t="shared" si="3"/>
        <v>0</v>
      </c>
      <c r="BG6" s="14">
        <f t="shared" ca="1" si="4"/>
        <v>0</v>
      </c>
      <c r="BH6" s="17">
        <f t="shared" si="5"/>
        <v>0</v>
      </c>
      <c r="BI6" s="23">
        <f t="shared" ca="1" si="6"/>
        <v>77</v>
      </c>
      <c r="BJ6" s="14">
        <f t="shared" ca="1" si="7"/>
        <v>0</v>
      </c>
      <c r="BK6" s="14"/>
      <c r="BL6" s="14">
        <f t="shared" si="8"/>
        <v>0</v>
      </c>
      <c r="BM6" s="14">
        <f t="shared" ca="1" si="9"/>
        <v>0</v>
      </c>
      <c r="BN6" s="17">
        <f t="shared" si="10"/>
        <v>0</v>
      </c>
      <c r="BO6" s="23">
        <f t="shared" ca="1" si="11"/>
        <v>65</v>
      </c>
      <c r="BP6" s="14">
        <f t="shared" ca="1" si="12"/>
        <v>0</v>
      </c>
      <c r="BQ6" s="14">
        <v>27.56</v>
      </c>
      <c r="BR6" s="14">
        <f t="shared" si="13"/>
        <v>2.7560000000000002</v>
      </c>
      <c r="BS6" s="14">
        <f t="shared" si="14"/>
        <v>15.410633333333326</v>
      </c>
      <c r="BT6" s="17">
        <f t="shared" si="15"/>
        <v>0.25263333333333321</v>
      </c>
      <c r="BU6" s="23">
        <v>61</v>
      </c>
      <c r="BV6" s="14">
        <f t="shared" si="16"/>
        <v>45.726633333333325</v>
      </c>
      <c r="BW6" s="14">
        <v>27.56</v>
      </c>
      <c r="BX6" s="14">
        <f t="shared" si="17"/>
        <v>2.7560000000000002</v>
      </c>
      <c r="BY6" s="14">
        <f t="shared" si="18"/>
        <v>12.379033333333327</v>
      </c>
      <c r="BZ6" s="17">
        <f t="shared" si="19"/>
        <v>0.25263333333333321</v>
      </c>
      <c r="CA6" s="23">
        <v>49</v>
      </c>
      <c r="CB6" s="14">
        <f t="shared" si="20"/>
        <v>42.695033333333328</v>
      </c>
      <c r="CC6" s="14">
        <v>27.56</v>
      </c>
      <c r="CD6" s="14">
        <f t="shared" si="21"/>
        <v>2.7560000000000002</v>
      </c>
      <c r="CE6" s="14">
        <f t="shared" si="22"/>
        <v>9.3474333333333295</v>
      </c>
      <c r="CF6" s="17">
        <f t="shared" si="23"/>
        <v>0.25263333333333321</v>
      </c>
      <c r="CG6" s="23">
        <v>37</v>
      </c>
      <c r="CH6" s="14">
        <f t="shared" si="24"/>
        <v>39.66343333333333</v>
      </c>
      <c r="CI6" s="14">
        <v>27.56</v>
      </c>
      <c r="CJ6" s="14">
        <f t="shared" si="25"/>
        <v>2.7560000000000002</v>
      </c>
      <c r="CK6" s="14">
        <f t="shared" si="26"/>
        <v>6.3158333333333303</v>
      </c>
      <c r="CL6" s="17">
        <f t="shared" si="27"/>
        <v>0.25263333333333321</v>
      </c>
      <c r="CM6" s="23">
        <v>25</v>
      </c>
      <c r="CN6" s="14">
        <f t="shared" si="28"/>
        <v>36.631833333333333</v>
      </c>
      <c r="CO6" s="14">
        <f t="shared" si="39"/>
        <v>62.4</v>
      </c>
      <c r="CP6" s="14">
        <f t="shared" si="29"/>
        <v>6.24</v>
      </c>
      <c r="CQ6" s="14">
        <f t="shared" si="30"/>
        <v>7.4359999999999964</v>
      </c>
      <c r="CR6" s="17">
        <f t="shared" si="31"/>
        <v>0.57199999999999973</v>
      </c>
      <c r="CS6" s="23">
        <v>13</v>
      </c>
      <c r="CT6" s="14">
        <f t="shared" si="40"/>
        <v>76.075999999999993</v>
      </c>
      <c r="CU6" s="14">
        <f t="shared" si="32"/>
        <v>62.4</v>
      </c>
      <c r="CV6" s="14">
        <f t="shared" si="33"/>
        <v>235.04</v>
      </c>
      <c r="CW6" s="14">
        <f t="shared" si="34"/>
        <v>17.264000000000003</v>
      </c>
      <c r="CX6" s="14">
        <f t="shared" ca="1" si="34"/>
        <v>50.888933333333313</v>
      </c>
      <c r="CY6" s="14">
        <f t="shared" ca="1" si="35"/>
        <v>303.19293333333331</v>
      </c>
      <c r="CZ6" s="18" t="s">
        <v>457</v>
      </c>
      <c r="DA6" s="14">
        <f>1008.25+663</f>
        <v>1671.25</v>
      </c>
      <c r="DB6" s="32">
        <f t="shared" si="36"/>
        <v>5</v>
      </c>
      <c r="DC6" s="14">
        <f>0.46+5.6*2+0.5*2+1.15*2+28+2*0.5+30+39.35</f>
        <v>113.31</v>
      </c>
      <c r="DD6" s="14">
        <f>150+150</f>
        <v>300</v>
      </c>
      <c r="DE6" s="14">
        <f t="shared" ca="1" si="37"/>
        <v>4234.4884888888892</v>
      </c>
      <c r="DF6" s="14">
        <f>93.75+127.5</f>
        <v>221.25</v>
      </c>
      <c r="DG6" s="14">
        <v>977.93</v>
      </c>
      <c r="DH6" s="14">
        <f>338/9</f>
        <v>37.555555555555557</v>
      </c>
      <c r="DI6" s="14">
        <v>100</v>
      </c>
      <c r="DJ6" s="25">
        <v>510</v>
      </c>
      <c r="DK6" s="14">
        <f t="shared" si="38"/>
        <v>1846.7355555555555</v>
      </c>
      <c r="DL6" s="25">
        <v>12000</v>
      </c>
      <c r="DM6" s="25">
        <v>0</v>
      </c>
      <c r="DN6" s="25">
        <f t="shared" ref="DN6:DN18" si="42">SUM(DL6+DM6)</f>
        <v>12000</v>
      </c>
      <c r="DO6" s="36">
        <v>3</v>
      </c>
      <c r="DP6" s="18" t="s">
        <v>458</v>
      </c>
      <c r="DQ6" s="18" t="s">
        <v>459</v>
      </c>
      <c r="DR6" s="18" t="s">
        <v>460</v>
      </c>
      <c r="DS6" s="18" t="s">
        <v>461</v>
      </c>
      <c r="EB6" s="18" t="s">
        <v>462</v>
      </c>
      <c r="ED6" s="18" t="s">
        <v>463</v>
      </c>
      <c r="EH6" s="18" t="s">
        <v>464</v>
      </c>
      <c r="EJ6" s="18" t="s">
        <v>463</v>
      </c>
      <c r="EK6" s="14"/>
      <c r="EL6" s="14"/>
      <c r="EM6" s="14"/>
      <c r="EN6" s="14" t="s">
        <v>465</v>
      </c>
      <c r="EO6" s="14"/>
      <c r="EP6" s="30" t="s">
        <v>463</v>
      </c>
      <c r="EQ6" s="14"/>
      <c r="ER6" s="14"/>
      <c r="ES6" s="14"/>
      <c r="ET6" s="14"/>
      <c r="EX6" s="27"/>
      <c r="FL6" s="14"/>
      <c r="FQ6" s="28"/>
      <c r="GA6" s="28"/>
      <c r="GP6" s="27"/>
      <c r="HW6" s="27">
        <v>44128</v>
      </c>
      <c r="HX6" s="14">
        <v>12000</v>
      </c>
      <c r="HZ6" s="14">
        <v>4234.49</v>
      </c>
      <c r="IA6" s="14">
        <v>424</v>
      </c>
      <c r="IB6" s="27"/>
      <c r="IC6" s="18" t="s">
        <v>1949</v>
      </c>
      <c r="ID6" s="18" t="s">
        <v>1948</v>
      </c>
      <c r="IE6" s="18" t="s">
        <v>290</v>
      </c>
      <c r="II6" s="14">
        <v>99</v>
      </c>
      <c r="IJ6" s="14">
        <f t="shared" ca="1" si="41"/>
        <v>1.5111111106307362E-3</v>
      </c>
      <c r="IK6" s="27">
        <v>43931</v>
      </c>
      <c r="IL6" s="27">
        <v>43965</v>
      </c>
      <c r="IM6" s="27">
        <v>44131</v>
      </c>
      <c r="IN6" s="27">
        <v>44137</v>
      </c>
    </row>
    <row r="7" spans="1:249" ht="14.45" customHeight="1">
      <c r="A7" s="18">
        <v>102018104</v>
      </c>
      <c r="B7" s="18" t="s">
        <v>476</v>
      </c>
      <c r="C7" s="18" t="s">
        <v>477</v>
      </c>
      <c r="D7" s="19">
        <v>180004468</v>
      </c>
      <c r="E7" s="18" t="s">
        <v>305</v>
      </c>
      <c r="F7" s="18" t="s">
        <v>478</v>
      </c>
      <c r="G7" s="18" t="s">
        <v>479</v>
      </c>
      <c r="H7" s="18" t="s">
        <v>309</v>
      </c>
      <c r="J7" s="13"/>
      <c r="K7" s="18" t="s">
        <v>478</v>
      </c>
      <c r="L7" s="18" t="s">
        <v>480</v>
      </c>
      <c r="M7" s="18" t="s">
        <v>357</v>
      </c>
      <c r="O7" s="13"/>
      <c r="AB7" s="37" t="s">
        <v>481</v>
      </c>
      <c r="AE7" s="14" t="s">
        <v>328</v>
      </c>
      <c r="AF7" s="14"/>
      <c r="AG7" s="14" t="s">
        <v>259</v>
      </c>
      <c r="AJ7" s="18" t="s">
        <v>482</v>
      </c>
      <c r="AK7" s="13"/>
      <c r="AL7" s="14" t="s">
        <v>259</v>
      </c>
      <c r="AM7" s="14" t="s">
        <v>260</v>
      </c>
      <c r="AN7" s="20"/>
      <c r="AO7" s="13" t="s">
        <v>258</v>
      </c>
      <c r="AP7" s="13"/>
      <c r="AQ7" s="13" t="s">
        <v>258</v>
      </c>
      <c r="AR7" s="13" t="s">
        <v>258</v>
      </c>
      <c r="AS7" s="21">
        <v>43367</v>
      </c>
      <c r="AT7" s="21">
        <v>43327</v>
      </c>
      <c r="AU7" s="21">
        <v>43335</v>
      </c>
      <c r="AV7" s="21">
        <v>43658</v>
      </c>
      <c r="AW7" s="13" t="s">
        <v>318</v>
      </c>
      <c r="AX7" s="21">
        <v>43644</v>
      </c>
      <c r="AY7" s="21">
        <v>43651</v>
      </c>
      <c r="AZ7" s="21"/>
      <c r="BA7" s="21" t="s">
        <v>319</v>
      </c>
      <c r="BB7" s="20">
        <f t="shared" ca="1" si="0"/>
        <v>5267.0552333333335</v>
      </c>
      <c r="BC7" s="22">
        <f t="shared" ca="1" si="1"/>
        <v>-463.05783392796525</v>
      </c>
      <c r="BD7" s="22">
        <f t="shared" ca="1" si="2"/>
        <v>463.05783392796525</v>
      </c>
      <c r="BE7" s="14"/>
      <c r="BF7" s="14">
        <f t="shared" si="3"/>
        <v>0</v>
      </c>
      <c r="BG7" s="14">
        <f t="shared" ca="1" si="4"/>
        <v>0</v>
      </c>
      <c r="BH7" s="17">
        <f t="shared" si="5"/>
        <v>0</v>
      </c>
      <c r="BI7" s="23">
        <f t="shared" ca="1" si="6"/>
        <v>77</v>
      </c>
      <c r="BJ7" s="14">
        <f t="shared" ca="1" si="7"/>
        <v>0</v>
      </c>
      <c r="BK7" s="14"/>
      <c r="BL7" s="14">
        <f t="shared" si="8"/>
        <v>0</v>
      </c>
      <c r="BM7" s="14">
        <f t="shared" ca="1" si="9"/>
        <v>0</v>
      </c>
      <c r="BN7" s="17">
        <f t="shared" si="10"/>
        <v>0</v>
      </c>
      <c r="BO7" s="23">
        <f t="shared" ca="1" si="11"/>
        <v>65</v>
      </c>
      <c r="BP7" s="14">
        <f t="shared" ca="1" si="12"/>
        <v>0</v>
      </c>
      <c r="BQ7" s="14">
        <v>0</v>
      </c>
      <c r="BR7" s="14">
        <f t="shared" si="13"/>
        <v>0</v>
      </c>
      <c r="BS7" s="14">
        <f t="shared" si="14"/>
        <v>0</v>
      </c>
      <c r="BT7" s="17">
        <f t="shared" si="15"/>
        <v>0</v>
      </c>
      <c r="BU7" s="23">
        <v>61</v>
      </c>
      <c r="BV7" s="14">
        <f t="shared" si="16"/>
        <v>0</v>
      </c>
      <c r="BW7" s="14">
        <v>0</v>
      </c>
      <c r="BX7" s="14">
        <f t="shared" si="17"/>
        <v>0</v>
      </c>
      <c r="BY7" s="14">
        <f t="shared" si="18"/>
        <v>0</v>
      </c>
      <c r="BZ7" s="17">
        <f t="shared" si="19"/>
        <v>0</v>
      </c>
      <c r="CA7" s="23">
        <v>49</v>
      </c>
      <c r="CB7" s="14">
        <f t="shared" si="20"/>
        <v>0</v>
      </c>
      <c r="CC7" s="14">
        <v>19.88</v>
      </c>
      <c r="CD7" s="14">
        <f t="shared" si="21"/>
        <v>1.988</v>
      </c>
      <c r="CE7" s="14">
        <f t="shared" si="22"/>
        <v>6.7426333333333304</v>
      </c>
      <c r="CF7" s="17">
        <f t="shared" si="23"/>
        <v>0.18223333333333325</v>
      </c>
      <c r="CG7" s="23">
        <v>37</v>
      </c>
      <c r="CH7" s="14">
        <f t="shared" si="24"/>
        <v>28.610633333333329</v>
      </c>
      <c r="CI7" s="14">
        <v>62.4</v>
      </c>
      <c r="CJ7" s="14">
        <f t="shared" si="25"/>
        <v>6.24</v>
      </c>
      <c r="CK7" s="14">
        <f t="shared" si="26"/>
        <v>14.299999999999994</v>
      </c>
      <c r="CL7" s="17">
        <f t="shared" si="27"/>
        <v>0.57199999999999973</v>
      </c>
      <c r="CM7" s="23">
        <v>25</v>
      </c>
      <c r="CN7" s="14">
        <f t="shared" si="28"/>
        <v>82.94</v>
      </c>
      <c r="CO7" s="14">
        <f t="shared" si="39"/>
        <v>53.04</v>
      </c>
      <c r="CP7" s="14">
        <f t="shared" si="29"/>
        <v>5.3040000000000003</v>
      </c>
      <c r="CQ7" s="14">
        <f t="shared" si="30"/>
        <v>6.3205999999999971</v>
      </c>
      <c r="CR7" s="17">
        <f t="shared" si="31"/>
        <v>0.4861999999999998</v>
      </c>
      <c r="CS7" s="23">
        <v>13</v>
      </c>
      <c r="CT7" s="14">
        <f t="shared" si="40"/>
        <v>64.664599999999993</v>
      </c>
      <c r="CU7" s="14">
        <f t="shared" si="32"/>
        <v>53.04</v>
      </c>
      <c r="CV7" s="14">
        <f t="shared" si="33"/>
        <v>188.35999999999999</v>
      </c>
      <c r="CW7" s="14">
        <f t="shared" si="34"/>
        <v>13.532</v>
      </c>
      <c r="CX7" s="14">
        <f t="shared" ca="1" si="34"/>
        <v>27.363233333333319</v>
      </c>
      <c r="CY7" s="14">
        <f t="shared" ca="1" si="35"/>
        <v>229.25523333333331</v>
      </c>
      <c r="CZ7" s="24" t="s">
        <v>483</v>
      </c>
      <c r="DA7" s="14">
        <f>1906+148+55.5+58.5+663</f>
        <v>2831</v>
      </c>
      <c r="DB7" s="32">
        <f t="shared" si="36"/>
        <v>7</v>
      </c>
      <c r="DC7" s="14">
        <f>30+5.42+5.42*6+1.21*6+1.21*7+0.5*6+75.43+6.1+30+39.35</f>
        <v>237.55</v>
      </c>
      <c r="DD7" s="14">
        <v>250</v>
      </c>
      <c r="DE7" s="14">
        <f t="shared" ca="1" si="37"/>
        <v>5060.5552333333335</v>
      </c>
      <c r="DF7" s="14">
        <v>158.75</v>
      </c>
      <c r="DG7" s="14">
        <f>30.5+171.31+167.05</f>
        <v>368.86</v>
      </c>
      <c r="DH7" s="14">
        <f>SUM(47.1+75)</f>
        <v>122.1</v>
      </c>
      <c r="DI7" s="14">
        <f>100*2</f>
        <v>200</v>
      </c>
      <c r="DJ7" s="25">
        <v>645</v>
      </c>
      <c r="DK7" s="14">
        <f t="shared" si="38"/>
        <v>1494.71</v>
      </c>
      <c r="DL7" s="25">
        <v>10200</v>
      </c>
      <c r="DM7" s="25">
        <v>0</v>
      </c>
      <c r="DN7" s="25">
        <f t="shared" si="42"/>
        <v>10200</v>
      </c>
      <c r="DO7" s="36">
        <v>0.04</v>
      </c>
      <c r="DP7" s="18" t="s">
        <v>484</v>
      </c>
      <c r="DQ7" s="18" t="s">
        <v>485</v>
      </c>
      <c r="DR7" s="18" t="s">
        <v>486</v>
      </c>
      <c r="EX7" s="27"/>
      <c r="EY7" s="28"/>
      <c r="FF7" s="28"/>
      <c r="FG7" s="18" t="s">
        <v>372</v>
      </c>
      <c r="FH7" s="18" t="s">
        <v>373</v>
      </c>
      <c r="FI7" s="18" t="s">
        <v>374</v>
      </c>
      <c r="FJ7" s="18" t="s">
        <v>259</v>
      </c>
      <c r="FK7" s="18" t="s">
        <v>260</v>
      </c>
      <c r="FL7" s="14">
        <v>18.04</v>
      </c>
      <c r="FM7" s="18" t="s">
        <v>382</v>
      </c>
      <c r="FN7" s="18" t="s">
        <v>383</v>
      </c>
      <c r="FO7" s="18" t="s">
        <v>384</v>
      </c>
      <c r="FP7" s="18" t="s">
        <v>385</v>
      </c>
      <c r="FQ7" s="18" t="s">
        <v>386</v>
      </c>
      <c r="FR7" s="18" t="s">
        <v>260</v>
      </c>
      <c r="FS7" s="27">
        <v>42761</v>
      </c>
      <c r="FT7" s="18" t="s">
        <v>487</v>
      </c>
      <c r="FX7" s="18" t="s">
        <v>488</v>
      </c>
      <c r="FZ7" s="18" t="s">
        <v>489</v>
      </c>
      <c r="GB7" s="18" t="s">
        <v>259</v>
      </c>
      <c r="GC7" s="18" t="s">
        <v>260</v>
      </c>
      <c r="GD7" s="27">
        <v>42713</v>
      </c>
      <c r="GE7" s="18" t="s">
        <v>490</v>
      </c>
      <c r="GI7" s="18" t="s">
        <v>382</v>
      </c>
      <c r="GJ7" s="18" t="s">
        <v>383</v>
      </c>
      <c r="GK7" s="18" t="s">
        <v>384</v>
      </c>
      <c r="GL7" s="18" t="s">
        <v>385</v>
      </c>
      <c r="GM7" s="18" t="s">
        <v>386</v>
      </c>
      <c r="GN7" s="18" t="s">
        <v>260</v>
      </c>
      <c r="GO7" s="27">
        <v>42039</v>
      </c>
      <c r="GP7" s="18" t="s">
        <v>491</v>
      </c>
      <c r="GQ7" s="18" t="s">
        <v>492</v>
      </c>
      <c r="GR7" s="18" t="s">
        <v>493</v>
      </c>
      <c r="GS7" s="18" t="s">
        <v>494</v>
      </c>
      <c r="GU7" s="18" t="s">
        <v>495</v>
      </c>
      <c r="GV7" s="18" t="s">
        <v>496</v>
      </c>
      <c r="GW7" s="27">
        <v>36962</v>
      </c>
      <c r="GX7" s="18" t="s">
        <v>497</v>
      </c>
      <c r="HW7" s="27">
        <v>44128</v>
      </c>
      <c r="HX7" s="14">
        <v>10200</v>
      </c>
      <c r="HZ7" s="14">
        <f ca="1">DE7</f>
        <v>5060.5552333333335</v>
      </c>
      <c r="IA7" s="14">
        <v>0</v>
      </c>
      <c r="IB7" s="27"/>
      <c r="IC7" s="18" t="s">
        <v>1410</v>
      </c>
      <c r="ID7" s="18" t="s">
        <v>846</v>
      </c>
      <c r="IE7" s="18" t="s">
        <v>386</v>
      </c>
      <c r="II7" s="14">
        <v>37.5</v>
      </c>
      <c r="IJ7" s="14">
        <f t="shared" ca="1" si="41"/>
        <v>0</v>
      </c>
      <c r="IK7" s="27">
        <v>43661</v>
      </c>
      <c r="IL7" s="27">
        <v>43682</v>
      </c>
      <c r="IM7" s="27">
        <v>44131</v>
      </c>
      <c r="IN7" s="27">
        <v>44137</v>
      </c>
    </row>
    <row r="8" spans="1:249" ht="14.45" customHeight="1">
      <c r="A8" s="18">
        <v>102019001</v>
      </c>
      <c r="B8" s="14" t="s">
        <v>498</v>
      </c>
      <c r="C8" s="24" t="s">
        <v>499</v>
      </c>
      <c r="D8" s="19">
        <v>190005534</v>
      </c>
      <c r="E8" s="18" t="s">
        <v>305</v>
      </c>
      <c r="F8" s="18" t="s">
        <v>500</v>
      </c>
      <c r="G8" s="18" t="s">
        <v>501</v>
      </c>
      <c r="J8" s="18" t="s">
        <v>258</v>
      </c>
      <c r="K8" s="18" t="s">
        <v>500</v>
      </c>
      <c r="L8" s="18" t="s">
        <v>502</v>
      </c>
      <c r="O8" s="13" t="s">
        <v>258</v>
      </c>
      <c r="AB8" s="37"/>
      <c r="AE8" s="14" t="s">
        <v>328</v>
      </c>
      <c r="AF8" s="14"/>
      <c r="AG8" s="14" t="s">
        <v>329</v>
      </c>
      <c r="AJ8" s="14" t="s">
        <v>503</v>
      </c>
      <c r="AK8" s="20" t="s">
        <v>258</v>
      </c>
      <c r="AL8" s="18" t="s">
        <v>504</v>
      </c>
      <c r="AM8" s="24"/>
      <c r="AN8" s="20"/>
      <c r="AO8" s="20"/>
      <c r="AP8" s="13" t="s">
        <v>258</v>
      </c>
      <c r="AQ8" s="13" t="s">
        <v>258</v>
      </c>
      <c r="AR8" s="13" t="s">
        <v>258</v>
      </c>
      <c r="AS8" s="21">
        <v>43766</v>
      </c>
      <c r="AT8" s="21">
        <v>43518</v>
      </c>
      <c r="AU8" s="21">
        <v>43734</v>
      </c>
      <c r="AV8" s="21">
        <v>43805</v>
      </c>
      <c r="AW8" s="13" t="s">
        <v>318</v>
      </c>
      <c r="AX8" s="21">
        <v>43784</v>
      </c>
      <c r="AY8" s="21">
        <v>43791</v>
      </c>
      <c r="AZ8" s="21">
        <v>43924</v>
      </c>
      <c r="BA8" s="13" t="s">
        <v>319</v>
      </c>
      <c r="BB8" s="20">
        <f t="shared" si="0"/>
        <v>8679.9</v>
      </c>
      <c r="BC8" s="22">
        <f t="shared" si="1"/>
        <v>-763.10110956776032</v>
      </c>
      <c r="BD8" s="22">
        <f t="shared" si="2"/>
        <v>763.10110956776032</v>
      </c>
      <c r="BE8" s="14"/>
      <c r="BF8" s="14">
        <f t="shared" si="3"/>
        <v>0</v>
      </c>
      <c r="BG8" s="14">
        <f t="shared" ca="1" si="4"/>
        <v>0</v>
      </c>
      <c r="BH8" s="17">
        <f t="shared" si="5"/>
        <v>0</v>
      </c>
      <c r="BI8" s="23">
        <f t="shared" ca="1" si="6"/>
        <v>77</v>
      </c>
      <c r="BJ8" s="14">
        <f t="shared" ca="1" si="7"/>
        <v>0</v>
      </c>
      <c r="BK8" s="14"/>
      <c r="BL8" s="14">
        <f t="shared" si="8"/>
        <v>0</v>
      </c>
      <c r="BM8" s="14">
        <f t="shared" ca="1" si="9"/>
        <v>0</v>
      </c>
      <c r="BN8" s="17">
        <f t="shared" si="10"/>
        <v>0</v>
      </c>
      <c r="BO8" s="23">
        <f t="shared" ca="1" si="11"/>
        <v>65</v>
      </c>
      <c r="BP8" s="14">
        <f t="shared" ca="1" si="12"/>
        <v>0</v>
      </c>
      <c r="BQ8" s="14"/>
      <c r="BR8" s="14">
        <f t="shared" si="13"/>
        <v>0</v>
      </c>
      <c r="BS8" s="14">
        <f t="shared" si="14"/>
        <v>0</v>
      </c>
      <c r="BT8" s="17">
        <f t="shared" si="15"/>
        <v>0</v>
      </c>
      <c r="BU8" s="23">
        <v>61</v>
      </c>
      <c r="BV8" s="14">
        <f t="shared" si="16"/>
        <v>0</v>
      </c>
      <c r="BW8" s="14"/>
      <c r="BX8" s="14">
        <f t="shared" si="17"/>
        <v>0</v>
      </c>
      <c r="BY8" s="14">
        <f t="shared" si="18"/>
        <v>0</v>
      </c>
      <c r="BZ8" s="17">
        <f t="shared" si="19"/>
        <v>0</v>
      </c>
      <c r="CA8" s="23">
        <v>49</v>
      </c>
      <c r="CB8" s="14">
        <f t="shared" si="20"/>
        <v>0</v>
      </c>
      <c r="CC8" s="14"/>
      <c r="CD8" s="14">
        <f t="shared" si="21"/>
        <v>0</v>
      </c>
      <c r="CE8" s="14">
        <f t="shared" si="22"/>
        <v>0</v>
      </c>
      <c r="CF8" s="17">
        <f t="shared" si="23"/>
        <v>0</v>
      </c>
      <c r="CG8" s="23">
        <v>37</v>
      </c>
      <c r="CH8" s="14">
        <f t="shared" si="24"/>
        <v>0</v>
      </c>
      <c r="CI8" s="14"/>
      <c r="CJ8" s="14">
        <f t="shared" si="25"/>
        <v>0</v>
      </c>
      <c r="CK8" s="14">
        <f t="shared" si="26"/>
        <v>0</v>
      </c>
      <c r="CL8" s="17">
        <f t="shared" si="27"/>
        <v>0</v>
      </c>
      <c r="CM8" s="23">
        <v>25</v>
      </c>
      <c r="CN8" s="14">
        <f t="shared" si="28"/>
        <v>0</v>
      </c>
      <c r="CO8" s="14">
        <f t="shared" si="39"/>
        <v>168.48</v>
      </c>
      <c r="CP8" s="14">
        <f t="shared" si="29"/>
        <v>16.847999999999999</v>
      </c>
      <c r="CQ8" s="14">
        <f t="shared" si="30"/>
        <v>20.077199999999987</v>
      </c>
      <c r="CR8" s="17">
        <f t="shared" si="31"/>
        <v>1.5443999999999991</v>
      </c>
      <c r="CS8" s="23">
        <v>13</v>
      </c>
      <c r="CT8" s="14">
        <f t="shared" si="40"/>
        <v>205.40519999999995</v>
      </c>
      <c r="CU8" s="14">
        <f t="shared" si="32"/>
        <v>168.48</v>
      </c>
      <c r="CV8" s="14">
        <v>1752.19</v>
      </c>
      <c r="CW8" s="14">
        <v>158.37</v>
      </c>
      <c r="CX8" s="14">
        <v>2061.08</v>
      </c>
      <c r="CY8" s="14">
        <f t="shared" si="35"/>
        <v>3971.64</v>
      </c>
      <c r="CZ8" s="24" t="s">
        <v>1518</v>
      </c>
      <c r="DA8" s="14">
        <f>1244.5+663</f>
        <v>1907.5</v>
      </c>
      <c r="DB8" s="32">
        <f t="shared" si="36"/>
        <v>2</v>
      </c>
      <c r="DC8" s="14">
        <f>1+2*5.6+1.15*2+7.75*2+28*2+1.15+30+39.35</f>
        <v>156.5</v>
      </c>
      <c r="DD8" s="14">
        <v>350</v>
      </c>
      <c r="DE8" s="14">
        <f t="shared" si="37"/>
        <v>8473.4</v>
      </c>
      <c r="DF8" s="14">
        <f>93.75+260</f>
        <v>353.75</v>
      </c>
      <c r="DG8" s="14">
        <f>37.56+699+167.05</f>
        <v>903.6099999999999</v>
      </c>
      <c r="DH8" s="14">
        <v>140.80000000000001</v>
      </c>
      <c r="DI8" s="14">
        <v>129.6</v>
      </c>
      <c r="DJ8" s="25">
        <v>560</v>
      </c>
      <c r="DK8" s="14">
        <f t="shared" si="38"/>
        <v>2087.7599999999998</v>
      </c>
      <c r="DL8" s="25">
        <f>7800+24600</f>
        <v>32400</v>
      </c>
      <c r="DM8" s="25">
        <v>0</v>
      </c>
      <c r="DN8" s="25">
        <f t="shared" si="42"/>
        <v>32400</v>
      </c>
      <c r="DO8" s="36">
        <v>9.57</v>
      </c>
      <c r="DP8" s="18" t="s">
        <v>1932</v>
      </c>
      <c r="DQ8" s="18" t="s">
        <v>505</v>
      </c>
      <c r="DR8" s="18" t="s">
        <v>1933</v>
      </c>
      <c r="DS8" s="18" t="s">
        <v>506</v>
      </c>
      <c r="DT8" s="18" t="s">
        <v>507</v>
      </c>
      <c r="DU8" s="18" t="s">
        <v>508</v>
      </c>
      <c r="EK8" s="14"/>
      <c r="EL8" s="14"/>
      <c r="EM8" s="14"/>
      <c r="EN8" s="14"/>
      <c r="EO8" s="14"/>
      <c r="EP8" s="14"/>
      <c r="EQ8" s="14"/>
      <c r="ER8" s="14"/>
      <c r="ES8" s="14"/>
      <c r="ET8" s="14"/>
      <c r="EX8" s="27"/>
      <c r="FL8" s="14"/>
      <c r="FQ8" s="28"/>
      <c r="GA8" s="28"/>
      <c r="GP8" s="27"/>
      <c r="HW8" s="27">
        <v>44128</v>
      </c>
      <c r="HX8" s="14">
        <v>32400</v>
      </c>
      <c r="HZ8" s="14">
        <v>17000</v>
      </c>
      <c r="IA8" s="14">
        <v>1700</v>
      </c>
      <c r="IB8" s="27"/>
      <c r="IC8" s="18" t="s">
        <v>772</v>
      </c>
      <c r="ID8" s="18" t="s">
        <v>1153</v>
      </c>
      <c r="IE8" s="18" t="s">
        <v>386</v>
      </c>
      <c r="II8" s="14">
        <v>187.5</v>
      </c>
      <c r="IJ8" s="14">
        <f t="shared" si="41"/>
        <v>8526.6</v>
      </c>
      <c r="IK8" s="27">
        <v>43931</v>
      </c>
      <c r="IL8" s="27">
        <v>43965</v>
      </c>
      <c r="IM8" s="27">
        <v>44131</v>
      </c>
      <c r="IN8" s="27">
        <v>44137</v>
      </c>
    </row>
    <row r="9" spans="1:249" ht="14.45" customHeight="1">
      <c r="A9" s="18">
        <v>102019003</v>
      </c>
      <c r="B9" s="14" t="s">
        <v>509</v>
      </c>
      <c r="C9" s="24"/>
      <c r="D9" s="19"/>
      <c r="E9" s="18" t="s">
        <v>510</v>
      </c>
      <c r="F9" s="18" t="s">
        <v>511</v>
      </c>
      <c r="G9" s="18" t="s">
        <v>512</v>
      </c>
      <c r="H9" s="18" t="s">
        <v>396</v>
      </c>
      <c r="J9" s="13"/>
      <c r="O9" s="13"/>
      <c r="AB9" s="37"/>
      <c r="AE9" s="14" t="s">
        <v>328</v>
      </c>
      <c r="AF9" s="14"/>
      <c r="AG9" s="18" t="s">
        <v>267</v>
      </c>
      <c r="AH9" s="18" t="s">
        <v>260</v>
      </c>
      <c r="AJ9" s="14" t="s">
        <v>513</v>
      </c>
      <c r="AK9" s="20" t="s">
        <v>258</v>
      </c>
      <c r="AL9" s="18" t="s">
        <v>290</v>
      </c>
      <c r="AM9" s="24" t="s">
        <v>260</v>
      </c>
      <c r="AN9" s="20"/>
      <c r="AO9" s="20"/>
      <c r="AP9" s="13" t="s">
        <v>258</v>
      </c>
      <c r="AQ9" s="13" t="s">
        <v>258</v>
      </c>
      <c r="AR9" s="13" t="s">
        <v>258</v>
      </c>
      <c r="AS9" s="13"/>
      <c r="AT9" s="13"/>
      <c r="AU9" s="21">
        <v>43599</v>
      </c>
      <c r="AV9" s="13"/>
      <c r="AW9" s="13"/>
      <c r="AX9" s="13"/>
      <c r="AY9" s="13"/>
      <c r="AZ9" s="13"/>
      <c r="BA9" s="13"/>
      <c r="BB9" s="20">
        <f t="shared" si="0"/>
        <v>1493.41</v>
      </c>
      <c r="BC9" s="22">
        <f t="shared" si="1"/>
        <v>-131.29446514816863</v>
      </c>
      <c r="BD9" s="22">
        <f t="shared" si="2"/>
        <v>131.29446514816863</v>
      </c>
      <c r="BE9" s="14"/>
      <c r="BF9" s="14">
        <f t="shared" si="3"/>
        <v>0</v>
      </c>
      <c r="BG9" s="14">
        <f t="shared" ca="1" si="4"/>
        <v>0</v>
      </c>
      <c r="BH9" s="17">
        <f t="shared" si="5"/>
        <v>0</v>
      </c>
      <c r="BI9" s="23">
        <f t="shared" ca="1" si="6"/>
        <v>77</v>
      </c>
      <c r="BJ9" s="14">
        <f t="shared" ca="1" si="7"/>
        <v>0</v>
      </c>
      <c r="BK9" s="14"/>
      <c r="BL9" s="14">
        <f t="shared" si="8"/>
        <v>0</v>
      </c>
      <c r="BM9" s="14">
        <f t="shared" ca="1" si="9"/>
        <v>0</v>
      </c>
      <c r="BN9" s="17">
        <f t="shared" si="10"/>
        <v>0</v>
      </c>
      <c r="BO9" s="23">
        <f t="shared" ca="1" si="11"/>
        <v>65</v>
      </c>
      <c r="BP9" s="14">
        <f t="shared" ca="1" si="12"/>
        <v>0</v>
      </c>
      <c r="BQ9" s="14"/>
      <c r="BR9" s="14">
        <f t="shared" si="13"/>
        <v>0</v>
      </c>
      <c r="BS9" s="14">
        <f t="shared" si="14"/>
        <v>0</v>
      </c>
      <c r="BT9" s="17">
        <f t="shared" si="15"/>
        <v>0</v>
      </c>
      <c r="BU9" s="23">
        <v>61</v>
      </c>
      <c r="BV9" s="14">
        <f t="shared" si="16"/>
        <v>0</v>
      </c>
      <c r="BW9" s="14"/>
      <c r="BX9" s="14">
        <f t="shared" si="17"/>
        <v>0</v>
      </c>
      <c r="BY9" s="14">
        <f t="shared" si="18"/>
        <v>0</v>
      </c>
      <c r="BZ9" s="17">
        <f t="shared" si="19"/>
        <v>0</v>
      </c>
      <c r="CA9" s="23">
        <v>49</v>
      </c>
      <c r="CB9" s="14">
        <f t="shared" si="20"/>
        <v>0</v>
      </c>
      <c r="CC9" s="14"/>
      <c r="CD9" s="14">
        <f t="shared" si="21"/>
        <v>0</v>
      </c>
      <c r="CE9" s="14">
        <f t="shared" si="22"/>
        <v>0</v>
      </c>
      <c r="CF9" s="17">
        <f t="shared" si="23"/>
        <v>0</v>
      </c>
      <c r="CG9" s="23">
        <v>37</v>
      </c>
      <c r="CH9" s="14">
        <f t="shared" si="24"/>
        <v>0</v>
      </c>
      <c r="CI9" s="14"/>
      <c r="CJ9" s="14">
        <f t="shared" si="25"/>
        <v>0</v>
      </c>
      <c r="CK9" s="14">
        <f t="shared" si="26"/>
        <v>0</v>
      </c>
      <c r="CL9" s="17">
        <f t="shared" si="27"/>
        <v>0</v>
      </c>
      <c r="CM9" s="23">
        <v>25</v>
      </c>
      <c r="CN9" s="14">
        <f t="shared" si="28"/>
        <v>0</v>
      </c>
      <c r="CO9" s="14">
        <f t="shared" si="39"/>
        <v>2.6</v>
      </c>
      <c r="CP9" s="14">
        <f t="shared" si="29"/>
        <v>0.26</v>
      </c>
      <c r="CQ9" s="14">
        <f t="shared" si="30"/>
        <v>0.30983333333333324</v>
      </c>
      <c r="CR9" s="17">
        <f t="shared" si="31"/>
        <v>2.3833333333333324E-2</v>
      </c>
      <c r="CS9" s="23">
        <v>13</v>
      </c>
      <c r="CT9" s="14">
        <f t="shared" si="40"/>
        <v>3.1698333333333335</v>
      </c>
      <c r="CU9" s="14">
        <f t="shared" si="32"/>
        <v>2.6</v>
      </c>
      <c r="CV9" s="14">
        <f>SUM(BE9, BK9, BQ9, BW9, CC9, CI9,CO9,CU9)</f>
        <v>5.2</v>
      </c>
      <c r="CW9" s="14">
        <f>SUM(BF9, BL9, BR9, BX9, CD9, CJ9,CP9)</f>
        <v>0.26</v>
      </c>
      <c r="CX9" s="14">
        <f ca="1">SUM(BG9, BM9, BS9, BY9, CE9, CK9,CQ9)</f>
        <v>0.30983333333333324</v>
      </c>
      <c r="CY9" s="14">
        <v>41.26</v>
      </c>
      <c r="CZ9" s="24" t="s">
        <v>1538</v>
      </c>
      <c r="DA9" s="14">
        <f>277.5+273+78</f>
        <v>628.5</v>
      </c>
      <c r="DB9" s="32">
        <f t="shared" si="36"/>
        <v>5</v>
      </c>
      <c r="DC9" s="14">
        <f>79.3+30+39.35</f>
        <v>148.65</v>
      </c>
      <c r="DD9" s="14">
        <v>200</v>
      </c>
      <c r="DE9" s="14">
        <f t="shared" si="37"/>
        <v>1286.9100000000001</v>
      </c>
      <c r="DF9" s="14">
        <v>0</v>
      </c>
      <c r="DG9" s="14">
        <v>268.5</v>
      </c>
      <c r="DH9" s="14">
        <v>0</v>
      </c>
      <c r="DI9" s="14">
        <v>0</v>
      </c>
      <c r="DJ9" s="25">
        <v>0</v>
      </c>
      <c r="DK9" s="14">
        <f t="shared" si="38"/>
        <v>268.5</v>
      </c>
      <c r="DL9" s="25">
        <v>500</v>
      </c>
      <c r="DM9" s="25">
        <v>0</v>
      </c>
      <c r="DN9" s="25">
        <f t="shared" si="42"/>
        <v>500</v>
      </c>
      <c r="DO9" s="36">
        <v>0.113</v>
      </c>
      <c r="DP9" s="18" t="s">
        <v>1940</v>
      </c>
      <c r="DQ9" s="18" t="s">
        <v>514</v>
      </c>
      <c r="DR9" s="18" t="s">
        <v>515</v>
      </c>
      <c r="DS9" s="18" t="s">
        <v>516</v>
      </c>
      <c r="DT9" s="18" t="s">
        <v>517</v>
      </c>
      <c r="DU9" s="18" t="s">
        <v>518</v>
      </c>
      <c r="DV9" s="18" t="s">
        <v>519</v>
      </c>
      <c r="EB9" s="18" t="s">
        <v>520</v>
      </c>
      <c r="ED9" s="18" t="s">
        <v>521</v>
      </c>
      <c r="EF9" s="18" t="s">
        <v>349</v>
      </c>
      <c r="EG9" s="18" t="s">
        <v>260</v>
      </c>
      <c r="EH9" s="18" t="s">
        <v>522</v>
      </c>
      <c r="EJ9" s="18" t="s">
        <v>523</v>
      </c>
      <c r="EL9" s="14" t="s">
        <v>524</v>
      </c>
      <c r="EM9" s="14" t="s">
        <v>268</v>
      </c>
      <c r="EN9" s="14" t="s">
        <v>525</v>
      </c>
      <c r="EO9" s="14"/>
      <c r="EP9" s="14" t="s">
        <v>526</v>
      </c>
      <c r="EQ9" s="14" t="s">
        <v>349</v>
      </c>
      <c r="ER9" s="14" t="s">
        <v>260</v>
      </c>
      <c r="ES9" s="14"/>
      <c r="ET9" s="14"/>
      <c r="EX9" s="27"/>
      <c r="FL9" s="14"/>
      <c r="FQ9" s="28"/>
      <c r="GA9" s="28"/>
      <c r="GP9" s="27"/>
      <c r="HW9" s="27">
        <v>44128</v>
      </c>
      <c r="HX9" s="14">
        <v>500</v>
      </c>
      <c r="HZ9" s="14">
        <v>1300</v>
      </c>
      <c r="IA9" s="14">
        <v>140</v>
      </c>
      <c r="IB9" s="27"/>
      <c r="IC9" s="18" t="s">
        <v>1950</v>
      </c>
      <c r="ID9" s="18" t="s">
        <v>1951</v>
      </c>
      <c r="IE9" s="18" t="s">
        <v>290</v>
      </c>
      <c r="II9" s="14">
        <v>52.83</v>
      </c>
      <c r="IJ9" s="14">
        <f t="shared" si="41"/>
        <v>13.089999999999918</v>
      </c>
      <c r="IK9" s="27"/>
      <c r="IL9" s="27"/>
    </row>
    <row r="10" spans="1:249" s="39" customFormat="1" ht="14.45" customHeight="1">
      <c r="A10" s="39">
        <v>102019004</v>
      </c>
      <c r="B10" s="39" t="s">
        <v>1926</v>
      </c>
      <c r="C10" s="56" t="s">
        <v>1527</v>
      </c>
      <c r="D10" s="53">
        <v>200000194</v>
      </c>
      <c r="E10" s="39" t="s">
        <v>311</v>
      </c>
      <c r="F10" s="39" t="s">
        <v>528</v>
      </c>
      <c r="G10" s="39" t="s">
        <v>529</v>
      </c>
      <c r="J10" s="51"/>
      <c r="O10" s="51"/>
      <c r="AB10" s="55"/>
      <c r="AE10" s="40" t="s">
        <v>328</v>
      </c>
      <c r="AF10" s="40"/>
      <c r="AG10" s="39" t="s">
        <v>344</v>
      </c>
      <c r="AH10" s="39" t="s">
        <v>260</v>
      </c>
      <c r="AI10" s="40" t="s">
        <v>530</v>
      </c>
      <c r="AJ10" s="39" t="s">
        <v>531</v>
      </c>
      <c r="AK10" s="49" t="s">
        <v>258</v>
      </c>
      <c r="AL10" s="39" t="s">
        <v>532</v>
      </c>
      <c r="AM10" s="56"/>
      <c r="AN10" s="49"/>
      <c r="AO10" s="49"/>
      <c r="AP10" s="51" t="s">
        <v>258</v>
      </c>
      <c r="AQ10" s="51" t="s">
        <v>258</v>
      </c>
      <c r="AR10" s="51" t="s">
        <v>258</v>
      </c>
      <c r="AS10" s="41">
        <v>43839</v>
      </c>
      <c r="AT10" s="41">
        <v>43518</v>
      </c>
      <c r="AU10" s="41">
        <v>43803</v>
      </c>
      <c r="AV10" s="41">
        <v>43896</v>
      </c>
      <c r="AW10" s="51" t="s">
        <v>318</v>
      </c>
      <c r="AX10" s="41">
        <v>43882</v>
      </c>
      <c r="AY10" s="41">
        <v>43889</v>
      </c>
      <c r="AZ10" s="41">
        <v>43924</v>
      </c>
      <c r="BA10" s="51" t="s">
        <v>319</v>
      </c>
      <c r="BB10" s="49">
        <f t="shared" si="0"/>
        <v>5425.27</v>
      </c>
      <c r="BC10" s="50">
        <f t="shared" si="1"/>
        <v>-476.96742551235417</v>
      </c>
      <c r="BD10" s="50">
        <f t="shared" si="2"/>
        <v>476.96742551235417</v>
      </c>
      <c r="BE10" s="40"/>
      <c r="BF10" s="40">
        <f t="shared" si="3"/>
        <v>0</v>
      </c>
      <c r="BG10" s="40">
        <f t="shared" ca="1" si="4"/>
        <v>0</v>
      </c>
      <c r="BH10" s="57">
        <f t="shared" si="5"/>
        <v>0</v>
      </c>
      <c r="BI10" s="58">
        <f t="shared" ca="1" si="6"/>
        <v>77</v>
      </c>
      <c r="BJ10" s="40">
        <f t="shared" ca="1" si="7"/>
        <v>0</v>
      </c>
      <c r="BK10" s="40"/>
      <c r="BL10" s="40">
        <f t="shared" si="8"/>
        <v>0</v>
      </c>
      <c r="BM10" s="40">
        <f t="shared" ca="1" si="9"/>
        <v>0</v>
      </c>
      <c r="BN10" s="57">
        <f t="shared" si="10"/>
        <v>0</v>
      </c>
      <c r="BO10" s="58">
        <f t="shared" ca="1" si="11"/>
        <v>65</v>
      </c>
      <c r="BP10" s="40">
        <f t="shared" ca="1" si="12"/>
        <v>0</v>
      </c>
      <c r="BQ10" s="40"/>
      <c r="BR10" s="40">
        <f t="shared" si="13"/>
        <v>0</v>
      </c>
      <c r="BS10" s="40">
        <f t="shared" si="14"/>
        <v>0</v>
      </c>
      <c r="BT10" s="57">
        <f t="shared" si="15"/>
        <v>0</v>
      </c>
      <c r="BU10" s="58">
        <v>61</v>
      </c>
      <c r="BV10" s="40">
        <f t="shared" si="16"/>
        <v>0</v>
      </c>
      <c r="BW10" s="40"/>
      <c r="BX10" s="40">
        <f t="shared" si="17"/>
        <v>0</v>
      </c>
      <c r="BY10" s="40">
        <f t="shared" si="18"/>
        <v>0</v>
      </c>
      <c r="BZ10" s="57">
        <f t="shared" si="19"/>
        <v>0</v>
      </c>
      <c r="CA10" s="58">
        <v>49</v>
      </c>
      <c r="CB10" s="40">
        <f t="shared" si="20"/>
        <v>0</v>
      </c>
      <c r="CC10" s="40"/>
      <c r="CD10" s="40">
        <f t="shared" si="21"/>
        <v>0</v>
      </c>
      <c r="CE10" s="40">
        <f t="shared" si="22"/>
        <v>0</v>
      </c>
      <c r="CF10" s="57">
        <f t="shared" si="23"/>
        <v>0</v>
      </c>
      <c r="CG10" s="58">
        <v>37</v>
      </c>
      <c r="CH10" s="40">
        <f t="shared" si="24"/>
        <v>0</v>
      </c>
      <c r="CI10" s="40"/>
      <c r="CJ10" s="40">
        <f t="shared" si="25"/>
        <v>0</v>
      </c>
      <c r="CK10" s="40">
        <f t="shared" si="26"/>
        <v>0</v>
      </c>
      <c r="CL10" s="57">
        <f t="shared" si="27"/>
        <v>0</v>
      </c>
      <c r="CM10" s="58">
        <v>25</v>
      </c>
      <c r="CN10" s="40">
        <f t="shared" si="28"/>
        <v>0</v>
      </c>
      <c r="CO10" s="40">
        <f t="shared" si="39"/>
        <v>31.2</v>
      </c>
      <c r="CP10" s="40">
        <f t="shared" si="29"/>
        <v>3.12</v>
      </c>
      <c r="CQ10" s="40">
        <f t="shared" si="30"/>
        <v>3.7179999999999982</v>
      </c>
      <c r="CR10" s="57">
        <f t="shared" si="31"/>
        <v>0.28599999999999987</v>
      </c>
      <c r="CS10" s="58">
        <v>13</v>
      </c>
      <c r="CT10" s="40">
        <f t="shared" si="40"/>
        <v>38.037999999999997</v>
      </c>
      <c r="CU10" s="40">
        <f t="shared" si="32"/>
        <v>31.2</v>
      </c>
      <c r="CV10" s="40">
        <v>444.93</v>
      </c>
      <c r="CW10" s="40">
        <v>41.37</v>
      </c>
      <c r="CX10" s="40">
        <v>855.22</v>
      </c>
      <c r="CY10" s="40">
        <v>1013.76</v>
      </c>
      <c r="CZ10" s="56" t="s">
        <v>1518</v>
      </c>
      <c r="DA10" s="40">
        <f>1760.5</f>
        <v>1760.5</v>
      </c>
      <c r="DB10" s="65">
        <f t="shared" si="36"/>
        <v>2</v>
      </c>
      <c r="DC10" s="40">
        <f>1+5.6*2+1.15*3+28+2*0.5+30+39.35</f>
        <v>114</v>
      </c>
      <c r="DD10" s="40">
        <v>350</v>
      </c>
      <c r="DE10" s="14">
        <f t="shared" si="37"/>
        <v>5218.7700000000004</v>
      </c>
      <c r="DF10" s="40">
        <f>93.75+190</f>
        <v>283.75</v>
      </c>
      <c r="DG10" s="40">
        <f>746+37.56+167.05</f>
        <v>950.6099999999999</v>
      </c>
      <c r="DH10" s="40">
        <v>136.15</v>
      </c>
      <c r="DI10" s="40">
        <v>100</v>
      </c>
      <c r="DJ10" s="59">
        <v>510</v>
      </c>
      <c r="DK10" s="40">
        <f t="shared" si="38"/>
        <v>1980.51</v>
      </c>
      <c r="DL10" s="59">
        <v>6000</v>
      </c>
      <c r="DM10" s="59">
        <v>0</v>
      </c>
      <c r="DN10" s="59">
        <f t="shared" si="42"/>
        <v>6000</v>
      </c>
      <c r="DO10" s="60">
        <v>1.29</v>
      </c>
      <c r="DP10" s="39" t="s">
        <v>1934</v>
      </c>
      <c r="DQ10" s="39" t="s">
        <v>533</v>
      </c>
      <c r="EK10" s="40"/>
      <c r="EL10" s="40"/>
      <c r="EM10" s="40"/>
      <c r="EN10" s="40"/>
      <c r="EO10" s="40"/>
      <c r="EP10" s="40"/>
      <c r="EQ10" s="40"/>
      <c r="ER10" s="40"/>
      <c r="ES10" s="40"/>
      <c r="ET10" s="40"/>
      <c r="EX10" s="54"/>
      <c r="FL10" s="40"/>
      <c r="FQ10" s="62"/>
      <c r="GA10" s="62"/>
      <c r="GP10" s="54"/>
      <c r="HW10" s="54">
        <v>44128</v>
      </c>
      <c r="HX10" s="40">
        <v>6000</v>
      </c>
      <c r="HY10" s="40"/>
      <c r="HZ10" s="40">
        <v>5020.97</v>
      </c>
      <c r="IA10" s="40">
        <v>521</v>
      </c>
      <c r="IB10" s="54"/>
      <c r="IC10" s="39" t="s">
        <v>1996</v>
      </c>
      <c r="ID10" s="39" t="s">
        <v>1952</v>
      </c>
      <c r="IE10" s="39" t="s">
        <v>344</v>
      </c>
      <c r="IG10" s="40"/>
      <c r="IH10" s="40"/>
      <c r="II10" s="40">
        <v>73</v>
      </c>
      <c r="IJ10" s="40">
        <f t="shared" si="41"/>
        <v>-197.80000000000018</v>
      </c>
      <c r="IK10" s="54">
        <v>43931</v>
      </c>
      <c r="IL10" s="54">
        <v>43965</v>
      </c>
      <c r="IM10" s="54">
        <v>44131</v>
      </c>
      <c r="IN10" s="54">
        <v>44137</v>
      </c>
    </row>
    <row r="11" spans="1:249" ht="14.45" customHeight="1">
      <c r="A11" s="18">
        <v>102019013</v>
      </c>
      <c r="B11" s="14" t="s">
        <v>1777</v>
      </c>
      <c r="C11" s="24" t="s">
        <v>1863</v>
      </c>
      <c r="D11" s="19">
        <v>200002796</v>
      </c>
      <c r="E11" s="18" t="s">
        <v>554</v>
      </c>
      <c r="F11" s="18" t="s">
        <v>555</v>
      </c>
      <c r="G11" s="18" t="s">
        <v>556</v>
      </c>
      <c r="H11" s="18" t="s">
        <v>392</v>
      </c>
      <c r="J11" s="13"/>
      <c r="K11" s="18" t="s">
        <v>555</v>
      </c>
      <c r="L11" s="18" t="s">
        <v>557</v>
      </c>
      <c r="M11" s="18" t="s">
        <v>448</v>
      </c>
      <c r="O11" s="13"/>
      <c r="AB11" s="37"/>
      <c r="AE11" s="14" t="s">
        <v>558</v>
      </c>
      <c r="AF11" s="14" t="s">
        <v>258</v>
      </c>
      <c r="AG11" s="18" t="s">
        <v>438</v>
      </c>
      <c r="AH11" s="18" t="s">
        <v>260</v>
      </c>
      <c r="AI11" s="18" t="s">
        <v>559</v>
      </c>
      <c r="AJ11" s="14" t="s">
        <v>560</v>
      </c>
      <c r="AK11" s="20"/>
      <c r="AL11" s="18" t="s">
        <v>386</v>
      </c>
      <c r="AM11" s="24"/>
      <c r="AN11" s="20"/>
      <c r="AO11" s="20"/>
      <c r="AP11" s="13" t="s">
        <v>258</v>
      </c>
      <c r="AQ11" s="13" t="s">
        <v>258</v>
      </c>
      <c r="AR11" s="13" t="s">
        <v>258</v>
      </c>
      <c r="AS11" s="21">
        <v>43972</v>
      </c>
      <c r="AT11" s="21">
        <v>43807</v>
      </c>
      <c r="AU11" s="21">
        <v>43902</v>
      </c>
      <c r="AV11" s="21">
        <v>44022</v>
      </c>
      <c r="AW11" s="13" t="s">
        <v>1833</v>
      </c>
      <c r="AX11" s="21">
        <v>44008</v>
      </c>
      <c r="AY11" s="21">
        <v>44015</v>
      </c>
      <c r="AZ11" s="27">
        <v>44057</v>
      </c>
      <c r="BA11" s="18" t="s">
        <v>319</v>
      </c>
      <c r="BB11" s="20">
        <f t="shared" ca="1" si="0"/>
        <v>6368.4969113636362</v>
      </c>
      <c r="BC11" s="22">
        <f t="shared" ca="1" si="1"/>
        <v>-559.89205628410991</v>
      </c>
      <c r="BD11" s="22">
        <f t="shared" ca="1" si="2"/>
        <v>559.89205628410991</v>
      </c>
      <c r="BE11" s="14"/>
      <c r="BF11" s="14">
        <f t="shared" si="3"/>
        <v>0</v>
      </c>
      <c r="BG11" s="14">
        <f t="shared" ca="1" si="4"/>
        <v>0</v>
      </c>
      <c r="BH11" s="17">
        <f t="shared" si="5"/>
        <v>0</v>
      </c>
      <c r="BI11" s="23">
        <f t="shared" ca="1" si="6"/>
        <v>77</v>
      </c>
      <c r="BJ11" s="14">
        <f t="shared" ca="1" si="7"/>
        <v>0</v>
      </c>
      <c r="BK11" s="14"/>
      <c r="BL11" s="14">
        <f t="shared" si="8"/>
        <v>0</v>
      </c>
      <c r="BM11" s="14">
        <f t="shared" ca="1" si="9"/>
        <v>0</v>
      </c>
      <c r="BN11" s="17">
        <f t="shared" si="10"/>
        <v>0</v>
      </c>
      <c r="BO11" s="23">
        <f t="shared" ca="1" si="11"/>
        <v>65</v>
      </c>
      <c r="BP11" s="14">
        <f t="shared" ca="1" si="12"/>
        <v>0</v>
      </c>
      <c r="BQ11" s="14"/>
      <c r="BR11" s="14">
        <f t="shared" si="13"/>
        <v>0</v>
      </c>
      <c r="BS11" s="14">
        <f t="shared" si="14"/>
        <v>0</v>
      </c>
      <c r="BT11" s="17">
        <f t="shared" si="15"/>
        <v>0</v>
      </c>
      <c r="BU11" s="23">
        <v>61</v>
      </c>
      <c r="BV11" s="14">
        <f t="shared" si="16"/>
        <v>0</v>
      </c>
      <c r="BW11" s="14">
        <f>54.08+9.36+18.2</f>
        <v>81.64</v>
      </c>
      <c r="BX11" s="14">
        <f t="shared" si="17"/>
        <v>8.1639999999999997</v>
      </c>
      <c r="BY11" s="14">
        <f t="shared" si="18"/>
        <v>36.669966666666653</v>
      </c>
      <c r="BZ11" s="17">
        <f t="shared" si="19"/>
        <v>0.7483666666666664</v>
      </c>
      <c r="CA11" s="23">
        <v>49</v>
      </c>
      <c r="CB11" s="14">
        <f t="shared" si="20"/>
        <v>126.47396666666666</v>
      </c>
      <c r="CC11" s="14">
        <f>54.08+9.36+18.2</f>
        <v>81.64</v>
      </c>
      <c r="CD11" s="14">
        <f t="shared" si="21"/>
        <v>8.1639999999999997</v>
      </c>
      <c r="CE11" s="14">
        <f t="shared" si="22"/>
        <v>27.689566666666657</v>
      </c>
      <c r="CF11" s="17">
        <f t="shared" si="23"/>
        <v>0.7483666666666664</v>
      </c>
      <c r="CG11" s="23">
        <v>37</v>
      </c>
      <c r="CH11" s="14">
        <f t="shared" si="24"/>
        <v>117.49356666666665</v>
      </c>
      <c r="CI11" s="14">
        <f>54.08+9.36+18.2</f>
        <v>81.64</v>
      </c>
      <c r="CJ11" s="14">
        <f t="shared" si="25"/>
        <v>8.1639999999999997</v>
      </c>
      <c r="CK11" s="14">
        <f t="shared" si="26"/>
        <v>18.709166666666661</v>
      </c>
      <c r="CL11" s="17">
        <f t="shared" si="27"/>
        <v>0.7483666666666664</v>
      </c>
      <c r="CM11" s="23">
        <v>25</v>
      </c>
      <c r="CN11" s="14">
        <f t="shared" si="28"/>
        <v>108.51316666666666</v>
      </c>
      <c r="CO11" s="18">
        <f>62.4+11.96+2.37+18.2+1.04+2.46</f>
        <v>98.43</v>
      </c>
      <c r="CP11" s="14">
        <f t="shared" si="29"/>
        <v>9.8430000000000017</v>
      </c>
      <c r="CQ11" s="14">
        <f t="shared" si="30"/>
        <v>11.729574999999997</v>
      </c>
      <c r="CR11" s="17">
        <f t="shared" si="31"/>
        <v>0.90227499999999972</v>
      </c>
      <c r="CS11" s="23">
        <v>13</v>
      </c>
      <c r="CT11" s="14">
        <f t="shared" si="40"/>
        <v>120.00257500000001</v>
      </c>
      <c r="CU11" s="14">
        <f t="shared" si="32"/>
        <v>95.679999999999993</v>
      </c>
      <c r="CV11" s="14">
        <f t="shared" ref="CV11:CV22" si="43">SUM(BE11, BK11, BQ11, BW11, CC11, CI11,CO11,CU11)</f>
        <v>439.03000000000003</v>
      </c>
      <c r="CW11" s="14">
        <f t="shared" ref="CW11:CW22" si="44">SUM(BF11, BL11, BR11, BX11, CD11, CJ11,CP11)</f>
        <v>34.335000000000001</v>
      </c>
      <c r="CX11" s="14">
        <f t="shared" ref="CX11:CX22" ca="1" si="45">SUM(BG11, BM11, BS11, BY11, CE11, CK11,CQ11)</f>
        <v>94.798274999999961</v>
      </c>
      <c r="CY11" s="14">
        <f t="shared" ref="CY11:CY22" ca="1" si="46">SUM(CV11:CX11)</f>
        <v>568.163275</v>
      </c>
      <c r="CZ11" s="24" t="s">
        <v>472</v>
      </c>
      <c r="DA11" s="14">
        <f>700+175.5+78+331.5+39+39</f>
        <v>1363</v>
      </c>
      <c r="DB11" s="32">
        <f>COUNTIF(DH11, "*")+COUNTIF(AJ11, "*")+COUNTIF(AE11, "*")+COUNTIF(V11, "*")+COUNTIF(EF11, "*")+COUNTIF(EJ11, "*")+COUNTIF(EP11, "*")+COUNTIF(ET11, "*")+COUNTIF(FA11, "*")+COUNTIF(FH11, "*")+COUNTIF(FO11, "*")+COUNTIF(FZ11, "*")+COUNTIF(GK11, "*")+COUNTIF(GS11, "*")+COUNTIF(HA11, "*")+COUNTIF(HI11, "*")+COUNTIF(HQ11, "*")</f>
        <v>5</v>
      </c>
      <c r="DC11" s="14">
        <f>((1.2*4)+0.65+0.65+28+(3*6.25)+1.5)/2+15+19.67</f>
        <v>61.844999999999999</v>
      </c>
      <c r="DD11" s="14">
        <f>75+75</f>
        <v>150</v>
      </c>
      <c r="DE11" s="14">
        <f t="shared" ca="1" si="37"/>
        <v>6161.9969113636362</v>
      </c>
      <c r="DF11" s="14">
        <f>(93.75+240)/2</f>
        <v>166.875</v>
      </c>
      <c r="DG11" s="14">
        <f>(301/11)+734+167.05</f>
        <v>928.41363636363644</v>
      </c>
      <c r="DH11" s="14">
        <f>95.5/2</f>
        <v>47.75</v>
      </c>
      <c r="DI11" s="14">
        <v>100</v>
      </c>
      <c r="DJ11" s="25">
        <f>610/2</f>
        <v>305</v>
      </c>
      <c r="DK11" s="14">
        <f t="shared" si="38"/>
        <v>1548.0386363636364</v>
      </c>
      <c r="DL11" s="25">
        <f>4200+400+2300+3500+200</f>
        <v>10600</v>
      </c>
      <c r="DM11" s="25">
        <v>7800</v>
      </c>
      <c r="DN11" s="25">
        <f t="shared" si="42"/>
        <v>18400</v>
      </c>
      <c r="DO11" s="36">
        <f>0.1+0.1+0.11+0.12+0.1</f>
        <v>0.53</v>
      </c>
      <c r="DP11" s="18" t="s">
        <v>1773</v>
      </c>
      <c r="DQ11" s="18" t="s">
        <v>1774</v>
      </c>
      <c r="DR11" s="18" t="s">
        <v>1775</v>
      </c>
      <c r="EB11" s="18" t="s">
        <v>1776</v>
      </c>
      <c r="ED11" t="s">
        <v>1941</v>
      </c>
      <c r="EE11" t="s">
        <v>1942</v>
      </c>
      <c r="EF11" t="s">
        <v>1943</v>
      </c>
      <c r="EG11"/>
      <c r="EK11" s="14"/>
      <c r="EL11" s="14"/>
      <c r="EM11" s="14"/>
      <c r="EN11" s="14"/>
      <c r="EO11" s="14"/>
      <c r="EP11" s="14"/>
      <c r="EQ11" s="14"/>
      <c r="ER11" s="14"/>
      <c r="ES11" s="14"/>
      <c r="ET11" s="14"/>
      <c r="EX11" s="27"/>
      <c r="FG11" s="18" t="s">
        <v>473</v>
      </c>
      <c r="FH11" s="18" t="s">
        <v>474</v>
      </c>
      <c r="FI11" s="18" t="s">
        <v>475</v>
      </c>
      <c r="FJ11" s="18" t="s">
        <v>438</v>
      </c>
      <c r="FK11" s="18" t="s">
        <v>260</v>
      </c>
      <c r="FL11" s="14">
        <v>2470.9499999999998</v>
      </c>
      <c r="FM11" s="18" t="s">
        <v>961</v>
      </c>
      <c r="FN11" s="18" t="s">
        <v>962</v>
      </c>
      <c r="FO11" s="18" t="s">
        <v>1900</v>
      </c>
      <c r="FQ11" s="28" t="s">
        <v>1901</v>
      </c>
      <c r="FR11" s="18" t="s">
        <v>750</v>
      </c>
      <c r="FS11" s="27">
        <v>38421</v>
      </c>
      <c r="FT11" s="18" t="s">
        <v>1902</v>
      </c>
      <c r="GA11" s="28"/>
      <c r="GP11" s="27"/>
      <c r="HW11" s="27">
        <v>44128</v>
      </c>
      <c r="HX11" s="14">
        <v>18400</v>
      </c>
      <c r="HZ11" s="14">
        <v>6300</v>
      </c>
      <c r="IA11" s="14">
        <v>630</v>
      </c>
      <c r="IB11" s="27"/>
      <c r="IC11" s="18" t="s">
        <v>1953</v>
      </c>
      <c r="ID11" s="18" t="s">
        <v>1954</v>
      </c>
      <c r="IE11" s="18" t="s">
        <v>438</v>
      </c>
      <c r="II11" s="14">
        <v>126.83</v>
      </c>
      <c r="IJ11" s="14">
        <f t="shared" ca="1" si="41"/>
        <v>138.00308863636383</v>
      </c>
      <c r="IK11" s="27">
        <v>44098</v>
      </c>
      <c r="IL11" s="27">
        <v>44124</v>
      </c>
      <c r="IM11" s="27">
        <v>44131</v>
      </c>
      <c r="IN11" s="27">
        <v>44137</v>
      </c>
    </row>
    <row r="12" spans="1:249" ht="14.45" customHeight="1">
      <c r="A12" s="18">
        <v>102019018</v>
      </c>
      <c r="B12" s="14" t="s">
        <v>568</v>
      </c>
      <c r="C12" s="24"/>
      <c r="D12" s="19"/>
      <c r="F12" s="18" t="s">
        <v>569</v>
      </c>
      <c r="J12" s="13"/>
      <c r="O12" s="13"/>
      <c r="AB12" s="37"/>
      <c r="AE12" s="14" t="s">
        <v>328</v>
      </c>
      <c r="AF12" s="14"/>
      <c r="AG12" s="18" t="s">
        <v>329</v>
      </c>
      <c r="AJ12" s="14" t="s">
        <v>570</v>
      </c>
      <c r="AK12" s="20" t="s">
        <v>258</v>
      </c>
      <c r="AL12" s="18" t="s">
        <v>290</v>
      </c>
      <c r="AM12" s="24" t="s">
        <v>260</v>
      </c>
      <c r="AN12" s="20"/>
      <c r="AO12" s="20"/>
      <c r="AP12" s="13" t="s">
        <v>258</v>
      </c>
      <c r="AQ12" s="13"/>
      <c r="AR12" s="13"/>
      <c r="AS12" s="13"/>
      <c r="AT12" s="13"/>
      <c r="AU12" s="21">
        <v>43802</v>
      </c>
      <c r="AV12" s="13"/>
      <c r="AW12" s="13"/>
      <c r="AX12" s="13"/>
      <c r="AY12" s="13"/>
      <c r="AZ12" s="13"/>
      <c r="BA12" s="13"/>
      <c r="BB12" s="20">
        <f t="shared" ca="1" si="0"/>
        <v>1267.3913666666667</v>
      </c>
      <c r="BC12" s="22">
        <f t="shared" ca="1" si="1"/>
        <v>-111.42383646815441</v>
      </c>
      <c r="BD12" s="22">
        <f t="shared" ca="1" si="2"/>
        <v>111.42383646815441</v>
      </c>
      <c r="BE12" s="14"/>
      <c r="BF12" s="14">
        <f t="shared" si="3"/>
        <v>0</v>
      </c>
      <c r="BG12" s="14">
        <f t="shared" ca="1" si="4"/>
        <v>0</v>
      </c>
      <c r="BH12" s="17">
        <f t="shared" si="5"/>
        <v>0</v>
      </c>
      <c r="BI12" s="23">
        <f t="shared" ca="1" si="6"/>
        <v>77</v>
      </c>
      <c r="BJ12" s="14">
        <f t="shared" ca="1" si="7"/>
        <v>0</v>
      </c>
      <c r="BK12" s="14"/>
      <c r="BL12" s="14">
        <f t="shared" si="8"/>
        <v>0</v>
      </c>
      <c r="BM12" s="14">
        <f t="shared" ca="1" si="9"/>
        <v>0</v>
      </c>
      <c r="BN12" s="17">
        <f t="shared" si="10"/>
        <v>0</v>
      </c>
      <c r="BO12" s="23">
        <f t="shared" ca="1" si="11"/>
        <v>65</v>
      </c>
      <c r="BP12" s="14">
        <f t="shared" ca="1" si="12"/>
        <v>0</v>
      </c>
      <c r="BQ12" s="14"/>
      <c r="BR12" s="14">
        <f t="shared" si="13"/>
        <v>0</v>
      </c>
      <c r="BS12" s="14">
        <f t="shared" si="14"/>
        <v>0</v>
      </c>
      <c r="BT12" s="17">
        <f t="shared" si="15"/>
        <v>0</v>
      </c>
      <c r="BU12" s="23">
        <v>61</v>
      </c>
      <c r="BV12" s="14">
        <f t="shared" si="16"/>
        <v>0</v>
      </c>
      <c r="BW12" s="14">
        <v>2.6</v>
      </c>
      <c r="BX12" s="14">
        <f t="shared" si="17"/>
        <v>0.26</v>
      </c>
      <c r="BY12" s="14">
        <f t="shared" si="18"/>
        <v>1.1678333333333328</v>
      </c>
      <c r="BZ12" s="17">
        <f t="shared" si="19"/>
        <v>2.3833333333333324E-2</v>
      </c>
      <c r="CA12" s="23">
        <v>49</v>
      </c>
      <c r="CB12" s="14">
        <f t="shared" si="20"/>
        <v>4.0278333333333336</v>
      </c>
      <c r="CC12" s="14">
        <v>2.6</v>
      </c>
      <c r="CD12" s="14">
        <f t="shared" si="21"/>
        <v>0.26</v>
      </c>
      <c r="CE12" s="14">
        <f t="shared" si="22"/>
        <v>0.88183333333333302</v>
      </c>
      <c r="CF12" s="17">
        <f t="shared" si="23"/>
        <v>2.3833333333333324E-2</v>
      </c>
      <c r="CG12" s="23">
        <v>37</v>
      </c>
      <c r="CH12" s="14">
        <f t="shared" si="24"/>
        <v>3.7418333333333331</v>
      </c>
      <c r="CI12" s="14">
        <v>2.6</v>
      </c>
      <c r="CJ12" s="14">
        <f t="shared" si="25"/>
        <v>0.26</v>
      </c>
      <c r="CK12" s="14">
        <f t="shared" si="26"/>
        <v>0.5958333333333331</v>
      </c>
      <c r="CL12" s="17">
        <f t="shared" si="27"/>
        <v>2.3833333333333324E-2</v>
      </c>
      <c r="CM12" s="23">
        <v>25</v>
      </c>
      <c r="CN12" s="14">
        <f t="shared" si="28"/>
        <v>3.4558333333333335</v>
      </c>
      <c r="CO12" s="14">
        <f t="shared" ref="CO12:CO18" si="47">SUM(DN12*0.0052)</f>
        <v>2.08</v>
      </c>
      <c r="CP12" s="14">
        <f t="shared" si="29"/>
        <v>0.20800000000000002</v>
      </c>
      <c r="CQ12" s="14">
        <f t="shared" si="30"/>
        <v>0.24786666666666662</v>
      </c>
      <c r="CR12" s="17">
        <f t="shared" si="31"/>
        <v>1.9066666666666662E-2</v>
      </c>
      <c r="CS12" s="23">
        <v>13</v>
      </c>
      <c r="CT12" s="14">
        <f t="shared" si="40"/>
        <v>2.5358666666666667</v>
      </c>
      <c r="CU12" s="14">
        <f t="shared" si="32"/>
        <v>2.08</v>
      </c>
      <c r="CV12" s="14">
        <f t="shared" si="43"/>
        <v>11.96</v>
      </c>
      <c r="CW12" s="14">
        <f t="shared" si="44"/>
        <v>0.98799999999999999</v>
      </c>
      <c r="CX12" s="14">
        <f t="shared" ca="1" si="45"/>
        <v>2.8933666666666658</v>
      </c>
      <c r="CY12" s="14">
        <f t="shared" ca="1" si="46"/>
        <v>15.841366666666666</v>
      </c>
      <c r="CZ12" s="24" t="s">
        <v>472</v>
      </c>
      <c r="DA12" s="14">
        <f>232+273+39</f>
        <v>544</v>
      </c>
      <c r="DB12" s="32">
        <f t="shared" ref="DB12:DB18" si="48">COUNTIF(DH12, "*")+COUNTIF(AJ12, "*")+COUNTIF(AE12, "*")+COUNTIF(V12, "*")+COUNTIF(ED12, "*")+COUNTIF(EJ12, "*")+COUNTIF(EP12, "*")+COUNTIF(ET12, "*")+COUNTIF(FA12, "*")+COUNTIF(FH12, "*")+COUNTIF(FO12, "*")+COUNTIF(FZ12, "*")+COUNTIF(GK12, "*")+COUNTIF(GS12, "*")+COUNTIF(HA12, "*")+COUNTIF(HI12, "*")+COUNTIF(HQ12, "*")</f>
        <v>2</v>
      </c>
      <c r="DC12" s="14">
        <f>13.2+30+39.35</f>
        <v>82.550000000000011</v>
      </c>
      <c r="DD12" s="14">
        <v>150</v>
      </c>
      <c r="DE12" s="14">
        <f t="shared" ca="1" si="37"/>
        <v>1060.8913666666667</v>
      </c>
      <c r="DF12" s="14">
        <v>0</v>
      </c>
      <c r="DG12" s="14">
        <v>268.5</v>
      </c>
      <c r="DH12" s="14">
        <v>0</v>
      </c>
      <c r="DI12" s="14">
        <v>0</v>
      </c>
      <c r="DJ12" s="25">
        <v>0</v>
      </c>
      <c r="DK12" s="14">
        <f t="shared" si="38"/>
        <v>268.5</v>
      </c>
      <c r="DL12" s="25">
        <v>400</v>
      </c>
      <c r="DM12" s="25">
        <v>0</v>
      </c>
      <c r="DN12" s="25">
        <f t="shared" si="42"/>
        <v>400</v>
      </c>
      <c r="DO12" s="36">
        <v>0.1</v>
      </c>
      <c r="DP12" s="18" t="s">
        <v>571</v>
      </c>
      <c r="DQ12" s="18" t="s">
        <v>572</v>
      </c>
      <c r="EK12" s="14"/>
      <c r="EL12" s="14"/>
      <c r="EM12" s="14"/>
      <c r="EN12" s="14"/>
      <c r="EO12" s="14"/>
      <c r="EP12" s="14"/>
      <c r="EQ12" s="14"/>
      <c r="ER12" s="14"/>
      <c r="ES12" s="14"/>
      <c r="ET12" s="14"/>
      <c r="EX12" s="27"/>
      <c r="FQ12" s="28"/>
      <c r="GA12" s="28"/>
      <c r="GP12" s="27"/>
      <c r="HW12" s="27">
        <v>44128</v>
      </c>
      <c r="HX12" s="14">
        <v>400</v>
      </c>
      <c r="HZ12" s="14">
        <v>1060.8900000000001</v>
      </c>
      <c r="IA12" s="14">
        <v>300</v>
      </c>
      <c r="IB12" s="27"/>
      <c r="IC12" s="18" t="s">
        <v>1955</v>
      </c>
      <c r="ID12" s="18" t="s">
        <v>1956</v>
      </c>
      <c r="IE12" s="18" t="s">
        <v>329</v>
      </c>
      <c r="II12" s="14">
        <v>52.17</v>
      </c>
      <c r="IJ12" s="14">
        <f t="shared" ca="1" si="41"/>
        <v>-1.3666666666267702E-3</v>
      </c>
    </row>
    <row r="13" spans="1:249" ht="14.45" customHeight="1">
      <c r="A13" s="18">
        <v>102019039</v>
      </c>
      <c r="B13" s="14" t="s">
        <v>630</v>
      </c>
      <c r="C13" s="24" t="s">
        <v>1742</v>
      </c>
      <c r="D13" s="19">
        <v>200001234</v>
      </c>
      <c r="E13" s="18" t="s">
        <v>311</v>
      </c>
      <c r="F13" s="18" t="s">
        <v>632</v>
      </c>
      <c r="G13" s="18" t="s">
        <v>631</v>
      </c>
      <c r="J13" s="13"/>
      <c r="O13" s="13"/>
      <c r="AB13" s="37"/>
      <c r="AE13" s="14" t="s">
        <v>328</v>
      </c>
      <c r="AF13" s="14"/>
      <c r="AG13" s="18" t="s">
        <v>386</v>
      </c>
      <c r="AI13" s="18" t="s">
        <v>603</v>
      </c>
      <c r="AJ13" s="14" t="s">
        <v>604</v>
      </c>
      <c r="AK13" s="20" t="s">
        <v>258</v>
      </c>
      <c r="AL13" s="18" t="s">
        <v>259</v>
      </c>
      <c r="AM13" s="24" t="s">
        <v>260</v>
      </c>
      <c r="AN13" s="20"/>
      <c r="AO13" s="20"/>
      <c r="AP13" s="13" t="s">
        <v>258</v>
      </c>
      <c r="AQ13" s="13" t="s">
        <v>258</v>
      </c>
      <c r="AR13" s="13" t="s">
        <v>258</v>
      </c>
      <c r="AS13" s="21">
        <v>43880</v>
      </c>
      <c r="AT13" s="21">
        <v>43842</v>
      </c>
      <c r="AU13" s="21">
        <v>43578</v>
      </c>
      <c r="AV13" s="21">
        <v>43924</v>
      </c>
      <c r="AW13" s="13" t="s">
        <v>318</v>
      </c>
      <c r="AX13" s="21">
        <v>43910</v>
      </c>
      <c r="AY13" s="21">
        <v>43917</v>
      </c>
      <c r="AZ13" s="21">
        <v>43924</v>
      </c>
      <c r="BA13" s="13" t="s">
        <v>319</v>
      </c>
      <c r="BB13" s="20">
        <f t="shared" ca="1" si="0"/>
        <v>4893.9001333333335</v>
      </c>
      <c r="BC13" s="22">
        <f t="shared" ca="1" si="1"/>
        <v>-430.25157223706225</v>
      </c>
      <c r="BD13" s="22">
        <f t="shared" ca="1" si="2"/>
        <v>430.25157223706225</v>
      </c>
      <c r="BE13" s="14"/>
      <c r="BF13" s="14">
        <f t="shared" si="3"/>
        <v>0</v>
      </c>
      <c r="BG13" s="14">
        <f t="shared" ca="1" si="4"/>
        <v>0</v>
      </c>
      <c r="BH13" s="17">
        <f t="shared" si="5"/>
        <v>0</v>
      </c>
      <c r="BI13" s="23">
        <f t="shared" ca="1" si="6"/>
        <v>77</v>
      </c>
      <c r="BJ13" s="14">
        <f t="shared" ca="1" si="7"/>
        <v>0</v>
      </c>
      <c r="BK13" s="14"/>
      <c r="BL13" s="14">
        <f t="shared" si="8"/>
        <v>0</v>
      </c>
      <c r="BM13" s="14">
        <f t="shared" ca="1" si="9"/>
        <v>0</v>
      </c>
      <c r="BN13" s="17">
        <f t="shared" si="10"/>
        <v>0</v>
      </c>
      <c r="BO13" s="23">
        <f t="shared" ca="1" si="11"/>
        <v>65</v>
      </c>
      <c r="BP13" s="14">
        <f t="shared" ca="1" si="12"/>
        <v>0</v>
      </c>
      <c r="BQ13" s="14"/>
      <c r="BR13" s="14">
        <f t="shared" si="13"/>
        <v>0</v>
      </c>
      <c r="BS13" s="14">
        <f t="shared" si="14"/>
        <v>0</v>
      </c>
      <c r="BT13" s="17">
        <f t="shared" si="15"/>
        <v>0</v>
      </c>
      <c r="BU13" s="23">
        <v>61</v>
      </c>
      <c r="BV13" s="14">
        <f t="shared" si="16"/>
        <v>0</v>
      </c>
      <c r="BW13" s="14">
        <v>61.36</v>
      </c>
      <c r="BX13" s="14">
        <f t="shared" si="17"/>
        <v>6.1360000000000001</v>
      </c>
      <c r="BY13" s="14">
        <f t="shared" si="18"/>
        <v>27.560866666666652</v>
      </c>
      <c r="BZ13" s="17">
        <f t="shared" si="19"/>
        <v>0.56246666666666634</v>
      </c>
      <c r="CA13" s="23">
        <v>49</v>
      </c>
      <c r="CB13" s="14">
        <f t="shared" si="20"/>
        <v>95.05686666666665</v>
      </c>
      <c r="CC13" s="14">
        <v>61.36</v>
      </c>
      <c r="CD13" s="14">
        <f t="shared" si="21"/>
        <v>6.1360000000000001</v>
      </c>
      <c r="CE13" s="14">
        <f t="shared" si="22"/>
        <v>20.811266666666654</v>
      </c>
      <c r="CF13" s="17">
        <f t="shared" si="23"/>
        <v>0.56246666666666634</v>
      </c>
      <c r="CG13" s="23">
        <v>37</v>
      </c>
      <c r="CH13" s="14">
        <f t="shared" si="24"/>
        <v>88.307266666666649</v>
      </c>
      <c r="CI13" s="14">
        <v>61.36</v>
      </c>
      <c r="CJ13" s="14">
        <f t="shared" si="25"/>
        <v>6.1360000000000001</v>
      </c>
      <c r="CK13" s="14">
        <f t="shared" si="26"/>
        <v>14.061666666666659</v>
      </c>
      <c r="CL13" s="17">
        <f t="shared" si="27"/>
        <v>0.56246666666666634</v>
      </c>
      <c r="CM13" s="23">
        <v>25</v>
      </c>
      <c r="CN13" s="14">
        <f t="shared" si="28"/>
        <v>81.557666666666648</v>
      </c>
      <c r="CO13" s="14">
        <f t="shared" si="47"/>
        <v>78</v>
      </c>
      <c r="CP13" s="14">
        <f t="shared" si="29"/>
        <v>7.8000000000000007</v>
      </c>
      <c r="CQ13" s="14">
        <f t="shared" si="30"/>
        <v>9.2949999999999946</v>
      </c>
      <c r="CR13" s="17">
        <f t="shared" si="31"/>
        <v>0.71499999999999964</v>
      </c>
      <c r="CS13" s="23">
        <v>13</v>
      </c>
      <c r="CT13" s="14">
        <f t="shared" si="40"/>
        <v>95.094999999999999</v>
      </c>
      <c r="CU13" s="14">
        <f t="shared" si="32"/>
        <v>78</v>
      </c>
      <c r="CV13" s="14">
        <f t="shared" si="43"/>
        <v>340.08</v>
      </c>
      <c r="CW13" s="14">
        <f t="shared" si="44"/>
        <v>26.208000000000002</v>
      </c>
      <c r="CX13" s="14">
        <f t="shared" ca="1" si="45"/>
        <v>71.728799999999964</v>
      </c>
      <c r="CY13" s="14">
        <f t="shared" ca="1" si="46"/>
        <v>438.01679999999999</v>
      </c>
      <c r="CZ13" s="24" t="s">
        <v>472</v>
      </c>
      <c r="DA13" s="14">
        <f>946+663</f>
        <v>1609</v>
      </c>
      <c r="DB13" s="32">
        <f t="shared" si="48"/>
        <v>2</v>
      </c>
      <c r="DC13" s="14">
        <f>0.5+1+5.6+5.6+1+30+39.35</f>
        <v>83.050000000000011</v>
      </c>
      <c r="DD13" s="14">
        <f>150+150</f>
        <v>300</v>
      </c>
      <c r="DE13" s="14">
        <f t="shared" ca="1" si="37"/>
        <v>4687.4001333333335</v>
      </c>
      <c r="DF13" s="14">
        <f>93.75+271.75</f>
        <v>365.5</v>
      </c>
      <c r="DG13" s="14">
        <f>391/12+757+167.05</f>
        <v>956.63333333333344</v>
      </c>
      <c r="DH13" s="14">
        <v>225.2</v>
      </c>
      <c r="DI13" s="14">
        <v>100</v>
      </c>
      <c r="DJ13" s="25">
        <v>610</v>
      </c>
      <c r="DK13" s="14">
        <f t="shared" si="38"/>
        <v>2257.3333333333335</v>
      </c>
      <c r="DL13" s="25">
        <v>15000</v>
      </c>
      <c r="DM13" s="25">
        <v>0</v>
      </c>
      <c r="DN13" s="25">
        <f t="shared" si="42"/>
        <v>15000</v>
      </c>
      <c r="DO13" s="36">
        <v>3.94</v>
      </c>
      <c r="DP13" s="18" t="s">
        <v>633</v>
      </c>
      <c r="DQ13" s="18" t="s">
        <v>634</v>
      </c>
      <c r="DR13" s="18" t="s">
        <v>635</v>
      </c>
      <c r="DS13" s="18" t="s">
        <v>636</v>
      </c>
      <c r="DT13" s="18" t="s">
        <v>1779</v>
      </c>
      <c r="DU13" s="18" t="s">
        <v>637</v>
      </c>
      <c r="EK13" s="14"/>
      <c r="EL13" s="14"/>
      <c r="EM13" s="14"/>
      <c r="EN13" s="14"/>
      <c r="EO13" s="14"/>
      <c r="EP13" s="14"/>
      <c r="EQ13" s="14"/>
      <c r="ER13" s="14"/>
      <c r="ES13" s="14"/>
      <c r="ET13" s="14"/>
      <c r="EX13" s="27"/>
      <c r="FL13" s="14"/>
      <c r="FQ13" s="28"/>
      <c r="GA13" s="28"/>
      <c r="GP13" s="27"/>
      <c r="HW13" s="27">
        <v>44128</v>
      </c>
      <c r="HX13" s="14">
        <v>15000</v>
      </c>
      <c r="HZ13" s="14">
        <f ca="1">DE13</f>
        <v>4687.4001333333335</v>
      </c>
      <c r="IA13" s="14">
        <v>424</v>
      </c>
      <c r="IB13" s="27"/>
      <c r="IC13" s="18" t="s">
        <v>1949</v>
      </c>
      <c r="ID13" s="18" t="s">
        <v>1948</v>
      </c>
      <c r="IE13" s="18" t="s">
        <v>290</v>
      </c>
      <c r="II13" s="14">
        <v>112</v>
      </c>
      <c r="IJ13" s="14">
        <f t="shared" ca="1" si="41"/>
        <v>0</v>
      </c>
      <c r="IK13" s="27">
        <v>43931</v>
      </c>
      <c r="IL13" s="27">
        <v>43965</v>
      </c>
      <c r="IM13" s="27">
        <v>44131</v>
      </c>
      <c r="IN13" s="27">
        <v>44137</v>
      </c>
    </row>
    <row r="14" spans="1:249" ht="14.45" customHeight="1">
      <c r="A14" s="18">
        <v>102019068</v>
      </c>
      <c r="B14" s="14" t="s">
        <v>674</v>
      </c>
      <c r="C14" s="24" t="s">
        <v>1749</v>
      </c>
      <c r="D14" s="19">
        <v>200001003</v>
      </c>
      <c r="E14" s="18" t="s">
        <v>311</v>
      </c>
      <c r="F14" s="18" t="s">
        <v>675</v>
      </c>
      <c r="G14" s="18" t="s">
        <v>676</v>
      </c>
      <c r="H14" s="18" t="s">
        <v>401</v>
      </c>
      <c r="J14" s="13"/>
      <c r="O14" s="13"/>
      <c r="AB14" s="37"/>
      <c r="AE14" s="14" t="s">
        <v>328</v>
      </c>
      <c r="AF14" s="14"/>
      <c r="AG14" s="18" t="s">
        <v>600</v>
      </c>
      <c r="AJ14" s="14" t="s">
        <v>677</v>
      </c>
      <c r="AK14" s="20"/>
      <c r="AL14" s="18" t="s">
        <v>600</v>
      </c>
      <c r="AM14" s="24"/>
      <c r="AN14" s="20"/>
      <c r="AO14" s="20"/>
      <c r="AP14" s="13" t="s">
        <v>258</v>
      </c>
      <c r="AQ14" s="13" t="s">
        <v>258</v>
      </c>
      <c r="AR14" s="13" t="s">
        <v>258</v>
      </c>
      <c r="AS14" s="21">
        <v>43879</v>
      </c>
      <c r="AT14" s="21">
        <v>43807</v>
      </c>
      <c r="AU14" s="21">
        <v>43845</v>
      </c>
      <c r="AV14" s="21">
        <v>43910</v>
      </c>
      <c r="AW14" s="13" t="s">
        <v>318</v>
      </c>
      <c r="AX14" s="21">
        <v>43896</v>
      </c>
      <c r="AY14" s="21">
        <v>43903</v>
      </c>
      <c r="AZ14" s="21">
        <v>43924</v>
      </c>
      <c r="BA14" s="13" t="s">
        <v>319</v>
      </c>
      <c r="BB14" s="20">
        <f t="shared" ca="1" si="0"/>
        <v>4344.0508333333337</v>
      </c>
      <c r="BC14" s="22">
        <f t="shared" ca="1" si="1"/>
        <v>-381.91108318476262</v>
      </c>
      <c r="BD14" s="22">
        <f t="shared" ca="1" si="2"/>
        <v>381.91108318476262</v>
      </c>
      <c r="BE14" s="14"/>
      <c r="BF14" s="14">
        <f t="shared" si="3"/>
        <v>0</v>
      </c>
      <c r="BG14" s="14">
        <f t="shared" ca="1" si="4"/>
        <v>0</v>
      </c>
      <c r="BH14" s="17">
        <f t="shared" si="5"/>
        <v>0</v>
      </c>
      <c r="BI14" s="23">
        <f t="shared" ca="1" si="6"/>
        <v>77</v>
      </c>
      <c r="BJ14" s="14">
        <f t="shared" ca="1" si="7"/>
        <v>0</v>
      </c>
      <c r="BK14" s="14"/>
      <c r="BL14" s="14">
        <f t="shared" si="8"/>
        <v>0</v>
      </c>
      <c r="BM14" s="14">
        <f t="shared" ca="1" si="9"/>
        <v>0</v>
      </c>
      <c r="BN14" s="17">
        <f t="shared" si="10"/>
        <v>0</v>
      </c>
      <c r="BO14" s="23">
        <f t="shared" ca="1" si="11"/>
        <v>65</v>
      </c>
      <c r="BP14" s="14">
        <f t="shared" ca="1" si="12"/>
        <v>0</v>
      </c>
      <c r="BQ14" s="14"/>
      <c r="BR14" s="14">
        <f t="shared" si="13"/>
        <v>0</v>
      </c>
      <c r="BS14" s="14">
        <f t="shared" si="14"/>
        <v>0</v>
      </c>
      <c r="BT14" s="17">
        <f t="shared" si="15"/>
        <v>0</v>
      </c>
      <c r="BU14" s="23">
        <v>61</v>
      </c>
      <c r="BV14" s="14">
        <f t="shared" si="16"/>
        <v>0</v>
      </c>
      <c r="BW14" s="14">
        <v>49.4</v>
      </c>
      <c r="BX14" s="14">
        <f t="shared" si="17"/>
        <v>4.9400000000000004</v>
      </c>
      <c r="BY14" s="14">
        <f t="shared" si="18"/>
        <v>22.188833333333321</v>
      </c>
      <c r="BZ14" s="17">
        <f t="shared" si="19"/>
        <v>0.45283333333333309</v>
      </c>
      <c r="CA14" s="23">
        <v>49</v>
      </c>
      <c r="CB14" s="14">
        <f t="shared" si="20"/>
        <v>76.528833333333324</v>
      </c>
      <c r="CC14" s="14">
        <v>49.4</v>
      </c>
      <c r="CD14" s="14">
        <f t="shared" si="21"/>
        <v>4.9400000000000004</v>
      </c>
      <c r="CE14" s="14">
        <f t="shared" si="22"/>
        <v>16.754833333333323</v>
      </c>
      <c r="CF14" s="17">
        <f t="shared" si="23"/>
        <v>0.45283333333333309</v>
      </c>
      <c r="CG14" s="23">
        <v>37</v>
      </c>
      <c r="CH14" s="14">
        <f t="shared" si="24"/>
        <v>71.094833333333327</v>
      </c>
      <c r="CI14" s="14">
        <v>49.4</v>
      </c>
      <c r="CJ14" s="14">
        <f t="shared" si="25"/>
        <v>4.9400000000000004</v>
      </c>
      <c r="CK14" s="14">
        <f t="shared" si="26"/>
        <v>11.320833333333328</v>
      </c>
      <c r="CL14" s="17">
        <f t="shared" si="27"/>
        <v>0.45283333333333309</v>
      </c>
      <c r="CM14" s="23">
        <v>25</v>
      </c>
      <c r="CN14" s="14">
        <f t="shared" si="28"/>
        <v>65.660833333333329</v>
      </c>
      <c r="CO14" s="14">
        <f t="shared" si="47"/>
        <v>57.199999999999996</v>
      </c>
      <c r="CP14" s="14">
        <f t="shared" si="29"/>
        <v>5.72</v>
      </c>
      <c r="CQ14" s="14">
        <f t="shared" si="30"/>
        <v>6.81633333333333</v>
      </c>
      <c r="CR14" s="17">
        <f t="shared" si="31"/>
        <v>0.5243333333333331</v>
      </c>
      <c r="CS14" s="23">
        <v>13</v>
      </c>
      <c r="CT14" s="14">
        <f t="shared" si="40"/>
        <v>69.73633333333332</v>
      </c>
      <c r="CU14" s="14">
        <f t="shared" si="32"/>
        <v>57.199999999999996</v>
      </c>
      <c r="CV14" s="14">
        <f t="shared" si="43"/>
        <v>262.59999999999997</v>
      </c>
      <c r="CW14" s="14">
        <f t="shared" si="44"/>
        <v>20.54</v>
      </c>
      <c r="CX14" s="14">
        <f t="shared" ca="1" si="45"/>
        <v>57.080833333333302</v>
      </c>
      <c r="CY14" s="14">
        <f t="shared" ca="1" si="46"/>
        <v>340.2208333333333</v>
      </c>
      <c r="CZ14" s="24" t="s">
        <v>472</v>
      </c>
      <c r="DA14" s="14">
        <f>856+663</f>
        <v>1519</v>
      </c>
      <c r="DB14" s="32">
        <f t="shared" si="48"/>
        <v>4</v>
      </c>
      <c r="DC14" s="14">
        <f>1+(6.1*3)+1.2+1.5+30+39.35</f>
        <v>91.35</v>
      </c>
      <c r="DD14" s="14">
        <f>150+150</f>
        <v>300</v>
      </c>
      <c r="DE14" s="14">
        <f t="shared" ca="1" si="37"/>
        <v>4137.5508333333337</v>
      </c>
      <c r="DF14" s="14">
        <f>93.75+118.75</f>
        <v>212.5</v>
      </c>
      <c r="DG14" s="14">
        <f>27.33+757+167.05</f>
        <v>951.38000000000011</v>
      </c>
      <c r="DH14" s="14">
        <v>113.1</v>
      </c>
      <c r="DI14" s="14">
        <v>100</v>
      </c>
      <c r="DJ14" s="25">
        <v>510</v>
      </c>
      <c r="DK14" s="14">
        <f t="shared" si="38"/>
        <v>1886.98</v>
      </c>
      <c r="DL14" s="25">
        <v>11000</v>
      </c>
      <c r="DM14" s="25">
        <v>0</v>
      </c>
      <c r="DN14" s="25">
        <f t="shared" si="42"/>
        <v>11000</v>
      </c>
      <c r="DO14" s="36">
        <v>0.55000000000000004</v>
      </c>
      <c r="DP14" s="18" t="s">
        <v>1935</v>
      </c>
      <c r="DQ14" s="18" t="s">
        <v>1529</v>
      </c>
      <c r="EK14" s="14"/>
      <c r="EL14" s="14"/>
      <c r="EM14" s="14"/>
      <c r="EN14" s="14"/>
      <c r="EO14" s="14"/>
      <c r="EP14" s="14"/>
      <c r="EQ14" s="14"/>
      <c r="ER14" s="14"/>
      <c r="ES14" s="14"/>
      <c r="ET14" s="14"/>
      <c r="EX14" s="27"/>
      <c r="FL14" s="14"/>
      <c r="FM14" s="18" t="s">
        <v>439</v>
      </c>
      <c r="FN14" s="18" t="s">
        <v>1530</v>
      </c>
      <c r="FO14" s="18" t="s">
        <v>1531</v>
      </c>
      <c r="FP14" s="18" t="s">
        <v>1532</v>
      </c>
      <c r="FQ14" s="28" t="s">
        <v>274</v>
      </c>
      <c r="FR14" s="18" t="s">
        <v>275</v>
      </c>
      <c r="FS14" s="27">
        <v>37975</v>
      </c>
      <c r="FT14" s="18" t="s">
        <v>1533</v>
      </c>
      <c r="FX14" s="18" t="s">
        <v>439</v>
      </c>
      <c r="FY14" s="18" t="s">
        <v>1530</v>
      </c>
      <c r="FZ14" s="18" t="s">
        <v>1531</v>
      </c>
      <c r="GA14" s="18" t="s">
        <v>1532</v>
      </c>
      <c r="GB14" s="28" t="s">
        <v>274</v>
      </c>
      <c r="GC14" s="18" t="s">
        <v>275</v>
      </c>
      <c r="GD14" s="27">
        <v>38854</v>
      </c>
      <c r="GE14" s="18" t="s">
        <v>1534</v>
      </c>
      <c r="GP14" s="27"/>
      <c r="HW14" s="27">
        <v>44128</v>
      </c>
      <c r="HX14" s="14">
        <v>11000</v>
      </c>
      <c r="HZ14" s="14">
        <f ca="1">DE14</f>
        <v>4137.5508333333337</v>
      </c>
      <c r="IA14" s="14">
        <v>0</v>
      </c>
      <c r="IB14" s="27"/>
      <c r="IC14" s="18" t="s">
        <v>1410</v>
      </c>
      <c r="ID14" s="18" t="s">
        <v>846</v>
      </c>
      <c r="IE14" s="18" t="s">
        <v>386</v>
      </c>
      <c r="II14" s="14">
        <v>38</v>
      </c>
      <c r="IJ14" s="14">
        <f t="shared" ca="1" si="41"/>
        <v>0</v>
      </c>
      <c r="IK14" s="27">
        <v>43952</v>
      </c>
      <c r="IL14" s="27">
        <v>43965</v>
      </c>
      <c r="IM14" s="27">
        <v>44131</v>
      </c>
      <c r="IN14" s="27">
        <v>44137</v>
      </c>
    </row>
    <row r="15" spans="1:249" ht="14.45" customHeight="1">
      <c r="A15" s="18">
        <v>102019069</v>
      </c>
      <c r="B15" s="14" t="s">
        <v>1925</v>
      </c>
      <c r="C15" s="24" t="s">
        <v>679</v>
      </c>
      <c r="D15" s="19">
        <v>190003320</v>
      </c>
      <c r="E15" s="18" t="s">
        <v>311</v>
      </c>
      <c r="F15" s="18" t="s">
        <v>680</v>
      </c>
      <c r="G15" s="18" t="s">
        <v>681</v>
      </c>
      <c r="H15" s="18" t="s">
        <v>326</v>
      </c>
      <c r="J15" s="13" t="s">
        <v>258</v>
      </c>
      <c r="O15" s="13"/>
      <c r="AB15" s="37"/>
      <c r="AE15" s="14" t="s">
        <v>328</v>
      </c>
      <c r="AF15" s="14"/>
      <c r="AG15" s="18" t="s">
        <v>386</v>
      </c>
      <c r="AI15" s="18" t="s">
        <v>682</v>
      </c>
      <c r="AJ15" s="14" t="s">
        <v>683</v>
      </c>
      <c r="AK15" s="20" t="s">
        <v>258</v>
      </c>
      <c r="AL15" s="18" t="s">
        <v>684</v>
      </c>
      <c r="AM15" s="24" t="s">
        <v>685</v>
      </c>
      <c r="AN15" s="20"/>
      <c r="AO15" s="20"/>
      <c r="AP15" s="13" t="s">
        <v>258</v>
      </c>
      <c r="AQ15" s="13" t="s">
        <v>258</v>
      </c>
      <c r="AR15" s="13" t="s">
        <v>258</v>
      </c>
      <c r="AS15" s="21">
        <v>43654</v>
      </c>
      <c r="AT15" s="21">
        <v>43555</v>
      </c>
      <c r="AU15" s="21">
        <v>43620</v>
      </c>
      <c r="AV15" s="21">
        <v>43700</v>
      </c>
      <c r="AW15" s="13" t="s">
        <v>318</v>
      </c>
      <c r="AX15" s="21">
        <v>43686</v>
      </c>
      <c r="AY15" s="21">
        <v>43693</v>
      </c>
      <c r="AZ15" s="21">
        <v>43763</v>
      </c>
      <c r="BA15" s="46" t="s">
        <v>319</v>
      </c>
      <c r="BB15" s="20">
        <f t="shared" ca="1" si="0"/>
        <v>8018.8108666666658</v>
      </c>
      <c r="BC15" s="22">
        <f t="shared" ca="1" si="1"/>
        <v>-704.98087187264207</v>
      </c>
      <c r="BD15" s="22">
        <f t="shared" ca="1" si="2"/>
        <v>704.98087187264207</v>
      </c>
      <c r="BE15" s="14"/>
      <c r="BF15" s="14">
        <f t="shared" si="3"/>
        <v>0</v>
      </c>
      <c r="BG15" s="14">
        <f t="shared" ca="1" si="4"/>
        <v>0</v>
      </c>
      <c r="BH15" s="17">
        <f t="shared" si="5"/>
        <v>0</v>
      </c>
      <c r="BI15" s="23">
        <f t="shared" ca="1" si="6"/>
        <v>77</v>
      </c>
      <c r="BJ15" s="14">
        <f t="shared" ca="1" si="7"/>
        <v>0</v>
      </c>
      <c r="BK15" s="14"/>
      <c r="BL15" s="14">
        <f t="shared" si="8"/>
        <v>0</v>
      </c>
      <c r="BM15" s="14">
        <f t="shared" ca="1" si="9"/>
        <v>0</v>
      </c>
      <c r="BN15" s="17">
        <f t="shared" si="10"/>
        <v>0</v>
      </c>
      <c r="BO15" s="23">
        <f t="shared" ca="1" si="11"/>
        <v>65</v>
      </c>
      <c r="BP15" s="14">
        <f t="shared" ca="1" si="12"/>
        <v>0</v>
      </c>
      <c r="BQ15" s="14"/>
      <c r="BR15" s="14">
        <f t="shared" si="13"/>
        <v>0</v>
      </c>
      <c r="BS15" s="14">
        <f t="shared" si="14"/>
        <v>0</v>
      </c>
      <c r="BT15" s="17">
        <f t="shared" si="15"/>
        <v>0</v>
      </c>
      <c r="BU15" s="23">
        <v>61</v>
      </c>
      <c r="BV15" s="14">
        <f t="shared" si="16"/>
        <v>0</v>
      </c>
      <c r="BW15" s="14">
        <v>500.76</v>
      </c>
      <c r="BX15" s="14">
        <f t="shared" si="17"/>
        <v>50.076000000000001</v>
      </c>
      <c r="BY15" s="14">
        <f t="shared" si="18"/>
        <v>224.92469999999992</v>
      </c>
      <c r="BZ15" s="17">
        <f t="shared" si="19"/>
        <v>4.5902999999999983</v>
      </c>
      <c r="CA15" s="23">
        <v>49</v>
      </c>
      <c r="CB15" s="14">
        <f t="shared" si="20"/>
        <v>775.76069999999993</v>
      </c>
      <c r="CC15" s="14">
        <v>500.76</v>
      </c>
      <c r="CD15" s="14">
        <f t="shared" si="21"/>
        <v>50.076000000000001</v>
      </c>
      <c r="CE15" s="14">
        <f t="shared" si="22"/>
        <v>169.84109999999993</v>
      </c>
      <c r="CF15" s="17">
        <f t="shared" si="23"/>
        <v>4.5902999999999983</v>
      </c>
      <c r="CG15" s="23">
        <v>37</v>
      </c>
      <c r="CH15" s="14">
        <f t="shared" si="24"/>
        <v>720.67709999999988</v>
      </c>
      <c r="CI15" s="14">
        <v>500.76</v>
      </c>
      <c r="CJ15" s="14">
        <f t="shared" si="25"/>
        <v>50.076000000000001</v>
      </c>
      <c r="CK15" s="14">
        <f t="shared" si="26"/>
        <v>114.75749999999995</v>
      </c>
      <c r="CL15" s="17">
        <f t="shared" si="27"/>
        <v>4.5902999999999983</v>
      </c>
      <c r="CM15" s="23">
        <v>25</v>
      </c>
      <c r="CN15" s="14">
        <f t="shared" si="28"/>
        <v>665.59349999999995</v>
      </c>
      <c r="CO15" s="14">
        <f t="shared" si="47"/>
        <v>505.96</v>
      </c>
      <c r="CP15" s="14">
        <f t="shared" si="29"/>
        <v>50.596000000000004</v>
      </c>
      <c r="CQ15" s="14">
        <f t="shared" si="30"/>
        <v>60.293566666666642</v>
      </c>
      <c r="CR15" s="17">
        <f t="shared" si="31"/>
        <v>4.6379666666666646</v>
      </c>
      <c r="CS15" s="23">
        <v>13</v>
      </c>
      <c r="CT15" s="14">
        <f t="shared" si="40"/>
        <v>616.84956666666665</v>
      </c>
      <c r="CU15" s="14">
        <f t="shared" si="32"/>
        <v>505.96</v>
      </c>
      <c r="CV15" s="14">
        <f t="shared" si="43"/>
        <v>2514.1999999999998</v>
      </c>
      <c r="CW15" s="14">
        <f t="shared" si="44"/>
        <v>200.82400000000001</v>
      </c>
      <c r="CX15" s="14">
        <f t="shared" ca="1" si="45"/>
        <v>569.81686666666644</v>
      </c>
      <c r="CY15" s="14">
        <f t="shared" ca="1" si="46"/>
        <v>3284.8408666666664</v>
      </c>
      <c r="CZ15" s="24" t="s">
        <v>320</v>
      </c>
      <c r="DA15" s="14">
        <f>940+663+39+58+19.5</f>
        <v>1719.5</v>
      </c>
      <c r="DB15" s="32">
        <f t="shared" si="48"/>
        <v>3</v>
      </c>
      <c r="DC15" s="14">
        <f>0.5+3*0.5+5.6*3+2*0.65+30+39.35</f>
        <v>89.449999999999989</v>
      </c>
      <c r="DD15" s="14">
        <f>150+150</f>
        <v>300</v>
      </c>
      <c r="DE15" s="14">
        <f t="shared" ca="1" si="37"/>
        <v>7812.3108666666658</v>
      </c>
      <c r="DF15" s="14">
        <f>93.75+237.5</f>
        <v>331.25</v>
      </c>
      <c r="DG15" s="14">
        <f>21.89+1050+167.05</f>
        <v>1238.94</v>
      </c>
      <c r="DH15" s="14">
        <v>203.33</v>
      </c>
      <c r="DI15" s="14">
        <v>100</v>
      </c>
      <c r="DJ15" s="25">
        <v>545</v>
      </c>
      <c r="DK15" s="14">
        <f t="shared" si="38"/>
        <v>2418.52</v>
      </c>
      <c r="DL15" s="25">
        <v>97300</v>
      </c>
      <c r="DM15" s="25">
        <v>0</v>
      </c>
      <c r="DN15" s="25">
        <f t="shared" si="42"/>
        <v>97300</v>
      </c>
      <c r="DO15" s="36">
        <f>2.17+1.6+1.96+2.14+2.23</f>
        <v>10.100000000000001</v>
      </c>
      <c r="DP15" s="18" t="s">
        <v>686</v>
      </c>
      <c r="DQ15" s="18" t="s">
        <v>687</v>
      </c>
      <c r="EB15" s="18" t="s">
        <v>688</v>
      </c>
      <c r="ED15" s="18" t="s">
        <v>689</v>
      </c>
      <c r="EF15" s="18" t="s">
        <v>690</v>
      </c>
      <c r="EK15" s="14"/>
      <c r="EL15" s="14"/>
      <c r="EM15" s="14"/>
      <c r="EN15" s="14"/>
      <c r="EO15" s="14"/>
      <c r="EP15" s="14"/>
      <c r="EQ15" s="14"/>
      <c r="ER15" s="14"/>
      <c r="ES15" s="14"/>
      <c r="ET15" s="14"/>
      <c r="EX15" s="27"/>
      <c r="FL15" s="14"/>
      <c r="FQ15" s="28"/>
      <c r="GA15" s="28"/>
      <c r="GP15" s="27"/>
      <c r="HW15" s="27">
        <v>44128</v>
      </c>
      <c r="HX15" s="14">
        <v>97300</v>
      </c>
      <c r="HZ15" s="14">
        <v>77000</v>
      </c>
      <c r="IA15" s="14">
        <v>7700</v>
      </c>
      <c r="IB15" s="27"/>
      <c r="IC15" s="18" t="s">
        <v>1957</v>
      </c>
      <c r="ID15" s="18" t="s">
        <v>1958</v>
      </c>
      <c r="IE15" s="18" t="s">
        <v>349</v>
      </c>
      <c r="II15" s="14">
        <v>468.83</v>
      </c>
      <c r="IJ15" s="14">
        <f t="shared" ca="1" si="41"/>
        <v>69187.689133333333</v>
      </c>
      <c r="IK15" s="27">
        <v>43767</v>
      </c>
      <c r="IL15" s="27">
        <v>43803</v>
      </c>
      <c r="IM15" s="27">
        <v>44131</v>
      </c>
      <c r="IN15" s="27">
        <v>44137</v>
      </c>
    </row>
    <row r="16" spans="1:249" ht="14.45" customHeight="1">
      <c r="A16" s="18">
        <v>102019076</v>
      </c>
      <c r="B16" s="14" t="s">
        <v>697</v>
      </c>
      <c r="C16" s="24" t="s">
        <v>698</v>
      </c>
      <c r="D16" s="19">
        <v>190003321</v>
      </c>
      <c r="F16" s="18" t="s">
        <v>699</v>
      </c>
      <c r="J16" s="13"/>
      <c r="O16" s="13"/>
      <c r="U16" s="18" t="s">
        <v>700</v>
      </c>
      <c r="V16" s="18" t="s">
        <v>701</v>
      </c>
      <c r="W16" s="18" t="s">
        <v>274</v>
      </c>
      <c r="X16" s="18" t="s">
        <v>275</v>
      </c>
      <c r="AB16" s="37"/>
      <c r="AE16" s="14" t="s">
        <v>328</v>
      </c>
      <c r="AF16" s="14"/>
      <c r="AG16" s="18" t="s">
        <v>259</v>
      </c>
      <c r="AJ16" s="14" t="s">
        <v>702</v>
      </c>
      <c r="AK16" s="20" t="s">
        <v>258</v>
      </c>
      <c r="AL16" s="18" t="s">
        <v>703</v>
      </c>
      <c r="AM16" s="24"/>
      <c r="AN16" s="20"/>
      <c r="AO16" s="20"/>
      <c r="AP16" s="13"/>
      <c r="AQ16" s="13"/>
      <c r="AR16" s="13"/>
      <c r="AS16" s="21">
        <v>43654</v>
      </c>
      <c r="AT16" s="21">
        <v>43555</v>
      </c>
      <c r="AU16" s="21">
        <v>43620</v>
      </c>
      <c r="AV16" s="13"/>
      <c r="AW16" s="13"/>
      <c r="AX16" s="13"/>
      <c r="AY16" s="13"/>
      <c r="AZ16" s="21">
        <v>43763</v>
      </c>
      <c r="BA16" s="46" t="s">
        <v>319</v>
      </c>
      <c r="BB16" s="20">
        <f t="shared" ca="1" si="0"/>
        <v>5258.561866666666</v>
      </c>
      <c r="BC16" s="22">
        <f t="shared" ca="1" si="1"/>
        <v>-462.31113206189536</v>
      </c>
      <c r="BD16" s="22">
        <f t="shared" ca="1" si="2"/>
        <v>462.31113206189536</v>
      </c>
      <c r="BE16" s="14"/>
      <c r="BF16" s="14">
        <f t="shared" si="3"/>
        <v>0</v>
      </c>
      <c r="BG16" s="14">
        <f t="shared" ca="1" si="4"/>
        <v>0</v>
      </c>
      <c r="BH16" s="17">
        <f t="shared" si="5"/>
        <v>0</v>
      </c>
      <c r="BI16" s="23">
        <f t="shared" ca="1" si="6"/>
        <v>77</v>
      </c>
      <c r="BJ16" s="14">
        <f t="shared" ca="1" si="7"/>
        <v>0</v>
      </c>
      <c r="BK16" s="14"/>
      <c r="BL16" s="14">
        <f t="shared" si="8"/>
        <v>0</v>
      </c>
      <c r="BM16" s="14">
        <f t="shared" ca="1" si="9"/>
        <v>0</v>
      </c>
      <c r="BN16" s="17">
        <f t="shared" si="10"/>
        <v>0</v>
      </c>
      <c r="BO16" s="23">
        <f t="shared" ca="1" si="11"/>
        <v>65</v>
      </c>
      <c r="BP16" s="14">
        <f t="shared" ca="1" si="12"/>
        <v>0</v>
      </c>
      <c r="BQ16" s="14"/>
      <c r="BR16" s="14">
        <f t="shared" si="13"/>
        <v>0</v>
      </c>
      <c r="BS16" s="14">
        <f t="shared" si="14"/>
        <v>0</v>
      </c>
      <c r="BT16" s="17">
        <f t="shared" si="15"/>
        <v>0</v>
      </c>
      <c r="BU16" s="23">
        <v>61</v>
      </c>
      <c r="BV16" s="14">
        <f t="shared" si="16"/>
        <v>0</v>
      </c>
      <c r="BW16" s="14">
        <v>271.95999999999998</v>
      </c>
      <c r="BX16" s="14">
        <f t="shared" si="17"/>
        <v>27.195999999999998</v>
      </c>
      <c r="BY16" s="14">
        <f t="shared" si="18"/>
        <v>122.15536666666658</v>
      </c>
      <c r="BZ16" s="17">
        <f t="shared" si="19"/>
        <v>2.492966666666665</v>
      </c>
      <c r="CA16" s="23">
        <v>49</v>
      </c>
      <c r="CB16" s="14">
        <f t="shared" si="20"/>
        <v>421.31136666666652</v>
      </c>
      <c r="CC16" s="14">
        <v>271.95999999999998</v>
      </c>
      <c r="CD16" s="14">
        <f t="shared" si="21"/>
        <v>27.195999999999998</v>
      </c>
      <c r="CE16" s="14">
        <f t="shared" si="22"/>
        <v>92.239766666666611</v>
      </c>
      <c r="CF16" s="17">
        <f t="shared" si="23"/>
        <v>2.492966666666665</v>
      </c>
      <c r="CG16" s="23">
        <v>37</v>
      </c>
      <c r="CH16" s="14">
        <f t="shared" si="24"/>
        <v>391.39576666666653</v>
      </c>
      <c r="CI16" s="14">
        <v>271.95999999999998</v>
      </c>
      <c r="CJ16" s="14">
        <f t="shared" si="25"/>
        <v>27.195999999999998</v>
      </c>
      <c r="CK16" s="14">
        <f t="shared" si="26"/>
        <v>62.324166666666628</v>
      </c>
      <c r="CL16" s="17">
        <f t="shared" si="27"/>
        <v>2.492966666666665</v>
      </c>
      <c r="CM16" s="23">
        <v>25</v>
      </c>
      <c r="CN16" s="14">
        <f t="shared" si="28"/>
        <v>361.48016666666661</v>
      </c>
      <c r="CO16" s="14">
        <f t="shared" si="47"/>
        <v>271.95999999999998</v>
      </c>
      <c r="CP16" s="14">
        <f t="shared" si="29"/>
        <v>27.195999999999998</v>
      </c>
      <c r="CQ16" s="14">
        <f t="shared" si="30"/>
        <v>32.408566666666644</v>
      </c>
      <c r="CR16" s="17">
        <f t="shared" si="31"/>
        <v>2.492966666666665</v>
      </c>
      <c r="CS16" s="23">
        <v>13</v>
      </c>
      <c r="CT16" s="14">
        <f t="shared" si="40"/>
        <v>331.56456666666656</v>
      </c>
      <c r="CU16" s="14">
        <f t="shared" si="32"/>
        <v>271.95999999999998</v>
      </c>
      <c r="CV16" s="14">
        <f t="shared" si="43"/>
        <v>1359.8</v>
      </c>
      <c r="CW16" s="14">
        <f t="shared" si="44"/>
        <v>108.78399999999999</v>
      </c>
      <c r="CX16" s="14">
        <f t="shared" ca="1" si="45"/>
        <v>309.12786666666648</v>
      </c>
      <c r="CY16" s="14">
        <f t="shared" ca="1" si="46"/>
        <v>1777.7118666666663</v>
      </c>
      <c r="CZ16" s="24" t="s">
        <v>320</v>
      </c>
      <c r="DA16" s="14">
        <f>832.5+663+39</f>
        <v>1534.5</v>
      </c>
      <c r="DB16" s="32">
        <f t="shared" si="48"/>
        <v>6</v>
      </c>
      <c r="DC16" s="14">
        <f>1+6*0.5+6*5.6+5*0.65+1.15*2+30+39.35</f>
        <v>112.5</v>
      </c>
      <c r="DD16" s="14">
        <v>300</v>
      </c>
      <c r="DE16" s="14">
        <f t="shared" ca="1" si="37"/>
        <v>5052.061866666666</v>
      </c>
      <c r="DF16" s="14">
        <v>0</v>
      </c>
      <c r="DG16" s="14">
        <f>21.89+167.05</f>
        <v>188.94</v>
      </c>
      <c r="DH16" s="14">
        <v>115.34</v>
      </c>
      <c r="DI16" s="14">
        <v>209.2</v>
      </c>
      <c r="DJ16" s="25">
        <v>545</v>
      </c>
      <c r="DK16" s="14">
        <f t="shared" si="38"/>
        <v>1058.48</v>
      </c>
      <c r="DL16" s="25">
        <v>52300</v>
      </c>
      <c r="DM16" s="25">
        <v>0</v>
      </c>
      <c r="DN16" s="25">
        <f t="shared" si="42"/>
        <v>52300</v>
      </c>
      <c r="DO16" s="36">
        <v>25.99</v>
      </c>
      <c r="DP16" s="18" t="s">
        <v>704</v>
      </c>
      <c r="DQ16" s="18" t="s">
        <v>705</v>
      </c>
      <c r="EK16" s="14"/>
      <c r="EL16" s="14"/>
      <c r="EM16" s="14"/>
      <c r="EN16" s="14"/>
      <c r="EO16" s="14"/>
      <c r="EP16" s="14"/>
      <c r="EQ16" s="14"/>
      <c r="ER16" s="14"/>
      <c r="ES16" s="14" t="s">
        <v>706</v>
      </c>
      <c r="ET16" s="14" t="s">
        <v>707</v>
      </c>
      <c r="EU16" s="18" t="s">
        <v>708</v>
      </c>
      <c r="EV16" s="18" t="s">
        <v>709</v>
      </c>
      <c r="EW16" s="18" t="s">
        <v>471</v>
      </c>
      <c r="EX16" s="27">
        <v>41257</v>
      </c>
      <c r="EY16" s="18">
        <v>130001667</v>
      </c>
      <c r="EZ16" s="18" t="s">
        <v>710</v>
      </c>
      <c r="FA16" s="18" t="s">
        <v>711</v>
      </c>
      <c r="FB16" s="18" t="s">
        <v>712</v>
      </c>
      <c r="FC16" s="18" t="s">
        <v>713</v>
      </c>
      <c r="FD16" s="18" t="s">
        <v>496</v>
      </c>
      <c r="FE16" s="27">
        <v>41257</v>
      </c>
      <c r="FF16" s="18">
        <v>130001667</v>
      </c>
      <c r="FG16" s="18" t="s">
        <v>372</v>
      </c>
      <c r="FH16" s="18" t="s">
        <v>373</v>
      </c>
      <c r="FI16" s="18" t="s">
        <v>374</v>
      </c>
      <c r="FJ16" s="18" t="s">
        <v>259</v>
      </c>
      <c r="FK16" s="18" t="s">
        <v>260</v>
      </c>
      <c r="FL16" s="14">
        <v>268.87</v>
      </c>
      <c r="FQ16" s="28"/>
      <c r="GA16" s="28"/>
      <c r="GP16" s="27"/>
      <c r="HW16" s="27">
        <v>44128</v>
      </c>
      <c r="HX16" s="14">
        <v>52300</v>
      </c>
      <c r="HZ16" s="14">
        <v>31000</v>
      </c>
      <c r="IA16" s="14">
        <v>3100</v>
      </c>
      <c r="IB16" s="27"/>
      <c r="IC16" s="18" t="s">
        <v>772</v>
      </c>
      <c r="ID16" s="18" t="s">
        <v>1153</v>
      </c>
      <c r="IE16" s="18" t="s">
        <v>386</v>
      </c>
      <c r="II16" s="14">
        <v>273.83</v>
      </c>
      <c r="IJ16" s="14">
        <f t="shared" ca="1" si="41"/>
        <v>25947.938133333333</v>
      </c>
      <c r="IK16" s="27">
        <v>43774</v>
      </c>
      <c r="IL16" s="27">
        <v>43789</v>
      </c>
      <c r="IM16" s="27">
        <v>44131</v>
      </c>
      <c r="IN16" s="27">
        <v>44133</v>
      </c>
    </row>
    <row r="17" spans="1:250" ht="14.45" customHeight="1">
      <c r="A17" s="18">
        <v>102019077</v>
      </c>
      <c r="B17" s="14" t="s">
        <v>714</v>
      </c>
      <c r="C17" s="24" t="s">
        <v>1528</v>
      </c>
      <c r="D17" s="19">
        <v>190005637</v>
      </c>
      <c r="E17" s="18" t="s">
        <v>253</v>
      </c>
      <c r="F17" s="18" t="s">
        <v>715</v>
      </c>
      <c r="G17" s="18" t="s">
        <v>716</v>
      </c>
      <c r="H17" s="18" t="s">
        <v>469</v>
      </c>
      <c r="J17" s="13"/>
      <c r="O17" s="13"/>
      <c r="AB17" s="37"/>
      <c r="AC17" s="20"/>
      <c r="AE17" s="14"/>
      <c r="AF17" s="14"/>
      <c r="AJ17" s="14" t="s">
        <v>717</v>
      </c>
      <c r="AK17" s="20" t="s">
        <v>258</v>
      </c>
      <c r="AL17" s="18" t="s">
        <v>438</v>
      </c>
      <c r="AM17" s="24" t="s">
        <v>260</v>
      </c>
      <c r="AN17" s="20"/>
      <c r="AO17" s="20"/>
      <c r="AP17" s="13" t="s">
        <v>258</v>
      </c>
      <c r="AQ17" s="13" t="s">
        <v>258</v>
      </c>
      <c r="AR17" s="13" t="s">
        <v>258</v>
      </c>
      <c r="AS17" s="21">
        <v>43767</v>
      </c>
      <c r="AT17" s="21">
        <v>43730</v>
      </c>
      <c r="AU17" s="21">
        <v>43725</v>
      </c>
      <c r="AV17" s="21">
        <v>43805</v>
      </c>
      <c r="AW17" s="13" t="s">
        <v>318</v>
      </c>
      <c r="AX17" s="21">
        <v>43784</v>
      </c>
      <c r="AY17" s="21">
        <v>43791</v>
      </c>
      <c r="AZ17" s="21">
        <v>43924</v>
      </c>
      <c r="BA17" s="13" t="s">
        <v>319</v>
      </c>
      <c r="BB17" s="20">
        <f t="shared" ca="1" si="0"/>
        <v>6456.7264333333333</v>
      </c>
      <c r="BC17" s="22">
        <f t="shared" ca="1" si="1"/>
        <v>-567.64883298795542</v>
      </c>
      <c r="BD17" s="22">
        <f t="shared" ca="1" si="2"/>
        <v>567.64883298795542</v>
      </c>
      <c r="BE17" s="14"/>
      <c r="BF17" s="14">
        <f t="shared" si="3"/>
        <v>0</v>
      </c>
      <c r="BG17" s="14">
        <f t="shared" ca="1" si="4"/>
        <v>0</v>
      </c>
      <c r="BH17" s="17">
        <f t="shared" si="5"/>
        <v>0</v>
      </c>
      <c r="BI17" s="23">
        <f t="shared" ca="1" si="6"/>
        <v>77</v>
      </c>
      <c r="BJ17" s="14">
        <f t="shared" ca="1" si="7"/>
        <v>0</v>
      </c>
      <c r="BK17" s="14"/>
      <c r="BL17" s="14">
        <f t="shared" si="8"/>
        <v>0</v>
      </c>
      <c r="BM17" s="14">
        <f t="shared" ca="1" si="9"/>
        <v>0</v>
      </c>
      <c r="BN17" s="17">
        <f t="shared" si="10"/>
        <v>0</v>
      </c>
      <c r="BO17" s="23">
        <f t="shared" ca="1" si="11"/>
        <v>65</v>
      </c>
      <c r="BP17" s="14">
        <f t="shared" ca="1" si="12"/>
        <v>0</v>
      </c>
      <c r="BQ17" s="14"/>
      <c r="BR17" s="14">
        <f t="shared" si="13"/>
        <v>0</v>
      </c>
      <c r="BS17" s="14">
        <f t="shared" si="14"/>
        <v>0</v>
      </c>
      <c r="BT17" s="17">
        <f t="shared" si="15"/>
        <v>0</v>
      </c>
      <c r="BU17" s="23">
        <v>61</v>
      </c>
      <c r="BV17" s="14">
        <f t="shared" si="16"/>
        <v>0</v>
      </c>
      <c r="BW17" s="14">
        <v>149.76</v>
      </c>
      <c r="BX17" s="14">
        <f t="shared" si="17"/>
        <v>14.975999999999999</v>
      </c>
      <c r="BY17" s="14">
        <f t="shared" si="18"/>
        <v>67.267199999999974</v>
      </c>
      <c r="BZ17" s="17">
        <f t="shared" si="19"/>
        <v>1.3727999999999994</v>
      </c>
      <c r="CA17" s="23">
        <v>49</v>
      </c>
      <c r="CB17" s="14">
        <f t="shared" si="20"/>
        <v>232.00319999999996</v>
      </c>
      <c r="CC17" s="14">
        <v>149.76</v>
      </c>
      <c r="CD17" s="14">
        <f t="shared" si="21"/>
        <v>14.975999999999999</v>
      </c>
      <c r="CE17" s="14">
        <f t="shared" si="22"/>
        <v>50.793599999999977</v>
      </c>
      <c r="CF17" s="17">
        <f t="shared" si="23"/>
        <v>1.3727999999999994</v>
      </c>
      <c r="CG17" s="23">
        <v>37</v>
      </c>
      <c r="CH17" s="14">
        <f t="shared" si="24"/>
        <v>215.52959999999996</v>
      </c>
      <c r="CI17" s="14">
        <v>149.76</v>
      </c>
      <c r="CJ17" s="14">
        <f t="shared" si="25"/>
        <v>14.975999999999999</v>
      </c>
      <c r="CK17" s="14">
        <f t="shared" si="26"/>
        <v>34.319999999999986</v>
      </c>
      <c r="CL17" s="17">
        <f t="shared" si="27"/>
        <v>1.3727999999999994</v>
      </c>
      <c r="CM17" s="23">
        <v>25</v>
      </c>
      <c r="CN17" s="14">
        <f t="shared" si="28"/>
        <v>199.05599999999998</v>
      </c>
      <c r="CO17" s="14">
        <f t="shared" si="47"/>
        <v>177.32</v>
      </c>
      <c r="CP17" s="14">
        <f t="shared" si="29"/>
        <v>17.731999999999999</v>
      </c>
      <c r="CQ17" s="14">
        <f t="shared" si="30"/>
        <v>21.130633333333325</v>
      </c>
      <c r="CR17" s="17">
        <f t="shared" si="31"/>
        <v>1.6254333333333326</v>
      </c>
      <c r="CS17" s="23">
        <v>13</v>
      </c>
      <c r="CT17" s="14">
        <f t="shared" si="40"/>
        <v>216.18263333333331</v>
      </c>
      <c r="CU17" s="14">
        <f t="shared" si="32"/>
        <v>177.32</v>
      </c>
      <c r="CV17" s="14">
        <f t="shared" si="43"/>
        <v>803.91999999999985</v>
      </c>
      <c r="CW17" s="14">
        <f t="shared" si="44"/>
        <v>62.66</v>
      </c>
      <c r="CX17" s="14">
        <f t="shared" ca="1" si="45"/>
        <v>173.51143333333326</v>
      </c>
      <c r="CY17" s="14">
        <f t="shared" ca="1" si="46"/>
        <v>1040.091433333333</v>
      </c>
      <c r="CZ17" s="24" t="s">
        <v>320</v>
      </c>
      <c r="DA17" s="14">
        <f>725.5+331.5</f>
        <v>1057</v>
      </c>
      <c r="DB17" s="32">
        <f t="shared" si="48"/>
        <v>4</v>
      </c>
      <c r="DC17" s="14">
        <f>(0.5+2+4*5.6+1.15*2)+30+39.35</f>
        <v>96.550000000000011</v>
      </c>
      <c r="DD17" s="14">
        <f>75+75</f>
        <v>150</v>
      </c>
      <c r="DE17" s="14">
        <f t="shared" ca="1" si="37"/>
        <v>6250.2264333333333</v>
      </c>
      <c r="DF17" s="14">
        <f>(93.75+210)/2</f>
        <v>151.875</v>
      </c>
      <c r="DG17" s="14">
        <f>(48.5+745)/2+167.05</f>
        <v>563.79999999999995</v>
      </c>
      <c r="DH17" s="14">
        <f>115.2/2</f>
        <v>57.6</v>
      </c>
      <c r="DI17" s="14">
        <f>136.4/2</f>
        <v>68.2</v>
      </c>
      <c r="DJ17" s="25">
        <v>280</v>
      </c>
      <c r="DK17" s="14">
        <f t="shared" si="38"/>
        <v>1121.4749999999999</v>
      </c>
      <c r="DL17" s="25">
        <v>3500</v>
      </c>
      <c r="DM17" s="25">
        <v>30600</v>
      </c>
      <c r="DN17" s="25">
        <f t="shared" si="42"/>
        <v>34100</v>
      </c>
      <c r="DO17" s="36">
        <v>0.38</v>
      </c>
      <c r="DP17" s="18" t="s">
        <v>718</v>
      </c>
      <c r="DQ17" s="18" t="s">
        <v>719</v>
      </c>
      <c r="EK17" s="14"/>
      <c r="EL17" s="14"/>
      <c r="EM17" s="14"/>
      <c r="EN17" s="14"/>
      <c r="EO17" s="14"/>
      <c r="EP17" s="14"/>
      <c r="EQ17" s="14"/>
      <c r="ER17" s="14"/>
      <c r="ES17" s="14"/>
      <c r="ET17" s="14"/>
      <c r="EX17" s="27"/>
      <c r="FG17" s="18" t="s">
        <v>473</v>
      </c>
      <c r="FH17" s="18" t="s">
        <v>474</v>
      </c>
      <c r="FI17" s="18" t="s">
        <v>475</v>
      </c>
      <c r="FJ17" s="18" t="s">
        <v>438</v>
      </c>
      <c r="FK17" s="18" t="s">
        <v>260</v>
      </c>
      <c r="FL17" s="14">
        <v>2785.11</v>
      </c>
      <c r="FM17" s="18" t="s">
        <v>421</v>
      </c>
      <c r="FN17" s="18" t="s">
        <v>720</v>
      </c>
      <c r="FO17" s="18" t="s">
        <v>422</v>
      </c>
      <c r="FQ17" s="18" t="s">
        <v>274</v>
      </c>
      <c r="FR17" s="18" t="s">
        <v>275</v>
      </c>
      <c r="FS17" s="27">
        <v>40238</v>
      </c>
      <c r="FT17" s="18" t="s">
        <v>721</v>
      </c>
      <c r="FX17" s="18" t="s">
        <v>722</v>
      </c>
      <c r="FY17" s="18" t="s">
        <v>723</v>
      </c>
      <c r="FZ17" s="18" t="s">
        <v>724</v>
      </c>
      <c r="GB17" s="28" t="s">
        <v>725</v>
      </c>
      <c r="GC17" s="18" t="s">
        <v>726</v>
      </c>
      <c r="GD17" s="27">
        <v>40868</v>
      </c>
      <c r="GE17" s="18" t="s">
        <v>727</v>
      </c>
      <c r="GP17" s="27"/>
      <c r="HW17" s="27">
        <v>44128</v>
      </c>
      <c r="HX17" s="14">
        <v>34100</v>
      </c>
      <c r="HZ17" s="14">
        <v>22000</v>
      </c>
      <c r="IA17" s="14">
        <v>2200</v>
      </c>
      <c r="IB17" s="27"/>
      <c r="IC17" s="18" t="s">
        <v>1959</v>
      </c>
      <c r="ID17" s="18" t="s">
        <v>1960</v>
      </c>
      <c r="IE17" s="18" t="s">
        <v>438</v>
      </c>
      <c r="IF17" s="18" t="s">
        <v>723</v>
      </c>
      <c r="IG17" s="14">
        <v>15749.77</v>
      </c>
      <c r="IH17" s="14" t="s">
        <v>1979</v>
      </c>
      <c r="II17" s="14">
        <v>195.17</v>
      </c>
      <c r="IJ17" s="14">
        <f t="shared" ca="1" si="41"/>
        <v>3.5666666663018987E-3</v>
      </c>
      <c r="IK17" s="27">
        <v>43935</v>
      </c>
      <c r="IL17" s="27">
        <v>43965</v>
      </c>
      <c r="IM17" s="27">
        <v>44131</v>
      </c>
      <c r="IN17" s="27">
        <v>44137</v>
      </c>
    </row>
    <row r="18" spans="1:250" ht="14.45" customHeight="1">
      <c r="A18" s="18">
        <v>102019079</v>
      </c>
      <c r="B18" s="14" t="s">
        <v>1817</v>
      </c>
      <c r="C18" s="24" t="s">
        <v>730</v>
      </c>
      <c r="D18" s="19">
        <v>190002052</v>
      </c>
      <c r="E18" s="18" t="s">
        <v>554</v>
      </c>
      <c r="F18" s="18" t="s">
        <v>731</v>
      </c>
      <c r="G18" s="18" t="s">
        <v>732</v>
      </c>
      <c r="H18" s="18" t="s">
        <v>426</v>
      </c>
      <c r="J18" s="13" t="s">
        <v>258</v>
      </c>
      <c r="K18" s="18" t="s">
        <v>731</v>
      </c>
      <c r="L18" s="18" t="s">
        <v>733</v>
      </c>
      <c r="M18" s="18" t="s">
        <v>537</v>
      </c>
      <c r="O18" s="13" t="s">
        <v>258</v>
      </c>
      <c r="AB18" s="37"/>
      <c r="AE18" s="14" t="s">
        <v>328</v>
      </c>
      <c r="AF18" s="14"/>
      <c r="AG18" s="18" t="s">
        <v>329</v>
      </c>
      <c r="AI18" s="18" t="s">
        <v>734</v>
      </c>
      <c r="AJ18" s="14" t="s">
        <v>735</v>
      </c>
      <c r="AK18" s="20" t="s">
        <v>258</v>
      </c>
      <c r="AL18" s="18" t="s">
        <v>329</v>
      </c>
      <c r="AM18" s="24" t="s">
        <v>260</v>
      </c>
      <c r="AN18" s="20"/>
      <c r="AO18" s="20"/>
      <c r="AP18" s="13" t="s">
        <v>258</v>
      </c>
      <c r="AQ18" s="13" t="s">
        <v>258</v>
      </c>
      <c r="AR18" s="13" t="s">
        <v>258</v>
      </c>
      <c r="AS18" s="21">
        <v>43587</v>
      </c>
      <c r="AT18" s="21">
        <v>43555</v>
      </c>
      <c r="AU18" s="21">
        <v>43550</v>
      </c>
      <c r="AV18" s="21">
        <v>43616</v>
      </c>
      <c r="AW18" s="13" t="s">
        <v>318</v>
      </c>
      <c r="AX18" s="21">
        <v>43602</v>
      </c>
      <c r="AY18" s="21">
        <v>43609</v>
      </c>
      <c r="AZ18" s="21">
        <v>43763</v>
      </c>
      <c r="BA18" s="46" t="s">
        <v>319</v>
      </c>
      <c r="BB18" s="20">
        <f t="shared" ca="1" si="0"/>
        <v>4355.3051999999998</v>
      </c>
      <c r="BC18" s="22">
        <f t="shared" ca="1" si="1"/>
        <v>-382.90052081547435</v>
      </c>
      <c r="BD18" s="22">
        <f t="shared" ca="1" si="2"/>
        <v>382.90052081547435</v>
      </c>
      <c r="BE18" s="14"/>
      <c r="BF18" s="14">
        <f t="shared" si="3"/>
        <v>0</v>
      </c>
      <c r="BG18" s="14">
        <f t="shared" ca="1" si="4"/>
        <v>0</v>
      </c>
      <c r="BH18" s="17">
        <f t="shared" si="5"/>
        <v>0</v>
      </c>
      <c r="BI18" s="23">
        <f t="shared" ca="1" si="6"/>
        <v>77</v>
      </c>
      <c r="BJ18" s="14">
        <f t="shared" ca="1" si="7"/>
        <v>0</v>
      </c>
      <c r="BK18" s="14"/>
      <c r="BL18" s="14">
        <f t="shared" si="8"/>
        <v>0</v>
      </c>
      <c r="BM18" s="14">
        <f t="shared" ca="1" si="9"/>
        <v>0</v>
      </c>
      <c r="BN18" s="17">
        <f t="shared" si="10"/>
        <v>0</v>
      </c>
      <c r="BO18" s="23">
        <f t="shared" ca="1" si="11"/>
        <v>65</v>
      </c>
      <c r="BP18" s="14">
        <f t="shared" ca="1" si="12"/>
        <v>0</v>
      </c>
      <c r="BQ18" s="14"/>
      <c r="BR18" s="14">
        <f t="shared" si="13"/>
        <v>0</v>
      </c>
      <c r="BS18" s="14">
        <f t="shared" si="14"/>
        <v>0</v>
      </c>
      <c r="BT18" s="17">
        <f t="shared" si="15"/>
        <v>0</v>
      </c>
      <c r="BU18" s="23">
        <v>61</v>
      </c>
      <c r="BV18" s="14">
        <f t="shared" si="16"/>
        <v>0</v>
      </c>
      <c r="BW18" s="14">
        <v>63.96</v>
      </c>
      <c r="BX18" s="14">
        <f t="shared" si="17"/>
        <v>6.3960000000000008</v>
      </c>
      <c r="BY18" s="14">
        <f t="shared" si="18"/>
        <v>28.728699999999986</v>
      </c>
      <c r="BZ18" s="17">
        <f t="shared" si="19"/>
        <v>0.58629999999999971</v>
      </c>
      <c r="CA18" s="23">
        <v>49</v>
      </c>
      <c r="CB18" s="14">
        <f t="shared" si="20"/>
        <v>99.084699999999984</v>
      </c>
      <c r="CC18" s="14">
        <v>63.96</v>
      </c>
      <c r="CD18" s="14">
        <f t="shared" si="21"/>
        <v>6.3960000000000008</v>
      </c>
      <c r="CE18" s="14">
        <f t="shared" si="22"/>
        <v>21.693099999999991</v>
      </c>
      <c r="CF18" s="17">
        <f t="shared" si="23"/>
        <v>0.58629999999999971</v>
      </c>
      <c r="CG18" s="23">
        <v>37</v>
      </c>
      <c r="CH18" s="14">
        <f t="shared" si="24"/>
        <v>92.049099999999981</v>
      </c>
      <c r="CI18" s="14">
        <v>63.96</v>
      </c>
      <c r="CJ18" s="14">
        <f t="shared" si="25"/>
        <v>6.3960000000000008</v>
      </c>
      <c r="CK18" s="14">
        <f t="shared" si="26"/>
        <v>14.657499999999994</v>
      </c>
      <c r="CL18" s="17">
        <f t="shared" si="27"/>
        <v>0.58629999999999971</v>
      </c>
      <c r="CM18" s="23">
        <v>25</v>
      </c>
      <c r="CN18" s="14">
        <f t="shared" si="28"/>
        <v>85.013499999999993</v>
      </c>
      <c r="CO18" s="14">
        <f t="shared" si="47"/>
        <v>63.959999999999994</v>
      </c>
      <c r="CP18" s="14">
        <f t="shared" si="29"/>
        <v>6.3959999999999999</v>
      </c>
      <c r="CQ18" s="14">
        <f t="shared" si="30"/>
        <v>7.6218999999999966</v>
      </c>
      <c r="CR18" s="17">
        <f t="shared" si="31"/>
        <v>0.58629999999999971</v>
      </c>
      <c r="CS18" s="23">
        <v>13</v>
      </c>
      <c r="CT18" s="14">
        <f t="shared" si="40"/>
        <v>77.977899999999991</v>
      </c>
      <c r="CU18" s="14">
        <f t="shared" si="32"/>
        <v>63.959999999999994</v>
      </c>
      <c r="CV18" s="14">
        <f t="shared" si="43"/>
        <v>319.79999999999995</v>
      </c>
      <c r="CW18" s="14">
        <f t="shared" si="44"/>
        <v>25.584000000000003</v>
      </c>
      <c r="CX18" s="14">
        <f t="shared" ca="1" si="45"/>
        <v>72.701199999999972</v>
      </c>
      <c r="CY18" s="14">
        <f t="shared" ca="1" si="46"/>
        <v>418.08519999999993</v>
      </c>
      <c r="CZ18" s="24" t="s">
        <v>320</v>
      </c>
      <c r="DA18" s="14">
        <f>865+663</f>
        <v>1528</v>
      </c>
      <c r="DB18" s="32">
        <f t="shared" si="48"/>
        <v>2</v>
      </c>
      <c r="DC18" s="14">
        <f>0.5+1+2*5.6+1.15+30+39.35</f>
        <v>83.2</v>
      </c>
      <c r="DD18" s="14">
        <v>300</v>
      </c>
      <c r="DE18" s="14">
        <f t="shared" ca="1" si="37"/>
        <v>4148.8051999999998</v>
      </c>
      <c r="DF18" s="14">
        <f>93.75+122.5</f>
        <v>216.25</v>
      </c>
      <c r="DG18" s="14">
        <f>21.89+693+167.05</f>
        <v>881.94</v>
      </c>
      <c r="DH18" s="14">
        <v>111.33</v>
      </c>
      <c r="DI18" s="14">
        <v>100</v>
      </c>
      <c r="DJ18" s="25">
        <v>510</v>
      </c>
      <c r="DK18" s="14">
        <f t="shared" si="38"/>
        <v>1819.52</v>
      </c>
      <c r="DL18" s="25">
        <f>11800+400</f>
        <v>12200</v>
      </c>
      <c r="DM18" s="25">
        <v>100</v>
      </c>
      <c r="DN18" s="25">
        <f t="shared" si="42"/>
        <v>12300</v>
      </c>
      <c r="DO18" s="36">
        <v>0.22</v>
      </c>
      <c r="DP18" s="18" t="s">
        <v>1936</v>
      </c>
      <c r="DQ18" s="18" t="s">
        <v>736</v>
      </c>
      <c r="EK18" s="14"/>
      <c r="EL18" s="14"/>
      <c r="EM18" s="14"/>
      <c r="EN18" s="14"/>
      <c r="EO18" s="14"/>
      <c r="EP18" s="14"/>
      <c r="EQ18" s="14"/>
      <c r="ER18" s="14"/>
      <c r="ES18" s="14"/>
      <c r="ET18" s="14"/>
      <c r="EX18" s="27"/>
      <c r="FL18" s="14"/>
      <c r="FQ18" s="28"/>
      <c r="GA18" s="28"/>
      <c r="GP18" s="27"/>
      <c r="HW18" s="27">
        <v>44128</v>
      </c>
      <c r="HX18" s="14">
        <v>400</v>
      </c>
      <c r="HZ18" s="14">
        <f ca="1">DE18</f>
        <v>4148.8051999999998</v>
      </c>
      <c r="IA18" s="14">
        <v>402</v>
      </c>
      <c r="IB18" s="27"/>
      <c r="IC18" s="18" t="s">
        <v>1984</v>
      </c>
      <c r="ID18" s="18" t="s">
        <v>1961</v>
      </c>
      <c r="IE18" s="18" t="s">
        <v>1962</v>
      </c>
      <c r="II18" s="14">
        <v>100.5</v>
      </c>
      <c r="IJ18" s="14">
        <f t="shared" ca="1" si="41"/>
        <v>0</v>
      </c>
      <c r="IK18" s="27">
        <v>43767</v>
      </c>
      <c r="IL18" s="27">
        <v>43803</v>
      </c>
      <c r="IM18" s="27">
        <v>44131</v>
      </c>
      <c r="IN18" s="27">
        <v>44137</v>
      </c>
    </row>
    <row r="19" spans="1:250" ht="14.45" customHeight="1">
      <c r="A19" s="18">
        <v>102020026</v>
      </c>
      <c r="B19" s="18" t="s">
        <v>1610</v>
      </c>
      <c r="C19" s="18" t="s">
        <v>1865</v>
      </c>
      <c r="D19" s="18">
        <v>200002915</v>
      </c>
      <c r="E19" s="18" t="s">
        <v>554</v>
      </c>
      <c r="F19" s="18" t="s">
        <v>1611</v>
      </c>
      <c r="G19" s="18" t="s">
        <v>1216</v>
      </c>
      <c r="H19" s="18" t="s">
        <v>469</v>
      </c>
      <c r="K19" s="18" t="s">
        <v>1611</v>
      </c>
      <c r="L19" s="18" t="s">
        <v>657</v>
      </c>
      <c r="M19" s="18" t="s">
        <v>426</v>
      </c>
      <c r="AB19" s="37"/>
      <c r="AE19" s="18" t="s">
        <v>328</v>
      </c>
      <c r="AG19" s="18" t="s">
        <v>344</v>
      </c>
      <c r="AJ19" s="14" t="s">
        <v>1612</v>
      </c>
      <c r="AK19" s="18" t="s">
        <v>258</v>
      </c>
      <c r="AL19" s="18" t="s">
        <v>1613</v>
      </c>
      <c r="AP19" s="18" t="s">
        <v>258</v>
      </c>
      <c r="AQ19" s="18" t="s">
        <v>258</v>
      </c>
      <c r="AR19" s="18" t="s">
        <v>258</v>
      </c>
      <c r="AS19" s="27">
        <v>43978</v>
      </c>
      <c r="AT19" s="21">
        <v>43947</v>
      </c>
      <c r="AU19" s="21">
        <v>43937</v>
      </c>
      <c r="AV19" s="21">
        <v>44022</v>
      </c>
      <c r="AW19" s="13" t="s">
        <v>1833</v>
      </c>
      <c r="AX19" s="21">
        <v>44008</v>
      </c>
      <c r="AY19" s="21">
        <v>44015</v>
      </c>
      <c r="AZ19" s="27">
        <v>44057</v>
      </c>
      <c r="BA19" s="18" t="s">
        <v>319</v>
      </c>
      <c r="BB19" s="20">
        <v>2900.0819999999994</v>
      </c>
      <c r="BC19" s="22">
        <v>-254.96328206978063</v>
      </c>
      <c r="BD19" s="22">
        <v>254.96328206978063</v>
      </c>
      <c r="BE19" s="14"/>
      <c r="BF19" s="14">
        <v>0</v>
      </c>
      <c r="BG19" s="14">
        <v>0</v>
      </c>
      <c r="BH19" s="17">
        <v>0</v>
      </c>
      <c r="BI19" s="23">
        <v>81</v>
      </c>
      <c r="BJ19" s="14">
        <v>0</v>
      </c>
      <c r="BK19" s="14"/>
      <c r="BL19" s="14">
        <v>0</v>
      </c>
      <c r="BM19" s="14">
        <v>0</v>
      </c>
      <c r="BN19" s="17">
        <v>0</v>
      </c>
      <c r="BO19" s="23">
        <v>69</v>
      </c>
      <c r="BP19" s="14">
        <v>0</v>
      </c>
      <c r="BQ19" s="14"/>
      <c r="BR19" s="14">
        <v>0</v>
      </c>
      <c r="BS19" s="14">
        <v>0</v>
      </c>
      <c r="BT19" s="17">
        <v>0</v>
      </c>
      <c r="BU19" s="23">
        <v>61</v>
      </c>
      <c r="BV19" s="14">
        <v>0</v>
      </c>
      <c r="BW19" s="14"/>
      <c r="BX19" s="14">
        <v>0</v>
      </c>
      <c r="BY19" s="14">
        <v>0</v>
      </c>
      <c r="BZ19" s="17">
        <v>0</v>
      </c>
      <c r="CA19" s="23">
        <v>49</v>
      </c>
      <c r="CB19" s="14">
        <v>0</v>
      </c>
      <c r="CC19" s="14">
        <v>187.2</v>
      </c>
      <c r="CD19" s="14">
        <v>18.72</v>
      </c>
      <c r="CE19" s="14">
        <f t="shared" si="22"/>
        <v>63.491999999999969</v>
      </c>
      <c r="CF19" s="17">
        <v>1.7159999999999991</v>
      </c>
      <c r="CG19" s="23">
        <v>37</v>
      </c>
      <c r="CH19" s="14">
        <f t="shared" si="24"/>
        <v>269.41199999999998</v>
      </c>
      <c r="CI19" s="14">
        <v>187.2</v>
      </c>
      <c r="CJ19" s="14">
        <f t="shared" si="25"/>
        <v>18.72</v>
      </c>
      <c r="CK19" s="14">
        <f t="shared" si="26"/>
        <v>42.899999999999977</v>
      </c>
      <c r="CL19" s="17">
        <v>1.7159999999999991</v>
      </c>
      <c r="CM19" s="23">
        <v>25</v>
      </c>
      <c r="CN19" s="14">
        <f t="shared" si="28"/>
        <v>248.81999999999996</v>
      </c>
      <c r="CO19" s="14">
        <v>187.2</v>
      </c>
      <c r="CP19" s="14">
        <f t="shared" si="29"/>
        <v>18.72</v>
      </c>
      <c r="CQ19" s="14">
        <f t="shared" si="30"/>
        <v>22.307999999999989</v>
      </c>
      <c r="CR19" s="17">
        <v>1.7159999999999991</v>
      </c>
      <c r="CS19" s="23">
        <v>13</v>
      </c>
      <c r="CT19" s="14">
        <f t="shared" si="40"/>
        <v>228.22799999999998</v>
      </c>
      <c r="CU19" s="14">
        <f t="shared" si="32"/>
        <v>187.2</v>
      </c>
      <c r="CV19" s="14">
        <f t="shared" si="43"/>
        <v>748.8</v>
      </c>
      <c r="CW19" s="14">
        <f t="shared" si="44"/>
        <v>56.16</v>
      </c>
      <c r="CX19" s="14">
        <f t="shared" si="45"/>
        <v>128.69999999999993</v>
      </c>
      <c r="CY19" s="14">
        <f t="shared" si="46"/>
        <v>933.65999999999985</v>
      </c>
      <c r="CZ19" s="24" t="s">
        <v>418</v>
      </c>
      <c r="DA19" s="14">
        <f>916.5+663</f>
        <v>1579.5</v>
      </c>
      <c r="DB19" s="32">
        <v>4</v>
      </c>
      <c r="DC19" s="14">
        <f>69.7+30+39.35</f>
        <v>139.05000000000001</v>
      </c>
      <c r="DD19" s="14">
        <v>150</v>
      </c>
      <c r="DE19" s="14">
        <f t="shared" si="37"/>
        <v>4789.03</v>
      </c>
      <c r="DF19" s="14">
        <f>93.75+160</f>
        <v>253.75</v>
      </c>
      <c r="DG19" s="14">
        <f>737.77+167.05</f>
        <v>904.81999999999994</v>
      </c>
      <c r="DH19" s="14">
        <v>74.25</v>
      </c>
      <c r="DI19" s="14">
        <v>144</v>
      </c>
      <c r="DJ19" s="25">
        <v>610</v>
      </c>
      <c r="DK19" s="14">
        <f t="shared" si="38"/>
        <v>1986.82</v>
      </c>
      <c r="DL19" s="25">
        <v>36000</v>
      </c>
      <c r="DM19" s="25">
        <v>0</v>
      </c>
      <c r="DN19" s="25">
        <v>36000</v>
      </c>
      <c r="DO19" s="36">
        <v>2.02</v>
      </c>
      <c r="DP19" s="18" t="s">
        <v>1790</v>
      </c>
      <c r="DQ19" s="18" t="s">
        <v>1791</v>
      </c>
      <c r="DR19" s="18" t="s">
        <v>1792</v>
      </c>
      <c r="DS19" s="18" t="s">
        <v>1793</v>
      </c>
      <c r="FM19" s="18" t="s">
        <v>1772</v>
      </c>
      <c r="FN19" s="18" t="s">
        <v>411</v>
      </c>
      <c r="FO19" s="18" t="s">
        <v>412</v>
      </c>
      <c r="FQ19" s="18" t="s">
        <v>344</v>
      </c>
      <c r="FR19" s="18" t="s">
        <v>260</v>
      </c>
      <c r="FS19" s="27">
        <v>43320</v>
      </c>
      <c r="FT19" s="18" t="s">
        <v>1794</v>
      </c>
      <c r="FX19" s="18" t="s">
        <v>1772</v>
      </c>
      <c r="FY19" s="18" t="s">
        <v>411</v>
      </c>
      <c r="FZ19" s="18" t="s">
        <v>412</v>
      </c>
      <c r="GB19" s="18" t="s">
        <v>344</v>
      </c>
      <c r="GC19" s="18" t="s">
        <v>260</v>
      </c>
      <c r="GD19" s="27">
        <v>43682</v>
      </c>
      <c r="GE19" s="18" t="s">
        <v>1795</v>
      </c>
      <c r="HW19" s="27">
        <v>44128</v>
      </c>
      <c r="HX19" s="14">
        <v>36000</v>
      </c>
      <c r="HZ19" s="14">
        <v>9500</v>
      </c>
      <c r="IA19" s="14">
        <v>950</v>
      </c>
      <c r="IC19" s="18" t="s">
        <v>1949</v>
      </c>
      <c r="ID19" s="18" t="s">
        <v>1948</v>
      </c>
      <c r="IE19" s="18" t="s">
        <v>290</v>
      </c>
      <c r="IF19" s="18" t="s">
        <v>1977</v>
      </c>
      <c r="IG19" s="14">
        <v>1771.07</v>
      </c>
      <c r="IH19" s="14" t="s">
        <v>258</v>
      </c>
      <c r="II19" s="14">
        <v>203</v>
      </c>
      <c r="IJ19" s="14">
        <f t="shared" si="41"/>
        <v>2939.9000000000005</v>
      </c>
      <c r="IK19" s="27">
        <v>44068</v>
      </c>
      <c r="IL19" s="27">
        <v>44085</v>
      </c>
      <c r="IM19" s="27">
        <v>44131</v>
      </c>
      <c r="IN19" s="27">
        <v>44137</v>
      </c>
    </row>
    <row r="20" spans="1:250" ht="14.45" customHeight="1">
      <c r="A20" s="18">
        <v>102020038</v>
      </c>
      <c r="B20" s="18" t="s">
        <v>1641</v>
      </c>
      <c r="C20" s="18" t="s">
        <v>1866</v>
      </c>
      <c r="D20" s="18">
        <v>200002914</v>
      </c>
      <c r="E20" s="18" t="s">
        <v>311</v>
      </c>
      <c r="F20" s="18" t="s">
        <v>1642</v>
      </c>
      <c r="G20" s="18" t="s">
        <v>1643</v>
      </c>
      <c r="H20" s="18" t="s">
        <v>428</v>
      </c>
      <c r="AB20" s="37" t="s">
        <v>1860</v>
      </c>
      <c r="AE20" s="18" t="s">
        <v>328</v>
      </c>
      <c r="AG20" s="18" t="s">
        <v>386</v>
      </c>
      <c r="AJ20" s="18" t="s">
        <v>1644</v>
      </c>
      <c r="AK20" s="18" t="s">
        <v>258</v>
      </c>
      <c r="AL20" s="18" t="s">
        <v>1645</v>
      </c>
      <c r="AO20" s="18" t="s">
        <v>258</v>
      </c>
      <c r="AQ20" s="18" t="s">
        <v>258</v>
      </c>
      <c r="AR20" s="18" t="s">
        <v>258</v>
      </c>
      <c r="AS20" s="27">
        <v>43978</v>
      </c>
      <c r="AT20" s="21">
        <v>43947</v>
      </c>
      <c r="AU20" s="21">
        <v>43931</v>
      </c>
      <c r="AV20" s="21">
        <v>44022</v>
      </c>
      <c r="AW20" s="13" t="s">
        <v>1833</v>
      </c>
      <c r="AX20" s="21">
        <v>44008</v>
      </c>
      <c r="AY20" s="21">
        <v>44015</v>
      </c>
      <c r="AZ20" s="27">
        <v>44057</v>
      </c>
      <c r="BA20" s="18" t="s">
        <v>319</v>
      </c>
      <c r="BB20" s="20">
        <v>2677.779027272727</v>
      </c>
      <c r="BC20" s="22">
        <v>-235.41931898859386</v>
      </c>
      <c r="BD20" s="22">
        <v>235.41931898859386</v>
      </c>
      <c r="BE20" s="14"/>
      <c r="BF20" s="14">
        <v>0</v>
      </c>
      <c r="BG20" s="14">
        <v>0</v>
      </c>
      <c r="BH20" s="17">
        <v>0</v>
      </c>
      <c r="BI20" s="23">
        <v>81</v>
      </c>
      <c r="BJ20" s="14">
        <v>0</v>
      </c>
      <c r="BK20" s="14"/>
      <c r="BL20" s="14">
        <v>0</v>
      </c>
      <c r="BM20" s="14">
        <v>0</v>
      </c>
      <c r="BN20" s="17">
        <v>0</v>
      </c>
      <c r="BO20" s="23">
        <v>69</v>
      </c>
      <c r="BP20" s="14">
        <v>0</v>
      </c>
      <c r="BQ20" s="14"/>
      <c r="BR20" s="14">
        <v>0</v>
      </c>
      <c r="BS20" s="14">
        <v>0</v>
      </c>
      <c r="BT20" s="17">
        <v>0</v>
      </c>
      <c r="BU20" s="23">
        <v>61</v>
      </c>
      <c r="BV20" s="14">
        <v>0</v>
      </c>
      <c r="BW20" s="14"/>
      <c r="BX20" s="14">
        <v>0</v>
      </c>
      <c r="BY20" s="14">
        <v>0</v>
      </c>
      <c r="BZ20" s="17">
        <v>0</v>
      </c>
      <c r="CA20" s="23">
        <v>49</v>
      </c>
      <c r="CB20" s="14">
        <v>0</v>
      </c>
      <c r="CC20" s="14">
        <v>156.52000000000001</v>
      </c>
      <c r="CD20" s="14">
        <v>15.652000000000001</v>
      </c>
      <c r="CE20" s="14">
        <f t="shared" si="22"/>
        <v>53.086366666666656</v>
      </c>
      <c r="CF20" s="17">
        <v>1.4347666666666663</v>
      </c>
      <c r="CG20" s="23">
        <v>37</v>
      </c>
      <c r="CH20" s="14">
        <f t="shared" si="24"/>
        <v>225.25836666666669</v>
      </c>
      <c r="CI20" s="14">
        <v>156.52000000000001</v>
      </c>
      <c r="CJ20" s="14">
        <f t="shared" si="25"/>
        <v>15.652000000000001</v>
      </c>
      <c r="CK20" s="14">
        <f t="shared" si="26"/>
        <v>35.869166666666658</v>
      </c>
      <c r="CL20" s="17">
        <v>1.4347666666666663</v>
      </c>
      <c r="CM20" s="23">
        <v>25</v>
      </c>
      <c r="CN20" s="14">
        <f t="shared" si="28"/>
        <v>208.0411666666667</v>
      </c>
      <c r="CO20" s="14">
        <v>144.56</v>
      </c>
      <c r="CP20" s="14">
        <f t="shared" si="29"/>
        <v>14.456000000000001</v>
      </c>
      <c r="CQ20" s="14">
        <f t="shared" si="30"/>
        <v>17.226733333333325</v>
      </c>
      <c r="CR20" s="17">
        <v>1.3251333333333326</v>
      </c>
      <c r="CS20" s="23">
        <v>13</v>
      </c>
      <c r="CT20" s="14">
        <f t="shared" si="40"/>
        <v>176.24273333333332</v>
      </c>
      <c r="CU20" s="14">
        <f t="shared" si="32"/>
        <v>144.56</v>
      </c>
      <c r="CV20" s="14">
        <f t="shared" si="43"/>
        <v>602.16000000000008</v>
      </c>
      <c r="CW20" s="14">
        <f t="shared" si="44"/>
        <v>45.760000000000005</v>
      </c>
      <c r="CX20" s="14">
        <f t="shared" si="45"/>
        <v>106.18226666666664</v>
      </c>
      <c r="CY20" s="14">
        <f t="shared" si="46"/>
        <v>754.10226666666676</v>
      </c>
      <c r="CZ20" s="24" t="s">
        <v>418</v>
      </c>
      <c r="DA20" s="14">
        <f>812.5+663</f>
        <v>1475.5</v>
      </c>
      <c r="DB20" s="32">
        <v>5</v>
      </c>
      <c r="DC20" s="14">
        <f>41+30+39.35</f>
        <v>110.35</v>
      </c>
      <c r="DD20" s="14">
        <v>200</v>
      </c>
      <c r="DE20" s="14">
        <f t="shared" si="37"/>
        <v>4496.7222666666676</v>
      </c>
      <c r="DF20" s="14">
        <f>93.75+165</f>
        <v>258.75</v>
      </c>
      <c r="DG20" s="14">
        <f>731.27+167.05</f>
        <v>898.31999999999994</v>
      </c>
      <c r="DH20" s="14">
        <v>78.5</v>
      </c>
      <c r="DI20" s="14">
        <v>111.2</v>
      </c>
      <c r="DJ20" s="25">
        <v>610</v>
      </c>
      <c r="DK20" s="14">
        <f t="shared" si="38"/>
        <v>1956.77</v>
      </c>
      <c r="DL20" s="25">
        <v>27800</v>
      </c>
      <c r="DM20" s="25">
        <v>0</v>
      </c>
      <c r="DN20" s="25">
        <v>27800</v>
      </c>
      <c r="DO20" s="36">
        <v>7.7</v>
      </c>
      <c r="DP20" s="18" t="s">
        <v>1937</v>
      </c>
      <c r="DQ20" s="18" t="s">
        <v>1782</v>
      </c>
      <c r="HW20" s="27">
        <v>44128</v>
      </c>
      <c r="HX20" s="14">
        <v>27800</v>
      </c>
      <c r="HZ20" s="14">
        <v>17100</v>
      </c>
      <c r="IA20" s="14">
        <v>2010</v>
      </c>
      <c r="IC20" s="18" t="s">
        <v>1963</v>
      </c>
      <c r="ID20" s="18" t="s">
        <v>1964</v>
      </c>
      <c r="IE20" s="18" t="s">
        <v>386</v>
      </c>
      <c r="II20" s="14">
        <v>167.67</v>
      </c>
      <c r="IJ20" s="14">
        <f t="shared" si="41"/>
        <v>12603.277733333332</v>
      </c>
      <c r="IK20" s="27">
        <v>44068</v>
      </c>
      <c r="IL20" s="27">
        <v>44085</v>
      </c>
      <c r="IM20" s="27">
        <v>44131</v>
      </c>
      <c r="IN20" s="27">
        <v>44137</v>
      </c>
    </row>
    <row r="21" spans="1:250" ht="14.45" customHeight="1">
      <c r="A21" s="18">
        <v>102020044</v>
      </c>
      <c r="B21" s="18" t="s">
        <v>1652</v>
      </c>
      <c r="C21" s="18" t="s">
        <v>1867</v>
      </c>
      <c r="D21" s="18">
        <v>200002912</v>
      </c>
      <c r="E21" s="18" t="s">
        <v>253</v>
      </c>
      <c r="F21" s="18" t="s">
        <v>1653</v>
      </c>
      <c r="G21" s="18" t="s">
        <v>1654</v>
      </c>
      <c r="AB21" s="37"/>
      <c r="AE21" s="18" t="s">
        <v>1659</v>
      </c>
      <c r="AF21" s="18" t="s">
        <v>258</v>
      </c>
      <c r="AG21" s="18" t="s">
        <v>386</v>
      </c>
      <c r="AH21" s="18" t="s">
        <v>260</v>
      </c>
      <c r="AJ21" s="18" t="s">
        <v>1655</v>
      </c>
      <c r="AK21" s="18" t="s">
        <v>258</v>
      </c>
      <c r="AL21" s="18" t="s">
        <v>1060</v>
      </c>
      <c r="AM21" s="18" t="s">
        <v>757</v>
      </c>
      <c r="AP21" s="18" t="s">
        <v>258</v>
      </c>
      <c r="AQ21" s="18" t="s">
        <v>258</v>
      </c>
      <c r="AR21" s="18" t="s">
        <v>258</v>
      </c>
      <c r="AS21" s="27">
        <v>43978</v>
      </c>
      <c r="AT21" s="21">
        <v>43947</v>
      </c>
      <c r="AU21" s="21">
        <v>43937</v>
      </c>
      <c r="AV21" s="21">
        <v>44022</v>
      </c>
      <c r="AW21" s="13" t="s">
        <v>1833</v>
      </c>
      <c r="AX21" s="21">
        <v>44008</v>
      </c>
      <c r="AY21" s="21">
        <v>44015</v>
      </c>
      <c r="AZ21" s="27">
        <v>44057</v>
      </c>
      <c r="BA21" s="18" t="s">
        <v>319</v>
      </c>
      <c r="BB21" s="20">
        <v>3386.1216272727274</v>
      </c>
      <c r="BC21" s="22">
        <v>-297.6938871304057</v>
      </c>
      <c r="BD21" s="22">
        <v>297.6938871304057</v>
      </c>
      <c r="BE21" s="14"/>
      <c r="BF21" s="14">
        <v>0</v>
      </c>
      <c r="BG21" s="14">
        <v>0</v>
      </c>
      <c r="BH21" s="17">
        <v>0</v>
      </c>
      <c r="BI21" s="23">
        <v>81</v>
      </c>
      <c r="BJ21" s="14">
        <v>0</v>
      </c>
      <c r="BK21" s="14"/>
      <c r="BL21" s="14">
        <v>0</v>
      </c>
      <c r="BM21" s="14">
        <v>0</v>
      </c>
      <c r="BN21" s="17">
        <v>0</v>
      </c>
      <c r="BO21" s="23">
        <v>69</v>
      </c>
      <c r="BP21" s="14">
        <v>0</v>
      </c>
      <c r="BQ21" s="14"/>
      <c r="BR21" s="14">
        <v>0</v>
      </c>
      <c r="BS21" s="14">
        <v>0</v>
      </c>
      <c r="BT21" s="17">
        <v>0</v>
      </c>
      <c r="BU21" s="23">
        <v>61</v>
      </c>
      <c r="BV21" s="14">
        <v>0</v>
      </c>
      <c r="BW21" s="14"/>
      <c r="BX21" s="14">
        <v>0</v>
      </c>
      <c r="BY21" s="14">
        <v>0</v>
      </c>
      <c r="BZ21" s="17">
        <v>0</v>
      </c>
      <c r="CA21" s="23">
        <v>49</v>
      </c>
      <c r="CB21" s="14">
        <v>0</v>
      </c>
      <c r="CC21" s="14">
        <v>247</v>
      </c>
      <c r="CD21" s="14">
        <v>24.700000000000003</v>
      </c>
      <c r="CE21" s="14">
        <f t="shared" si="22"/>
        <v>83.77416666666663</v>
      </c>
      <c r="CF21" s="17">
        <v>2.2641666666666658</v>
      </c>
      <c r="CG21" s="23">
        <v>37</v>
      </c>
      <c r="CH21" s="14">
        <f t="shared" si="24"/>
        <v>355.47416666666663</v>
      </c>
      <c r="CI21" s="14">
        <v>247</v>
      </c>
      <c r="CJ21" s="14">
        <f t="shared" si="25"/>
        <v>24.700000000000003</v>
      </c>
      <c r="CK21" s="14">
        <f t="shared" si="26"/>
        <v>56.604166666666643</v>
      </c>
      <c r="CL21" s="17">
        <v>2.2641666666666658</v>
      </c>
      <c r="CM21" s="23">
        <v>25</v>
      </c>
      <c r="CN21" s="14">
        <f t="shared" si="28"/>
        <v>328.30416666666662</v>
      </c>
      <c r="CO21" s="14">
        <v>252.72</v>
      </c>
      <c r="CP21" s="14">
        <f t="shared" si="29"/>
        <v>25.272000000000002</v>
      </c>
      <c r="CQ21" s="14">
        <f t="shared" si="30"/>
        <v>30.115799999999993</v>
      </c>
      <c r="CR21" s="17">
        <v>2.3165999999999993</v>
      </c>
      <c r="CS21" s="23">
        <v>13</v>
      </c>
      <c r="CT21" s="14">
        <f t="shared" si="40"/>
        <v>308.1078</v>
      </c>
      <c r="CU21" s="14">
        <f t="shared" si="32"/>
        <v>252.72</v>
      </c>
      <c r="CV21" s="14">
        <f t="shared" si="43"/>
        <v>999.44</v>
      </c>
      <c r="CW21" s="14">
        <f t="shared" si="44"/>
        <v>74.672000000000011</v>
      </c>
      <c r="CX21" s="14">
        <f t="shared" si="45"/>
        <v>170.49413333333325</v>
      </c>
      <c r="CY21" s="14">
        <f t="shared" si="46"/>
        <v>1244.6061333333332</v>
      </c>
      <c r="CZ21" s="24" t="s">
        <v>418</v>
      </c>
      <c r="DA21" s="14">
        <f>1183+663+39</f>
        <v>1885</v>
      </c>
      <c r="DB21" s="32">
        <v>5</v>
      </c>
      <c r="DC21" s="14">
        <f>57.1+30+39.35</f>
        <v>126.44999999999999</v>
      </c>
      <c r="DD21" s="14">
        <v>150</v>
      </c>
      <c r="DE21" s="14">
        <f t="shared" si="37"/>
        <v>5441.9761333333327</v>
      </c>
      <c r="DF21" s="14">
        <f>93.75+156.7</f>
        <v>250.45</v>
      </c>
      <c r="DG21" s="14">
        <f>731.27+167.05</f>
        <v>898.31999999999994</v>
      </c>
      <c r="DH21" s="14">
        <v>82.75</v>
      </c>
      <c r="DI21" s="14">
        <v>194.4</v>
      </c>
      <c r="DJ21" s="25">
        <v>610</v>
      </c>
      <c r="DK21" s="14">
        <f t="shared" si="38"/>
        <v>2035.92</v>
      </c>
      <c r="DL21" s="25">
        <v>29400</v>
      </c>
      <c r="DM21" s="25">
        <v>19200</v>
      </c>
      <c r="DN21" s="25">
        <v>48600</v>
      </c>
      <c r="DO21" s="36">
        <v>2.88</v>
      </c>
      <c r="DP21" s="18" t="s">
        <v>1938</v>
      </c>
      <c r="DQ21" s="18" t="s">
        <v>1885</v>
      </c>
      <c r="DR21" s="18" t="s">
        <v>1945</v>
      </c>
      <c r="DS21" s="18" t="s">
        <v>1946</v>
      </c>
      <c r="FM21" s="18" t="s">
        <v>382</v>
      </c>
      <c r="FN21" s="18" t="s">
        <v>383</v>
      </c>
      <c r="FO21" s="18" t="s">
        <v>384</v>
      </c>
      <c r="FP21" s="18" t="s">
        <v>385</v>
      </c>
      <c r="FQ21" s="18" t="s">
        <v>386</v>
      </c>
      <c r="FR21" s="18" t="s">
        <v>260</v>
      </c>
      <c r="FS21" s="27">
        <v>38749</v>
      </c>
      <c r="FT21" s="18" t="s">
        <v>1804</v>
      </c>
      <c r="FX21" s="18" t="s">
        <v>382</v>
      </c>
      <c r="FY21" s="18" t="s">
        <v>383</v>
      </c>
      <c r="FZ21" s="18" t="s">
        <v>384</v>
      </c>
      <c r="GA21" s="18" t="s">
        <v>385</v>
      </c>
      <c r="GB21" s="18" t="s">
        <v>386</v>
      </c>
      <c r="GC21" s="18" t="s">
        <v>260</v>
      </c>
      <c r="GD21" s="27">
        <v>39475</v>
      </c>
      <c r="GE21" s="18" t="s">
        <v>1805</v>
      </c>
      <c r="GI21" s="18" t="s">
        <v>1806</v>
      </c>
      <c r="GK21" s="18" t="s">
        <v>1807</v>
      </c>
      <c r="GM21" s="18" t="s">
        <v>267</v>
      </c>
      <c r="GN21" s="18" t="s">
        <v>268</v>
      </c>
      <c r="GO21" s="27">
        <v>42506</v>
      </c>
      <c r="GP21" s="18" t="s">
        <v>1808</v>
      </c>
      <c r="HW21" s="27">
        <v>44128</v>
      </c>
      <c r="HX21" s="14">
        <v>48600</v>
      </c>
      <c r="HZ21" s="14">
        <v>24000</v>
      </c>
      <c r="IA21" s="14">
        <v>2400</v>
      </c>
      <c r="IC21" s="18" t="s">
        <v>1987</v>
      </c>
      <c r="ID21" s="18" t="s">
        <v>1988</v>
      </c>
      <c r="IE21" s="18" t="s">
        <v>386</v>
      </c>
      <c r="II21" s="14">
        <v>258</v>
      </c>
      <c r="IJ21" s="14">
        <f t="shared" si="41"/>
        <v>18558.023866666666</v>
      </c>
      <c r="IK21" s="27">
        <v>44068</v>
      </c>
      <c r="IL21" s="27">
        <v>44085</v>
      </c>
      <c r="IM21" s="27">
        <v>44131</v>
      </c>
      <c r="IN21" s="27">
        <v>44137</v>
      </c>
    </row>
    <row r="22" spans="1:250" ht="14.25" customHeight="1">
      <c r="A22" s="18">
        <v>102020074</v>
      </c>
      <c r="B22" s="18" t="s">
        <v>1731</v>
      </c>
      <c r="C22" s="18" t="s">
        <v>1868</v>
      </c>
      <c r="D22" s="18">
        <v>200002913</v>
      </c>
      <c r="E22" s="18" t="s">
        <v>554</v>
      </c>
      <c r="F22" s="18" t="s">
        <v>1347</v>
      </c>
      <c r="G22" s="18" t="s">
        <v>556</v>
      </c>
      <c r="H22" s="18" t="s">
        <v>763</v>
      </c>
      <c r="K22" s="18" t="s">
        <v>1347</v>
      </c>
      <c r="L22" s="18" t="s">
        <v>1730</v>
      </c>
      <c r="M22" s="18" t="s">
        <v>392</v>
      </c>
      <c r="AB22" s="37"/>
      <c r="AE22" s="18" t="s">
        <v>1732</v>
      </c>
      <c r="AF22" s="18" t="s">
        <v>258</v>
      </c>
      <c r="AG22" s="18" t="s">
        <v>290</v>
      </c>
      <c r="AH22" s="18" t="s">
        <v>260</v>
      </c>
      <c r="AJ22" s="18" t="s">
        <v>1809</v>
      </c>
      <c r="AK22" s="18" t="s">
        <v>258</v>
      </c>
      <c r="AL22" s="18" t="s">
        <v>290</v>
      </c>
      <c r="AM22" s="18" t="s">
        <v>268</v>
      </c>
      <c r="AN22" s="18" t="s">
        <v>258</v>
      </c>
      <c r="AO22" s="18" t="s">
        <v>258</v>
      </c>
      <c r="AQ22" s="18" t="s">
        <v>258</v>
      </c>
      <c r="AR22" s="18" t="s">
        <v>258</v>
      </c>
      <c r="AS22" s="27">
        <v>43978</v>
      </c>
      <c r="AT22" s="21">
        <v>43912</v>
      </c>
      <c r="AU22" s="21">
        <v>43941</v>
      </c>
      <c r="AV22" s="21">
        <v>44022</v>
      </c>
      <c r="AW22" s="13" t="s">
        <v>1833</v>
      </c>
      <c r="AX22" s="21">
        <v>44008</v>
      </c>
      <c r="AY22" s="21">
        <v>44015</v>
      </c>
      <c r="AZ22" s="27">
        <v>44057</v>
      </c>
      <c r="BA22" s="18" t="s">
        <v>319</v>
      </c>
      <c r="BB22" s="20">
        <v>4051.1044999999999</v>
      </c>
      <c r="BC22" s="22">
        <v>-356.15644637898441</v>
      </c>
      <c r="BD22" s="22">
        <v>356.15644637898441</v>
      </c>
      <c r="BE22" s="14"/>
      <c r="BF22" s="14">
        <v>0</v>
      </c>
      <c r="BG22" s="14">
        <v>0</v>
      </c>
      <c r="BH22" s="17">
        <v>0</v>
      </c>
      <c r="BI22" s="23">
        <v>81</v>
      </c>
      <c r="BJ22" s="14">
        <v>0</v>
      </c>
      <c r="BK22" s="14"/>
      <c r="BL22" s="14">
        <v>0</v>
      </c>
      <c r="BM22" s="14">
        <v>0</v>
      </c>
      <c r="BN22" s="17">
        <v>0</v>
      </c>
      <c r="BO22" s="23">
        <v>69</v>
      </c>
      <c r="BP22" s="14">
        <v>0</v>
      </c>
      <c r="BQ22" s="14"/>
      <c r="BR22" s="14">
        <v>0</v>
      </c>
      <c r="BS22" s="14">
        <v>0</v>
      </c>
      <c r="BT22" s="17">
        <v>0</v>
      </c>
      <c r="BU22" s="23">
        <v>61</v>
      </c>
      <c r="BV22" s="14">
        <v>0</v>
      </c>
      <c r="BW22" s="14"/>
      <c r="BX22" s="14">
        <v>0</v>
      </c>
      <c r="BY22" s="14">
        <v>0</v>
      </c>
      <c r="BZ22" s="17">
        <v>0</v>
      </c>
      <c r="CA22" s="23">
        <v>49</v>
      </c>
      <c r="CB22" s="14">
        <v>0</v>
      </c>
      <c r="CC22" s="14">
        <v>439.4</v>
      </c>
      <c r="CD22" s="14">
        <v>43.94</v>
      </c>
      <c r="CE22" s="14">
        <f t="shared" si="22"/>
        <v>149.02983333333327</v>
      </c>
      <c r="CF22" s="17">
        <v>4.0278333333333318</v>
      </c>
      <c r="CG22" s="23">
        <v>37</v>
      </c>
      <c r="CH22" s="14">
        <f t="shared" si="24"/>
        <v>632.36983333333319</v>
      </c>
      <c r="CI22" s="14">
        <v>439.4</v>
      </c>
      <c r="CJ22" s="14">
        <f t="shared" si="25"/>
        <v>43.94</v>
      </c>
      <c r="CK22" s="14">
        <f t="shared" si="26"/>
        <v>100.6958333333333</v>
      </c>
      <c r="CL22" s="17">
        <v>4.0278333333333318</v>
      </c>
      <c r="CM22" s="23">
        <v>25</v>
      </c>
      <c r="CN22" s="14">
        <f t="shared" si="28"/>
        <v>584.03583333333324</v>
      </c>
      <c r="CO22" s="14">
        <v>471.12</v>
      </c>
      <c r="CP22" s="14">
        <f t="shared" si="29"/>
        <v>47.112000000000002</v>
      </c>
      <c r="CQ22" s="14">
        <f t="shared" si="30"/>
        <v>56.141583333333315</v>
      </c>
      <c r="CR22" s="17">
        <v>4.3185833333333319</v>
      </c>
      <c r="CS22" s="23">
        <v>13</v>
      </c>
      <c r="CT22" s="14">
        <f t="shared" si="40"/>
        <v>574.37358333333327</v>
      </c>
      <c r="CU22" s="14">
        <f t="shared" si="32"/>
        <v>471.12</v>
      </c>
      <c r="CV22" s="14">
        <f t="shared" si="43"/>
        <v>1821.04</v>
      </c>
      <c r="CW22" s="14">
        <f t="shared" si="44"/>
        <v>134.99199999999999</v>
      </c>
      <c r="CX22" s="14">
        <f t="shared" si="45"/>
        <v>305.8672499999999</v>
      </c>
      <c r="CY22" s="14">
        <f t="shared" si="46"/>
        <v>2261.8992499999999</v>
      </c>
      <c r="CZ22" s="24" t="s">
        <v>418</v>
      </c>
      <c r="DA22" s="14">
        <f>962+663</f>
        <v>1625</v>
      </c>
      <c r="DB22" s="32">
        <v>3</v>
      </c>
      <c r="DC22" s="14">
        <f>20.65+30+39.35</f>
        <v>90</v>
      </c>
      <c r="DD22" s="14">
        <v>300</v>
      </c>
      <c r="DE22" s="14">
        <f t="shared" si="37"/>
        <v>6458.7792499999996</v>
      </c>
      <c r="DF22" s="14">
        <f>93.75+147.5</f>
        <v>241.25</v>
      </c>
      <c r="DG22" s="14">
        <f>726.93+167.05</f>
        <v>893.98</v>
      </c>
      <c r="DH22" s="14">
        <v>74.25</v>
      </c>
      <c r="DI22" s="14">
        <v>362.4</v>
      </c>
      <c r="DJ22" s="25">
        <v>610</v>
      </c>
      <c r="DK22" s="14">
        <f t="shared" si="38"/>
        <v>2181.88</v>
      </c>
      <c r="DL22" s="25">
        <v>23300</v>
      </c>
      <c r="DM22" s="25">
        <v>67300</v>
      </c>
      <c r="DN22" s="25">
        <v>90600</v>
      </c>
      <c r="DO22" s="36">
        <v>0.38</v>
      </c>
      <c r="DP22" s="18" t="s">
        <v>1858</v>
      </c>
      <c r="DQ22" s="18" t="s">
        <v>1859</v>
      </c>
      <c r="FM22" s="18" t="s">
        <v>1810</v>
      </c>
      <c r="FN22" s="18" t="s">
        <v>790</v>
      </c>
      <c r="FO22" s="18" t="s">
        <v>824</v>
      </c>
      <c r="FQ22" s="18" t="s">
        <v>279</v>
      </c>
      <c r="FR22" s="18" t="s">
        <v>260</v>
      </c>
      <c r="FS22" s="27">
        <v>43745</v>
      </c>
      <c r="FT22" s="18" t="s">
        <v>1811</v>
      </c>
      <c r="HW22" s="27">
        <v>44128</v>
      </c>
      <c r="HX22" s="14">
        <v>90600</v>
      </c>
      <c r="HZ22" s="14">
        <v>65000</v>
      </c>
      <c r="IA22" s="14">
        <v>6500</v>
      </c>
      <c r="IC22" s="18" t="s">
        <v>1949</v>
      </c>
      <c r="ID22" s="18" t="s">
        <v>1948</v>
      </c>
      <c r="IE22" s="18" t="s">
        <v>290</v>
      </c>
      <c r="II22" s="14">
        <v>440</v>
      </c>
      <c r="IJ22" s="14">
        <f t="shared" si="41"/>
        <v>58541.22075</v>
      </c>
      <c r="IK22" s="27">
        <v>44068</v>
      </c>
      <c r="IL22" s="27">
        <v>44085</v>
      </c>
      <c r="IM22" s="27">
        <v>44131</v>
      </c>
      <c r="IN22" s="27">
        <v>44137</v>
      </c>
    </row>
    <row r="23" spans="1:250" customFormat="1" ht="14.45" customHeight="1">
      <c r="A23" s="18">
        <v>102020078</v>
      </c>
      <c r="B23" s="18" t="s">
        <v>768</v>
      </c>
      <c r="C23" s="13" t="s">
        <v>1980</v>
      </c>
      <c r="D23" s="13"/>
      <c r="E23" s="13"/>
      <c r="F23" s="18" t="s">
        <v>769</v>
      </c>
      <c r="G23" s="18" t="s">
        <v>770</v>
      </c>
      <c r="H23" s="18"/>
      <c r="I23" s="18"/>
      <c r="J23" s="13"/>
      <c r="K23" s="18"/>
      <c r="L23" s="18"/>
      <c r="M23" s="18"/>
      <c r="N23" s="18"/>
      <c r="O23" s="13"/>
      <c r="P23" s="18"/>
      <c r="Q23" s="18"/>
      <c r="R23" s="18"/>
      <c r="S23" s="18"/>
      <c r="T23" s="18"/>
      <c r="U23" s="18"/>
      <c r="V23" s="18"/>
      <c r="W23" s="18"/>
      <c r="X23" s="18"/>
      <c r="Y23" s="18"/>
      <c r="Z23" s="18"/>
      <c r="AA23" s="18"/>
      <c r="AB23" s="37"/>
      <c r="AC23" s="18"/>
      <c r="AD23" s="18"/>
      <c r="AE23" s="14" t="s">
        <v>328</v>
      </c>
      <c r="AF23" s="18"/>
      <c r="AG23" s="18" t="s">
        <v>329</v>
      </c>
      <c r="AH23" s="18"/>
      <c r="AI23" s="18"/>
      <c r="AJ23" s="14"/>
      <c r="AK23" s="20"/>
      <c r="AL23" s="18"/>
      <c r="AM23" s="24"/>
      <c r="AN23" s="20"/>
      <c r="AO23" s="20"/>
      <c r="AP23" s="13"/>
      <c r="AQ23" s="13"/>
      <c r="AR23" s="13"/>
      <c r="AS23" s="19"/>
      <c r="AT23" s="19"/>
      <c r="AU23" s="19"/>
      <c r="AV23" s="19"/>
      <c r="AW23" s="19"/>
      <c r="AX23" s="19"/>
      <c r="AY23" s="19"/>
      <c r="AZ23" s="19"/>
      <c r="BA23" s="19"/>
      <c r="BB23" s="20"/>
      <c r="BC23" s="22"/>
      <c r="BD23" s="22"/>
      <c r="BE23" s="14"/>
      <c r="BF23" s="14"/>
      <c r="BG23" s="14"/>
      <c r="BH23" s="17"/>
      <c r="BI23" s="23"/>
      <c r="BJ23" s="14"/>
      <c r="BK23" s="14"/>
      <c r="BL23" s="14"/>
      <c r="BM23" s="14"/>
      <c r="BN23" s="17"/>
      <c r="BO23" s="23"/>
      <c r="BP23" s="14"/>
      <c r="BQ23" s="14"/>
      <c r="BR23" s="14"/>
      <c r="BS23" s="14"/>
      <c r="BT23" s="17"/>
      <c r="BU23" s="23"/>
      <c r="BV23" s="14"/>
      <c r="BW23" s="14"/>
      <c r="BX23" s="14"/>
      <c r="BY23" s="14"/>
      <c r="BZ23" s="17"/>
      <c r="CA23" s="23"/>
      <c r="CB23" s="14"/>
      <c r="CC23" s="14"/>
      <c r="CD23" s="14"/>
      <c r="CE23" s="14"/>
      <c r="CF23" s="17"/>
      <c r="CG23" s="23"/>
      <c r="CH23" s="14"/>
      <c r="CI23" s="14"/>
      <c r="CJ23" s="14"/>
      <c r="CK23" s="14"/>
      <c r="CL23" s="17"/>
      <c r="CM23" s="23"/>
      <c r="CN23" s="14"/>
      <c r="CO23" s="14"/>
      <c r="CP23" s="14"/>
      <c r="CQ23" s="14"/>
      <c r="CR23" s="17"/>
      <c r="CS23" s="23"/>
      <c r="CT23" s="14"/>
      <c r="CU23" s="14"/>
      <c r="CV23" s="14"/>
      <c r="CW23" s="14"/>
      <c r="CX23" s="14"/>
      <c r="CY23" s="66"/>
      <c r="DA23" s="66">
        <v>273</v>
      </c>
      <c r="DC23" s="4">
        <f t="shared" ref="DC23:DC31" si="49">30+39.35</f>
        <v>69.349999999999994</v>
      </c>
      <c r="DD23" s="4"/>
      <c r="DE23" s="14">
        <f t="shared" ref="DE23:DE31" si="50">SUM(DC23,DA23, HY23,DG23)</f>
        <v>4967.6600000000008</v>
      </c>
      <c r="DF23" s="14"/>
      <c r="DG23" s="4">
        <v>113</v>
      </c>
      <c r="DH23" s="14"/>
      <c r="DI23" s="14"/>
      <c r="DJ23" s="14"/>
      <c r="DK23" s="14"/>
      <c r="DL23" s="25">
        <v>25600</v>
      </c>
      <c r="DM23" s="25"/>
      <c r="DN23" s="25">
        <f>SUM(DL23+DM23)</f>
        <v>25600</v>
      </c>
      <c r="DO23" s="36">
        <v>3.41</v>
      </c>
      <c r="DP23" s="18" t="s">
        <v>771</v>
      </c>
      <c r="DQ23" s="18" t="s">
        <v>1920</v>
      </c>
      <c r="DR23" s="67" t="s">
        <v>1921</v>
      </c>
      <c r="DS23" s="18"/>
      <c r="DT23" s="18"/>
      <c r="DU23" s="18"/>
      <c r="DV23" s="18"/>
      <c r="DW23" s="18"/>
      <c r="DX23" s="18"/>
      <c r="DY23" s="18"/>
      <c r="DZ23" s="18"/>
      <c r="EA23" s="18"/>
      <c r="EB23" s="18"/>
      <c r="EC23" s="18"/>
      <c r="ED23" s="18"/>
      <c r="EE23" s="18"/>
      <c r="EF23" s="18"/>
      <c r="EG23" s="18"/>
      <c r="EH23" s="18"/>
      <c r="EI23" s="18"/>
      <c r="EJ23" s="18"/>
      <c r="EK23" s="14"/>
      <c r="EL23" s="14"/>
      <c r="EM23" s="14"/>
      <c r="EN23" s="14"/>
      <c r="EO23" s="14"/>
      <c r="EP23" s="14"/>
      <c r="EQ23" s="14"/>
      <c r="ER23" s="14"/>
      <c r="ES23" s="14"/>
      <c r="ET23" s="14"/>
      <c r="EU23" s="18"/>
      <c r="EV23" s="18"/>
      <c r="EW23" s="18"/>
      <c r="EX23" s="27"/>
      <c r="EY23" s="18"/>
      <c r="EZ23" s="18"/>
      <c r="FA23" s="18"/>
      <c r="FB23" s="18"/>
      <c r="FC23" s="18"/>
      <c r="FD23" s="18"/>
      <c r="FE23" s="18"/>
      <c r="FF23" s="18"/>
      <c r="FG23" s="18"/>
      <c r="FH23" s="18"/>
      <c r="FI23" s="18"/>
      <c r="FJ23" s="18"/>
      <c r="FK23" s="18"/>
      <c r="FL23" s="14"/>
      <c r="FM23" s="18"/>
      <c r="FN23" s="18"/>
      <c r="FO23" s="18"/>
      <c r="FP23" s="18"/>
      <c r="FQ23" s="28"/>
      <c r="FR23" s="18"/>
      <c r="FS23" s="18"/>
      <c r="FT23" s="18"/>
      <c r="FU23" s="18"/>
      <c r="FV23" s="18"/>
      <c r="FW23" s="18"/>
      <c r="FX23" s="18"/>
      <c r="FY23" s="18"/>
      <c r="FZ23" s="18"/>
      <c r="GA23" s="28"/>
      <c r="GB23" s="18"/>
      <c r="GC23" s="18"/>
      <c r="GD23" s="18"/>
      <c r="GE23" s="18"/>
      <c r="GF23" s="18"/>
      <c r="GG23" s="18"/>
      <c r="GH23" s="18"/>
      <c r="GI23" s="18"/>
      <c r="GJ23" s="18"/>
      <c r="GK23" s="18"/>
      <c r="GL23" s="18"/>
      <c r="GM23" s="18"/>
      <c r="GN23" s="18"/>
      <c r="GO23" s="18"/>
      <c r="GP23" s="27"/>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27">
        <v>44128</v>
      </c>
      <c r="HX23" s="14">
        <v>25600</v>
      </c>
      <c r="HY23" s="14">
        <f>5112.31-600</f>
        <v>4512.3100000000004</v>
      </c>
      <c r="HZ23" s="14">
        <v>1500</v>
      </c>
      <c r="IA23" s="14">
        <v>1500</v>
      </c>
      <c r="IB23" s="14">
        <f t="shared" ref="IB23:IB31" si="51">HZ23-DE23</f>
        <v>-3467.6600000000008</v>
      </c>
      <c r="IC23" s="18" t="s">
        <v>1983</v>
      </c>
      <c r="ID23" s="18" t="s">
        <v>1969</v>
      </c>
      <c r="IE23" s="18" t="s">
        <v>524</v>
      </c>
      <c r="IF23" s="18"/>
      <c r="IG23" s="14"/>
      <c r="IH23" s="14"/>
      <c r="II23" s="14">
        <v>132.33000000000001</v>
      </c>
      <c r="IJ23" s="14"/>
      <c r="IK23" s="14"/>
      <c r="IL23" s="18"/>
      <c r="IM23" s="18"/>
      <c r="IN23" s="18"/>
      <c r="IO23" s="18"/>
      <c r="IP23" s="18"/>
    </row>
    <row r="24" spans="1:250" customFormat="1" ht="14.45" customHeight="1">
      <c r="A24" s="18">
        <v>102020079</v>
      </c>
      <c r="B24" t="s">
        <v>897</v>
      </c>
      <c r="C24" t="s">
        <v>898</v>
      </c>
      <c r="D24">
        <v>180005340</v>
      </c>
      <c r="E24" t="s">
        <v>311</v>
      </c>
      <c r="F24" t="s">
        <v>899</v>
      </c>
      <c r="G24" t="s">
        <v>900</v>
      </c>
      <c r="H24" t="s">
        <v>357</v>
      </c>
      <c r="AE24" t="s">
        <v>328</v>
      </c>
      <c r="AG24" t="s">
        <v>259</v>
      </c>
      <c r="AH24" t="s">
        <v>260</v>
      </c>
      <c r="AI24" t="s">
        <v>1402</v>
      </c>
      <c r="AJ24" t="s">
        <v>1403</v>
      </c>
      <c r="AK24" t="s">
        <v>258</v>
      </c>
      <c r="AL24" t="s">
        <v>1060</v>
      </c>
      <c r="AM24" t="s">
        <v>757</v>
      </c>
      <c r="AP24" t="s">
        <v>258</v>
      </c>
      <c r="AQ24" t="s">
        <v>258</v>
      </c>
      <c r="AR24" t="s">
        <v>258</v>
      </c>
      <c r="AS24" s="9">
        <v>43416</v>
      </c>
      <c r="AT24" s="9">
        <v>43362</v>
      </c>
      <c r="AU24" s="9">
        <v>43384</v>
      </c>
      <c r="AV24" s="9">
        <v>43455</v>
      </c>
      <c r="AW24" t="s">
        <v>318</v>
      </c>
      <c r="AX24" s="9">
        <v>43441</v>
      </c>
      <c r="AY24" s="9">
        <v>43448</v>
      </c>
      <c r="AZ24" s="9">
        <v>43539</v>
      </c>
      <c r="BA24" t="s">
        <v>319</v>
      </c>
      <c r="BB24" s="66"/>
      <c r="BC24" s="66"/>
      <c r="BD24" s="66"/>
      <c r="BE24" s="66"/>
      <c r="BF24" s="66"/>
      <c r="BG24" s="66"/>
      <c r="BJ24" s="66"/>
      <c r="BL24" s="66"/>
      <c r="BM24" s="66"/>
      <c r="BP24" s="66"/>
      <c r="BQ24" s="66"/>
      <c r="BR24" s="66"/>
      <c r="BS24" s="66"/>
      <c r="BU24" s="23"/>
      <c r="BV24" s="66"/>
      <c r="BW24" s="66"/>
      <c r="BX24" s="66"/>
      <c r="BY24" s="66"/>
      <c r="CA24" s="23"/>
      <c r="CB24" s="66"/>
      <c r="CC24" s="66"/>
      <c r="CD24" s="66"/>
      <c r="CE24" s="66"/>
      <c r="CG24" s="23"/>
      <c r="CH24" s="66"/>
      <c r="CI24" s="66"/>
      <c r="CJ24" s="66"/>
      <c r="CK24" s="66"/>
      <c r="CN24" s="66"/>
      <c r="CO24" s="66"/>
      <c r="CP24" s="66"/>
      <c r="CQ24" s="66"/>
      <c r="CS24" s="23"/>
      <c r="CT24" s="66"/>
      <c r="CU24" s="14"/>
      <c r="CV24" s="14"/>
      <c r="CW24" s="66"/>
      <c r="CX24" s="66"/>
      <c r="CY24" s="66"/>
      <c r="DA24" s="66">
        <v>273</v>
      </c>
      <c r="DC24" s="4">
        <f t="shared" si="49"/>
        <v>69.349999999999994</v>
      </c>
      <c r="DD24" s="4"/>
      <c r="DE24" s="14">
        <f t="shared" si="50"/>
        <v>4455.3500000000004</v>
      </c>
      <c r="DF24" s="4"/>
      <c r="DG24" s="4">
        <v>113</v>
      </c>
      <c r="DH24" s="4"/>
      <c r="DI24" s="4"/>
      <c r="DJ24" s="4"/>
      <c r="DK24" s="4"/>
      <c r="DL24" s="4">
        <v>14400</v>
      </c>
      <c r="DM24" s="4">
        <v>0</v>
      </c>
      <c r="DN24" s="4">
        <v>14400</v>
      </c>
      <c r="DO24" s="7">
        <v>0.1</v>
      </c>
      <c r="DP24" t="s">
        <v>1404</v>
      </c>
      <c r="DQ24" t="s">
        <v>1405</v>
      </c>
      <c r="DR24" s="67" t="s">
        <v>1924</v>
      </c>
      <c r="FL24" s="66"/>
      <c r="FM24" t="s">
        <v>1406</v>
      </c>
      <c r="FN24" t="s">
        <v>1407</v>
      </c>
      <c r="FO24" t="s">
        <v>1408</v>
      </c>
      <c r="FQ24" t="s">
        <v>290</v>
      </c>
      <c r="FR24" t="s">
        <v>268</v>
      </c>
      <c r="FS24" s="9">
        <v>36943</v>
      </c>
      <c r="FT24" t="s">
        <v>1409</v>
      </c>
      <c r="HW24" s="27">
        <v>44128</v>
      </c>
      <c r="HX24" s="14">
        <v>14400</v>
      </c>
      <c r="HY24" s="4">
        <f>4500-500</f>
        <v>4000</v>
      </c>
      <c r="HZ24" s="4">
        <v>100</v>
      </c>
      <c r="IA24" s="4">
        <v>100</v>
      </c>
      <c r="IB24" s="14">
        <f t="shared" si="51"/>
        <v>-4355.3500000000004</v>
      </c>
      <c r="IC24" t="s">
        <v>747</v>
      </c>
      <c r="ID24" t="s">
        <v>1971</v>
      </c>
      <c r="IE24" t="s">
        <v>749</v>
      </c>
      <c r="IG24" s="4"/>
      <c r="IH24" s="4"/>
      <c r="II24" s="4">
        <v>95</v>
      </c>
      <c r="IJ24" s="66"/>
      <c r="IK24" s="9"/>
      <c r="IL24" s="9"/>
      <c r="IM24" s="9"/>
      <c r="IN24" s="9"/>
    </row>
    <row r="25" spans="1:250" customFormat="1" ht="14.45" customHeight="1">
      <c r="A25" s="18">
        <v>102020080</v>
      </c>
      <c r="B25" t="s">
        <v>928</v>
      </c>
      <c r="C25" t="s">
        <v>929</v>
      </c>
      <c r="D25">
        <v>180005855</v>
      </c>
      <c r="E25" t="s">
        <v>311</v>
      </c>
      <c r="F25" t="s">
        <v>306</v>
      </c>
      <c r="G25" t="s">
        <v>930</v>
      </c>
      <c r="J25" t="s">
        <v>258</v>
      </c>
      <c r="K25" t="s">
        <v>306</v>
      </c>
      <c r="L25" t="s">
        <v>931</v>
      </c>
      <c r="M25" t="s">
        <v>309</v>
      </c>
      <c r="O25" t="s">
        <v>258</v>
      </c>
      <c r="AE25" t="s">
        <v>328</v>
      </c>
      <c r="AG25" t="s">
        <v>316</v>
      </c>
      <c r="AH25" t="s">
        <v>260</v>
      </c>
      <c r="AI25" t="s">
        <v>1414</v>
      </c>
      <c r="AJ25" t="s">
        <v>1415</v>
      </c>
      <c r="AK25" t="s">
        <v>258</v>
      </c>
      <c r="AL25" t="s">
        <v>1416</v>
      </c>
      <c r="AP25" t="s">
        <v>258</v>
      </c>
      <c r="AQ25" t="s">
        <v>258</v>
      </c>
      <c r="AR25" t="s">
        <v>258</v>
      </c>
      <c r="AS25" s="9">
        <v>43452</v>
      </c>
      <c r="AT25" s="9">
        <v>43362</v>
      </c>
      <c r="AU25" s="9">
        <v>43364</v>
      </c>
      <c r="AV25" s="9">
        <v>43518</v>
      </c>
      <c r="AW25" t="s">
        <v>318</v>
      </c>
      <c r="AX25" s="9">
        <v>43504</v>
      </c>
      <c r="AY25" s="9">
        <v>43511</v>
      </c>
      <c r="BB25" s="66"/>
      <c r="BC25" s="66"/>
      <c r="BD25" s="66"/>
      <c r="BE25" s="66"/>
      <c r="BF25" s="66"/>
      <c r="BG25" s="66"/>
      <c r="BJ25" s="66"/>
      <c r="BK25" s="66"/>
      <c r="BL25" s="66"/>
      <c r="BM25" s="66"/>
      <c r="BP25" s="66"/>
      <c r="BQ25" s="66"/>
      <c r="BR25" s="66"/>
      <c r="BS25" s="66"/>
      <c r="BV25" s="66"/>
      <c r="BW25" s="66"/>
      <c r="BX25" s="66"/>
      <c r="BY25" s="66"/>
      <c r="CB25" s="66"/>
      <c r="CC25" s="66"/>
      <c r="CD25" s="66"/>
      <c r="CE25" s="66"/>
      <c r="CH25" s="66"/>
      <c r="CI25" s="66"/>
      <c r="CJ25" s="66"/>
      <c r="CK25" s="66"/>
      <c r="CN25" s="66"/>
      <c r="CO25" s="66"/>
      <c r="CP25" s="66"/>
      <c r="CQ25" s="66"/>
      <c r="CT25" s="66"/>
      <c r="CU25" s="14"/>
      <c r="CV25" s="14"/>
      <c r="CW25" s="66"/>
      <c r="CX25" s="66"/>
      <c r="CY25" s="66"/>
      <c r="DA25" s="66">
        <v>273</v>
      </c>
      <c r="DC25" s="4">
        <f t="shared" si="49"/>
        <v>69.349999999999994</v>
      </c>
      <c r="DD25" s="4"/>
      <c r="DE25" s="14">
        <f t="shared" si="50"/>
        <v>4738.1100000000006</v>
      </c>
      <c r="DF25" s="4"/>
      <c r="DG25" s="4">
        <v>113</v>
      </c>
      <c r="DH25" s="4"/>
      <c r="DI25" s="4"/>
      <c r="DJ25" s="4"/>
      <c r="DK25" s="4"/>
      <c r="DL25" s="4">
        <v>9000</v>
      </c>
      <c r="DM25" s="4">
        <v>0</v>
      </c>
      <c r="DN25" s="4">
        <v>9000</v>
      </c>
      <c r="DO25" s="7">
        <v>0.7</v>
      </c>
      <c r="DP25" t="s">
        <v>1417</v>
      </c>
      <c r="DQ25" t="s">
        <v>1418</v>
      </c>
      <c r="DR25" t="s">
        <v>1419</v>
      </c>
      <c r="DS25" s="18" t="s">
        <v>1923</v>
      </c>
      <c r="HW25" s="27">
        <v>44128</v>
      </c>
      <c r="HX25" s="14">
        <v>9000</v>
      </c>
      <c r="HY25" s="4">
        <v>4282.76</v>
      </c>
      <c r="HZ25" s="4">
        <v>3300</v>
      </c>
      <c r="IA25" s="4">
        <v>330</v>
      </c>
      <c r="IB25" s="14">
        <f t="shared" si="51"/>
        <v>-1438.1100000000006</v>
      </c>
      <c r="IC25" s="18" t="s">
        <v>772</v>
      </c>
      <c r="ID25" s="18" t="s">
        <v>1153</v>
      </c>
      <c r="IE25" s="18" t="s">
        <v>386</v>
      </c>
      <c r="IG25" s="4"/>
      <c r="IH25" s="4"/>
      <c r="II25" s="4">
        <v>77</v>
      </c>
      <c r="IK25" s="9"/>
      <c r="IL25" s="9"/>
      <c r="IM25" s="9"/>
      <c r="IN25" s="9"/>
    </row>
    <row r="26" spans="1:250" customFormat="1" ht="14.45" customHeight="1">
      <c r="A26">
        <v>102020081</v>
      </c>
      <c r="B26" t="s">
        <v>947</v>
      </c>
      <c r="C26" t="s">
        <v>948</v>
      </c>
      <c r="D26">
        <v>190001363</v>
      </c>
      <c r="E26" t="s">
        <v>510</v>
      </c>
      <c r="F26" t="s">
        <v>949</v>
      </c>
      <c r="G26" t="s">
        <v>950</v>
      </c>
      <c r="J26" t="s">
        <v>258</v>
      </c>
      <c r="AE26" t="s">
        <v>328</v>
      </c>
      <c r="AG26" t="s">
        <v>349</v>
      </c>
      <c r="AH26" t="s">
        <v>260</v>
      </c>
      <c r="AI26" t="s">
        <v>1423</v>
      </c>
      <c r="AJ26" t="s">
        <v>1424</v>
      </c>
      <c r="AK26" t="s">
        <v>258</v>
      </c>
      <c r="AL26" t="s">
        <v>1425</v>
      </c>
      <c r="AQ26" t="s">
        <v>258</v>
      </c>
      <c r="AR26" t="s">
        <v>258</v>
      </c>
      <c r="AT26" s="9">
        <v>43362</v>
      </c>
      <c r="AU26" s="9">
        <v>43515</v>
      </c>
      <c r="AV26" s="9">
        <v>43588</v>
      </c>
      <c r="AW26" t="s">
        <v>318</v>
      </c>
      <c r="AX26" s="9">
        <v>43574</v>
      </c>
      <c r="AY26" s="9">
        <v>43581</v>
      </c>
      <c r="AZ26" s="9">
        <v>43637</v>
      </c>
      <c r="BA26" t="s">
        <v>319</v>
      </c>
      <c r="BB26" s="66"/>
      <c r="BC26" s="66"/>
      <c r="BD26" s="66"/>
      <c r="BE26" s="66"/>
      <c r="BF26" s="66"/>
      <c r="BG26" s="66"/>
      <c r="BJ26" s="66"/>
      <c r="BK26" s="66"/>
      <c r="BL26" s="66"/>
      <c r="BM26" s="66"/>
      <c r="BP26" s="66"/>
      <c r="BQ26" s="66"/>
      <c r="BR26" s="66"/>
      <c r="BS26" s="66"/>
      <c r="BV26" s="66"/>
      <c r="BW26" s="66"/>
      <c r="BX26" s="66"/>
      <c r="BY26" s="66"/>
      <c r="CB26" s="66"/>
      <c r="CC26" s="66"/>
      <c r="CD26" s="66"/>
      <c r="CE26" s="66"/>
      <c r="CH26" s="66"/>
      <c r="CI26" s="66"/>
      <c r="CJ26" s="66"/>
      <c r="CK26" s="66"/>
      <c r="CN26" s="66"/>
      <c r="CO26" s="66"/>
      <c r="CP26" s="66"/>
      <c r="CQ26" s="66"/>
      <c r="CT26" s="66"/>
      <c r="CU26" s="14"/>
      <c r="CV26" s="14"/>
      <c r="CW26" s="66"/>
      <c r="CX26" s="66"/>
      <c r="CY26" s="66"/>
      <c r="DA26" s="66">
        <v>273</v>
      </c>
      <c r="DC26" s="4">
        <f t="shared" si="49"/>
        <v>69.349999999999994</v>
      </c>
      <c r="DD26" s="4"/>
      <c r="DE26" s="14">
        <f t="shared" si="50"/>
        <v>4843.4500000000007</v>
      </c>
      <c r="DF26" s="4"/>
      <c r="DG26" s="4">
        <v>113</v>
      </c>
      <c r="DH26" s="4"/>
      <c r="DI26" s="4"/>
      <c r="DJ26" s="4"/>
      <c r="DK26" s="4"/>
      <c r="DL26" s="4">
        <v>16000</v>
      </c>
      <c r="DM26" s="4">
        <v>0</v>
      </c>
      <c r="DN26" s="4">
        <v>16000</v>
      </c>
      <c r="DO26" s="7">
        <v>1</v>
      </c>
      <c r="DP26" t="s">
        <v>1426</v>
      </c>
      <c r="DQ26" t="s">
        <v>1427</v>
      </c>
      <c r="DR26" t="s">
        <v>1428</v>
      </c>
      <c r="DS26" t="s">
        <v>1429</v>
      </c>
      <c r="DT26" t="s">
        <v>1430</v>
      </c>
      <c r="DU26" t="s">
        <v>1431</v>
      </c>
      <c r="DV26" t="s">
        <v>1432</v>
      </c>
      <c r="DW26" t="s">
        <v>1433</v>
      </c>
      <c r="DX26" t="s">
        <v>1434</v>
      </c>
      <c r="DY26" t="s">
        <v>1435</v>
      </c>
      <c r="DZ26" s="68" t="s">
        <v>1929</v>
      </c>
      <c r="HW26" s="27">
        <v>44128</v>
      </c>
      <c r="HX26" s="14">
        <v>16000</v>
      </c>
      <c r="HY26" s="4">
        <v>4388.1000000000004</v>
      </c>
      <c r="HZ26" s="4">
        <v>600</v>
      </c>
      <c r="IA26" s="4">
        <v>600</v>
      </c>
      <c r="IB26" s="14">
        <f t="shared" si="51"/>
        <v>-4243.4500000000007</v>
      </c>
      <c r="IC26" t="s">
        <v>1972</v>
      </c>
      <c r="ID26" t="s">
        <v>1965</v>
      </c>
      <c r="IE26" t="s">
        <v>329</v>
      </c>
      <c r="IG26" s="4"/>
      <c r="IH26" s="4"/>
      <c r="II26" s="4">
        <v>100.33</v>
      </c>
      <c r="IK26" s="4"/>
      <c r="IL26" s="9"/>
      <c r="IM26" s="9"/>
      <c r="IN26" s="9"/>
    </row>
    <row r="27" spans="1:250" customFormat="1" ht="14.45" customHeight="1">
      <c r="A27">
        <v>102020082</v>
      </c>
      <c r="B27" t="s">
        <v>997</v>
      </c>
      <c r="C27" t="s">
        <v>998</v>
      </c>
      <c r="D27">
        <v>180002376</v>
      </c>
      <c r="E27" t="s">
        <v>434</v>
      </c>
      <c r="F27" t="s">
        <v>999</v>
      </c>
      <c r="G27" t="s">
        <v>1000</v>
      </c>
      <c r="H27" t="s">
        <v>598</v>
      </c>
      <c r="K27" t="s">
        <v>1001</v>
      </c>
      <c r="L27" t="s">
        <v>1002</v>
      </c>
      <c r="M27" t="s">
        <v>469</v>
      </c>
      <c r="AE27" t="s">
        <v>1438</v>
      </c>
      <c r="AF27" t="s">
        <v>258</v>
      </c>
      <c r="AG27" t="s">
        <v>344</v>
      </c>
      <c r="AH27" t="s">
        <v>260</v>
      </c>
      <c r="AJ27" t="s">
        <v>1439</v>
      </c>
      <c r="AL27" t="s">
        <v>756</v>
      </c>
      <c r="AM27" t="s">
        <v>757</v>
      </c>
      <c r="AP27" t="s">
        <v>258</v>
      </c>
      <c r="AQ27" t="s">
        <v>258</v>
      </c>
      <c r="AR27" t="s">
        <v>258</v>
      </c>
      <c r="AS27" s="9">
        <v>43241</v>
      </c>
      <c r="AT27" s="9">
        <v>43210</v>
      </c>
      <c r="AU27" s="9">
        <v>43175</v>
      </c>
      <c r="AV27" s="9">
        <v>43273</v>
      </c>
      <c r="AW27" t="s">
        <v>318</v>
      </c>
      <c r="AX27" s="9">
        <v>43259</v>
      </c>
      <c r="AY27" s="9">
        <v>43266</v>
      </c>
      <c r="AZ27" s="9">
        <v>43539</v>
      </c>
      <c r="BA27" t="s">
        <v>319</v>
      </c>
      <c r="BB27" s="66"/>
      <c r="BC27" s="66"/>
      <c r="BD27" s="66"/>
      <c r="BE27" s="66"/>
      <c r="BF27" s="66"/>
      <c r="BG27" s="66"/>
      <c r="BJ27" s="66"/>
      <c r="BK27" s="66"/>
      <c r="BL27" s="66"/>
      <c r="BM27" s="66"/>
      <c r="BP27" s="66"/>
      <c r="BQ27" s="66"/>
      <c r="BR27" s="66"/>
      <c r="BS27" s="66"/>
      <c r="BV27" s="66"/>
      <c r="BW27" s="66"/>
      <c r="BX27" s="66"/>
      <c r="BY27" s="66"/>
      <c r="CB27" s="66"/>
      <c r="CC27" s="66"/>
      <c r="CD27" s="66"/>
      <c r="CE27" s="66"/>
      <c r="CH27" s="66"/>
      <c r="CI27" s="66"/>
      <c r="CJ27" s="66"/>
      <c r="CK27" s="66"/>
      <c r="CN27" s="66"/>
      <c r="CO27" s="66"/>
      <c r="CP27" s="66"/>
      <c r="CQ27" s="66"/>
      <c r="CT27" s="66"/>
      <c r="CU27" s="14"/>
      <c r="CV27" s="14"/>
      <c r="CW27" s="66"/>
      <c r="CX27" s="66"/>
      <c r="CY27" s="66"/>
      <c r="DA27" s="66">
        <v>273</v>
      </c>
      <c r="DC27" s="4">
        <f t="shared" si="49"/>
        <v>69.349999999999994</v>
      </c>
      <c r="DD27" s="4"/>
      <c r="DE27" s="14">
        <f t="shared" si="50"/>
        <v>7734.51</v>
      </c>
      <c r="DF27" s="4"/>
      <c r="DG27" s="4">
        <v>113</v>
      </c>
      <c r="DH27" s="4"/>
      <c r="DI27" s="4"/>
      <c r="DJ27" s="4"/>
      <c r="DK27" s="4"/>
      <c r="DL27" s="4">
        <v>12000</v>
      </c>
      <c r="DM27" s="4">
        <v>20100</v>
      </c>
      <c r="DN27" s="4">
        <v>32100</v>
      </c>
      <c r="DO27" s="7">
        <v>0.56999999999999995</v>
      </c>
      <c r="DP27" t="s">
        <v>1440</v>
      </c>
      <c r="DQ27" t="s">
        <v>1441</v>
      </c>
      <c r="DR27" t="s">
        <v>1442</v>
      </c>
      <c r="DS27" t="s">
        <v>1443</v>
      </c>
      <c r="DT27" s="67" t="s">
        <v>1918</v>
      </c>
      <c r="EB27" t="s">
        <v>1444</v>
      </c>
      <c r="ED27" t="s">
        <v>1445</v>
      </c>
      <c r="EF27" t="s">
        <v>756</v>
      </c>
      <c r="EG27" t="s">
        <v>1446</v>
      </c>
      <c r="ES27" t="s">
        <v>1447</v>
      </c>
      <c r="ET27" t="s">
        <v>783</v>
      </c>
      <c r="EU27" t="s">
        <v>1030</v>
      </c>
      <c r="EV27" t="s">
        <v>259</v>
      </c>
      <c r="EW27" t="s">
        <v>972</v>
      </c>
      <c r="EX27" s="9">
        <v>35311</v>
      </c>
      <c r="EY27" t="s">
        <v>1448</v>
      </c>
      <c r="HW27" s="27">
        <v>44128</v>
      </c>
      <c r="HX27" s="14">
        <v>32100</v>
      </c>
      <c r="HY27" s="4">
        <v>7279.16</v>
      </c>
      <c r="HZ27" s="4">
        <v>4700</v>
      </c>
      <c r="IA27" s="4">
        <v>470</v>
      </c>
      <c r="IB27" s="14">
        <f t="shared" si="51"/>
        <v>-3034.51</v>
      </c>
      <c r="IC27" t="s">
        <v>1968</v>
      </c>
      <c r="ID27" s="18" t="s">
        <v>1958</v>
      </c>
      <c r="IE27" s="18" t="s">
        <v>349</v>
      </c>
      <c r="IG27" s="4"/>
      <c r="IH27" s="4"/>
      <c r="II27" s="4">
        <v>154</v>
      </c>
      <c r="IJ27" s="66"/>
      <c r="IK27" s="9"/>
      <c r="IL27" s="9"/>
      <c r="IM27" s="9"/>
      <c r="IN27" s="9"/>
    </row>
    <row r="28" spans="1:250" customFormat="1" ht="14.45" customHeight="1">
      <c r="A28">
        <v>102020083</v>
      </c>
      <c r="B28" t="s">
        <v>1081</v>
      </c>
      <c r="C28" t="s">
        <v>1082</v>
      </c>
      <c r="D28">
        <v>180005344</v>
      </c>
      <c r="E28" t="s">
        <v>311</v>
      </c>
      <c r="F28" t="s">
        <v>1083</v>
      </c>
      <c r="G28" t="s">
        <v>1084</v>
      </c>
      <c r="AE28" t="s">
        <v>328</v>
      </c>
      <c r="AG28" t="s">
        <v>349</v>
      </c>
      <c r="AH28" t="s">
        <v>260</v>
      </c>
      <c r="AI28" t="s">
        <v>1451</v>
      </c>
      <c r="AJ28" t="s">
        <v>1452</v>
      </c>
      <c r="AK28" t="s">
        <v>258</v>
      </c>
      <c r="AL28" t="s">
        <v>1453</v>
      </c>
      <c r="AP28" t="s">
        <v>258</v>
      </c>
      <c r="AQ28" t="s">
        <v>258</v>
      </c>
      <c r="AR28" t="s">
        <v>258</v>
      </c>
      <c r="AS28" s="9">
        <v>43416</v>
      </c>
      <c r="AT28" s="9">
        <v>43362</v>
      </c>
      <c r="AU28" s="9">
        <v>43382</v>
      </c>
      <c r="AV28" s="9">
        <v>43455</v>
      </c>
      <c r="AW28" t="s">
        <v>318</v>
      </c>
      <c r="AX28" s="9">
        <v>43441</v>
      </c>
      <c r="AY28" s="9">
        <v>43448</v>
      </c>
      <c r="AZ28" s="9">
        <v>43539</v>
      </c>
      <c r="BA28" t="s">
        <v>319</v>
      </c>
      <c r="BB28" s="66"/>
      <c r="BC28" s="66"/>
      <c r="BD28" s="66"/>
      <c r="BE28" s="66"/>
      <c r="BF28" s="66"/>
      <c r="BG28" s="66"/>
      <c r="BJ28" s="66"/>
      <c r="BK28" s="66"/>
      <c r="BL28" s="66"/>
      <c r="BM28" s="66"/>
      <c r="BP28" s="66"/>
      <c r="BQ28" s="66"/>
      <c r="BR28" s="66"/>
      <c r="BS28" s="66"/>
      <c r="BV28" s="66"/>
      <c r="BW28" s="66"/>
      <c r="BX28" s="66"/>
      <c r="BY28" s="66"/>
      <c r="CB28" s="66"/>
      <c r="CC28" s="66"/>
      <c r="CD28" s="66"/>
      <c r="CE28" s="66"/>
      <c r="CH28" s="66"/>
      <c r="CI28" s="66"/>
      <c r="CJ28" s="66"/>
      <c r="CK28" s="66"/>
      <c r="CN28" s="66"/>
      <c r="CO28" s="66"/>
      <c r="CP28" s="66"/>
      <c r="CQ28" s="66"/>
      <c r="CT28" s="66"/>
      <c r="CU28" s="14"/>
      <c r="CV28" s="14"/>
      <c r="CW28" s="66"/>
      <c r="CX28" s="66"/>
      <c r="CY28" s="66"/>
      <c r="DA28" s="66">
        <v>273</v>
      </c>
      <c r="DC28" s="4">
        <f t="shared" si="49"/>
        <v>69.349999999999994</v>
      </c>
      <c r="DD28" s="4"/>
      <c r="DE28" s="14">
        <f t="shared" si="50"/>
        <v>5009.7800000000007</v>
      </c>
      <c r="DF28" s="4"/>
      <c r="DG28" s="4">
        <v>113</v>
      </c>
      <c r="DH28" s="4"/>
      <c r="DI28" s="4"/>
      <c r="DJ28" s="4"/>
      <c r="DK28" s="4"/>
      <c r="DL28" s="4">
        <v>18400</v>
      </c>
      <c r="DM28" s="4">
        <v>0</v>
      </c>
      <c r="DN28" s="4">
        <v>18400</v>
      </c>
      <c r="DO28" s="7">
        <v>4.5999999999999996</v>
      </c>
      <c r="DP28" t="s">
        <v>1454</v>
      </c>
      <c r="DQ28" t="s">
        <v>1455</v>
      </c>
      <c r="DR28" s="18" t="s">
        <v>1917</v>
      </c>
      <c r="HW28" s="27">
        <v>44128</v>
      </c>
      <c r="HX28" s="14">
        <v>18400</v>
      </c>
      <c r="HY28" s="4">
        <v>4554.43</v>
      </c>
      <c r="HZ28" s="4">
        <v>2700</v>
      </c>
      <c r="IA28" s="4">
        <v>300</v>
      </c>
      <c r="IB28" s="14">
        <f t="shared" si="51"/>
        <v>-2309.7800000000007</v>
      </c>
      <c r="IC28" t="s">
        <v>1966</v>
      </c>
      <c r="ID28" t="s">
        <v>1967</v>
      </c>
      <c r="IE28" t="s">
        <v>267</v>
      </c>
      <c r="IG28" s="4"/>
      <c r="IH28" s="4"/>
      <c r="II28" s="4">
        <v>108.33</v>
      </c>
      <c r="IJ28" s="66"/>
      <c r="IK28" s="9"/>
      <c r="IL28" s="9"/>
      <c r="IM28" s="9"/>
      <c r="IN28" s="9"/>
    </row>
    <row r="29" spans="1:250" customFormat="1" ht="14.45" customHeight="1">
      <c r="A29">
        <v>102020084</v>
      </c>
      <c r="B29" t="s">
        <v>1265</v>
      </c>
      <c r="C29" t="s">
        <v>1266</v>
      </c>
      <c r="D29">
        <v>190000713</v>
      </c>
      <c r="E29" t="s">
        <v>311</v>
      </c>
      <c r="F29" t="s">
        <v>865</v>
      </c>
      <c r="G29" t="s">
        <v>574</v>
      </c>
      <c r="H29" t="s">
        <v>469</v>
      </c>
      <c r="AB29" t="s">
        <v>1464</v>
      </c>
      <c r="AE29" t="s">
        <v>1465</v>
      </c>
      <c r="AF29" t="s">
        <v>258</v>
      </c>
      <c r="AG29" t="s">
        <v>438</v>
      </c>
      <c r="AH29" t="s">
        <v>260</v>
      </c>
      <c r="AJ29" t="s">
        <v>1466</v>
      </c>
      <c r="AK29" t="s">
        <v>258</v>
      </c>
      <c r="AL29" t="s">
        <v>386</v>
      </c>
      <c r="AM29" t="s">
        <v>260</v>
      </c>
      <c r="AN29" t="s">
        <v>258</v>
      </c>
      <c r="AO29" t="s">
        <v>258</v>
      </c>
      <c r="AS29" s="9">
        <v>43507</v>
      </c>
      <c r="AT29" s="9">
        <v>43327</v>
      </c>
      <c r="AU29" s="9">
        <v>43472</v>
      </c>
      <c r="AZ29" s="9">
        <v>43539</v>
      </c>
      <c r="BA29" t="s">
        <v>319</v>
      </c>
      <c r="BB29" s="66"/>
      <c r="BC29" s="66"/>
      <c r="BD29" s="66"/>
      <c r="BE29" s="66"/>
      <c r="BF29" s="66"/>
      <c r="BG29" s="66"/>
      <c r="BJ29" s="66"/>
      <c r="BL29" s="66"/>
      <c r="BM29" s="66"/>
      <c r="BP29" s="66"/>
      <c r="BR29" s="66"/>
      <c r="BS29" s="66"/>
      <c r="BV29" s="66"/>
      <c r="BW29" s="66"/>
      <c r="BX29" s="66"/>
      <c r="BY29" s="66"/>
      <c r="CB29" s="66"/>
      <c r="CC29" s="66"/>
      <c r="CD29" s="66"/>
      <c r="CE29" s="66"/>
      <c r="CH29" s="66"/>
      <c r="CI29" s="66"/>
      <c r="CJ29" s="66"/>
      <c r="CK29" s="66"/>
      <c r="CN29" s="66"/>
      <c r="CO29" s="66"/>
      <c r="CP29" s="66"/>
      <c r="CQ29" s="66"/>
      <c r="CT29" s="66"/>
      <c r="CU29" s="14"/>
      <c r="CV29" s="14"/>
      <c r="CW29" s="66"/>
      <c r="CX29" s="66"/>
      <c r="CY29" s="66"/>
      <c r="DA29" s="66">
        <v>273</v>
      </c>
      <c r="DC29" s="4">
        <f t="shared" si="49"/>
        <v>69.349999999999994</v>
      </c>
      <c r="DD29" s="4"/>
      <c r="DE29" s="14">
        <f t="shared" si="50"/>
        <v>4304.43</v>
      </c>
      <c r="DF29" s="4"/>
      <c r="DG29" s="4">
        <v>113</v>
      </c>
      <c r="DH29" s="4"/>
      <c r="DI29" s="4"/>
      <c r="DJ29" s="4"/>
      <c r="DK29" s="4"/>
      <c r="DL29" s="4">
        <v>6600</v>
      </c>
      <c r="DM29" s="4">
        <v>4400</v>
      </c>
      <c r="DN29" s="4">
        <v>10000</v>
      </c>
      <c r="DO29" s="7">
        <v>0.5</v>
      </c>
      <c r="DP29" t="s">
        <v>1467</v>
      </c>
      <c r="DQ29" t="s">
        <v>1468</v>
      </c>
      <c r="DR29" t="s">
        <v>1469</v>
      </c>
      <c r="DS29" s="18" t="s">
        <v>1916</v>
      </c>
      <c r="FL29" s="66"/>
      <c r="FM29" t="s">
        <v>859</v>
      </c>
      <c r="FN29" t="s">
        <v>1470</v>
      </c>
      <c r="FO29" t="s">
        <v>1471</v>
      </c>
      <c r="FP29" t="s">
        <v>860</v>
      </c>
      <c r="FQ29" t="s">
        <v>543</v>
      </c>
      <c r="FR29" t="s">
        <v>544</v>
      </c>
      <c r="FS29" s="9">
        <v>39713</v>
      </c>
      <c r="FT29" t="s">
        <v>1472</v>
      </c>
      <c r="FX29" t="s">
        <v>1473</v>
      </c>
      <c r="FY29" t="s">
        <v>1474</v>
      </c>
      <c r="FZ29" t="s">
        <v>1475</v>
      </c>
      <c r="GB29" t="s">
        <v>1476</v>
      </c>
      <c r="GD29" s="9">
        <v>39664</v>
      </c>
      <c r="GE29" t="s">
        <v>1477</v>
      </c>
      <c r="HW29" s="27">
        <v>44128</v>
      </c>
      <c r="HX29" s="14">
        <v>10000</v>
      </c>
      <c r="HY29" s="4">
        <v>3849.08</v>
      </c>
      <c r="HZ29" s="4">
        <v>1200</v>
      </c>
      <c r="IA29" s="4">
        <v>1200</v>
      </c>
      <c r="IB29" s="14">
        <f t="shared" si="51"/>
        <v>-3104.4300000000003</v>
      </c>
      <c r="IC29" t="s">
        <v>1973</v>
      </c>
      <c r="ID29" t="s">
        <v>1974</v>
      </c>
      <c r="IE29" t="s">
        <v>329</v>
      </c>
      <c r="IG29" s="4"/>
      <c r="IH29" s="4"/>
      <c r="II29" s="4">
        <v>80.33</v>
      </c>
      <c r="IJ29" s="66"/>
      <c r="IK29" s="9"/>
      <c r="IL29" s="9"/>
      <c r="IM29" s="9"/>
      <c r="IN29" s="9"/>
    </row>
    <row r="30" spans="1:250" customFormat="1" ht="14.45" customHeight="1">
      <c r="A30">
        <v>102020085</v>
      </c>
      <c r="B30" t="s">
        <v>837</v>
      </c>
      <c r="C30" t="s">
        <v>838</v>
      </c>
      <c r="D30">
        <v>170006439</v>
      </c>
      <c r="E30" t="s">
        <v>829</v>
      </c>
      <c r="F30" t="s">
        <v>419</v>
      </c>
      <c r="G30" t="s">
        <v>839</v>
      </c>
      <c r="J30" s="1" t="s">
        <v>258</v>
      </c>
      <c r="O30" s="1"/>
      <c r="Z30" s="1"/>
      <c r="AE30" s="4" t="s">
        <v>328</v>
      </c>
      <c r="AF30" s="4"/>
      <c r="AG30" s="4" t="s">
        <v>329</v>
      </c>
      <c r="AI30" t="s">
        <v>840</v>
      </c>
      <c r="AJ30" t="s">
        <v>841</v>
      </c>
      <c r="AK30" s="13" t="s">
        <v>258</v>
      </c>
      <c r="AL30" t="s">
        <v>842</v>
      </c>
      <c r="AM30" s="4"/>
      <c r="AN30" s="5"/>
      <c r="AO30" s="13" t="s">
        <v>258</v>
      </c>
      <c r="AP30" s="1"/>
      <c r="AQ30" s="1" t="s">
        <v>258</v>
      </c>
      <c r="AR30" s="1" t="s">
        <v>258</v>
      </c>
      <c r="AS30" s="15">
        <v>43087</v>
      </c>
      <c r="AT30" s="15">
        <v>43052</v>
      </c>
      <c r="AU30" s="15">
        <v>43047</v>
      </c>
      <c r="AV30" s="21">
        <v>43175</v>
      </c>
      <c r="AW30" s="13" t="s">
        <v>318</v>
      </c>
      <c r="AX30" s="15">
        <v>43140</v>
      </c>
      <c r="AY30" s="15">
        <v>43147</v>
      </c>
      <c r="AZ30" s="15">
        <v>43294</v>
      </c>
      <c r="BA30" s="15" t="s">
        <v>319</v>
      </c>
      <c r="BB30" s="5"/>
      <c r="BC30" s="16"/>
      <c r="BD30" s="16"/>
      <c r="BF30" s="4"/>
      <c r="BG30" s="4"/>
      <c r="BH30" s="6"/>
      <c r="BI30" s="7"/>
      <c r="BJ30" s="4"/>
      <c r="BL30" s="4"/>
      <c r="BM30" s="4"/>
      <c r="BN30" s="6"/>
      <c r="BO30" s="7"/>
      <c r="BP30" s="4"/>
      <c r="BQ30" s="4"/>
      <c r="BR30" s="4"/>
      <c r="BS30" s="6"/>
      <c r="BT30" s="7"/>
      <c r="BU30" s="4"/>
      <c r="BV30" s="4"/>
      <c r="BW30" s="4"/>
      <c r="BX30" s="4"/>
      <c r="BY30" s="6"/>
      <c r="BZ30" s="7"/>
      <c r="CA30" s="4"/>
      <c r="CB30" s="4"/>
      <c r="CC30" s="4"/>
      <c r="CD30" s="4"/>
      <c r="CE30" s="6"/>
      <c r="CF30" s="7"/>
      <c r="CG30" s="4"/>
      <c r="CH30" s="4"/>
      <c r="CI30" s="4"/>
      <c r="CJ30" s="4"/>
      <c r="CK30" s="6"/>
      <c r="CL30" s="7"/>
      <c r="CM30" s="4"/>
      <c r="CN30" s="4"/>
      <c r="CO30" s="4"/>
      <c r="CP30" s="4"/>
      <c r="CQ30" s="6"/>
      <c r="CR30" s="7"/>
      <c r="CS30" s="4"/>
      <c r="CT30" s="4"/>
      <c r="CU30" s="14"/>
      <c r="CV30" s="14"/>
      <c r="CW30" s="4"/>
      <c r="CX30" s="4"/>
      <c r="CY30" s="66"/>
      <c r="DA30" s="66">
        <v>273</v>
      </c>
      <c r="DC30" s="4">
        <f t="shared" si="49"/>
        <v>69.349999999999994</v>
      </c>
      <c r="DD30" s="4"/>
      <c r="DE30" s="14">
        <f t="shared" si="50"/>
        <v>4812.1000000000004</v>
      </c>
      <c r="DF30" s="4"/>
      <c r="DG30" s="4">
        <v>113</v>
      </c>
      <c r="DH30" s="4"/>
      <c r="DI30" s="4"/>
      <c r="DJ30" s="4"/>
      <c r="DK30" s="4"/>
      <c r="DL30" s="4">
        <v>5000</v>
      </c>
      <c r="DM30" s="4"/>
      <c r="DN30" s="4">
        <v>5000</v>
      </c>
      <c r="DO30" s="7">
        <v>1</v>
      </c>
      <c r="DP30" s="67" t="s">
        <v>843</v>
      </c>
      <c r="DQ30" s="18" t="s">
        <v>1939</v>
      </c>
      <c r="DR30" s="18" t="s">
        <v>845</v>
      </c>
      <c r="DS30" s="18" t="s">
        <v>1915</v>
      </c>
      <c r="EW30" s="9"/>
      <c r="EX30" s="10"/>
      <c r="FF30" s="10"/>
      <c r="FR30" s="9"/>
      <c r="HW30" s="27">
        <v>44128</v>
      </c>
      <c r="HX30" s="14">
        <v>5000</v>
      </c>
      <c r="HY30" s="4">
        <v>4356.75</v>
      </c>
      <c r="HZ30" s="4">
        <v>4200</v>
      </c>
      <c r="IA30" s="4">
        <v>500</v>
      </c>
      <c r="IB30" s="14">
        <f t="shared" si="51"/>
        <v>-612.10000000000036</v>
      </c>
      <c r="IC30" s="4" t="s">
        <v>1975</v>
      </c>
      <c r="ID30" s="9" t="s">
        <v>1976</v>
      </c>
      <c r="IE30" s="9" t="s">
        <v>329</v>
      </c>
      <c r="IF30" s="9"/>
      <c r="IG30" s="4"/>
      <c r="IH30" s="4"/>
      <c r="II30" s="4">
        <v>63.67</v>
      </c>
    </row>
    <row r="31" spans="1:250" customFormat="1" ht="15" customHeight="1">
      <c r="A31">
        <v>102020086</v>
      </c>
      <c r="B31" s="4" t="s">
        <v>1320</v>
      </c>
      <c r="C31" s="3" t="s">
        <v>1321</v>
      </c>
      <c r="D31" s="2">
        <v>190001898</v>
      </c>
      <c r="E31" t="s">
        <v>311</v>
      </c>
      <c r="F31" t="s">
        <v>1322</v>
      </c>
      <c r="G31" t="s">
        <v>1323</v>
      </c>
      <c r="H31" t="s">
        <v>403</v>
      </c>
      <c r="I31" t="s">
        <v>470</v>
      </c>
      <c r="O31" s="1"/>
      <c r="AB31" s="1"/>
      <c r="AE31" s="69" t="s">
        <v>1910</v>
      </c>
      <c r="AG31" t="s">
        <v>438</v>
      </c>
      <c r="AJ31" s="4"/>
      <c r="AK31" s="5"/>
      <c r="AM31" s="3"/>
      <c r="AN31" s="5"/>
      <c r="AO31" s="5"/>
      <c r="AP31" s="1"/>
      <c r="AQ31" s="1"/>
      <c r="AR31" s="1"/>
      <c r="AS31" s="1"/>
      <c r="AT31" s="1"/>
      <c r="AU31" s="1"/>
      <c r="AV31" s="1"/>
      <c r="AW31" s="1"/>
      <c r="AX31" s="1"/>
      <c r="AY31" s="1"/>
      <c r="AZ31" s="1"/>
      <c r="BA31" s="1"/>
      <c r="BB31" s="5"/>
      <c r="BC31" s="16"/>
      <c r="BD31" s="16"/>
      <c r="BF31" s="4"/>
      <c r="BG31" s="4"/>
      <c r="BH31" s="6"/>
      <c r="BI31" s="7"/>
      <c r="BJ31" s="4"/>
      <c r="BK31" s="4"/>
      <c r="BL31" s="4"/>
      <c r="BM31" s="4"/>
      <c r="BN31" s="6"/>
      <c r="BO31" s="7"/>
      <c r="BP31" s="4"/>
      <c r="BQ31" s="4"/>
      <c r="BR31" s="4"/>
      <c r="BS31" s="4"/>
      <c r="BT31" s="6"/>
      <c r="BU31" s="7"/>
      <c r="BV31" s="4"/>
      <c r="BW31" s="4"/>
      <c r="BX31" s="4"/>
      <c r="BY31" s="4"/>
      <c r="BZ31" s="6"/>
      <c r="CA31" s="7"/>
      <c r="CB31" s="4"/>
      <c r="CC31" s="4"/>
      <c r="CD31" s="4"/>
      <c r="CE31" s="4"/>
      <c r="CF31" s="6"/>
      <c r="CG31" s="7"/>
      <c r="CH31" s="4"/>
      <c r="CI31" s="4"/>
      <c r="CJ31" s="4"/>
      <c r="CK31" s="4"/>
      <c r="CL31" s="6"/>
      <c r="CM31" s="7"/>
      <c r="CN31" s="4"/>
      <c r="CO31" s="4"/>
      <c r="CP31" s="4"/>
      <c r="CQ31" s="4"/>
      <c r="CR31" s="6"/>
      <c r="CS31" s="7"/>
      <c r="CT31" s="4"/>
      <c r="CU31" s="14"/>
      <c r="CV31" s="14"/>
      <c r="CW31" s="4"/>
      <c r="CX31" s="14"/>
      <c r="CY31" s="66"/>
      <c r="DA31" s="66">
        <v>273</v>
      </c>
      <c r="DC31" s="4">
        <f t="shared" si="49"/>
        <v>69.349999999999994</v>
      </c>
      <c r="DD31" s="4"/>
      <c r="DE31" s="14">
        <f t="shared" si="50"/>
        <v>4705.3500000000004</v>
      </c>
      <c r="DF31" s="4"/>
      <c r="DG31" s="4">
        <v>113</v>
      </c>
      <c r="DH31" s="4"/>
      <c r="DI31" s="4"/>
      <c r="DJ31" s="8"/>
      <c r="DK31" s="4"/>
      <c r="DL31" s="4">
        <v>7400</v>
      </c>
      <c r="DM31" s="4">
        <v>12100</v>
      </c>
      <c r="DN31" s="4">
        <f>SUM(DL31+DM31)</f>
        <v>19500</v>
      </c>
      <c r="DO31" s="33">
        <v>0.9</v>
      </c>
      <c r="DP31" t="s">
        <v>1483</v>
      </c>
      <c r="DQ31" t="s">
        <v>1922</v>
      </c>
      <c r="DR31" t="s">
        <v>1913</v>
      </c>
      <c r="DS31" t="s">
        <v>1484</v>
      </c>
      <c r="DT31" s="67" t="s">
        <v>1914</v>
      </c>
      <c r="EK31" s="4"/>
      <c r="EL31" s="4"/>
      <c r="EM31" s="4"/>
      <c r="EN31" s="4"/>
      <c r="EO31" s="4"/>
      <c r="EP31" s="4"/>
      <c r="EQ31" s="4"/>
      <c r="ER31" s="4"/>
      <c r="ES31" s="4"/>
      <c r="ET31" s="4"/>
      <c r="EX31" s="9"/>
      <c r="FL31" s="4"/>
      <c r="FQ31" s="10"/>
      <c r="GA31" s="10"/>
      <c r="GP31" s="9"/>
      <c r="HW31" s="27">
        <v>44128</v>
      </c>
      <c r="HX31" s="14">
        <v>19500</v>
      </c>
      <c r="HY31" s="4">
        <v>4250</v>
      </c>
      <c r="HZ31" s="4">
        <v>1100</v>
      </c>
      <c r="IA31" s="4">
        <v>1100</v>
      </c>
      <c r="IB31" s="14">
        <f t="shared" si="51"/>
        <v>-3605.3500000000004</v>
      </c>
      <c r="IC31" t="s">
        <v>1972</v>
      </c>
      <c r="ID31" t="s">
        <v>1965</v>
      </c>
      <c r="IE31" t="s">
        <v>329</v>
      </c>
      <c r="IG31" s="4"/>
      <c r="IH31" s="4"/>
      <c r="II31" s="4">
        <v>112</v>
      </c>
      <c r="IJ31" s="4"/>
    </row>
    <row r="34" spans="99:100" ht="14.45" customHeight="1">
      <c r="CU34" s="14"/>
      <c r="CV34" s="14"/>
    </row>
    <row r="35" spans="99:100" ht="14.45" customHeight="1">
      <c r="CU35" s="14"/>
      <c r="CV35" s="14"/>
    </row>
    <row r="36" spans="99:100" ht="14.45" customHeight="1">
      <c r="CU36" s="14"/>
      <c r="CV36" s="14"/>
    </row>
    <row r="37" spans="99:100" ht="14.45" customHeight="1">
      <c r="CU37" s="14"/>
      <c r="CV37" s="14"/>
    </row>
    <row r="38" spans="99:100" ht="14.45" customHeight="1">
      <c r="CU38" s="14"/>
      <c r="CV38" s="14"/>
    </row>
    <row r="39" spans="99:100" ht="14.45" customHeight="1">
      <c r="CU39" s="14"/>
      <c r="CV39" s="14"/>
    </row>
    <row r="40" spans="99:100" ht="14.45" customHeight="1">
      <c r="CU40" s="14"/>
      <c r="CV40" s="14"/>
    </row>
    <row r="41" spans="99:100" ht="14.45" customHeight="1">
      <c r="CU41" s="14"/>
      <c r="CV41" s="14"/>
    </row>
    <row r="42" spans="99:100" ht="14.45" customHeight="1">
      <c r="CU42" s="14"/>
      <c r="CV42" s="14"/>
    </row>
    <row r="43" spans="99:100" ht="14.45" customHeight="1">
      <c r="CU43" s="14"/>
      <c r="CV43" s="14"/>
    </row>
    <row r="44" spans="99:100" ht="14.45" customHeight="1">
      <c r="CU44" s="14"/>
      <c r="CV44" s="14"/>
    </row>
    <row r="45" spans="99:100" ht="14.45" customHeight="1">
      <c r="CU45" s="14"/>
      <c r="CV45" s="14"/>
    </row>
    <row r="46" spans="99:100" ht="14.45" customHeight="1">
      <c r="CU46" s="14"/>
      <c r="CV46" s="14"/>
    </row>
    <row r="47" spans="99:100" ht="14.45" customHeight="1">
      <c r="CU47" s="14"/>
      <c r="CV47" s="14"/>
    </row>
    <row r="48" spans="99:100" ht="14.45" customHeight="1">
      <c r="CU48" s="14"/>
      <c r="CV48" s="14"/>
    </row>
    <row r="49" spans="99:100" ht="14.45" customHeight="1">
      <c r="CU49" s="14"/>
      <c r="CV49" s="14"/>
    </row>
    <row r="50" spans="99:100" ht="14.45" customHeight="1">
      <c r="CU50" s="14"/>
      <c r="CV50" s="14"/>
    </row>
    <row r="51" spans="99:100" ht="14.45" customHeight="1">
      <c r="CU51" s="14"/>
      <c r="CV51" s="14"/>
    </row>
    <row r="52" spans="99:100" ht="14.45" customHeight="1">
      <c r="CU52" s="14"/>
      <c r="CV52" s="14"/>
    </row>
    <row r="53" spans="99:100" ht="14.45" customHeight="1">
      <c r="CU53" s="14"/>
      <c r="CV53" s="14"/>
    </row>
    <row r="54" spans="99:100" ht="14.45" customHeight="1">
      <c r="CU54" s="14"/>
      <c r="CV54" s="14"/>
    </row>
    <row r="55" spans="99:100" ht="14.45" customHeight="1">
      <c r="CU55" s="14"/>
      <c r="CV55" s="14"/>
    </row>
    <row r="56" spans="99:100" ht="14.45" customHeight="1">
      <c r="CU56" s="14"/>
      <c r="CV56" s="14"/>
    </row>
    <row r="57" spans="99:100" ht="14.45" customHeight="1">
      <c r="CU57" s="14"/>
      <c r="CV57" s="14"/>
    </row>
    <row r="58" spans="99:100" ht="14.45" customHeight="1">
      <c r="CU58" s="14"/>
      <c r="CV58" s="14"/>
    </row>
    <row r="59" spans="99:100" ht="14.45" customHeight="1">
      <c r="CU59" s="14"/>
      <c r="CV59" s="14"/>
    </row>
    <row r="60" spans="99:100" ht="14.45" customHeight="1">
      <c r="CU60" s="14"/>
      <c r="CV60" s="14"/>
    </row>
    <row r="61" spans="99:100" ht="14.45" customHeight="1">
      <c r="CU61" s="14"/>
      <c r="CV61" s="14"/>
    </row>
    <row r="62" spans="99:100" ht="14.45" customHeight="1">
      <c r="CU62" s="14"/>
      <c r="CV62" s="14"/>
    </row>
    <row r="63" spans="99:100" ht="14.45" customHeight="1">
      <c r="CU63" s="14"/>
      <c r="CV63" s="14"/>
    </row>
    <row r="64" spans="99:100" ht="14.45" customHeight="1">
      <c r="CU64" s="14"/>
      <c r="CV64" s="14"/>
    </row>
    <row r="65" spans="99:100" ht="14.45" customHeight="1">
      <c r="CU65" s="14"/>
      <c r="CV65" s="14"/>
    </row>
    <row r="66" spans="99:100" ht="14.45" customHeight="1">
      <c r="CU66" s="14"/>
      <c r="CV66" s="14"/>
    </row>
    <row r="67" spans="99:100" ht="14.45" customHeight="1">
      <c r="CU67" s="14"/>
      <c r="CV67" s="14"/>
    </row>
    <row r="68" spans="99:100" ht="14.45" customHeight="1">
      <c r="CU68" s="14"/>
      <c r="CV68" s="14"/>
    </row>
    <row r="69" spans="99:100" ht="14.45" customHeight="1">
      <c r="CU69" s="14"/>
      <c r="CV69" s="14"/>
    </row>
    <row r="70" spans="99:100" ht="14.45" customHeight="1">
      <c r="CU70" s="14"/>
      <c r="CV70" s="14"/>
    </row>
    <row r="71" spans="99:100" ht="14.45" customHeight="1">
      <c r="CU71" s="14"/>
      <c r="CV71" s="14"/>
    </row>
    <row r="72" spans="99:100" ht="14.45" customHeight="1">
      <c r="CU72" s="14"/>
      <c r="CV72" s="14"/>
    </row>
    <row r="73" spans="99:100" ht="14.45" customHeight="1">
      <c r="CU73" s="14"/>
      <c r="CV73" s="14"/>
    </row>
    <row r="74" spans="99:100" ht="14.45" customHeight="1">
      <c r="CU74" s="14"/>
      <c r="CV74" s="14"/>
    </row>
    <row r="75" spans="99:100" ht="14.45" customHeight="1">
      <c r="CU75" s="14"/>
      <c r="CV75" s="14"/>
    </row>
    <row r="76" spans="99:100" ht="14.45" customHeight="1">
      <c r="CU76" s="14"/>
      <c r="CV76" s="14"/>
    </row>
    <row r="77" spans="99:100" ht="14.45" customHeight="1">
      <c r="CU77" s="14"/>
      <c r="CV77" s="14"/>
    </row>
    <row r="78" spans="99:100" ht="14.45" customHeight="1">
      <c r="CU78" s="14"/>
      <c r="CV78" s="14"/>
    </row>
    <row r="79" spans="99:100" ht="14.45" customHeight="1">
      <c r="CU79" s="14"/>
      <c r="CV79" s="14"/>
    </row>
    <row r="80" spans="99:100" ht="14.45" customHeight="1">
      <c r="CU80" s="14"/>
      <c r="CV80" s="14"/>
    </row>
    <row r="81" spans="99:100" ht="14.45" customHeight="1">
      <c r="CU81" s="14"/>
      <c r="CV81" s="14"/>
    </row>
    <row r="82" spans="99:100" ht="14.45" customHeight="1">
      <c r="CU82" s="14"/>
      <c r="CV82" s="14"/>
    </row>
    <row r="83" spans="99:100" ht="14.45" customHeight="1">
      <c r="CU83" s="14"/>
      <c r="CV83" s="14"/>
    </row>
    <row r="84" spans="99:100" ht="14.45" customHeight="1">
      <c r="CU84" s="66"/>
      <c r="CV84" s="66"/>
    </row>
    <row r="85" spans="99:100" ht="14.45" customHeight="1">
      <c r="CU85" s="66"/>
      <c r="CV85" s="66"/>
    </row>
    <row r="86" spans="99:100" ht="14.45" customHeight="1">
      <c r="CU86" s="66"/>
      <c r="CV86" s="66"/>
    </row>
    <row r="87" spans="99:100" ht="14.45" customHeight="1">
      <c r="CU87" s="66"/>
      <c r="CV87" s="66"/>
    </row>
    <row r="88" spans="99:100" ht="14.45" customHeight="1">
      <c r="CU88" s="66"/>
      <c r="CV88" s="66"/>
    </row>
    <row r="89" spans="99:100" ht="14.45" customHeight="1">
      <c r="CU89" s="66"/>
      <c r="CV89" s="66"/>
    </row>
    <row r="90" spans="99:100" ht="14.45" customHeight="1">
      <c r="CU90" s="4"/>
      <c r="CV90" s="4"/>
    </row>
    <row r="91" spans="99:100" ht="14.45" customHeight="1">
      <c r="CU91" s="4"/>
      <c r="CV91" s="4"/>
    </row>
    <row r="92" spans="99:100" ht="14.45" customHeight="1">
      <c r="CU92" s="14"/>
      <c r="CV92" s="14"/>
    </row>
    <row r="93" spans="99:100" ht="14.45" customHeight="1">
      <c r="CU93" s="14"/>
      <c r="CV93" s="14"/>
    </row>
    <row r="94" spans="99:100" ht="14.45" customHeight="1">
      <c r="CU94" s="14"/>
      <c r="CV94" s="14"/>
    </row>
    <row r="95" spans="99:100" ht="14.45" customHeight="1">
      <c r="CU95" s="14"/>
      <c r="CV95" s="14"/>
    </row>
    <row r="96" spans="99:100" ht="14.45" customHeight="1">
      <c r="CU96" s="14"/>
      <c r="CV96" s="14"/>
    </row>
    <row r="97" spans="99:243" ht="14.45" customHeight="1">
      <c r="CU97" s="14"/>
      <c r="CV97" s="14"/>
    </row>
    <row r="98" spans="99:243" ht="14.45" customHeight="1">
      <c r="CU98" s="14"/>
      <c r="CV98" s="14"/>
    </row>
    <row r="99" spans="99:243" ht="14.45" customHeight="1">
      <c r="CU99" s="14"/>
      <c r="CV99" s="14"/>
    </row>
    <row r="100" spans="99:243" ht="14.45" customHeight="1">
      <c r="CU100" s="14"/>
      <c r="CV100" s="14"/>
    </row>
    <row r="101" spans="99:243" ht="14.45" customHeight="1">
      <c r="CU101" s="14"/>
      <c r="CV101" s="14"/>
    </row>
    <row r="102" spans="99:243" ht="14.45" customHeight="1">
      <c r="CU102" s="14"/>
      <c r="CV102" s="14"/>
    </row>
    <row r="103" spans="99:243" ht="14.45" customHeight="1">
      <c r="CU103" s="14">
        <f t="shared" ref="CU103:CU117" si="52">SUM(DO103*0.0052)</f>
        <v>0</v>
      </c>
      <c r="CV103" s="14">
        <f t="shared" ref="CV103:CV117" si="53">SUM(BE103, BK103, BQ103, BW103, CC103, CI103,CO103,CU103)</f>
        <v>0</v>
      </c>
    </row>
    <row r="104" spans="99:243" ht="14.45" customHeight="1">
      <c r="CU104" s="14">
        <f t="shared" si="52"/>
        <v>0</v>
      </c>
      <c r="CV104" s="14">
        <f t="shared" si="53"/>
        <v>0</v>
      </c>
    </row>
    <row r="105" spans="99:243" ht="14.45" customHeight="1">
      <c r="CU105" s="14">
        <f t="shared" si="52"/>
        <v>0</v>
      </c>
      <c r="CV105" s="14">
        <f t="shared" si="53"/>
        <v>0</v>
      </c>
    </row>
    <row r="106" spans="99:243" ht="14.45" customHeight="1">
      <c r="CU106" s="14">
        <f t="shared" si="52"/>
        <v>0</v>
      </c>
      <c r="CV106" s="14">
        <f t="shared" si="53"/>
        <v>0</v>
      </c>
    </row>
    <row r="107" spans="99:243" ht="14.45" customHeight="1">
      <c r="CU107" s="14">
        <f t="shared" si="52"/>
        <v>0</v>
      </c>
      <c r="CV107" s="14">
        <f t="shared" si="53"/>
        <v>0</v>
      </c>
    </row>
    <row r="108" spans="99:243" ht="14.45" customHeight="1">
      <c r="CU108" s="14">
        <f t="shared" si="52"/>
        <v>0</v>
      </c>
      <c r="CV108" s="14">
        <f t="shared" si="53"/>
        <v>0</v>
      </c>
    </row>
    <row r="109" spans="99:243" ht="14.45" customHeight="1">
      <c r="CU109" s="14">
        <f t="shared" si="52"/>
        <v>0</v>
      </c>
      <c r="CV109" s="14">
        <f t="shared" si="53"/>
        <v>0</v>
      </c>
    </row>
    <row r="110" spans="99:243" s="39" customFormat="1" ht="14.45" customHeight="1">
      <c r="CU110" s="40">
        <f t="shared" si="52"/>
        <v>0</v>
      </c>
      <c r="CV110" s="40">
        <f t="shared" si="53"/>
        <v>0</v>
      </c>
      <c r="DC110" s="40"/>
      <c r="DD110" s="40"/>
      <c r="DE110" s="40"/>
      <c r="DF110" s="40"/>
      <c r="DG110" s="40"/>
      <c r="DH110" s="40"/>
      <c r="DI110" s="40"/>
      <c r="DJ110" s="40"/>
      <c r="DK110" s="40"/>
      <c r="DL110" s="40"/>
      <c r="DM110" s="40"/>
      <c r="DN110" s="40"/>
      <c r="DO110" s="58"/>
      <c r="HX110" s="40"/>
      <c r="HY110" s="40"/>
      <c r="HZ110" s="40"/>
      <c r="IA110" s="40"/>
      <c r="IG110" s="40"/>
      <c r="IH110" s="40"/>
      <c r="II110" s="40"/>
    </row>
    <row r="111" spans="99:243" ht="14.45" customHeight="1">
      <c r="CU111" s="14">
        <f t="shared" si="52"/>
        <v>0</v>
      </c>
      <c r="CV111" s="14">
        <f t="shared" si="53"/>
        <v>0</v>
      </c>
    </row>
    <row r="112" spans="99:243" ht="14.45" customHeight="1">
      <c r="CU112" s="14">
        <f t="shared" si="52"/>
        <v>0</v>
      </c>
      <c r="CV112" s="14">
        <f t="shared" si="53"/>
        <v>0</v>
      </c>
    </row>
    <row r="113" spans="99:100" ht="14.45" customHeight="1">
      <c r="CU113" s="14">
        <f t="shared" si="52"/>
        <v>0</v>
      </c>
      <c r="CV113" s="14">
        <f t="shared" si="53"/>
        <v>0</v>
      </c>
    </row>
    <row r="114" spans="99:100" ht="14.45" customHeight="1">
      <c r="CU114" s="14">
        <f t="shared" si="52"/>
        <v>0</v>
      </c>
      <c r="CV114" s="14">
        <f t="shared" si="53"/>
        <v>0</v>
      </c>
    </row>
    <row r="115" spans="99:100" ht="14.45" customHeight="1">
      <c r="CU115" s="14">
        <f t="shared" si="52"/>
        <v>0</v>
      </c>
      <c r="CV115" s="14">
        <f t="shared" si="53"/>
        <v>0</v>
      </c>
    </row>
    <row r="116" spans="99:100" ht="14.45" customHeight="1">
      <c r="CU116" s="14">
        <f t="shared" si="52"/>
        <v>0</v>
      </c>
      <c r="CV116" s="14">
        <f t="shared" si="53"/>
        <v>0</v>
      </c>
    </row>
    <row r="117" spans="99:100" ht="14.45" customHeight="1">
      <c r="CU117" s="14">
        <f t="shared" si="52"/>
        <v>0</v>
      </c>
      <c r="CV117" s="14">
        <f t="shared" si="53"/>
        <v>0</v>
      </c>
    </row>
    <row r="118" spans="99:100" ht="14.45" customHeight="1">
      <c r="CU118" s="14"/>
      <c r="CV118" s="14"/>
    </row>
    <row r="119" spans="99:100" ht="14.45" customHeight="1">
      <c r="CU119" s="14"/>
      <c r="CV119" s="14"/>
    </row>
    <row r="120" spans="99:100" ht="14.45" customHeight="1">
      <c r="CV120" s="14"/>
    </row>
    <row r="121" spans="99:100" ht="14.45" customHeight="1">
      <c r="CV121" s="14"/>
    </row>
    <row r="122" spans="99:100" ht="14.45" customHeight="1">
      <c r="CV122" s="14"/>
    </row>
    <row r="123" spans="99:100" ht="14.45" customHeight="1">
      <c r="CV123" s="14"/>
    </row>
    <row r="124" spans="99:100" ht="14.45" customHeight="1">
      <c r="CV124" s="14"/>
    </row>
    <row r="125" spans="99:100" ht="14.45" customHeight="1">
      <c r="CV125" s="14"/>
    </row>
    <row r="126" spans="99:100" ht="14.45" customHeight="1">
      <c r="CV126" s="14"/>
    </row>
    <row r="127" spans="99:100" ht="14.45" customHeight="1">
      <c r="CV127" s="14"/>
    </row>
    <row r="128" spans="99:100" ht="14.45" customHeight="1">
      <c r="CV128" s="14"/>
    </row>
    <row r="129" spans="100:100" ht="14.45" customHeight="1">
      <c r="CV129" s="14"/>
    </row>
  </sheetData>
  <sortState xmlns:xlrd2="http://schemas.microsoft.com/office/spreadsheetml/2017/richdata2" ref="A2:HZ22">
    <sortCondition ref="A1"/>
  </sortState>
  <printOptions gridLines="1"/>
  <pageMargins left="0.25" right="0.25"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6A855-293E-48FB-887E-55F07E11813D}">
  <dimension ref="A1:AQ23"/>
  <sheetViews>
    <sheetView workbookViewId="0">
      <pane ySplit="1" topLeftCell="A2" activePane="bottomLeft" state="frozen"/>
      <selection pane="bottomLeft" sqref="A1:XFD1048576"/>
    </sheetView>
  </sheetViews>
  <sheetFormatPr defaultColWidth="15.85546875" defaultRowHeight="15"/>
  <cols>
    <col min="1" max="1" width="10" style="3" bestFit="1" customWidth="1"/>
    <col min="2" max="2" width="36.7109375" bestFit="1" customWidth="1"/>
    <col min="3" max="3" width="17.85546875" bestFit="1" customWidth="1"/>
    <col min="4" max="4" width="25" bestFit="1" customWidth="1"/>
    <col min="5" max="5" width="10.5703125" bestFit="1" customWidth="1"/>
    <col min="6" max="6" width="10.140625" bestFit="1" customWidth="1"/>
    <col min="7" max="7" width="6.140625" bestFit="1" customWidth="1"/>
    <col min="8" max="8" width="11.5703125" bestFit="1" customWidth="1"/>
    <col min="9" max="9" width="12" bestFit="1" customWidth="1"/>
    <col min="10" max="10" width="11.5703125" bestFit="1" customWidth="1"/>
    <col min="11" max="11" width="7.5703125" bestFit="1" customWidth="1"/>
    <col min="12" max="12" width="11.5703125" bestFit="1" customWidth="1"/>
    <col min="13" max="13" width="12" bestFit="1" customWidth="1"/>
    <col min="14" max="14" width="11.5703125" bestFit="1" customWidth="1"/>
    <col min="15" max="15" width="7.5703125" bestFit="1" customWidth="1"/>
    <col min="16" max="16" width="23.140625" bestFit="1" customWidth="1"/>
    <col min="17" max="17" width="18.28515625" bestFit="1" customWidth="1"/>
    <col min="18" max="18" width="19.7109375" bestFit="1" customWidth="1"/>
    <col min="19" max="19" width="15.42578125" bestFit="1" customWidth="1"/>
    <col min="20" max="20" width="17.85546875" bestFit="1" customWidth="1"/>
    <col min="21" max="21" width="22.5703125" bestFit="1" customWidth="1"/>
    <col min="22" max="22" width="16.28515625" bestFit="1" customWidth="1"/>
    <col min="23" max="23" width="19.140625" bestFit="1" customWidth="1"/>
    <col min="24" max="24" width="25.140625" bestFit="1" customWidth="1"/>
    <col min="25" max="25" width="26" bestFit="1" customWidth="1"/>
    <col min="26" max="26" width="16.28515625" bestFit="1" customWidth="1"/>
    <col min="27" max="27" width="13.85546875" bestFit="1" customWidth="1"/>
    <col min="28" max="28" width="16.5703125" bestFit="1" customWidth="1"/>
    <col min="29" max="29" width="13.140625" bestFit="1" customWidth="1"/>
    <col min="30" max="30" width="12.5703125" bestFit="1" customWidth="1"/>
    <col min="31" max="33" width="255.7109375" bestFit="1" customWidth="1"/>
    <col min="34" max="34" width="14.5703125" bestFit="1" customWidth="1"/>
    <col min="35" max="35" width="11.5703125" bestFit="1" customWidth="1"/>
    <col min="36" max="36" width="97" bestFit="1" customWidth="1"/>
    <col min="37" max="37" width="20.5703125" bestFit="1" customWidth="1"/>
    <col min="38" max="38" width="24.42578125" bestFit="1" customWidth="1"/>
    <col min="39" max="39" width="14.85546875" bestFit="1" customWidth="1"/>
    <col min="40" max="40" width="18.140625" bestFit="1" customWidth="1"/>
    <col min="41" max="41" width="31.5703125" bestFit="1" customWidth="1"/>
    <col min="42" max="42" width="26.85546875" bestFit="1" customWidth="1"/>
  </cols>
  <sheetData>
    <row r="1" spans="1:42" s="322" customFormat="1" ht="15" customHeight="1">
      <c r="A1" s="324" t="s">
        <v>0</v>
      </c>
      <c r="B1" s="322" t="s">
        <v>1</v>
      </c>
      <c r="C1" s="322" t="s">
        <v>3</v>
      </c>
      <c r="D1" s="322" t="s">
        <v>9</v>
      </c>
      <c r="E1" s="322" t="s">
        <v>10</v>
      </c>
      <c r="F1" s="322" t="s">
        <v>11</v>
      </c>
      <c r="G1" s="322" t="s">
        <v>12</v>
      </c>
      <c r="H1" s="322" t="s">
        <v>14</v>
      </c>
      <c r="I1" s="322" t="s">
        <v>15</v>
      </c>
      <c r="J1" s="322" t="s">
        <v>16</v>
      </c>
      <c r="K1" s="322" t="s">
        <v>17</v>
      </c>
      <c r="L1" s="322" t="s">
        <v>19</v>
      </c>
      <c r="M1" s="322" t="s">
        <v>20</v>
      </c>
      <c r="N1" s="322" t="s">
        <v>21</v>
      </c>
      <c r="O1" s="322" t="s">
        <v>22</v>
      </c>
      <c r="P1" s="322" t="s">
        <v>24</v>
      </c>
      <c r="Q1" s="322" t="s">
        <v>25</v>
      </c>
      <c r="R1" s="322" t="s">
        <v>26</v>
      </c>
      <c r="S1" s="322" t="s">
        <v>27</v>
      </c>
      <c r="T1" s="326" t="s">
        <v>34</v>
      </c>
      <c r="U1" s="326" t="s">
        <v>36</v>
      </c>
      <c r="V1" s="326" t="s">
        <v>37</v>
      </c>
      <c r="W1" s="322" t="s">
        <v>38</v>
      </c>
      <c r="X1" s="324" t="s">
        <v>39</v>
      </c>
      <c r="Y1" s="324" t="s">
        <v>41</v>
      </c>
      <c r="Z1" s="322" t="s">
        <v>42</v>
      </c>
      <c r="AA1" s="333" t="s">
        <v>118</v>
      </c>
      <c r="AB1" s="333" t="s">
        <v>119</v>
      </c>
      <c r="AC1" s="333" t="s">
        <v>120</v>
      </c>
      <c r="AD1" s="337" t="s">
        <v>121</v>
      </c>
      <c r="AE1" s="322" t="s">
        <v>122</v>
      </c>
      <c r="AF1" s="322" t="s">
        <v>123</v>
      </c>
      <c r="AG1" s="322" t="s">
        <v>124</v>
      </c>
      <c r="AH1" s="322" t="s">
        <v>125</v>
      </c>
      <c r="AI1" s="334" t="s">
        <v>234</v>
      </c>
      <c r="AJ1" s="326" t="s">
        <v>239</v>
      </c>
      <c r="AK1" s="326" t="s">
        <v>240</v>
      </c>
      <c r="AL1" s="326" t="s">
        <v>241</v>
      </c>
      <c r="AM1" s="326" t="s">
        <v>245</v>
      </c>
      <c r="AN1" s="326" t="s">
        <v>247</v>
      </c>
      <c r="AO1" s="326" t="s">
        <v>248</v>
      </c>
      <c r="AP1" s="326" t="s">
        <v>249</v>
      </c>
    </row>
    <row r="2" spans="1:42" s="102" customFormat="1">
      <c r="A2" s="119">
        <v>102019033</v>
      </c>
      <c r="B2" s="103" t="s">
        <v>601</v>
      </c>
      <c r="C2" s="119" t="s">
        <v>2413</v>
      </c>
      <c r="D2" s="102" t="s">
        <v>602</v>
      </c>
      <c r="T2" s="103" t="s">
        <v>328</v>
      </c>
      <c r="U2" s="102" t="s">
        <v>329</v>
      </c>
      <c r="W2" s="102" t="s">
        <v>603</v>
      </c>
      <c r="X2" s="131" t="s">
        <v>604</v>
      </c>
      <c r="Y2" s="119" t="s">
        <v>259</v>
      </c>
      <c r="Z2" s="119" t="s">
        <v>260</v>
      </c>
      <c r="AA2" s="121">
        <v>32400</v>
      </c>
      <c r="AB2" s="121">
        <v>0</v>
      </c>
      <c r="AC2" s="121">
        <v>32400</v>
      </c>
      <c r="AD2" s="132">
        <v>15</v>
      </c>
      <c r="AE2" s="102" t="s">
        <v>1985</v>
      </c>
      <c r="AF2" s="102" t="s">
        <v>1986</v>
      </c>
      <c r="AG2" s="102" t="s">
        <v>2250</v>
      </c>
      <c r="AI2" s="122">
        <v>44499</v>
      </c>
      <c r="AJ2" s="102" t="s">
        <v>2755</v>
      </c>
      <c r="AK2" s="102" t="s">
        <v>2744</v>
      </c>
      <c r="AL2" s="102" t="s">
        <v>2745</v>
      </c>
      <c r="AM2" s="103">
        <v>30904.708999999999</v>
      </c>
      <c r="AN2" s="122">
        <v>44349</v>
      </c>
      <c r="AO2" s="122">
        <v>44501</v>
      </c>
      <c r="AP2" s="122">
        <v>44505</v>
      </c>
    </row>
    <row r="3" spans="1:42" s="102" customFormat="1">
      <c r="A3" s="119">
        <v>102019034</v>
      </c>
      <c r="B3" s="103" t="s">
        <v>605</v>
      </c>
      <c r="C3" s="119" t="s">
        <v>2412</v>
      </c>
      <c r="D3" s="102" t="s">
        <v>415</v>
      </c>
      <c r="E3" s="102" t="s">
        <v>606</v>
      </c>
      <c r="F3" s="102" t="s">
        <v>403</v>
      </c>
      <c r="H3" s="102" t="s">
        <v>607</v>
      </c>
      <c r="I3" s="102" t="s">
        <v>1015</v>
      </c>
      <c r="J3" s="102" t="s">
        <v>392</v>
      </c>
      <c r="T3" s="103" t="s">
        <v>328</v>
      </c>
      <c r="U3" s="102" t="s">
        <v>329</v>
      </c>
      <c r="W3" s="102" t="s">
        <v>603</v>
      </c>
      <c r="X3" s="131" t="s">
        <v>604</v>
      </c>
      <c r="Y3" s="119" t="s">
        <v>259</v>
      </c>
      <c r="Z3" s="119" t="s">
        <v>260</v>
      </c>
      <c r="AA3" s="121">
        <v>12500</v>
      </c>
      <c r="AB3" s="121">
        <v>900</v>
      </c>
      <c r="AC3" s="121">
        <v>13400</v>
      </c>
      <c r="AD3" s="132">
        <v>1.1200000000000001</v>
      </c>
      <c r="AE3" s="102" t="s">
        <v>1994</v>
      </c>
      <c r="AF3" s="102" t="s">
        <v>1995</v>
      </c>
      <c r="AI3" s="122">
        <v>44499</v>
      </c>
      <c r="AJ3" s="102" t="s">
        <v>2746</v>
      </c>
      <c r="AK3" s="102" t="s">
        <v>2747</v>
      </c>
      <c r="AL3" s="102" t="s">
        <v>329</v>
      </c>
      <c r="AM3" s="103">
        <v>1626.0960333333333</v>
      </c>
      <c r="AN3" s="122">
        <v>44349</v>
      </c>
      <c r="AO3" s="122">
        <v>44501</v>
      </c>
      <c r="AP3" s="122">
        <v>44505</v>
      </c>
    </row>
    <row r="4" spans="1:42" s="102" customFormat="1">
      <c r="A4" s="119">
        <v>102019051</v>
      </c>
      <c r="B4" s="103" t="s">
        <v>643</v>
      </c>
      <c r="C4" s="119" t="s">
        <v>4522</v>
      </c>
      <c r="D4" s="102" t="s">
        <v>644</v>
      </c>
      <c r="E4" s="102" t="s">
        <v>512</v>
      </c>
      <c r="F4" s="102" t="s">
        <v>645</v>
      </c>
      <c r="T4" s="103" t="s">
        <v>646</v>
      </c>
      <c r="U4" s="102" t="s">
        <v>386</v>
      </c>
      <c r="V4" s="102" t="s">
        <v>260</v>
      </c>
      <c r="W4" s="102" t="s">
        <v>603</v>
      </c>
      <c r="X4" s="131" t="s">
        <v>604</v>
      </c>
      <c r="Y4" s="119" t="s">
        <v>259</v>
      </c>
      <c r="Z4" s="119" t="s">
        <v>260</v>
      </c>
      <c r="AA4" s="121">
        <v>15800</v>
      </c>
      <c r="AB4" s="121">
        <v>0</v>
      </c>
      <c r="AC4" s="121">
        <v>15800</v>
      </c>
      <c r="AD4" s="132">
        <v>0.99</v>
      </c>
      <c r="AE4" s="120" t="s">
        <v>2218</v>
      </c>
      <c r="AF4" s="102" t="s">
        <v>2219</v>
      </c>
      <c r="AI4" s="122">
        <v>44499</v>
      </c>
      <c r="AJ4" s="102" t="s">
        <v>2723</v>
      </c>
      <c r="AK4" s="102" t="s">
        <v>2724</v>
      </c>
      <c r="AL4" s="102" t="s">
        <v>2722</v>
      </c>
      <c r="AM4" s="103">
        <v>7555.9331333333339</v>
      </c>
      <c r="AN4" s="102" t="s">
        <v>4973</v>
      </c>
      <c r="AO4" s="102" t="s">
        <v>4973</v>
      </c>
      <c r="AP4" s="102" t="s">
        <v>4973</v>
      </c>
    </row>
    <row r="5" spans="1:42" s="102" customFormat="1">
      <c r="A5" s="119">
        <v>102019067</v>
      </c>
      <c r="B5" s="103" t="s">
        <v>671</v>
      </c>
      <c r="C5" s="119" t="s">
        <v>2386</v>
      </c>
      <c r="D5" s="102" t="s">
        <v>672</v>
      </c>
      <c r="E5" s="102" t="s">
        <v>673</v>
      </c>
      <c r="F5" s="102" t="s">
        <v>537</v>
      </c>
      <c r="T5" s="103" t="s">
        <v>328</v>
      </c>
      <c r="U5" s="102" t="s">
        <v>386</v>
      </c>
      <c r="W5" s="102" t="s">
        <v>603</v>
      </c>
      <c r="X5" s="131" t="s">
        <v>604</v>
      </c>
      <c r="Y5" s="119" t="s">
        <v>259</v>
      </c>
      <c r="Z5" s="119" t="s">
        <v>260</v>
      </c>
      <c r="AA5" s="121">
        <v>46400</v>
      </c>
      <c r="AB5" s="121">
        <v>0</v>
      </c>
      <c r="AC5" s="121">
        <v>46400</v>
      </c>
      <c r="AD5" s="132">
        <v>12.3</v>
      </c>
      <c r="AE5" s="102" t="s">
        <v>2220</v>
      </c>
      <c r="AF5" s="102" t="s">
        <v>2221</v>
      </c>
      <c r="AI5" s="122">
        <v>44499</v>
      </c>
      <c r="AJ5" s="102" t="s">
        <v>2718</v>
      </c>
      <c r="AK5" s="102" t="s">
        <v>2719</v>
      </c>
      <c r="AL5" s="102" t="s">
        <v>386</v>
      </c>
      <c r="AM5" s="103">
        <v>35148.093233333333</v>
      </c>
      <c r="AN5" s="122">
        <v>44349</v>
      </c>
      <c r="AO5" s="122">
        <v>44501</v>
      </c>
      <c r="AP5" s="122">
        <v>44505</v>
      </c>
    </row>
    <row r="6" spans="1:42" s="102" customFormat="1" ht="15" customHeight="1">
      <c r="A6" s="119">
        <v>102019070</v>
      </c>
      <c r="B6" s="103" t="s">
        <v>691</v>
      </c>
      <c r="C6" s="119" t="s">
        <v>2384</v>
      </c>
      <c r="D6" s="102" t="s">
        <v>692</v>
      </c>
      <c r="E6" s="102" t="s">
        <v>693</v>
      </c>
      <c r="T6" s="103" t="s">
        <v>328</v>
      </c>
      <c r="U6" s="102" t="s">
        <v>600</v>
      </c>
      <c r="W6" s="102" t="s">
        <v>603</v>
      </c>
      <c r="X6" s="131" t="s">
        <v>604</v>
      </c>
      <c r="Y6" s="119" t="s">
        <v>259</v>
      </c>
      <c r="Z6" s="119" t="s">
        <v>260</v>
      </c>
      <c r="AA6" s="121">
        <v>15500</v>
      </c>
      <c r="AB6" s="121">
        <v>300</v>
      </c>
      <c r="AC6" s="121">
        <v>15800</v>
      </c>
      <c r="AD6" s="132">
        <v>0.97</v>
      </c>
      <c r="AE6" s="102" t="s">
        <v>2233</v>
      </c>
      <c r="AF6" s="102" t="s">
        <v>2234</v>
      </c>
      <c r="AI6" s="122">
        <v>44499</v>
      </c>
      <c r="AJ6" s="102" t="s">
        <v>2757</v>
      </c>
      <c r="AK6" s="102" t="s">
        <v>2732</v>
      </c>
      <c r="AL6" s="102" t="s">
        <v>300</v>
      </c>
      <c r="AM6" s="103">
        <v>985.39803333333384</v>
      </c>
      <c r="AN6" s="122">
        <v>44349</v>
      </c>
      <c r="AO6" s="122">
        <v>44501</v>
      </c>
      <c r="AP6" s="122">
        <v>44505</v>
      </c>
    </row>
    <row r="7" spans="1:42" s="102" customFormat="1">
      <c r="A7" s="119">
        <v>102019074</v>
      </c>
      <c r="B7" s="103" t="s">
        <v>694</v>
      </c>
      <c r="C7" s="119" t="s">
        <v>2385</v>
      </c>
      <c r="D7" s="102" t="s">
        <v>695</v>
      </c>
      <c r="E7" s="102" t="s">
        <v>696</v>
      </c>
      <c r="T7" s="103" t="s">
        <v>328</v>
      </c>
      <c r="U7" s="102" t="s">
        <v>386</v>
      </c>
      <c r="W7" s="102" t="s">
        <v>603</v>
      </c>
      <c r="X7" s="131" t="s">
        <v>604</v>
      </c>
      <c r="Y7" s="119" t="s">
        <v>259</v>
      </c>
      <c r="Z7" s="119" t="s">
        <v>260</v>
      </c>
      <c r="AA7" s="121">
        <v>20300</v>
      </c>
      <c r="AB7" s="121">
        <v>0</v>
      </c>
      <c r="AC7" s="121">
        <v>20300</v>
      </c>
      <c r="AD7" s="132">
        <v>1.06</v>
      </c>
      <c r="AE7" s="102" t="s">
        <v>2237</v>
      </c>
      <c r="AF7" s="102" t="s">
        <v>2238</v>
      </c>
      <c r="AG7" s="102" t="s">
        <v>2239</v>
      </c>
      <c r="AI7" s="122">
        <v>44499</v>
      </c>
      <c r="AJ7" s="102" t="s">
        <v>2742</v>
      </c>
      <c r="AK7" s="102" t="s">
        <v>2743</v>
      </c>
      <c r="AL7" s="102" t="s">
        <v>386</v>
      </c>
      <c r="AM7" s="103">
        <v>5146.6158333333333</v>
      </c>
      <c r="AN7" s="122">
        <v>44349</v>
      </c>
      <c r="AO7" s="122">
        <v>44501</v>
      </c>
      <c r="AP7" s="122">
        <v>44505</v>
      </c>
    </row>
    <row r="8" spans="1:42" s="18" customFormat="1">
      <c r="A8" s="24">
        <v>102020006</v>
      </c>
      <c r="B8" s="14" t="s">
        <v>1545</v>
      </c>
      <c r="C8" s="18" t="s">
        <v>2414</v>
      </c>
      <c r="D8" s="18" t="s">
        <v>1546</v>
      </c>
      <c r="E8" s="18" t="s">
        <v>1547</v>
      </c>
      <c r="F8" s="18" t="s">
        <v>392</v>
      </c>
      <c r="T8" s="14" t="s">
        <v>1548</v>
      </c>
      <c r="U8" s="18" t="s">
        <v>438</v>
      </c>
      <c r="V8" s="18" t="s">
        <v>260</v>
      </c>
      <c r="X8" s="63" t="s">
        <v>1549</v>
      </c>
      <c r="Y8" s="24" t="s">
        <v>798</v>
      </c>
      <c r="Z8" s="18" t="s">
        <v>750</v>
      </c>
      <c r="AA8" s="25">
        <v>2000</v>
      </c>
      <c r="AB8" s="25">
        <v>10200</v>
      </c>
      <c r="AC8" s="25">
        <v>12200</v>
      </c>
      <c r="AD8" s="36">
        <v>0.02</v>
      </c>
      <c r="AE8" s="26" t="s">
        <v>1850</v>
      </c>
      <c r="AF8" s="18" t="s">
        <v>1851</v>
      </c>
      <c r="AG8" s="18" t="s">
        <v>1852</v>
      </c>
      <c r="AI8" s="27">
        <v>44499</v>
      </c>
      <c r="AJ8" s="18" t="s">
        <v>2720</v>
      </c>
      <c r="AK8" s="18" t="s">
        <v>2721</v>
      </c>
      <c r="AL8" s="18" t="s">
        <v>2722</v>
      </c>
      <c r="AM8" s="14">
        <v>382.24591666666583</v>
      </c>
      <c r="AN8" s="27">
        <v>44453</v>
      </c>
      <c r="AO8" s="27">
        <v>44501</v>
      </c>
      <c r="AP8" s="27">
        <v>44505</v>
      </c>
    </row>
    <row r="9" spans="1:42" s="18" customFormat="1" ht="15" customHeight="1">
      <c r="A9" s="24">
        <v>102020051</v>
      </c>
      <c r="B9" s="18" t="s">
        <v>1674</v>
      </c>
      <c r="C9" s="18" t="s">
        <v>1891</v>
      </c>
      <c r="D9" s="18" t="s">
        <v>672</v>
      </c>
      <c r="E9" s="18" t="s">
        <v>1675</v>
      </c>
      <c r="F9" s="18" t="s">
        <v>326</v>
      </c>
      <c r="T9" s="18" t="s">
        <v>328</v>
      </c>
      <c r="U9" s="18" t="s">
        <v>259</v>
      </c>
      <c r="W9" s="18" t="s">
        <v>1676</v>
      </c>
      <c r="X9" s="24" t="s">
        <v>1677</v>
      </c>
      <c r="Y9" s="24" t="s">
        <v>1857</v>
      </c>
      <c r="AA9" s="25">
        <v>13000</v>
      </c>
      <c r="AB9" s="25">
        <v>0</v>
      </c>
      <c r="AC9" s="25">
        <v>13000</v>
      </c>
      <c r="AD9" s="36">
        <v>1</v>
      </c>
      <c r="AE9" s="26" t="s">
        <v>1844</v>
      </c>
      <c r="AF9" s="26" t="s">
        <v>1845</v>
      </c>
      <c r="AG9" s="26" t="s">
        <v>1846</v>
      </c>
      <c r="AI9" s="27">
        <v>44499</v>
      </c>
      <c r="AJ9" s="18" t="s">
        <v>2763</v>
      </c>
      <c r="AK9" s="18" t="s">
        <v>1251</v>
      </c>
      <c r="AL9" s="18" t="s">
        <v>349</v>
      </c>
      <c r="AM9" s="14">
        <v>4724.6228416666672</v>
      </c>
      <c r="AN9" s="27">
        <v>44349</v>
      </c>
      <c r="AO9" s="27">
        <v>44501</v>
      </c>
      <c r="AP9" s="27">
        <v>44505</v>
      </c>
    </row>
    <row r="10" spans="1:42" s="18" customFormat="1">
      <c r="A10" s="24">
        <v>102020053</v>
      </c>
      <c r="B10" s="18" t="s">
        <v>1680</v>
      </c>
      <c r="C10" s="18" t="s">
        <v>1890</v>
      </c>
      <c r="D10" s="18" t="s">
        <v>1681</v>
      </c>
      <c r="E10" s="18" t="s">
        <v>1099</v>
      </c>
      <c r="F10" s="18" t="s">
        <v>396</v>
      </c>
      <c r="T10" s="18" t="s">
        <v>328</v>
      </c>
      <c r="U10" s="18" t="s">
        <v>329</v>
      </c>
      <c r="X10" s="24" t="s">
        <v>1682</v>
      </c>
      <c r="Y10" s="24" t="s">
        <v>1683</v>
      </c>
      <c r="AA10" s="25">
        <v>13900</v>
      </c>
      <c r="AB10" s="25">
        <v>0</v>
      </c>
      <c r="AC10" s="25">
        <v>13900</v>
      </c>
      <c r="AD10" s="36">
        <v>2.35</v>
      </c>
      <c r="AE10" s="26" t="s">
        <v>1842</v>
      </c>
      <c r="AF10" s="26" t="s">
        <v>1843</v>
      </c>
      <c r="AI10" s="27">
        <v>44499</v>
      </c>
      <c r="AJ10" s="18" t="s">
        <v>2713</v>
      </c>
      <c r="AK10" s="18" t="s">
        <v>2714</v>
      </c>
      <c r="AL10" s="18" t="s">
        <v>259</v>
      </c>
      <c r="AM10" s="14">
        <v>1867.223</v>
      </c>
      <c r="AN10" s="27">
        <v>44349</v>
      </c>
      <c r="AO10" s="27">
        <v>44501</v>
      </c>
      <c r="AP10" s="27">
        <v>44505</v>
      </c>
    </row>
    <row r="11" spans="1:42" s="18" customFormat="1">
      <c r="A11" s="24">
        <v>102020054</v>
      </c>
      <c r="B11" s="18" t="s">
        <v>1684</v>
      </c>
      <c r="C11" s="18" t="s">
        <v>1889</v>
      </c>
      <c r="D11" s="18" t="s">
        <v>1685</v>
      </c>
      <c r="E11" s="18" t="s">
        <v>764</v>
      </c>
      <c r="F11" s="18" t="s">
        <v>426</v>
      </c>
      <c r="T11" s="18" t="s">
        <v>328</v>
      </c>
      <c r="U11" s="18" t="s">
        <v>329</v>
      </c>
      <c r="X11" s="24" t="s">
        <v>1686</v>
      </c>
      <c r="Y11" s="24" t="s">
        <v>438</v>
      </c>
      <c r="Z11" s="18" t="s">
        <v>260</v>
      </c>
      <c r="AA11" s="25">
        <v>20000</v>
      </c>
      <c r="AB11" s="25">
        <v>2700</v>
      </c>
      <c r="AC11" s="25">
        <v>22700</v>
      </c>
      <c r="AD11" s="36">
        <v>1.34</v>
      </c>
      <c r="AE11" s="18" t="s">
        <v>1834</v>
      </c>
      <c r="AF11" s="18" t="s">
        <v>1835</v>
      </c>
      <c r="AI11" s="27">
        <v>44499</v>
      </c>
      <c r="AJ11" s="18" t="s">
        <v>2739</v>
      </c>
      <c r="AK11" s="18" t="s">
        <v>2740</v>
      </c>
      <c r="AL11" s="18" t="s">
        <v>2741</v>
      </c>
      <c r="AM11" s="14">
        <v>11218.890533333333</v>
      </c>
      <c r="AN11" s="27">
        <v>44397</v>
      </c>
      <c r="AO11" s="27">
        <v>44501</v>
      </c>
      <c r="AP11" s="27">
        <v>44505</v>
      </c>
    </row>
    <row r="12" spans="1:42" s="18" customFormat="1">
      <c r="A12" s="24">
        <v>102021002</v>
      </c>
      <c r="B12" s="18" t="s">
        <v>2016</v>
      </c>
      <c r="C12" s="18" t="s">
        <v>2471</v>
      </c>
      <c r="D12" s="18" t="s">
        <v>2017</v>
      </c>
      <c r="P12" s="18" t="s">
        <v>2145</v>
      </c>
      <c r="Q12" s="18" t="s">
        <v>2127</v>
      </c>
      <c r="R12" s="18" t="s">
        <v>2128</v>
      </c>
      <c r="S12" s="18" t="s">
        <v>2129</v>
      </c>
      <c r="T12" s="18" t="s">
        <v>328</v>
      </c>
      <c r="U12" s="18" t="s">
        <v>267</v>
      </c>
      <c r="X12" s="24" t="s">
        <v>2130</v>
      </c>
      <c r="Y12" s="24" t="s">
        <v>2128</v>
      </c>
      <c r="AA12" s="25">
        <v>17400</v>
      </c>
      <c r="AB12" s="25">
        <v>0</v>
      </c>
      <c r="AC12" s="25">
        <v>17400</v>
      </c>
      <c r="AD12" s="36">
        <v>0.87</v>
      </c>
      <c r="AE12" s="18" t="s">
        <v>2328</v>
      </c>
      <c r="AF12" s="18" t="s">
        <v>2329</v>
      </c>
      <c r="AI12" s="27">
        <v>44499</v>
      </c>
      <c r="AJ12" s="18" t="s">
        <v>2758</v>
      </c>
      <c r="AK12" s="18" t="s">
        <v>2738</v>
      </c>
      <c r="AL12" s="18" t="s">
        <v>279</v>
      </c>
      <c r="AM12" s="14">
        <v>14282.491366666667</v>
      </c>
      <c r="AN12" s="27">
        <v>44397</v>
      </c>
      <c r="AO12" s="27">
        <v>44501</v>
      </c>
      <c r="AP12" s="27">
        <v>44505</v>
      </c>
    </row>
    <row r="13" spans="1:42" s="18" customFormat="1">
      <c r="A13" s="24">
        <v>102021008</v>
      </c>
      <c r="B13" s="18" t="s">
        <v>2136</v>
      </c>
      <c r="C13" s="18" t="s">
        <v>2495</v>
      </c>
      <c r="D13" s="18" t="s">
        <v>810</v>
      </c>
      <c r="E13" s="18" t="s">
        <v>811</v>
      </c>
      <c r="F13" s="18" t="s">
        <v>326</v>
      </c>
      <c r="T13" s="18" t="s">
        <v>812</v>
      </c>
      <c r="U13" s="18" t="s">
        <v>438</v>
      </c>
      <c r="V13" s="18" t="s">
        <v>260</v>
      </c>
      <c r="X13" s="24" t="s">
        <v>814</v>
      </c>
      <c r="Y13" s="24" t="s">
        <v>438</v>
      </c>
      <c r="AA13" s="25">
        <v>3200</v>
      </c>
      <c r="AB13" s="25">
        <v>56200</v>
      </c>
      <c r="AC13" s="25">
        <v>59400</v>
      </c>
      <c r="AD13" s="36">
        <v>0.34</v>
      </c>
      <c r="AE13" s="18" t="s">
        <v>2403</v>
      </c>
      <c r="AF13" s="18" t="s">
        <v>2404</v>
      </c>
      <c r="AG13" s="18" t="s">
        <v>2405</v>
      </c>
      <c r="AI13" s="27">
        <v>44499</v>
      </c>
      <c r="AJ13" s="18" t="s">
        <v>2756</v>
      </c>
      <c r="AK13" s="18" t="s">
        <v>2737</v>
      </c>
      <c r="AL13" s="18" t="s">
        <v>438</v>
      </c>
      <c r="AM13" s="14">
        <v>40027.634066666666</v>
      </c>
      <c r="AN13" s="27">
        <v>44397</v>
      </c>
      <c r="AO13" s="27">
        <v>44501</v>
      </c>
      <c r="AP13" s="27">
        <v>44505</v>
      </c>
    </row>
    <row r="14" spans="1:42">
      <c r="A14" s="24">
        <v>102021021</v>
      </c>
      <c r="B14" s="18" t="s">
        <v>2096</v>
      </c>
      <c r="C14" s="18" t="s">
        <v>2469</v>
      </c>
      <c r="D14" s="18" t="s">
        <v>2036</v>
      </c>
      <c r="E14" s="18" t="s">
        <v>817</v>
      </c>
      <c r="F14" s="18" t="s">
        <v>763</v>
      </c>
      <c r="G14" s="18"/>
      <c r="H14" s="18"/>
      <c r="I14" s="18"/>
      <c r="J14" s="18"/>
      <c r="K14" s="18"/>
      <c r="L14" s="18"/>
      <c r="M14" s="18"/>
      <c r="N14" s="18"/>
      <c r="O14" s="18"/>
      <c r="P14" s="18"/>
      <c r="Q14" s="18"/>
      <c r="R14" s="18"/>
      <c r="S14" s="18"/>
      <c r="T14" s="14" t="s">
        <v>2149</v>
      </c>
      <c r="U14" s="18" t="s">
        <v>279</v>
      </c>
      <c r="V14" s="18" t="s">
        <v>260</v>
      </c>
      <c r="W14" s="18"/>
      <c r="X14" s="24" t="s">
        <v>2148</v>
      </c>
      <c r="Y14" s="24" t="s">
        <v>600</v>
      </c>
      <c r="Z14" s="18" t="s">
        <v>260</v>
      </c>
      <c r="AA14" s="25">
        <v>18000</v>
      </c>
      <c r="AB14" s="25">
        <v>6000</v>
      </c>
      <c r="AC14" s="25">
        <v>24000</v>
      </c>
      <c r="AD14" s="36">
        <v>1</v>
      </c>
      <c r="AE14" s="18" t="s">
        <v>2345</v>
      </c>
      <c r="AF14" s="18" t="s">
        <v>2346</v>
      </c>
      <c r="AG14" s="18"/>
      <c r="AH14" s="18"/>
      <c r="AI14" s="27">
        <v>44499</v>
      </c>
      <c r="AJ14" s="18" t="s">
        <v>2733</v>
      </c>
      <c r="AK14" s="18" t="s">
        <v>2734</v>
      </c>
      <c r="AL14" s="18" t="s">
        <v>349</v>
      </c>
      <c r="AM14" s="14">
        <v>8529.8283333333329</v>
      </c>
      <c r="AN14" s="27">
        <v>44397</v>
      </c>
      <c r="AO14" s="27">
        <v>44501</v>
      </c>
      <c r="AP14" s="27">
        <v>44505</v>
      </c>
    </row>
    <row r="15" spans="1:42">
      <c r="A15" s="24">
        <v>102021055</v>
      </c>
      <c r="B15" s="18" t="s">
        <v>2007</v>
      </c>
      <c r="C15" s="24" t="s">
        <v>3805</v>
      </c>
      <c r="D15" s="18" t="s">
        <v>1264</v>
      </c>
      <c r="E15" s="18" t="s">
        <v>957</v>
      </c>
      <c r="F15" s="18" t="s">
        <v>763</v>
      </c>
      <c r="G15" s="18"/>
      <c r="H15" s="18"/>
      <c r="I15" s="18"/>
      <c r="J15" s="18"/>
      <c r="K15" s="18"/>
      <c r="L15" s="18"/>
      <c r="M15" s="18"/>
      <c r="N15" s="18"/>
      <c r="O15" s="18"/>
      <c r="P15" s="18"/>
      <c r="Q15" s="18"/>
      <c r="R15" s="18"/>
      <c r="S15" s="18"/>
      <c r="T15" s="18" t="s">
        <v>2182</v>
      </c>
      <c r="U15" s="18" t="s">
        <v>329</v>
      </c>
      <c r="V15" s="18" t="s">
        <v>260</v>
      </c>
      <c r="W15" s="18"/>
      <c r="X15" s="24" t="s">
        <v>2162</v>
      </c>
      <c r="Y15" s="18" t="s">
        <v>329</v>
      </c>
      <c r="Z15" s="18" t="s">
        <v>260</v>
      </c>
      <c r="AA15" s="25">
        <v>26100</v>
      </c>
      <c r="AB15" s="25">
        <v>62300</v>
      </c>
      <c r="AC15" s="25">
        <f>SUM(AA15+AB15)</f>
        <v>88400</v>
      </c>
      <c r="AD15" s="36">
        <v>3.02</v>
      </c>
      <c r="AE15" s="18" t="s">
        <v>2262</v>
      </c>
      <c r="AF15" s="18" t="s">
        <v>2263</v>
      </c>
      <c r="AG15" s="18"/>
      <c r="AH15" s="18"/>
      <c r="AI15" s="9">
        <v>44863</v>
      </c>
      <c r="AJ15" s="18" t="s">
        <v>3952</v>
      </c>
      <c r="AK15" s="18" t="s">
        <v>3953</v>
      </c>
      <c r="AL15" s="18" t="s">
        <v>290</v>
      </c>
      <c r="AM15" s="14">
        <v>52916.670050000001</v>
      </c>
      <c r="AN15" s="27">
        <v>44826</v>
      </c>
      <c r="AO15" s="27">
        <v>44865</v>
      </c>
      <c r="AP15" s="27">
        <v>44879</v>
      </c>
    </row>
    <row r="16" spans="1:42">
      <c r="A16" s="24">
        <v>102022054</v>
      </c>
      <c r="B16" t="s">
        <v>2803</v>
      </c>
      <c r="C16" s="3" t="s">
        <v>3878</v>
      </c>
      <c r="D16" t="s">
        <v>399</v>
      </c>
      <c r="E16" t="s">
        <v>3030</v>
      </c>
      <c r="T16" t="s">
        <v>328</v>
      </c>
      <c r="U16" s="18" t="s">
        <v>344</v>
      </c>
      <c r="X16" s="3" t="s">
        <v>3031</v>
      </c>
      <c r="Y16" t="s">
        <v>3032</v>
      </c>
      <c r="AA16" s="4">
        <v>24500</v>
      </c>
      <c r="AB16" s="4">
        <v>0</v>
      </c>
      <c r="AC16" s="25">
        <f>SUM(AA16+AB16)</f>
        <v>24500</v>
      </c>
      <c r="AD16" s="35">
        <v>2.88</v>
      </c>
      <c r="AE16" t="s">
        <v>3683</v>
      </c>
      <c r="AF16" t="s">
        <v>3684</v>
      </c>
      <c r="AG16" t="s">
        <v>3685</v>
      </c>
      <c r="AI16" s="9">
        <v>44863</v>
      </c>
      <c r="AJ16" s="18" t="s">
        <v>3954</v>
      </c>
      <c r="AK16" t="s">
        <v>3949</v>
      </c>
      <c r="AL16" t="s">
        <v>3950</v>
      </c>
      <c r="AM16" s="14">
        <v>6940.1909999999998</v>
      </c>
      <c r="AN16" s="9">
        <v>44837</v>
      </c>
      <c r="AO16" s="27">
        <v>44865</v>
      </c>
      <c r="AP16" s="9">
        <v>44869</v>
      </c>
    </row>
    <row r="17" spans="1:43">
      <c r="A17" s="24">
        <v>102022044</v>
      </c>
      <c r="B17" t="s">
        <v>2796</v>
      </c>
      <c r="C17" s="3" t="s">
        <v>3904</v>
      </c>
      <c r="D17" t="s">
        <v>1567</v>
      </c>
      <c r="E17" t="s">
        <v>900</v>
      </c>
      <c r="F17" t="s">
        <v>357</v>
      </c>
      <c r="T17" t="s">
        <v>328</v>
      </c>
      <c r="U17" s="18" t="s">
        <v>344</v>
      </c>
      <c r="X17" s="3" t="s">
        <v>3013</v>
      </c>
      <c r="Y17" t="s">
        <v>3014</v>
      </c>
      <c r="AA17" s="4">
        <v>36000</v>
      </c>
      <c r="AB17" s="4">
        <v>0</v>
      </c>
      <c r="AC17" s="25">
        <f>SUM(AA17+AB17)</f>
        <v>36000</v>
      </c>
      <c r="AD17" s="35">
        <v>1.85</v>
      </c>
      <c r="AE17" t="s">
        <v>3660</v>
      </c>
      <c r="AF17" t="s">
        <v>3661</v>
      </c>
      <c r="AG17" t="s">
        <v>3662</v>
      </c>
      <c r="AI17" s="9">
        <v>44863</v>
      </c>
      <c r="AJ17" s="18" t="s">
        <v>3954</v>
      </c>
      <c r="AK17" t="s">
        <v>3949</v>
      </c>
      <c r="AL17" t="s">
        <v>3950</v>
      </c>
      <c r="AM17" s="14">
        <v>3963.0680000000002</v>
      </c>
      <c r="AN17" s="9">
        <v>37532</v>
      </c>
      <c r="AO17" s="27">
        <v>44865</v>
      </c>
      <c r="AP17" s="9">
        <v>44879</v>
      </c>
    </row>
    <row r="18" spans="1:43">
      <c r="A18" s="24">
        <v>102022051</v>
      </c>
      <c r="B18" t="s">
        <v>3467</v>
      </c>
      <c r="C18" s="3" t="s">
        <v>3899</v>
      </c>
      <c r="D18" t="s">
        <v>3025</v>
      </c>
      <c r="T18" t="s">
        <v>328</v>
      </c>
      <c r="U18" t="s">
        <v>438</v>
      </c>
      <c r="X18" s="3" t="s">
        <v>3880</v>
      </c>
      <c r="Y18" t="s">
        <v>300</v>
      </c>
      <c r="Z18" t="s">
        <v>301</v>
      </c>
      <c r="AA18" s="4">
        <f>200+200+500+800+800+1000+5900+1000+400</f>
        <v>10800</v>
      </c>
      <c r="AB18" s="4">
        <v>0</v>
      </c>
      <c r="AC18" s="25">
        <f>SUM(AA18+AB18)</f>
        <v>10800</v>
      </c>
      <c r="AD18" s="35">
        <f>0.26+0.28+0.35+0.38+0.53+0.56+0.57+0.09</f>
        <v>3.02</v>
      </c>
      <c r="AE18" t="s">
        <v>3500</v>
      </c>
      <c r="AF18" t="s">
        <v>3502</v>
      </c>
      <c r="AG18" t="s">
        <v>3501</v>
      </c>
      <c r="AI18" s="9">
        <v>44863</v>
      </c>
      <c r="AJ18" s="18" t="s">
        <v>3963</v>
      </c>
      <c r="AK18" s="18" t="s">
        <v>794</v>
      </c>
      <c r="AL18" s="18" t="s">
        <v>438</v>
      </c>
      <c r="AM18" s="14">
        <v>3121.8184000000006</v>
      </c>
      <c r="AN18" s="9">
        <v>44837</v>
      </c>
      <c r="AO18" s="27">
        <v>44865</v>
      </c>
      <c r="AP18" s="9">
        <v>44869</v>
      </c>
      <c r="AQ18" s="18"/>
    </row>
    <row r="20" spans="1:43">
      <c r="AM20" s="4"/>
    </row>
    <row r="23" spans="1:43">
      <c r="AM23" s="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Base</vt:lpstr>
      <vt:lpstr>Paid</vt:lpstr>
      <vt:lpstr>2024 Auctions</vt:lpstr>
      <vt:lpstr>2023 Auctions</vt:lpstr>
      <vt:lpstr>2022 Auctions</vt:lpstr>
      <vt:lpstr>2021 Auctions</vt:lpstr>
      <vt:lpstr>2020 Auctions</vt:lpstr>
      <vt:lpstr>Excess Funds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Tripp Isenhour</dc:creator>
  <cp:lastModifiedBy>Worth, Beth R.</cp:lastModifiedBy>
  <cp:lastPrinted>2025-04-02T20:28:18Z</cp:lastPrinted>
  <dcterms:created xsi:type="dcterms:W3CDTF">2020-01-03T22:20:53Z</dcterms:created>
  <dcterms:modified xsi:type="dcterms:W3CDTF">2025-04-02T20:31:52Z</dcterms:modified>
</cp:coreProperties>
</file>